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drawings/drawing9.xml" ContentType="application/vnd.openxmlformats-officedocument.drawing+xml"/>
  <Override PartName="/xl/activeX/activeX1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37E998C4-C9E5-D4B9-71C8-EB1FF731991C}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_works\Python\NDT_V1.1\NDT_V1.1_b\excel\"/>
    </mc:Choice>
  </mc:AlternateContent>
  <xr:revisionPtr revIDLastSave="0" documentId="13_ncr:1_{6539716D-0CEF-4952-B161-D15249FB04D2}" xr6:coauthVersionLast="47" xr6:coauthVersionMax="47" xr10:uidLastSave="{00000000-0000-0000-0000-000000000000}"/>
  <bookViews>
    <workbookView xWindow="-120" yWindow="-120" windowWidth="29040" windowHeight="15840" tabRatio="863" firstSheet="3" activeTab="4" xr2:uid="{00000000-000D-0000-FFFF-FFFF00000000}"/>
  </bookViews>
  <sheets>
    <sheet name="GEntry" sheetId="1" r:id="rId1"/>
    <sheet name="FWise" sheetId="2" r:id="rId2"/>
    <sheet name="MVAR-Yesterday" sheetId="3" r:id="rId3"/>
    <sheet name="Forecast" sheetId="4" r:id="rId4"/>
    <sheet name="P2" sheetId="13" r:id="rId5"/>
    <sheet name="Ch" sheetId="5" r:id="rId6"/>
    <sheet name="PM" sheetId="6" r:id="rId7"/>
    <sheet name="Generation" sheetId="7" r:id="rId8"/>
    <sheet name="EvReport" sheetId="8" r:id="rId9"/>
    <sheet name="EvBangla" sheetId="9" r:id="rId10"/>
    <sheet name="DGFI" sheetId="10" r:id="rId11"/>
    <sheet name="EWIC" sheetId="11" r:id="rId12"/>
    <sheet name="P1" sheetId="12" r:id="rId13"/>
    <sheet name="P3" sheetId="14" r:id="rId14"/>
    <sheet name="Volt" sheetId="15" r:id="rId15"/>
    <sheet name="YesterdayGen" sheetId="16" r:id="rId16"/>
    <sheet name="L-Curve" sheetId="17" r:id="rId17"/>
    <sheet name="En-Curve" sheetId="18" r:id="rId18"/>
    <sheet name="SMS" sheetId="19" r:id="rId19"/>
    <sheet name="NSI Reading" sheetId="20" r:id="rId20"/>
    <sheet name="P-Sum" sheetId="21" r:id="rId21"/>
    <sheet name="Demand" sheetId="22" r:id="rId22"/>
    <sheet name="YesterdayFWise" sheetId="23" r:id="rId23"/>
    <sheet name="Master" sheetId="24" r:id="rId24"/>
    <sheet name="Zone Wise Gen" sheetId="25" r:id="rId25"/>
    <sheet name="solar" sheetId="26" r:id="rId26"/>
    <sheet name="EnReport" sheetId="27" r:id="rId27"/>
    <sheet name="VAR" sheetId="28" r:id="rId28"/>
    <sheet name="Sheet2" sheetId="29" r:id="rId29"/>
  </sheets>
  <definedNames>
    <definedName name="_xlnm._FilterDatabase" localSheetId="8" hidden="1">EvReport!$A$4:$Q$202</definedName>
    <definedName name="_xlnm._FilterDatabase" localSheetId="3" hidden="1">Forecast!$A$1:$Z$218</definedName>
    <definedName name="A" localSheetId="14">Volt!$A$1:$L$108</definedName>
    <definedName name="DeleteB2">GEntry!$EA$17:$GI$29</definedName>
    <definedName name="DeleteC1">GEntry!$B$30:$DT$30</definedName>
    <definedName name="DeleteC2">GEntry!$EA$30:$GI$30</definedName>
    <definedName name="Eastern">GEntry!$DZ:$DZ</definedName>
    <definedName name="Evening">GEntry!$EA$17:$GK$30,GEntry!$B$17:$DY$30</definedName>
    <definedName name="HVDC">GEntry!$EZ:$EZ</definedName>
    <definedName name="Kaptai">GEntry!$CJ$15</definedName>
    <definedName name="Morning">GEntry!$EA$11:$GK$30,GEntry!$B$11:$DY$30</definedName>
    <definedName name="Night">GEntry!$B$4:$DW$21,GEntry!$EA$4:$GK$21</definedName>
    <definedName name="_xlnm.Print_Area" localSheetId="5">Ch!$A$1:$J$58</definedName>
    <definedName name="_xlnm.Print_Area" localSheetId="10">DGFI!$A$1:$F$52</definedName>
    <definedName name="_xlnm.Print_Area" localSheetId="17">'En-Curve'!$P$2:$Z$64</definedName>
    <definedName name="_xlnm.Print_Area" localSheetId="26">EnReport!$C$5:$F$38</definedName>
    <definedName name="_xlnm.Print_Area" localSheetId="9">EvBangla!$A$1:$M$32</definedName>
    <definedName name="_xlnm.Print_Area" localSheetId="8">EvReport!$B$1:$L$206</definedName>
    <definedName name="_xlnm.Print_Area" localSheetId="3">Forecast!$B$1:$R$224</definedName>
    <definedName name="_xlnm.Print_Area" localSheetId="1">FWise!$B$2:$M$32</definedName>
    <definedName name="_xlnm.Print_Area" localSheetId="7">Generation!$A$1:$AC$201</definedName>
    <definedName name="_xlnm.Print_Area" localSheetId="16">'L-Curve'!$H$3:$Q$49</definedName>
    <definedName name="_xlnm.Print_Area" localSheetId="12">'P1'!$A$1:$I$113</definedName>
    <definedName name="_xlnm.Print_Area" localSheetId="4">'P2'!$B$1:$J$194</definedName>
    <definedName name="_xlnm.Print_Area" localSheetId="13">'P3'!$B$1:$P$72</definedName>
    <definedName name="_xlnm.Print_Area" localSheetId="6">PM!$A$1:$G$22</definedName>
    <definedName name="_xlnm.Print_Area" localSheetId="14">Volt!$B$2:$K$132</definedName>
    <definedName name="_xlnm.Print_Area" localSheetId="22">YesterdayFWise!$B$2:$L$32</definedName>
    <definedName name="_xlnm.Print_Area" localSheetId="24">'Zone Wise Gen'!$A$3:$K$29</definedName>
    <definedName name="_xlnm.Print_Titles" localSheetId="8">EvReport!$7:$8</definedName>
    <definedName name="_xlnm.Print_Titles" localSheetId="3">Forecast!$4:$8</definedName>
    <definedName name="_xlnm.Print_Titles" localSheetId="4">'P2'!$5:$8</definedName>
    <definedName name="_xlnm.Print_Titles" localSheetId="14">Volt!$2:$6</definedName>
    <definedName name="Water_Level">GEntry!$GN$4</definedName>
    <definedName name="Z_001BE323_D916_4FBC_BE47_E4AEA5E32E0E_.wvu.FilterData" localSheetId="8" hidden="1">EvReport!$A$4:$Q$202</definedName>
    <definedName name="Z_00816E66_C8EF_4707_9426_37B48CF40B5E_.wvu.FilterData" localSheetId="8" hidden="1">EvReport!$A$4:$Q$202</definedName>
    <definedName name="Z_00985444_868C_4FA6_A402_B8873578A103_.wvu.FilterData" localSheetId="8" hidden="1">EvReport!$A$4:$Q$202</definedName>
    <definedName name="Z_00D54B19_C8D1_40BA_A58F_8D9E0C18E1CB_.wvu.FilterData" localSheetId="8" hidden="1">EvReport!$A$4:$Q$202</definedName>
    <definedName name="Z_00E30733_8CE2_4A3A_B3FF_CB8172AF80F1_.wvu.FilterData" localSheetId="8" hidden="1">EvReport!$A$4:$Q$202</definedName>
    <definedName name="Z_016EB33C_CD4C_4F1B_A2BD_B99DE2EB2741_.wvu.FilterData" localSheetId="8" hidden="1">EvReport!$A$4:$Q$202</definedName>
    <definedName name="Z_020DA94A_BFC3_40D1_BE23_63D0E569BC1F_.wvu.FilterData" localSheetId="8" hidden="1">EvReport!$A$4:$Q$202</definedName>
    <definedName name="Z_0230FEFA_F31E_4BC3_9092_1069693CAB47_.wvu.FilterData" localSheetId="8" hidden="1">EvReport!$A$4:$Q$202</definedName>
    <definedName name="Z_024E958E_E929_4501_A53E_94920969BF09_.wvu.FilterData" localSheetId="8" hidden="1">EvReport!$A$4:$Q$202</definedName>
    <definedName name="Z_030A4111_01BB_4D51_9E4B_EE9DCC27ADB7_.wvu.FilterData" localSheetId="8" hidden="1">EvReport!$A$4:$Q$202</definedName>
    <definedName name="Z_033DC2B8_03D9_43A3_BE91_BFDC1E98A5ED_.wvu.FilterData" localSheetId="8" hidden="1">EvReport!$A$4:$Q$202</definedName>
    <definedName name="Z_036D4968_45EC_4BD7_81D3_5854167F817E_.wvu.FilterData" localSheetId="8" hidden="1">EvReport!$A$4:$Q$202</definedName>
    <definedName name="Z_037D5D13_6546_402C_894F_7881F23A6B4B_.wvu.FilterData" localSheetId="8" hidden="1">EvReport!$A$4:$Q$202</definedName>
    <definedName name="Z_03A4F068_30D8_4FBA_B9FB_C447C4192FE3_.wvu.FilterData" localSheetId="8" hidden="1">EvReport!$A$4:$Q$202</definedName>
    <definedName name="Z_03BAA096_459A_4640_B6AF_65AD552547EC_.wvu.FilterData" localSheetId="8" hidden="1">EvReport!$A$4:$Q$202</definedName>
    <definedName name="Z_03EEFB0C_47F4_4DA3_B1BC_41EE07ABDA2B_.wvu.FilterData" localSheetId="8" hidden="1">EvReport!$A$4:$Q$202</definedName>
    <definedName name="Z_03F17663_1C8E_4ABB_B97A_34F848C64EA1_.wvu.FilterData" localSheetId="8" hidden="1">EvReport!$A$4:$Q$202</definedName>
    <definedName name="Z_03FDC4E0_C6F1_4389_AFF0_5FEB09334615_.wvu.FilterData" localSheetId="8" hidden="1">EvReport!$A$4:$Q$202</definedName>
    <definedName name="Z_047A509C_AED8_416D_9CB5_3EE55751CEF6_.wvu.FilterData" localSheetId="8" hidden="1">EvReport!$A$4:$Q$202</definedName>
    <definedName name="Z_04A0C869_87B0_4F4E_BF37_A44175F5931E_.wvu.FilterData" localSheetId="8" hidden="1">EvReport!$A$4:$Q$202</definedName>
    <definedName name="Z_04AE9687_F9E3_4470_887D_91FDFA4BA435_.wvu.FilterData" localSheetId="3" hidden="1">Forecast!$A$1:$Z$218</definedName>
    <definedName name="Z_04F0B07E_A887_4181_8082_9869608BB2CC_.wvu.FilterData" localSheetId="8" hidden="1">EvReport!$A$4:$Q$202</definedName>
    <definedName name="Z_04F33ED4_0C5A_4F1D_96BE_43531EE5F161_.wvu.FilterData" localSheetId="3" hidden="1">Forecast!$F$8:$F$218</definedName>
    <definedName name="Z_052D3824_2562_479A_A8BA_576E4C4B65E4_.wvu.FilterData" localSheetId="3" hidden="1">Forecast!$A$1:$Z$218</definedName>
    <definedName name="Z_05C00F70_27E3_4230_97FA_2ACAC26559D6_.wvu.FilterData" localSheetId="8" hidden="1">EvReport!$A$4:$Q$202</definedName>
    <definedName name="Z_065E6F8B_25A5_4E3F_807E_48561F1B101E_.wvu.FilterData" localSheetId="8" hidden="1">EvReport!$A$4:$Q$202</definedName>
    <definedName name="Z_071D690D_0431_43F4_8617_5D6A66F81A3D_.wvu.FilterData" localSheetId="8" hidden="1">EvReport!$A$4:$Q$202</definedName>
    <definedName name="Z_071F54ED_7090_4EB1_97F5_0F50E2E50E97_.wvu.FilterData" localSheetId="3" hidden="1">Forecast!$A$1:$Z$218</definedName>
    <definedName name="Z_0734719E_AB28_427C_8EA2_71D5694520E6_.wvu.FilterData" localSheetId="8" hidden="1">EvReport!$A$4:$Q$202</definedName>
    <definedName name="Z_074633E4_8F98_448E_8F4D_FD6FFAB4636D_.wvu.FilterData" localSheetId="8" hidden="1">EvReport!$A$4:$Q$202</definedName>
    <definedName name="Z_078A4398_BA06_46AF_A726_BAD6722BF846_.wvu.FilterData" localSheetId="8" hidden="1">EvReport!$A$4:$Q$202</definedName>
    <definedName name="Z_07C36BE0_0F11_4F97_8764_B82E447A6EAC_.wvu.FilterData" localSheetId="8" hidden="1">EvReport!$A$4:$Q$202</definedName>
    <definedName name="Z_07C7C955_5B41_4CCD_94E7_24F6AE2E27EC_.wvu.FilterData" localSheetId="3" hidden="1">Forecast!$A$1:$Z$218</definedName>
    <definedName name="Z_08267811_9372_4D27_9CE5_D64A4C04A75D_.wvu.FilterData" localSheetId="8" hidden="1">EvReport!$A$4:$Q$202</definedName>
    <definedName name="Z_08317346_0773_4EE5_90CC_F1A5231D46ED_.wvu.FilterData" localSheetId="8" hidden="1">EvReport!$A$4:$Q$202</definedName>
    <definedName name="Z_08C09E9E_3554_437C_8364_0FBEDAB7A0CA_.wvu.FilterData" localSheetId="8" hidden="1">EvReport!$A$4:$Q$202</definedName>
    <definedName name="Z_08F6C376_C8FD_4401_8CC9_F984D5B520E4_.wvu.FilterData" localSheetId="8" hidden="1">EvReport!$A$4:$Q$202</definedName>
    <definedName name="Z_094F6C4B_BD71_40B9_8ABC_E68942C60527_.wvu.FilterData" localSheetId="8" hidden="1">EvReport!$A$4:$Q$202</definedName>
    <definedName name="Z_0957EFE7_7949_4994_86C2_877CEF489767_.wvu.FilterData" localSheetId="8" hidden="1">EvReport!$A$4:$Q$202</definedName>
    <definedName name="Z_097EEAEA_5EBB_4F59_9CA5_DFFC1423D49C_.wvu.FilterData" localSheetId="3" hidden="1">Forecast!$A$1:$Z$218</definedName>
    <definedName name="Z_09868C73_4693_4C07_9DD0_486E39A247D5_.wvu.FilterData" localSheetId="8" hidden="1">EvReport!$A$4:$Q$202</definedName>
    <definedName name="Z_09C50B3A_48EF_44F5_92F2_CD3D3DC9E0CB_.wvu.FilterData" localSheetId="8" hidden="1">EvReport!$A$4:$Q$202</definedName>
    <definedName name="Z_09F62735_B532_43F6_B68B_15AA11820204_.wvu.FilterData" localSheetId="8" hidden="1">EvReport!$A$4:$Q$202</definedName>
    <definedName name="Z_09FB8AA7_A1EE_41D0_BE5E_25314884C9FE_.wvu.FilterData" localSheetId="8" hidden="1">EvReport!$A$4:$Q$202</definedName>
    <definedName name="Z_0A2380C8_F90D_4FD9_BD7D_1D8B1D005986_.wvu.FilterData" localSheetId="8" hidden="1">EvReport!$A$4:$Q$202</definedName>
    <definedName name="Z_0AA4FF65_D939_4589_9C21_8E7771905258_.wvu.FilterData" localSheetId="8" hidden="1">EvReport!$A$4:$Q$202</definedName>
    <definedName name="Z_0AD1AE29_9361_4E26_91CE_C5EBD7E6D891_.wvu.FilterData" localSheetId="8" hidden="1">EvReport!$A$4:$Q$202</definedName>
    <definedName name="Z_0AD949BE_3FCA_4D83_9EAF_08F1B4260343_.wvu.FilterData" localSheetId="8" hidden="1">EvReport!$A$4:$Q$202</definedName>
    <definedName name="Z_0AE86EBC_924F_4F7E_9724_D711BB7D3D8B_.wvu.FilterData" localSheetId="8" hidden="1">EvReport!$A$4:$Q$202</definedName>
    <definedName name="Z_0B07CE1B_4DB2_4417_984D_A95EC4A18B2D_.wvu.FilterData" localSheetId="8" hidden="1">EvReport!$A$4:$Q$202</definedName>
    <definedName name="Z_0B1683B8_B493_4BBF_9EC0_CBEA513C98C7_.wvu.FilterData" localSheetId="8" hidden="1">EvReport!$A$4:$Q$202</definedName>
    <definedName name="Z_0B1D2579_4259_4950_925D_C8FA4D84D921_.wvu.FilterData" localSheetId="8" hidden="1">EvReport!$A$4:$Q$202</definedName>
    <definedName name="Z_0B3730E6_1400_4EF3_B103_7E5198F79D44_.wvu.FilterData" localSheetId="8" hidden="1">EvReport!$A$4:$Q$202</definedName>
    <definedName name="Z_0B4CC4B1_5E01_44CD_A003_2D9FB836AF9E_.wvu.FilterData" localSheetId="8" hidden="1">EvReport!$A$4:$Q$202</definedName>
    <definedName name="Z_0B77BF28_D538_49F9_B89E_7AD25388670D_.wvu.FilterData" localSheetId="3" hidden="1">Forecast!$A$1:$Z$218</definedName>
    <definedName name="Z_0BD30875_D33F_4BA2_B861_942A2822B802_.wvu.FilterData" localSheetId="8" hidden="1">EvReport!$A$4:$Q$202</definedName>
    <definedName name="Z_0BF9381F_FAC0_43F5_B92D_FF70157FCD34_.wvu.FilterData" localSheetId="8" hidden="1">EvReport!$A$4:$Q$202</definedName>
    <definedName name="Z_0C1AE4A8_9AF7_4381_83D9_538C6D40F16A_.wvu.FilterData" localSheetId="8" hidden="1">EvReport!$A$4:$Q$202</definedName>
    <definedName name="Z_0C74F36D_EA6C_430B_B6D3_A49DA1C9EAE9_.wvu.FilterData" localSheetId="8" hidden="1">EvReport!$A$4:$Q$202</definedName>
    <definedName name="Z_0CA3A819_6BD8_4273_BB34_3A2E062FE2DC_.wvu.FilterData" localSheetId="8" hidden="1">EvReport!$A$4:$Q$202</definedName>
    <definedName name="Z_0D4FE4C4_5330_4DE8_B3A3_A3C7AEBD282D_.wvu.FilterData" localSheetId="8" hidden="1">EvReport!$A$4:$Q$202</definedName>
    <definedName name="Z_0D564944_F186_4AE2_A114_8010049CE1F5_.wvu.FilterData" localSheetId="8" hidden="1">EvReport!$A$4:$Q$202</definedName>
    <definedName name="Z_0D5B941E_A189_44BC_B01F_B6DFA3D70FCD_.wvu.FilterData" localSheetId="8" hidden="1">EvReport!$A$4:$Q$202</definedName>
    <definedName name="Z_0DE589F6_8A70_417D_B2F3_66A6E3E7FE5E_.wvu.FilterData" localSheetId="8" hidden="1">EvReport!$A$4:$Q$202</definedName>
    <definedName name="Z_0DFE4201_E7DA_40C4_BEBB_3323ED621ADF_.wvu.FilterData" localSheetId="8" hidden="1">EvReport!$A$4:$Q$202</definedName>
    <definedName name="Z_0E1F6889_6039_4989_A6EA_13BE553088EB_.wvu.FilterData" localSheetId="8" hidden="1">EvReport!$A$4:$Q$202</definedName>
    <definedName name="Z_0E5B254D_C78F_44A5_8A3F_1D779BD824E3_.wvu.FilterData" localSheetId="3" hidden="1">Forecast!$A$1:$Z$218</definedName>
    <definedName name="Z_0E9AC62E_1DF9_43AA_B35B_4A0509CC089F_.wvu.FilterData" localSheetId="8" hidden="1">EvReport!$A$4:$Q$202</definedName>
    <definedName name="Z_0EA269E9_404E_4743_B941_CB44B14B6A96_.wvu.FilterData" localSheetId="3" hidden="1">Forecast!$A$1:$Z$218</definedName>
    <definedName name="Z_0ED9FA5C_D12A_45F6_A013_DF983F0C0F94_.wvu.FilterData" localSheetId="8" hidden="1">EvReport!$A$4:$Q$202</definedName>
    <definedName name="Z_0EDBA314_230E_42B9_A1EC_1EE92FD69763_.wvu.FilterData" localSheetId="8" hidden="1">EvReport!$A$4:$Q$202</definedName>
    <definedName name="Z_0F39C3EB_07F3_4BCA_99F5_98FF63DAE4EB_.wvu.FilterData" localSheetId="8" hidden="1">EvReport!$A$4:$Q$202</definedName>
    <definedName name="Z_0F6AAD51_9591_4A6A_8A05_005B711B4E9A_.wvu.FilterData" localSheetId="8" hidden="1">EvReport!$A$4:$Q$202</definedName>
    <definedName name="Z_0F7880D7_4F37_4BF3_8306_FD7A56F35448_.wvu.FilterData" localSheetId="8" hidden="1">EvReport!$A$4:$Q$202</definedName>
    <definedName name="Z_0F8E50D9_FF08_4537_BE71_1A1A56F4B68C_.wvu.FilterData" localSheetId="8" hidden="1">EvReport!$A$4:$Q$202</definedName>
    <definedName name="Z_0FD123CC_4169_4DE5_BF80_8B9AC12E5CE1_.wvu.FilterData" localSheetId="3" hidden="1">Forecast!$A$1:$Z$218</definedName>
    <definedName name="Z_0FD585FC_06A6_448A_A2FD_15ED81384E86_.wvu.FilterData" localSheetId="8" hidden="1">EvReport!$A$4:$Q$202</definedName>
    <definedName name="Z_0FD8B39E_3EBE_4424_AC33_374A3D7B3270_.wvu.FilterData" localSheetId="8" hidden="1">EvReport!$A$4:$Q$202</definedName>
    <definedName name="Z_0FDE9C93_058A_4F09_8EAB_2B35D833C473_.wvu.FilterData" localSheetId="8" hidden="1">EvReport!$A$4:$Q$202</definedName>
    <definedName name="Z_0FF81A98_376C_4139_A9E2_CF1D29C9EA74_.wvu.FilterData" localSheetId="3" hidden="1">Forecast!$F$8:$F$218</definedName>
    <definedName name="Z_104E0C9C_71A5_448D_AA53_EF4485667B83_.wvu.FilterData" localSheetId="3" hidden="1">Forecast!$A$1:$Z$218</definedName>
    <definedName name="Z_104FDE06_5D18_4EF0_B817_46CB586C99D1_.wvu.FilterData" localSheetId="8" hidden="1">EvReport!$A$4:$Q$202</definedName>
    <definedName name="Z_107AC145_86CC_4B03_9367_21D15B210737_.wvu.FilterData" localSheetId="8" hidden="1">EvReport!$A$4:$Q$202</definedName>
    <definedName name="Z_107CE3B1_2D02_4FBF_BC05_631D65DE61DD_.wvu.FilterData" localSheetId="3" hidden="1">Forecast!$A$1:$Z$218</definedName>
    <definedName name="Z_10A7AD3D_E004_43DD_B435_DA51D5406BEA_.wvu.FilterData" localSheetId="8" hidden="1">EvReport!$A$4:$Q$202</definedName>
    <definedName name="Z_10D89E5A_B0D2_461F_875F_2AC8C991CEAF_.wvu.FilterData" localSheetId="8" hidden="1">EvReport!$A$4:$Q$202</definedName>
    <definedName name="Z_115670CE_B2C0_4F9C_9CCA_20926EA723C4_.wvu.FilterData" localSheetId="8" hidden="1">EvReport!$A$4:$Q$202</definedName>
    <definedName name="Z_117D39F6_B97D_4431_B432_71389C7B9B51_.wvu.FilterData" localSheetId="8" hidden="1">EvReport!$A$4:$Q$202</definedName>
    <definedName name="Z_1195FE5C_A7E6_43D4_AE1E_6A69A08FA8F8_.wvu.FilterData" localSheetId="8" hidden="1">EvReport!$A$4:$Q$202</definedName>
    <definedName name="Z_11B35415_3982_41A6_9FF7_5521065D203E_.wvu.FilterData" localSheetId="8" hidden="1">EvReport!$A$4:$Q$202</definedName>
    <definedName name="Z_11B51A95_C289_40BE_931D_1000376D5501_.wvu.FilterData" localSheetId="8" hidden="1">EvReport!$A$4:$Q$202</definedName>
    <definedName name="Z_11D4E215_2238_4814_A1E1_ADE69E76F6C3_.wvu.FilterData" localSheetId="8" hidden="1">EvReport!$A$4:$Q$202</definedName>
    <definedName name="Z_11D69135_2826_4F64_9EB9_41A3D0B9677D_.wvu.FilterData" localSheetId="8" hidden="1">EvReport!$A$4:$Q$202</definedName>
    <definedName name="Z_1215D4E6_FC45_4299_84CB_2AA02A89F223_.wvu.FilterData" localSheetId="3" hidden="1">Forecast!$A$1:$Z$218</definedName>
    <definedName name="Z_122059A6_6EE4_4E12_AFE4_01C6D54C0FC1_.wvu.FilterData" localSheetId="8" hidden="1">EvReport!$A$4:$Q$202</definedName>
    <definedName name="Z_128BFC96_C044_439C_B1C2_9887E01406D1_.wvu.FilterData" localSheetId="8" hidden="1">EvReport!$A$4:$Q$202</definedName>
    <definedName name="Z_128C3BC4_02D7_4E87_B010_4BC247A9083E_.wvu.FilterData" localSheetId="8" hidden="1">EvReport!$A$4:$Q$202</definedName>
    <definedName name="Z_130B14BE_816B_41F7_9D4B_FBAFC4C6C6CD_.wvu.FilterData" localSheetId="8" hidden="1">EvReport!$A$4:$Q$202</definedName>
    <definedName name="Z_1333C686_C5DC_4D5A_A141_F1F504281964_.wvu.FilterData" localSheetId="8" hidden="1">EvReport!$A$4:$Q$202</definedName>
    <definedName name="Z_1353B560_95B2_4858_B96C_CC2D9640A4B4_.wvu.FilterData" localSheetId="3" hidden="1">Forecast!$F$8:$F$218</definedName>
    <definedName name="Z_1353C6C1_3040_4969_B364_C50B18779020_.wvu.FilterData" localSheetId="3" hidden="1">Forecast!$A$1:$Z$218</definedName>
    <definedName name="Z_13DBC8FC_B41B_400A_A6E5_98FA086E9597_.wvu.FilterData" localSheetId="3" hidden="1">Forecast!$A$1:$Z$218</definedName>
    <definedName name="Z_141333FC_09CC_411F_B530_E20146B2AC97_.wvu.FilterData" localSheetId="8" hidden="1">EvReport!$A$4:$Q$202</definedName>
    <definedName name="Z_1440872F_0E4C_4600_A945_2EF2EE193A73_.wvu.FilterData" localSheetId="8" hidden="1">EvReport!$A$4:$Q$202</definedName>
    <definedName name="Z_14683404_8FFF_4BB4_B2B6_D489F7CF307E_.wvu.FilterData" localSheetId="8" hidden="1">EvReport!$A$4:$Q$202</definedName>
    <definedName name="Z_1469F021_0C62_47C6_B3CE_45EF51D06EC8_.wvu.FilterData" localSheetId="8" hidden="1">EvReport!$A$4:$Q$202</definedName>
    <definedName name="Z_14A9B20D_E2FF_424B_8BAE_A41AD37F9D79_.wvu.FilterData" localSheetId="8" hidden="1">EvReport!$A$4:$Q$202</definedName>
    <definedName name="Z_14C0D99A_C592_4B7F_AB87_5BA6EA36C10A_.wvu.FilterData" localSheetId="8" hidden="1">EvReport!$A$4:$Q$202</definedName>
    <definedName name="Z_14F86935_43AC_4E4D_B085_2734D89E1900_.wvu.FilterData" localSheetId="8" hidden="1">EvReport!$A$4:$Q$202</definedName>
    <definedName name="Z_14F932BC_C09A_4237_8BB6_56B4DC4D35B7_.wvu.FilterData" localSheetId="8" hidden="1">EvReport!$A$4:$Q$202</definedName>
    <definedName name="Z_150ED540_B3C7_46F7_BD83_4D77526109F6_.wvu.FilterData" localSheetId="8" hidden="1">EvReport!$A$4:$Q$202</definedName>
    <definedName name="Z_151AEE1F_DE75_4E83_A572_1DE930CDA81C_.wvu.FilterData" localSheetId="8" hidden="1">EvReport!$A$4:$Q$202</definedName>
    <definedName name="Z_151F2D44_CE1E_44A3_926D_456A80B99346_.wvu.FilterData" localSheetId="3" hidden="1">Forecast!$A$1:$Z$218</definedName>
    <definedName name="Z_15C00737_FC92_485E_A95A_19DF80E6E11F_.wvu.FilterData" localSheetId="8" hidden="1">EvReport!$A$4:$Q$202</definedName>
    <definedName name="Z_15F377A6_8963_4B81_9B2E_DAD9EF07D410_.wvu.FilterData" localSheetId="8" hidden="1">EvReport!$A$4:$Q$202</definedName>
    <definedName name="Z_1608F970_2AA1_412E_A170_A87CC4CD1787_.wvu.FilterData" localSheetId="8" hidden="1">EvReport!$A$4:$Q$202</definedName>
    <definedName name="Z_16129B23_EA8B_4FD8_B11D_65E9103D6693_.wvu.FilterData" localSheetId="8" hidden="1">EvReport!$A$4:$Q$202</definedName>
    <definedName name="Z_1624BBB9_664D_4BE6_B063_1F11D97B2B57_.wvu.FilterData" localSheetId="8" hidden="1">EvReport!$A$4:$Q$202</definedName>
    <definedName name="Z_165509F0_A19D_48A1_A361_E90E5369D4A7_.wvu.FilterData" localSheetId="8" hidden="1">EvReport!$A$4:$Q$202</definedName>
    <definedName name="Z_16AA4D3D_28DA_4060_B611_3BA8C608AA1B_.wvu.FilterData" localSheetId="8" hidden="1">EvReport!$A$4:$Q$202</definedName>
    <definedName name="Z_16E1D32E_CEA1_4493_BA9A_69B063DA12E4_.wvu.FilterData" localSheetId="8" hidden="1">EvReport!$A$4:$Q$202</definedName>
    <definedName name="Z_16FEEC52_1AE3_4567_91EF_F3AE5EAD22D8_.wvu.FilterData" localSheetId="8" hidden="1">EvReport!$A$4:$Q$202</definedName>
    <definedName name="Z_17190DEE_D428_48C2_9A61_4BACC00B3041_.wvu.FilterData" localSheetId="8" hidden="1">EvReport!$A$4:$Q$202</definedName>
    <definedName name="Z_17339B03_04A6_4EA5_B605_1CF061192458_.wvu.FilterData" localSheetId="3" hidden="1">Forecast!$F$8:$F$218</definedName>
    <definedName name="Z_173D1C9A_71E5_463F_A679_A002E4C33FB7_.wvu.FilterData" localSheetId="8" hidden="1">EvReport!$A$4:$Q$202</definedName>
    <definedName name="Z_1749B5FE_7665_4931_AB3B_A3B09C4ED40D_.wvu.FilterData" localSheetId="8" hidden="1">EvReport!$A$4:$Q$202</definedName>
    <definedName name="Z_174FC3D0_8610_4101_95DE_1CA9ECAD98F1_.wvu.FilterData" localSheetId="8" hidden="1">EvReport!$A$4:$Q$202</definedName>
    <definedName name="Z_1751B8F0_DCEA_413D_A86F_0E29140162FA_.wvu.FilterData" localSheetId="3" hidden="1">Forecast!$A$1:$Z$218</definedName>
    <definedName name="Z_17CB1889_37C1_48C9_A335_6EAF4E3B7657_.wvu.FilterData" localSheetId="8" hidden="1">EvReport!$A$4:$Q$202</definedName>
    <definedName name="Z_1825BAD4_5D2E_4734_A585_DD06158E0B8C_.wvu.FilterData" localSheetId="8" hidden="1">EvReport!$A$4:$Q$202</definedName>
    <definedName name="Z_1834B308_085A_46FC_9318_ADD42D6AB6ED_.wvu.FilterData" localSheetId="8" hidden="1">EvReport!$A$4:$Q$202</definedName>
    <definedName name="Z_183F30AF_06A6_4C8B_B2D1_253D96FD824D_.wvu.FilterData" localSheetId="8" hidden="1">EvReport!$A$4:$Q$202</definedName>
    <definedName name="Z_189A9E80_D119_44A3_A9EB_C629147C669A_.wvu.FilterData" localSheetId="8" hidden="1">EvReport!$A$4:$Q$202</definedName>
    <definedName name="Z_18D2067E_90BC_4C7E_8CB0_00A6CDF15A7A_.wvu.FilterData" localSheetId="8" hidden="1">EvReport!$A$4:$Q$202</definedName>
    <definedName name="Z_191988D9_8D48_4C2D_8538_CF7DAEC6816C_.wvu.FilterData" localSheetId="8" hidden="1">EvReport!$A$4:$Q$202</definedName>
    <definedName name="Z_192D303E_2CED_42A4_BE74_944E985DCC8E_.wvu.FilterData" localSheetId="8" hidden="1">EvReport!$A$4:$Q$202</definedName>
    <definedName name="Z_193AEE2D_1C15_4556_9CBE_05DA5F1A3AD6_.wvu.FilterData" localSheetId="8" hidden="1">EvReport!$A$4:$Q$202</definedName>
    <definedName name="Z_19493BE9_C684_41A7_B199_DA8EE80B3C10_.wvu.FilterData" localSheetId="3" hidden="1">Forecast!$A$1:$Z$218</definedName>
    <definedName name="Z_198ADA9A_948A_4808_8475_19DA9D35C9EF_.wvu.FilterData" localSheetId="8" hidden="1">EvReport!$A$4:$Q$202</definedName>
    <definedName name="Z_19AADB3A_91D7_41EC_B23D_EAD0D7F432CB_.wvu.FilterData" localSheetId="8" hidden="1">EvReport!$A$4:$Q$202</definedName>
    <definedName name="Z_19BFCCF2_DBC4_4D48_A305_9F8FD73F9FB1_.wvu.FilterData" localSheetId="8" hidden="1">EvReport!$A$4:$Q$202</definedName>
    <definedName name="Z_1A23D399_C54D_4B8E_AEC0_80C0DCAAF868_.wvu.FilterData" localSheetId="8" hidden="1">EvReport!$A$4:$Q$202</definedName>
    <definedName name="Z_1A3955E5_CBAE_4C70_8EDD_710D817F1AD4_.wvu.FilterData" localSheetId="8" hidden="1">EvReport!$A$4:$Q$202</definedName>
    <definedName name="Z_1A4BA2C1_BD4A_40D3_B93C_354647299969_.wvu.FilterData" localSheetId="8" hidden="1">EvReport!$A$4:$Q$202</definedName>
    <definedName name="Z_1A5ACD63_A5C2_4065_8858_69EDFAADDCF6_.wvu.FilterData" localSheetId="8" hidden="1">EvReport!$A$4:$Q$202</definedName>
    <definedName name="Z_1AB89784_7E75_4854_92C7_20D1535B1609_.wvu.FilterData" localSheetId="8" hidden="1">EvReport!$A$4:$Q$202</definedName>
    <definedName name="Z_1AC153B8_6F86_42B8_B64E_8F179C5B255C_.wvu.FilterData" localSheetId="8" hidden="1">EvReport!$A$4:$Q$202</definedName>
    <definedName name="Z_1AC62E40_77FD_44DE_BA91_1C631F08E8A8_.wvu.FilterData" localSheetId="8" hidden="1">EvReport!$A$4:$Q$202</definedName>
    <definedName name="Z_1AEC3A06_85A4_4889_9549_9D2631864006_.wvu.FilterData" localSheetId="8" hidden="1">EvReport!$A$4:$Q$202</definedName>
    <definedName name="Z_1AFABA9E_7B3C_485A_95CE_4BD360EC2137_.wvu.FilterData" localSheetId="8" hidden="1">EvReport!$A$4:$Q$202</definedName>
    <definedName name="Z_1B2651DA_25EF_4ADA_8AED_6EA134ACE2AF_.wvu.FilterData" localSheetId="3" hidden="1">Forecast!$A$1:$Z$218</definedName>
    <definedName name="Z_1B2AEA14_24A6_403E_8780_BD33786DB311_.wvu.FilterData" localSheetId="8" hidden="1">EvReport!$A$4:$Q$202</definedName>
    <definedName name="Z_1B31B09A_CC24_4764_9DE2_B350184B6438_.wvu.FilterData" localSheetId="8" hidden="1">EvReport!$A$4:$Q$202</definedName>
    <definedName name="Z_1B5519D9_5F55_40F4_8D59_CCD28B728B40_.wvu.FilterData" localSheetId="8" hidden="1">EvReport!$A$4:$Q$202</definedName>
    <definedName name="Z_1B615378_7C32_4716_9002_7D0421B98E67_.wvu.FilterData" localSheetId="8" hidden="1">EvReport!$A$4:$Q$202</definedName>
    <definedName name="Z_1B691F81_C30D_4E91_87A8_060528F79F39_.wvu.FilterData" localSheetId="8" hidden="1">EvReport!$A$4:$Q$202</definedName>
    <definedName name="Z_1BA437F3_F28B_4CED_B34B_37CEFD7E0705_.wvu.FilterData" localSheetId="8" hidden="1">EvReport!$A$4:$Q$202</definedName>
    <definedName name="Z_1BB0ECDD_A380_4ED5_82BD_54646A68641F_.wvu.FilterData" localSheetId="8" hidden="1">EvReport!$A$4:$Q$202</definedName>
    <definedName name="Z_1BDE9B62_3E06_40DC_A99B_A32574777320_.wvu.FilterData" localSheetId="8" hidden="1">EvReport!$A$4:$Q$202</definedName>
    <definedName name="Z_1C9C3EC4_48E0_4665_BDC5_B7B854281AB6_.wvu.FilterData" localSheetId="8" hidden="1">EvReport!$A$4:$Q$202</definedName>
    <definedName name="Z_1D0EDF60_5B69_4DA3_9AC3_4623BC36F31F_.wvu.FilterData" localSheetId="8" hidden="1">EvReport!$A$4:$Q$202</definedName>
    <definedName name="Z_1D343FEE_EECF_4AE2_9873_3B3B198E81D8_.wvu.FilterData" localSheetId="8" hidden="1">EvReport!$A$4:$Q$202</definedName>
    <definedName name="Z_1D3C2370_AAE0_4974_9DCE_ECD1C50B2DF2_.wvu.FilterData" localSheetId="3" hidden="1">Forecast!$B$8:$R$184</definedName>
    <definedName name="Z_1D557E8F_3B5F_4D88_8F57_8404A62676B0_.wvu.FilterData" localSheetId="8" hidden="1">EvReport!$A$4:$Q$202</definedName>
    <definedName name="Z_1D681938_561B_448F_AA38_19C375E4F103_.wvu.FilterData" localSheetId="8" hidden="1">EvReport!$A$4:$Q$202</definedName>
    <definedName name="Z_1D6FC908_4665_49F4_9188_CDE75B0A2236_.wvu.FilterData" localSheetId="8" hidden="1">EvReport!$A$4:$Q$202</definedName>
    <definedName name="Z_1DA5F1FD_90E4_43F5_85D3_ED6399D98A05_.wvu.FilterData" localSheetId="8" hidden="1">EvReport!$A$4:$Q$202</definedName>
    <definedName name="Z_1DA8ED1D_4477_4764_BCD2_BDBDD62BF8F4_.wvu.FilterData" localSheetId="8" hidden="1">EvReport!$A$4:$Q$202</definedName>
    <definedName name="Z_1E100689_37E8_4903_89DB_CEA4D0B6D8CE_.wvu.FilterData" localSheetId="8" hidden="1">EvReport!$A$4:$Q$202</definedName>
    <definedName name="Z_1E2583D8_C2C8_4DEA_A5C1_4DF3F32C537B_.wvu.FilterData" localSheetId="8" hidden="1">EvReport!$A$4:$Q$202</definedName>
    <definedName name="Z_1E29A707_9034_4081_9B00_DAA8102FCE5A_.wvu.FilterData" localSheetId="8" hidden="1">EvReport!$A$4:$Q$202</definedName>
    <definedName name="Z_1E633DA0_0973_4665_ADF6_BBFAD64743B6_.wvu.FilterData" localSheetId="3" hidden="1">Forecast!$F$8:$F$218</definedName>
    <definedName name="Z_1E6CAA6E_0BA1_4754_8909_D0998BCCBEB2_.wvu.FilterData" localSheetId="3" hidden="1">Forecast!$A$1:$Z$218</definedName>
    <definedName name="Z_1EF0FACE_65E6_4DE9_A01E_8F98AF34E8CD_.wvu.FilterData" localSheetId="8" hidden="1">EvReport!$A$4:$Q$202</definedName>
    <definedName name="Z_1F6F7C5C_FBAF_41AA_9965_918A08D36965_.wvu.FilterData" localSheetId="8" hidden="1">EvReport!$A$4:$Q$202</definedName>
    <definedName name="Z_1FAEEFC0_CE2C_4A23_8DDA_4B4B26558431_.wvu.FilterData" localSheetId="8" hidden="1">EvReport!$A$4:$Q$202</definedName>
    <definedName name="Z_1FD46B63_D09F_48EE_9F6B_623B58A03D36_.wvu.FilterData" localSheetId="8" hidden="1">EvReport!$A$4:$Q$202</definedName>
    <definedName name="Z_1FF77055_D7E4_4B7E_9463_7F8150A791BA_.wvu.FilterData" localSheetId="8" hidden="1">EvReport!$A$4:$Q$202</definedName>
    <definedName name="Z_2016CF14_54D8_4806_9FAC_8360806931C4_.wvu.FilterData" localSheetId="8" hidden="1">EvReport!$A$4:$Q$202</definedName>
    <definedName name="Z_2022868A_E34D_4A1E_87EB_6C0479EA7F5A_.wvu.FilterData" localSheetId="8" hidden="1">EvReport!$A$4:$Q$202</definedName>
    <definedName name="Z_202AB1C9_7A39_44FA_90F0_B5A455F0DAD5_.wvu.FilterData" localSheetId="3" hidden="1">Forecast!$A$1:$Z$218</definedName>
    <definedName name="Z_204402C2_9784_4D50_9431_DC1BB5529D7C_.wvu.FilterData" localSheetId="8" hidden="1">EvReport!$A$4:$Q$202</definedName>
    <definedName name="Z_206C11C1_188E_4286_98FD_D51D260ABD4D_.wvu.FilterData" localSheetId="8" hidden="1">EvReport!$A$4:$Q$202</definedName>
    <definedName name="Z_208DBC91_A4E0_48E0_BFA9_342FBF04DC93_.wvu.FilterData" localSheetId="3" hidden="1">Forecast!$F$8:$F$218</definedName>
    <definedName name="Z_209ABFB6_CD12_43EC_8742_905C59B5EC6B_.wvu.FilterData" localSheetId="8" hidden="1">EvReport!$A$4:$Q$202</definedName>
    <definedName name="Z_20AA0081_C59F_4358_B868_013EB4D23569_.wvu.FilterData" localSheetId="8" hidden="1">EvReport!$A$4:$Q$202</definedName>
    <definedName name="Z_20D6BC61_1CE6_4BC0_9A03_4D9F8A199ABF_.wvu.FilterData" localSheetId="8" hidden="1">EvReport!$A$4:$Q$202</definedName>
    <definedName name="Z_20DC9985_8D8D_484F_8612_7F5E1A57835C_.wvu.FilterData" localSheetId="8" hidden="1">EvReport!$A$4:$Q$202</definedName>
    <definedName name="Z_2127C180_F0A3_4E0C_812A_16A3B2948CF7_.wvu.FilterData" localSheetId="8" hidden="1">EvReport!$A$4:$Q$202</definedName>
    <definedName name="Z_213460BD_9265_47B6_8DE7_FD55F3F76940_.wvu.FilterData" localSheetId="8" hidden="1">EvReport!$A$4:$Q$202</definedName>
    <definedName name="Z_21914110_B1EC_497D_A123_357F6AF8F22B_.wvu.FilterData" localSheetId="8" hidden="1">EvReport!$A$4:$Q$202</definedName>
    <definedName name="Z_21ACAD26_C763_4480_83FA_5C3F6485B8C1_.wvu.FilterData" localSheetId="8" hidden="1">EvReport!$A$4:$Q$202</definedName>
    <definedName name="Z_21B382CA_335C_4B96_ABBE_26D54E251CCD_.wvu.FilterData" localSheetId="8" hidden="1">EvReport!$A$4:$Q$202</definedName>
    <definedName name="Z_21B7BE66_6EF5_4141_8147_515CDAF7D037_.wvu.FilterData" localSheetId="8" hidden="1">EvReport!$A$4:$Q$202</definedName>
    <definedName name="Z_21DA81D9_6857_4461_A7CA_64475910EAAE_.wvu.FilterData" localSheetId="8" hidden="1">EvReport!$A$4:$Q$202</definedName>
    <definedName name="Z_22388B52_73BC_4C2D_B6F7_120F21AAF63F_.wvu.FilterData" localSheetId="8" hidden="1">EvReport!$A$4:$Q$202</definedName>
    <definedName name="Z_22415EA2_A1F3_4690_8C35_6BCDE2BD42CD_.wvu.FilterData" localSheetId="8" hidden="1">EvReport!$A$4:$Q$202</definedName>
    <definedName name="Z_226A0F13_6A74_4979_AC3B_EF635F6C8DEF_.wvu.FilterData" localSheetId="3" hidden="1">Forecast!$F$8:$F$218</definedName>
    <definedName name="Z_2272F583_34B6_49A1_B882_491914323238_.wvu.FilterData" localSheetId="3" hidden="1">Forecast!$F$8:$F$218</definedName>
    <definedName name="Z_238A66E3_EA5C_413D_BF8E_23A1789BE517_.wvu.FilterData" localSheetId="8" hidden="1">EvReport!$A$4:$Q$202</definedName>
    <definedName name="Z_23BCB8F1_A8DB_4880_A691_15C98CCC40BF_.wvu.FilterData" localSheetId="8" hidden="1">EvReport!$A$4:$Q$202</definedName>
    <definedName name="Z_23ED37FD_0E52_435B_BC40_5E3295213A5A_.wvu.FilterData" localSheetId="8" hidden="1">EvReport!$A$4:$Q$202</definedName>
    <definedName name="Z_23F4DC00_BC97_4745_AA5C_F05D469CB1EF_.wvu.Cols" localSheetId="5" hidden="1">Ch!$B:$B,Ch!$L:$N</definedName>
    <definedName name="Z_23F4DC00_BC97_4745_AA5C_F05D469CB1EF_.wvu.Cols" localSheetId="7" hidden="1">Generation!$U:$U</definedName>
    <definedName name="Z_23F4DC00_BC97_4745_AA5C_F05D469CB1EF_.wvu.PrintArea" localSheetId="5" hidden="1">Ch!$A$1:$J$59</definedName>
    <definedName name="Z_23F4DC00_BC97_4745_AA5C_F05D469CB1EF_.wvu.PrintArea" localSheetId="21" hidden="1">Demand!$B$9:$G$25</definedName>
    <definedName name="Z_23F4DC00_BC97_4745_AA5C_F05D469CB1EF_.wvu.PrintArea" localSheetId="10" hidden="1">DGFI!$A$1:$F$36</definedName>
    <definedName name="Z_23F4DC00_BC97_4745_AA5C_F05D469CB1EF_.wvu.PrintArea" localSheetId="17" hidden="1">'En-Curve'!$O$1:$AA$69</definedName>
    <definedName name="Z_23F4DC00_BC97_4745_AA5C_F05D469CB1EF_.wvu.PrintArea" localSheetId="26" hidden="1">EnReport!$C$3:$H$42</definedName>
    <definedName name="Z_23F4DC00_BC97_4745_AA5C_F05D469CB1EF_.wvu.PrintArea" localSheetId="9" hidden="1">EvBangla!$A$1:$L$33</definedName>
    <definedName name="Z_23F4DC00_BC97_4745_AA5C_F05D469CB1EF_.wvu.PrintArea" localSheetId="8" hidden="1">EvReport!$B$4:$L$208</definedName>
    <definedName name="Z_23F4DC00_BC97_4745_AA5C_F05D469CB1EF_.wvu.PrintArea" localSheetId="3" hidden="1">Forecast!$B$1:$R$224</definedName>
    <definedName name="Z_23F4DC00_BC97_4745_AA5C_F05D469CB1EF_.wvu.PrintArea" localSheetId="1" hidden="1">FWise!$B$1:$L$35</definedName>
    <definedName name="Z_23F4DC00_BC97_4745_AA5C_F05D469CB1EF_.wvu.PrintArea" localSheetId="7" hidden="1">Generation!$A$1:$AC$192</definedName>
    <definedName name="Z_23F4DC00_BC97_4745_AA5C_F05D469CB1EF_.wvu.PrintArea" localSheetId="0" hidden="1">GEntry!$A$2:$GM$30</definedName>
    <definedName name="Z_23F4DC00_BC97_4745_AA5C_F05D469CB1EF_.wvu.PrintArea" localSheetId="16" hidden="1">'L-Curve'!$H$2:$R$48</definedName>
    <definedName name="Z_23F4DC00_BC97_4745_AA5C_F05D469CB1EF_.wvu.PrintArea" localSheetId="23" hidden="1">Master!$A$3:$GJ$40</definedName>
    <definedName name="Z_23F4DC00_BC97_4745_AA5C_F05D469CB1EF_.wvu.PrintArea" localSheetId="19" hidden="1">'NSI Reading'!$D$1:$F$24</definedName>
    <definedName name="Z_23F4DC00_BC97_4745_AA5C_F05D469CB1EF_.wvu.PrintArea" localSheetId="12" hidden="1">'P1'!$A$1:$I$306</definedName>
    <definedName name="Z_23F4DC00_BC97_4745_AA5C_F05D469CB1EF_.wvu.PrintArea" localSheetId="4" hidden="1">'P2'!$B$2:$J$192</definedName>
    <definedName name="Z_23F4DC00_BC97_4745_AA5C_F05D469CB1EF_.wvu.PrintArea" localSheetId="13" hidden="1">'P3'!$B$1:$I$62</definedName>
    <definedName name="Z_23F4DC00_BC97_4745_AA5C_F05D469CB1EF_.wvu.PrintArea" localSheetId="6" hidden="1">PM!$A$1:$G$22</definedName>
    <definedName name="Z_23F4DC00_BC97_4745_AA5C_F05D469CB1EF_.wvu.PrintArea" localSheetId="20" hidden="1">'P-Sum'!$A$1:$G$28</definedName>
    <definedName name="Z_23F4DC00_BC97_4745_AA5C_F05D469CB1EF_.wvu.PrintArea" localSheetId="18" hidden="1">SMS!$D$33</definedName>
    <definedName name="Z_23F4DC00_BC97_4745_AA5C_F05D469CB1EF_.wvu.PrintArea" localSheetId="14" hidden="1">Volt!$B$2:$K$105</definedName>
    <definedName name="Z_23F4DC00_BC97_4745_AA5C_F05D469CB1EF_.wvu.PrintArea" localSheetId="22" hidden="1">YesterdayFWise!$B$1:$L$33</definedName>
    <definedName name="Z_23F4DC00_BC97_4745_AA5C_F05D469CB1EF_.wvu.PrintArea" localSheetId="15" hidden="1">YesterdayGen!$A$1:$GU$81</definedName>
    <definedName name="Z_23F4DC00_BC97_4745_AA5C_F05D469CB1EF_.wvu.PrintTitles" localSheetId="8" hidden="1">EvReport!$7:$8</definedName>
    <definedName name="Z_23F4DC00_BC97_4745_AA5C_F05D469CB1EF_.wvu.PrintTitles" localSheetId="3" hidden="1">Forecast!$4:$8</definedName>
    <definedName name="Z_23F4DC00_BC97_4745_AA5C_F05D469CB1EF_.wvu.PrintTitles" localSheetId="4" hidden="1">'P2'!$5:$8</definedName>
    <definedName name="Z_23F4DC00_BC97_4745_AA5C_F05D469CB1EF_.wvu.Rows" localSheetId="1" hidden="1">FWise!$24:$24</definedName>
    <definedName name="Z_23F4DC00_BC97_4745_AA5C_F05D469CB1EF_.wvu.Rows" localSheetId="23" hidden="1">Master!$32:$32</definedName>
    <definedName name="Z_23F4DC00_BC97_4745_AA5C_F05D469CB1EF_.wvu.Rows" localSheetId="22" hidden="1">YesterdayFWise!$24:$24</definedName>
    <definedName name="Z_23F4DC00_BC97_4745_AA5C_F05D469CB1EF_.wvu.Rows" localSheetId="15" hidden="1">YesterdayGen!$23:$23</definedName>
    <definedName name="Z_23FDDFC6_FA86_4F0D_9A1C_9566E7B12736_.wvu.FilterData" localSheetId="8" hidden="1">EvReport!$A$4:$Q$202</definedName>
    <definedName name="Z_2458BE59_B7EC_43C7_8E32_278E476DD056_.wvu.FilterData" localSheetId="8" hidden="1">EvReport!$A$4:$Q$202</definedName>
    <definedName name="Z_24742A0B_0FA2_4F59_83D2_07E33F78C106_.wvu.FilterData" localSheetId="8" hidden="1">EvReport!$A$4:$Q$202</definedName>
    <definedName name="Z_247CF712_9834_4B9C_A592_6F3E80464641_.wvu.FilterData" localSheetId="8" hidden="1">EvReport!$A$4:$Q$202</definedName>
    <definedName name="Z_24991068_3CE8_4C74_95CC_1B0D408DCDF7_.wvu.FilterData" localSheetId="3" hidden="1">Forecast!$A$1:$Z$218</definedName>
    <definedName name="Z_24A41BB4_5174_44B1_8652_167C53A21B66_.wvu.FilterData" localSheetId="8" hidden="1">EvReport!$A$4:$Q$202</definedName>
    <definedName name="Z_24C961EA_306A_4426_BD53_8DE29D5A5E4E_.wvu.FilterData" localSheetId="8" hidden="1">EvReport!$A$4:$Q$202</definedName>
    <definedName name="Z_24CB3A4E_659F_4824_8D03_3A18F4A3F033_.wvu.FilterData" localSheetId="8" hidden="1">EvReport!$A$4:$Q$202</definedName>
    <definedName name="Z_25004B5D_CA0D_436D_9B94_692D5017887E_.wvu.FilterData" localSheetId="8" hidden="1">EvReport!$A$4:$Q$202</definedName>
    <definedName name="Z_25170FAC_F05A_415D_81BA_0E14C25A5218_.wvu.FilterData" localSheetId="3" hidden="1">Forecast!$A$1:$Z$218</definedName>
    <definedName name="Z_252436E4_831A_4DF6_AD5A_37A3251322E3_.wvu.FilterData" localSheetId="8" hidden="1">EvReport!$A$4:$Q$202</definedName>
    <definedName name="Z_259B83DE_C3AD_4E1C_A1C7_4DDF1589C245_.wvu.FilterData" localSheetId="8" hidden="1">EvReport!$A$4:$Q$202</definedName>
    <definedName name="Z_25B40F6E_3DFC_439E_995C_17E214EF609B_.wvu.FilterData" localSheetId="8" hidden="1">EvReport!$A$4:$Q$202</definedName>
    <definedName name="Z_25E0BE46_F4C9_427C_A96D_06E28F1CA3BE_.wvu.FilterData" localSheetId="3" hidden="1">Forecast!$F$8:$F$218</definedName>
    <definedName name="Z_26065696_8D82_4DD1_9033_766CAA20FBB1_.wvu.FilterData" localSheetId="8" hidden="1">EvReport!$A$4:$Q$202</definedName>
    <definedName name="Z_263E8AC1_1859_4D3C_A908_BC9D0872BD0C_.wvu.FilterData" localSheetId="8" hidden="1">EvReport!$A$4:$Q$202</definedName>
    <definedName name="Z_26A8A35C_6665_459F_8F50_D5FEE221CC31_.wvu.FilterData" localSheetId="8" hidden="1">EvReport!$A$4:$Q$202</definedName>
    <definedName name="Z_26A9274E_9130_4A6B_90E8_54B0C8B96145_.wvu.FilterData" localSheetId="8" hidden="1">EvReport!$A$4:$Q$202</definedName>
    <definedName name="Z_271123B8_D400_4C22_A480_43711F87B3A0_.wvu.FilterData" localSheetId="8" hidden="1">EvReport!$A$4:$Q$202</definedName>
    <definedName name="Z_27159948_21A0_4EEB_AE22_A95CF894EE61_.wvu.FilterData" localSheetId="8" hidden="1">EvReport!$A$4:$Q$202</definedName>
    <definedName name="Z_272595A1_164A_487B_9C98_285732236607_.wvu.FilterData" localSheetId="8" hidden="1">EvReport!$A$4:$Q$202</definedName>
    <definedName name="Z_274EFB91_4549_46F8_AF1E_6A794F65A136_.wvu.FilterData" localSheetId="8" hidden="1">EvReport!$A$4:$Q$202</definedName>
    <definedName name="Z_275BD8D8_8CA1_4F88_9EA5_63F98EB0234A_.wvu.FilterData" localSheetId="8" hidden="1">EvReport!$A$4:$Q$202</definedName>
    <definedName name="Z_275EEEBB_B430_4F13_9146_1E25C79944A8_.wvu.FilterData" localSheetId="8" hidden="1">EvReport!$A$4:$Q$202</definedName>
    <definedName name="Z_277E745C_EFBA_4983_813A_08A95191232F_.wvu.FilterData" localSheetId="8" hidden="1">EvReport!$A$4:$Q$202</definedName>
    <definedName name="Z_27B0309D_AF8C_4496_9338_3E014A55DB3E_.wvu.FilterData" localSheetId="8" hidden="1">EvReport!$A$4:$Q$202</definedName>
    <definedName name="Z_27B0309D_AF8C_4496_9338_3E014A55DB3E_.wvu.FilterData" localSheetId="3" hidden="1">Forecast!$A$1:$Z$218</definedName>
    <definedName name="Z_27E42005_A17D_4FB2_8F83_0C3BE878CA46_.wvu.FilterData" localSheetId="8" hidden="1">EvReport!$A$4:$Q$202</definedName>
    <definedName name="Z_2837B4BD_5AC7_480C_A5FE_2F8728E3C638_.wvu.FilterData" localSheetId="3" hidden="1">Forecast!$A$1:$Z$218</definedName>
    <definedName name="Z_285CAD80_6A69_4664_9F9C_3FD953EFC56B_.wvu.FilterData" localSheetId="3" hidden="1">Forecast!$F$8:$F$218</definedName>
    <definedName name="Z_285D320A_8854_4591_B025_56C04E2B00B0_.wvu.FilterData" localSheetId="3" hidden="1">Forecast!$F$8:$F$218</definedName>
    <definedName name="Z_2861ADC7_69CC_4BD7_AE0A_E10CCFE695EF_.wvu.FilterData" localSheetId="3" hidden="1">Forecast!$A$1:$Z$218</definedName>
    <definedName name="Z_28622057_FC2B_48BC_AA3C_2FE6521B7704_.wvu.FilterData" localSheetId="8" hidden="1">EvReport!$A$4:$Q$202</definedName>
    <definedName name="Z_2872E7B3_5AD7_4BAD_BC3A_DF3B310DAFE7_.wvu.FilterData" localSheetId="8" hidden="1">EvReport!$A$4:$Q$202</definedName>
    <definedName name="Z_287F9351_70CA_40FB_8EE9_05D38A25A4B8_.wvu.FilterData" localSheetId="8" hidden="1">EvReport!$A$4:$Q$202</definedName>
    <definedName name="Z_28D32C84_6279_4F06_833A_A1A38817EACC_.wvu.FilterData" localSheetId="8" hidden="1">EvReport!$A$4:$Q$202</definedName>
    <definedName name="Z_2931112E_9448_402E_8DA1_AC5EEE810C4F_.wvu.FilterData" localSheetId="8" hidden="1">EvReport!$A$4:$Q$202</definedName>
    <definedName name="Z_294433C3_FCBE_466B_81CE_F14CB0BEA37D_.wvu.FilterData" localSheetId="8" hidden="1">EvReport!$A$4:$Q$202</definedName>
    <definedName name="Z_29492C9E_ED54_409E_976F_033A708AD49E_.wvu.FilterData" localSheetId="8" hidden="1">EvReport!$A$4:$Q$202</definedName>
    <definedName name="Z_2985B662_391C_4252_97D7_E383A15CC29F_.wvu.FilterData" localSheetId="8" hidden="1">EvReport!$A$4:$Q$202</definedName>
    <definedName name="Z_29A9AB98_68AC_438A_BE75_C53A8DFEF992_.wvu.FilterData" localSheetId="8" hidden="1">EvReport!$A$4:$Q$202</definedName>
    <definedName name="Z_29D5F12E_186B_4854_B8EC_50CE177D71F6_.wvu.FilterData" localSheetId="8" hidden="1">EvReport!$A$4:$Q$202</definedName>
    <definedName name="Z_29DBC7C0_15CB_4E30_9314_E1CD45B4A638_.wvu.FilterData" localSheetId="8" hidden="1">EvReport!$A$4:$Q$202</definedName>
    <definedName name="Z_29DBC7C0_15CB_4E30_9314_E1CD45B4A638_.wvu.FilterData" localSheetId="3" hidden="1">Forecast!$B$8:$R$184</definedName>
    <definedName name="Z_2A5730E3_BCA9_4ADA_B9BD_0FBF138D5626_.wvu.FilterData" localSheetId="8" hidden="1">EvReport!$A$4:$Q$202</definedName>
    <definedName name="Z_2A9D3F34_FE7E_4B6E_AE31_6C63A6C12016_.wvu.FilterData" localSheetId="8" hidden="1">EvReport!$A$4:$Q$202</definedName>
    <definedName name="Z_2AC49D5E_80D9_422C_9116_D6298E54B39C_.wvu.FilterData" localSheetId="8" hidden="1">EvReport!$A$4:$Q$202</definedName>
    <definedName name="Z_2B331657_FAE6_4239_B4BF_9CFEFE62AEC7_.wvu.FilterData" localSheetId="8" hidden="1">EvReport!$A$4:$Q$202</definedName>
    <definedName name="Z_2B42F48E_DD00_4332_81C9_3F66483DB6A0_.wvu.FilterData" localSheetId="8" hidden="1">EvReport!$A$4:$Q$202</definedName>
    <definedName name="Z_2B91D62B_DCC0_44D9_8874_DC467EA8225C_.wvu.FilterData" localSheetId="3" hidden="1">Forecast!$F$8:$F$218</definedName>
    <definedName name="Z_2BE85B53_13E8_40BB_9E66_65AC77B87A85_.wvu.FilterData" localSheetId="3" hidden="1">Forecast!$F$8:$F$218</definedName>
    <definedName name="Z_2BECF597_21B2_43EA_98F5_4D54D2DBF416_.wvu.FilterData" localSheetId="8" hidden="1">EvReport!$A$4:$Q$202</definedName>
    <definedName name="Z_2BECF597_21B2_43EA_98F5_4D54D2DBF416_.wvu.FilterData" localSheetId="3" hidden="1">Forecast!$A$1:$Z$218</definedName>
    <definedName name="Z_2CCD41CD_717D_4E66_83F2_B86632451D65_.wvu.FilterData" localSheetId="8" hidden="1">EvReport!$A$4:$Q$202</definedName>
    <definedName name="Z_2CF45B0B_59F6_46D7_9B33_3F23BF9F62FE_.wvu.FilterData" localSheetId="8" hidden="1">EvReport!$A$4:$Q$202</definedName>
    <definedName name="Z_2D1E95A0_A0FA_44BE_8669_324749F03987_.wvu.FilterData" localSheetId="8" hidden="1">EvReport!$A$4:$Q$202</definedName>
    <definedName name="Z_2D7FE84C_E360_41CB_8478_735D9B3132A8_.wvu.FilterData" localSheetId="8" hidden="1">EvReport!$A$4:$Q$202</definedName>
    <definedName name="Z_2D898C45_CEE1_45A5_BD2C_CBB512D7C93B_.wvu.FilterData" localSheetId="8" hidden="1">EvReport!$A$4:$Q$202</definedName>
    <definedName name="Z_2E0E765F_9312_4792_AE9C_5123E34734A9_.wvu.FilterData" localSheetId="3" hidden="1">Forecast!$A$1:$Z$218</definedName>
    <definedName name="Z_2E2298A7_706E_40D5_9B0E_154F2AE3E8AC_.wvu.FilterData" localSheetId="8" hidden="1">EvReport!$A$4:$Q$202</definedName>
    <definedName name="Z_2E285AE8_0282_4827_85CA_463A3005A250_.wvu.FilterData" localSheetId="8" hidden="1">EvReport!$A$4:$Q$202</definedName>
    <definedName name="Z_2E8AE7FB_C1F1_43F0_B806_FFD356D23E07_.wvu.FilterData" localSheetId="8" hidden="1">EvReport!$A$4:$Q$202</definedName>
    <definedName name="Z_2ED5ED8C_47EA_4BC9_9EF5_62EB62BCE1FB_.wvu.FilterData" localSheetId="3" hidden="1">Forecast!$A$1:$Z$218</definedName>
    <definedName name="Z_2EE1AB15_0916_4438_BFA2_10D6F21F5294_.wvu.FilterData" localSheetId="8" hidden="1">EvReport!$A$4:$Q$202</definedName>
    <definedName name="Z_2EE87246_CA4D_4CBC_A40A_2B97CE57CF4A_.wvu.FilterData" localSheetId="8" hidden="1">EvReport!$A$4:$Q$202</definedName>
    <definedName name="Z_2F3F59A5_D16E_4AD1_A3EB_B73D829D7AEB_.wvu.FilterData" localSheetId="8" hidden="1">EvReport!$A$4:$Q$202</definedName>
    <definedName name="Z_2F799470_17AA_4E35_86C5_C09871CF3F84_.wvu.FilterData" localSheetId="8" hidden="1">EvReport!$A$4:$Q$202</definedName>
    <definedName name="Z_2F809D52_7687_41DC_B29E_382547DA1A4F_.wvu.FilterData" localSheetId="8" hidden="1">EvReport!$A$4:$Q$202</definedName>
    <definedName name="Z_2F86D1DE_911D_4A5F_AF81_D5D4331A618C_.wvu.FilterData" localSheetId="8" hidden="1">EvReport!$A$4:$Q$202</definedName>
    <definedName name="Z_2F99D277_E7EE_49DD_BD18_FE0A3B30B0BC_.wvu.FilterData" localSheetId="8" hidden="1">EvReport!$A$4:$Q$202</definedName>
    <definedName name="Z_2FD20DD6_5314_40A4_88B8_A2B1D8895015_.wvu.FilterData" localSheetId="8" hidden="1">EvReport!$A$4:$Q$202</definedName>
    <definedName name="Z_300D6CF8_A9BC_4DE8_9CBA_1866A908069B_.wvu.FilterData" localSheetId="8" hidden="1">EvReport!$A$4:$Q$202</definedName>
    <definedName name="Z_30293FC1_33A7_472C_88EE_20A91D5FCBAE_.wvu.FilterData" localSheetId="8" hidden="1">EvReport!$A$4:$Q$202</definedName>
    <definedName name="Z_302DF36E_CED5_44FB_AD3E_ADBC88F14646_.wvu.FilterData" localSheetId="8" hidden="1">EvReport!$A$4:$Q$202</definedName>
    <definedName name="Z_30444CC9_7109_4C39_9AA6_3F6205FA2FAE_.wvu.FilterData" localSheetId="8" hidden="1">EvReport!$A$4:$Q$202</definedName>
    <definedName name="Z_30493D59_3718_4D71_B3F4_308F7E5AD17C_.wvu.FilterData" localSheetId="8" hidden="1">EvReport!$A$4:$Q$202</definedName>
    <definedName name="Z_309CA46B_CEDE_4F3B_B840_2EB0E863C9DE_.wvu.FilterData" localSheetId="8" hidden="1">EvReport!$A$4:$Q$202</definedName>
    <definedName name="Z_30BE40D8_1D2D_43C3_AC34_EF9030B97B28_.wvu.FilterData" localSheetId="8" hidden="1">EvReport!$A$4:$Q$202</definedName>
    <definedName name="Z_30DF340F_2016_4906_B881_465633D9B328_.wvu.FilterData" localSheetId="8" hidden="1">EvReport!$A$4:$Q$202</definedName>
    <definedName name="Z_311B4096_C5D9_4122_B9BE_D1FE4CAE1CDF_.wvu.FilterData" localSheetId="8" hidden="1">EvReport!$A$4:$Q$202</definedName>
    <definedName name="Z_3134E189_D868_4D46_9170_A55326C86B7F_.wvu.FilterData" localSheetId="8" hidden="1">EvReport!$A$4:$Q$202</definedName>
    <definedName name="Z_3145C827_095A_4A55_BE09_47BA9FF58A89_.wvu.FilterData" localSheetId="8" hidden="1">EvReport!$A$4:$Q$202</definedName>
    <definedName name="Z_31575EFC_C2A6_4FD1_AF87_EFA6823337D6_.wvu.FilterData" localSheetId="8" hidden="1">EvReport!$A$4:$Q$202</definedName>
    <definedName name="Z_318CE956_2F16_4807_A9A9_0345AFE15D46_.wvu.FilterData" localSheetId="8" hidden="1">EvReport!$A$4:$Q$202</definedName>
    <definedName name="Z_31D1C2B5_C023_4EA2_989B_B70385055F0D_.wvu.FilterData" localSheetId="8" hidden="1">EvReport!$A$4:$Q$202</definedName>
    <definedName name="Z_31D77A37_C8E3_4AC0_BDB7_29D09781C6E6_.wvu.FilterData" localSheetId="8" hidden="1">EvReport!$A$4:$Q$202</definedName>
    <definedName name="Z_3217F722_4C60_4C7F_A2C6_C1EC2DF976C9_.wvu.FilterData" localSheetId="3" hidden="1">Forecast!$A$1:$Z$218</definedName>
    <definedName name="Z_3282C294_E2D4_4849_8366_6A64C937C25D_.wvu.FilterData" localSheetId="8" hidden="1">EvReport!$A$4:$Q$202</definedName>
    <definedName name="Z_329B4B75_8EEE_4DFC_AA50_9A684F4B4269_.wvu.FilterData" localSheetId="8" hidden="1">EvReport!$A$4:$Q$202</definedName>
    <definedName name="Z_32AFEE69_9A72_49EE_BB7A_268F2384C129_.wvu.FilterData" localSheetId="8" hidden="1">EvReport!$A$4:$Q$202</definedName>
    <definedName name="Z_32C4C6B0_BA8B_49C0_9692_B04A26ECD8DC_.wvu.FilterData" localSheetId="8" hidden="1">EvReport!$A$4:$Q$202</definedName>
    <definedName name="Z_32E485A2_2890_4BFD_B429_D4F2B9D4EE91_.wvu.FilterData" localSheetId="3" hidden="1">Forecast!$A$1:$Z$218</definedName>
    <definedName name="Z_32FA406B_1B37_4DDF_B98D_101BBD76A81C_.wvu.FilterData" localSheetId="8" hidden="1">EvReport!$A$4:$Q$202</definedName>
    <definedName name="Z_337A7185_C297_4CDE_8FA5_F554EB10C434_.wvu.FilterData" localSheetId="8" hidden="1">EvReport!$A$4:$Q$202</definedName>
    <definedName name="Z_338ED758_657F_4D1C_8807_86C8AE7BF1BE_.wvu.FilterData" localSheetId="8" hidden="1">EvReport!$A$4:$Q$202</definedName>
    <definedName name="Z_33A4EE36_73A8_4FAC_9774_4FE836959FB9_.wvu.FilterData" localSheetId="8" hidden="1">EvReport!$A$4:$Q$202</definedName>
    <definedName name="Z_33BAC43F_91AB_4AFD_962D_34C8D005A8E2_.wvu.FilterData" localSheetId="8" hidden="1">EvReport!$A$4:$Q$202</definedName>
    <definedName name="Z_33DDDEAD_3D04_4D5F_B915_2EB09219FC90_.wvu.FilterData" localSheetId="8" hidden="1">EvReport!$A$4:$Q$202</definedName>
    <definedName name="Z_33ED3FB6_4E57_4B8B_B4F9_EC3CB9662C1A_.wvu.FilterData" localSheetId="8" hidden="1">EvReport!$A$4:$Q$202</definedName>
    <definedName name="Z_343B8053_0ECD_48DF_AFB1_EF5CD2A577EA_.wvu.FilterData" localSheetId="8" hidden="1">EvReport!$A$4:$Q$202</definedName>
    <definedName name="Z_349FB50A_8A72_4A94_9FDE_27BAF4F5891F_.wvu.FilterData" localSheetId="8" hidden="1">EvReport!$A$4:$Q$202</definedName>
    <definedName name="Z_34D83C86_85DB_45CC_AA0E_01BBDDD0280B_.wvu.FilterData" localSheetId="8" hidden="1">EvReport!$A$4:$Q$202</definedName>
    <definedName name="Z_350EF999_8BA2_4DF8_AF8B_6DBB829DE055_.wvu.FilterData" localSheetId="8" hidden="1">EvReport!$A$4:$Q$202</definedName>
    <definedName name="Z_35182331_943F_44F4_9E42_E82183FBFAA2_.wvu.FilterData" localSheetId="8" hidden="1">EvReport!$A$4:$Q$202</definedName>
    <definedName name="Z_35F116BE_0DDD_4543_8B7F_BDE8E892AF6E_.wvu.FilterData" localSheetId="8" hidden="1">EvReport!$A$4:$Q$202</definedName>
    <definedName name="Z_360C7CB9_94F1_40F1_BF58_227ABCC12F9C_.wvu.FilterData" localSheetId="8" hidden="1">EvReport!$A$4:$Q$202</definedName>
    <definedName name="Z_3663310B_17FA_44EE_9206_081AEAA1E874_.wvu.FilterData" localSheetId="8" hidden="1">EvReport!$A$4:$Q$202</definedName>
    <definedName name="Z_367F99CE_4C05_41E3_B6EB_9B3496A3DBD9_.wvu.FilterData" localSheetId="8" hidden="1">EvReport!$A$4:$Q$202</definedName>
    <definedName name="Z_36A8DD37_405C_4934_85E3_EBBAC77128B6_.wvu.FilterData" localSheetId="3" hidden="1">Forecast!$A$1:$Z$218</definedName>
    <definedName name="Z_36FAD18F_D0D5_4B5D_A4DE_5D61162740D3_.wvu.FilterData" localSheetId="8" hidden="1">EvReport!$A$4:$Q$202</definedName>
    <definedName name="Z_371B7865_977E_435C_8550_888E34C0DF4A_.wvu.FilterData" localSheetId="8" hidden="1">EvReport!$A$4:$Q$202</definedName>
    <definedName name="Z_37A0D58E_3016_49BC_A99E_8A2533F626E3_.wvu.FilterData" localSheetId="8" hidden="1">EvReport!$A$4:$Q$202</definedName>
    <definedName name="Z_37AF9AF6_6997_4FD8_9A53_48C212AF09AE_.wvu.FilterData" localSheetId="8" hidden="1">EvReport!$A$4:$Q$202</definedName>
    <definedName name="Z_38304C55_2424_4D64_BF07_4C5A7567589E_.wvu.FilterData" localSheetId="8" hidden="1">EvReport!$A$4:$Q$202</definedName>
    <definedName name="Z_38402A2D_D570_48AA_907B_3279C0EDB437_.wvu.FilterData" localSheetId="8" hidden="1">EvReport!$A$4:$Q$202</definedName>
    <definedName name="Z_38503652_4972_41BB_A9A5_8BC564D8DD59_.wvu.FilterData" localSheetId="8" hidden="1">EvReport!$A$4:$Q$202</definedName>
    <definedName name="Z_38593CF8_F5E9_4C96_B96E_C242A586A8BE_.wvu.FilterData" localSheetId="3" hidden="1">Forecast!$A$1:$Z$218</definedName>
    <definedName name="Z_3876EA1D_3A64_4A78_8D94_A27F6D18EACC_.wvu.FilterData" localSheetId="8" hidden="1">EvReport!$A$4:$Q$202</definedName>
    <definedName name="Z_389DD2E3_FF8F_4BB2_BB96_25E3E0BF3A3D_.wvu.FilterData" localSheetId="3" hidden="1">Forecast!$A$1:$Z$218</definedName>
    <definedName name="Z_38B099E5_7272_40CA_936E_B02EAC9F834A_.wvu.FilterData" localSheetId="8" hidden="1">EvReport!$A$4:$Q$202</definedName>
    <definedName name="Z_39781CBF_A7EE_438B_B6CE_B34E7C852419_.wvu.FilterData" localSheetId="3" hidden="1">Forecast!$F$8:$F$218</definedName>
    <definedName name="Z_39BDE57B_87A2_4AE8_B7FB_E2D6FEA83793_.wvu.FilterData" localSheetId="8" hidden="1">EvReport!$A$4:$Q$202</definedName>
    <definedName name="Z_39FC862D_E242_4CD4_BED3_EB70BB9CC437_.wvu.FilterData" localSheetId="8" hidden="1">EvReport!$A$4:$Q$202</definedName>
    <definedName name="Z_3A643F5D_6F74_4A6A_A0CC_BF759A280493_.wvu.FilterData" localSheetId="8" hidden="1">EvReport!$A$4:$Q$202</definedName>
    <definedName name="Z_3A6490CB_38D9_444A_9EC4_78341DE99022_.wvu.FilterData" localSheetId="8" hidden="1">EvReport!$A$4:$Q$202</definedName>
    <definedName name="Z_3AA34619_C6F4_43CE_A073_110E7D2DA8F4_.wvu.FilterData" localSheetId="8" hidden="1">EvReport!$A$4:$Q$202</definedName>
    <definedName name="Z_3B0ABB45_77C5_4D36_B89B_EF65201BB2C4_.wvu.FilterData" localSheetId="8" hidden="1">EvReport!$A$4:$Q$202</definedName>
    <definedName name="Z_3B5D8030_8D87_49B5_AE1B_098BB02D2DD5_.wvu.FilterData" localSheetId="8" hidden="1">EvReport!$A$4:$Q$202</definedName>
    <definedName name="Z_3B7958F3_C759_4085_A06F_44D52620F689_.wvu.FilterData" localSheetId="8" hidden="1">EvReport!$A$4:$Q$202</definedName>
    <definedName name="Z_3BB9A028_F74C_4F76_9CC9_86018498B874_.wvu.FilterData" localSheetId="8" hidden="1">EvReport!$A$4:$Q$202</definedName>
    <definedName name="Z_3BDE24CE_63C1_4737_B65D_B9A95604A9F2_.wvu.FilterData" localSheetId="8" hidden="1">EvReport!$A$4:$Q$202</definedName>
    <definedName name="Z_3C1AC2C9_5A7D_4E8D_984A_904554481DBB_.wvu.FilterData" localSheetId="8" hidden="1">EvReport!$A$4:$Q$202</definedName>
    <definedName name="Z_3C38D1B5_A435_4F0A_827A_9A754A0969E2_.wvu.FilterData" localSheetId="8" hidden="1">EvReport!$A$4:$Q$202</definedName>
    <definedName name="Z_3C4DAA33_F88A_488F_8CB0_DC192DB9DBE8_.wvu.FilterData" localSheetId="8" hidden="1">EvReport!$A$4:$Q$202</definedName>
    <definedName name="Z_3C9ED89B_24A3_4462_92CB_A174E60598B3_.wvu.FilterData" localSheetId="3" hidden="1">Forecast!$F$8:$F$218</definedName>
    <definedName name="Z_3C9FF3D2_6DA0_41F7_BB09_212DE77B4079_.wvu.FilterData" localSheetId="8" hidden="1">EvReport!$A$4:$Q$202</definedName>
    <definedName name="Z_3CF656C2_49C4_4DF6_B608_656742273019_.wvu.FilterData" localSheetId="8" hidden="1">EvReport!$A$4:$Q$202</definedName>
    <definedName name="Z_3CFBA12B_329C_4738_A2DE_3720FDAF9A75_.wvu.FilterData" localSheetId="3" hidden="1">Forecast!$A$1:$Z$218</definedName>
    <definedName name="Z_3D2588A2_462A_4B5A_B2D5_4280BDC4EAAE_.wvu.FilterData" localSheetId="8" hidden="1">EvReport!$A$4:$Q$202</definedName>
    <definedName name="Z_3DC56082_17D3_402A_BFC5_F9387E70EC87_.wvu.FilterData" localSheetId="8" hidden="1">EvReport!$A$4:$Q$202</definedName>
    <definedName name="Z_3DEC48D4_9021_4833_AF69_F898544773A6_.wvu.FilterData" localSheetId="3" hidden="1">Forecast!$A$1:$Z$218</definedName>
    <definedName name="Z_3DFEE64F_C8BA_4D3D_92B1_A453E9523604_.wvu.FilterData" localSheetId="8" hidden="1">EvReport!$A$4:$Q$202</definedName>
    <definedName name="Z_3E26A344_F642_4AFB_8D1E_EE6B1EB47503_.wvu.FilterData" localSheetId="8" hidden="1">EvReport!$A$4:$Q$202</definedName>
    <definedName name="Z_3E681B4B_583F_465A_8446_928B18566C94_.wvu.FilterData" localSheetId="3" hidden="1">Forecast!$F$8:$F$218</definedName>
    <definedName name="Z_3EA64D24_0552_434E_A971_825518EFDC7C_.wvu.FilterData" localSheetId="8" hidden="1">EvReport!$A$4:$Q$202</definedName>
    <definedName name="Z_3EB2859A_3C42_4B3A_BDFF_2E98EBCF4780_.wvu.FilterData" localSheetId="8" hidden="1">EvReport!$A$4:$Q$202</definedName>
    <definedName name="Z_3F0E6490_817C_41D1_9250_5E068B240051_.wvu.FilterData" localSheetId="8" hidden="1">EvReport!$A$4:$Q$202</definedName>
    <definedName name="Z_3F2E96FD_B462_45F0_AC4D_7145C5BB6B9D_.wvu.FilterData" localSheetId="8" hidden="1">EvReport!$A$4:$Q$202</definedName>
    <definedName name="Z_3F8619D6_58FD_41B1_9652_6EC8C98E83D9_.wvu.FilterData" localSheetId="8" hidden="1">EvReport!$A$4:$Q$202</definedName>
    <definedName name="Z_3FAACBA9_23E2_410C_924F_9F051BF15A2A_.wvu.FilterData" localSheetId="8" hidden="1">EvReport!$A$4:$Q$202</definedName>
    <definedName name="Z_3FBDC377_9661_46B4_B7C1_BF5C18FD0003_.wvu.FilterData" localSheetId="8" hidden="1">EvReport!$A$4:$Q$202</definedName>
    <definedName name="Z_3FC093CF_622B_47BB_9645_9151442EE489_.wvu.FilterData" localSheetId="8" hidden="1">EvReport!$A$4:$Q$202</definedName>
    <definedName name="Z_3FDBD0EC_1898_4D7A_B9A8_62DD680CB40D_.wvu.FilterData" localSheetId="8" hidden="1">EvReport!$A$4:$Q$202</definedName>
    <definedName name="Z_3FDD2261_2E56_4F98_9BAA_504AB464787F_.wvu.FilterData" localSheetId="8" hidden="1">EvReport!$A$4:$Q$202</definedName>
    <definedName name="Z_4005859E_10CB_4D4E_99B2_8B595D875161_.wvu.FilterData" localSheetId="8" hidden="1">EvReport!$A$4:$Q$202</definedName>
    <definedName name="Z_400809C2_B107_477B_8999_4C1ABBA25825_.wvu.FilterData" localSheetId="8" hidden="1">EvReport!$A$4:$Q$202</definedName>
    <definedName name="Z_401D55E3_207E_4E23_A768_3A8DF4D55331_.wvu.FilterData" localSheetId="3" hidden="1">Forecast!$A$1:$Z$218</definedName>
    <definedName name="Z_40693AEB_C838_417A_B30D_D6D7602B0887_.wvu.FilterData" localSheetId="8" hidden="1">EvReport!$A$4:$Q$202</definedName>
    <definedName name="Z_406DABAE_5B28_47C3_848A_8161E1C26C38_.wvu.FilterData" localSheetId="8" hidden="1">EvReport!$A$4:$Q$202</definedName>
    <definedName name="Z_4079FC88_D87F_4647_9262_FEC7904DA11C_.wvu.FilterData" localSheetId="8" hidden="1">EvReport!$A$4:$Q$202</definedName>
    <definedName name="Z_410A7ED5_CBA3_45B0_A90A_3E23C7A38106_.wvu.FilterData" localSheetId="8" hidden="1">EvReport!$A$4:$Q$202</definedName>
    <definedName name="Z_411B2D28_3455_4CC4_B198_D69364CCBD1F_.wvu.FilterData" localSheetId="8" hidden="1">EvReport!$A$4:$Q$202</definedName>
    <definedName name="Z_4144A616_5BA1_4FC3_A8C7_9C971849640E_.wvu.FilterData" localSheetId="8" hidden="1">EvReport!$A$4:$Q$202</definedName>
    <definedName name="Z_41902B8E_E7D9_432B_9538_F20C94AC430C_.wvu.FilterData" localSheetId="8" hidden="1">EvReport!$A$4:$Q$202</definedName>
    <definedName name="Z_41D64F74_33E7_47DD_ADC2_A7FCA955AC30_.wvu.FilterData" localSheetId="8" hidden="1">EvReport!$A$4:$Q$202</definedName>
    <definedName name="Z_41E7D095_7405_47D2_B1F2_336D16FCD73E_.wvu.FilterData" localSheetId="8" hidden="1">EvReport!$A$4:$Q$202</definedName>
    <definedName name="Z_420F4114_B826_43DD_9C2E_8AA984D3358E_.wvu.FilterData" localSheetId="8" hidden="1">EvReport!$A$4:$Q$202</definedName>
    <definedName name="Z_4237D2E6_004F_4202_9CEF_09092A51CE5B_.wvu.FilterData" localSheetId="8" hidden="1">EvReport!$A$4:$Q$202</definedName>
    <definedName name="Z_42857548_A880_4BB0_AB8B_38839B5D2479_.wvu.FilterData" localSheetId="8" hidden="1">EvReport!$A$4:$Q$202</definedName>
    <definedName name="Z_42928396_29B9_486C_B75F_D53532343E21_.wvu.FilterData" localSheetId="8" hidden="1">EvReport!$A$4:$Q$202</definedName>
    <definedName name="Z_42D8AC32_67DD_4E76_A854_84B690F4B430_.wvu.FilterData" localSheetId="8" hidden="1">EvReport!$A$4:$Q$202</definedName>
    <definedName name="Z_431A50E0_B073_4FB0_9D15_CC6817595855_.wvu.FilterData" localSheetId="8" hidden="1">EvReport!$A$4:$Q$202</definedName>
    <definedName name="Z_432D39B7_73CD_42EC_942D_C51AE86BF94A_.wvu.FilterData" localSheetId="8" hidden="1">EvReport!$A$4:$Q$202</definedName>
    <definedName name="Z_4356DE6D_4CEC_4B2D_8B6E_5076A18005C2_.wvu.FilterData" localSheetId="8" hidden="1">EvReport!$A$4:$Q$202</definedName>
    <definedName name="Z_4387FFF4_E523_4182_89FA_79708FCDAF7B_.wvu.FilterData" localSheetId="8" hidden="1">EvReport!$A$4:$Q$202</definedName>
    <definedName name="Z_43E73265_E96E_4CF2_9BCC_E49382290306_.wvu.FilterData" localSheetId="3" hidden="1">Forecast!$A$1:$Z$218</definedName>
    <definedName name="Z_43EF78D5_F036_4AF4_9549_11CE952A1744_.wvu.FilterData" localSheetId="8" hidden="1">EvReport!$A$4:$Q$202</definedName>
    <definedName name="Z_44080218_4522_48E0_BA82_502C56AD2B49_.wvu.FilterData" localSheetId="8" hidden="1">EvReport!$A$4:$Q$202</definedName>
    <definedName name="Z_4433F470_2017_4ACE_B951_13C1A310DCFA_.wvu.FilterData" localSheetId="8" hidden="1">EvReport!$A$4:$Q$202</definedName>
    <definedName name="Z_445B599D_18AC_4E51_99EE_B7BF1D4507A5_.wvu.FilterData" localSheetId="8" hidden="1">EvReport!$A$4:$Q$202</definedName>
    <definedName name="Z_44760696_B462_4069_A6D1_B77758719E7F_.wvu.FilterData" localSheetId="8" hidden="1">EvReport!$A$4:$Q$202</definedName>
    <definedName name="Z_448BAC69_C79E_4D53_9CE5_A7BA29A35BC1_.wvu.FilterData" localSheetId="8" hidden="1">EvReport!$A$4:$Q$202</definedName>
    <definedName name="Z_44C1427E_A6C0_4983_8858_DE787707D7E1_.wvu.FilterData" localSheetId="8" hidden="1">EvReport!$A$4:$Q$202</definedName>
    <definedName name="Z_44D52755_360A_4805_83F6_792A2C500BAF_.wvu.FilterData" localSheetId="8" hidden="1">EvReport!$A$4:$Q$202</definedName>
    <definedName name="Z_44E87CAE_4BFF_4039_B9ED_AF87B406F0B2_.wvu.FilterData" localSheetId="8" hidden="1">EvReport!$A$4:$Q$202</definedName>
    <definedName name="Z_457DB195_D6C5_46C2_9B62_601891F9E604_.wvu.FilterData" localSheetId="8" hidden="1">EvReport!$A$4:$Q$202</definedName>
    <definedName name="Z_457E0620_370D_4F8C_ACA2_6C7E7F7A0C79_.wvu.FilterData" localSheetId="8" hidden="1">EvReport!$A$4:$Q$202</definedName>
    <definedName name="Z_457E91D1_7A60_419F_B5D5_F342B0D0F213_.wvu.FilterData" localSheetId="8" hidden="1">EvReport!$A$4:$Q$202</definedName>
    <definedName name="Z_458CDFB3_6D8D_4C66_B162_8E1EBBC7F695_.wvu.FilterData" localSheetId="8" hidden="1">EvReport!$A$4:$Q$202</definedName>
    <definedName name="Z_4593F3EE_0998_4E0E_994A_E02D6BAF3A4B_.wvu.Cols" localSheetId="5" hidden="1">Ch!$B:$B,Ch!$L:$N</definedName>
    <definedName name="Z_4593F3EE_0998_4E0E_994A_E02D6BAF3A4B_.wvu.Cols" localSheetId="7" hidden="1">Generation!$U:$U</definedName>
    <definedName name="Z_4593F3EE_0998_4E0E_994A_E02D6BAF3A4B_.wvu.Cols" localSheetId="12" hidden="1">'P1'!$J:$J</definedName>
    <definedName name="Z_4593F3EE_0998_4E0E_994A_E02D6BAF3A4B_.wvu.PrintArea" localSheetId="5" hidden="1">Ch!$A$1:$J$59</definedName>
    <definedName name="Z_4593F3EE_0998_4E0E_994A_E02D6BAF3A4B_.wvu.PrintArea" localSheetId="21" hidden="1">Demand!$B$9:$G$25</definedName>
    <definedName name="Z_4593F3EE_0998_4E0E_994A_E02D6BAF3A4B_.wvu.PrintArea" localSheetId="10" hidden="1">DGFI!$A$1:$F$36</definedName>
    <definedName name="Z_4593F3EE_0998_4E0E_994A_E02D6BAF3A4B_.wvu.PrintArea" localSheetId="17" hidden="1">'En-Curve'!$P$1:$AA$62</definedName>
    <definedName name="Z_4593F3EE_0998_4E0E_994A_E02D6BAF3A4B_.wvu.PrintArea" localSheetId="9" hidden="1">EvBangla!$A$1:$L$33</definedName>
    <definedName name="Z_4593F3EE_0998_4E0E_994A_E02D6BAF3A4B_.wvu.PrintArea" localSheetId="8" hidden="1">EvReport!$B$4:$L$208</definedName>
    <definedName name="Z_4593F3EE_0998_4E0E_994A_E02D6BAF3A4B_.wvu.PrintArea" localSheetId="3" hidden="1">Forecast!$B$1:$R$224</definedName>
    <definedName name="Z_4593F3EE_0998_4E0E_994A_E02D6BAF3A4B_.wvu.PrintArea" localSheetId="1" hidden="1">FWise!$B$1:$L$37</definedName>
    <definedName name="Z_4593F3EE_0998_4E0E_994A_E02D6BAF3A4B_.wvu.PrintArea" localSheetId="7" hidden="1">Generation!$A$1:$AC$196</definedName>
    <definedName name="Z_4593F3EE_0998_4E0E_994A_E02D6BAF3A4B_.wvu.PrintArea" localSheetId="0" hidden="1">GEntry!$A$2:$GM$30</definedName>
    <definedName name="Z_4593F3EE_0998_4E0E_994A_E02D6BAF3A4B_.wvu.PrintArea" localSheetId="16" hidden="1">'L-Curve'!$H$2:$R$48</definedName>
    <definedName name="Z_4593F3EE_0998_4E0E_994A_E02D6BAF3A4B_.wvu.PrintArea" localSheetId="23" hidden="1">Master!$A$3:$GJ$40</definedName>
    <definedName name="Z_4593F3EE_0998_4E0E_994A_E02D6BAF3A4B_.wvu.PrintArea" localSheetId="19" hidden="1">'NSI Reading'!$D$1:$F$24</definedName>
    <definedName name="Z_4593F3EE_0998_4E0E_994A_E02D6BAF3A4B_.wvu.PrintArea" localSheetId="12" hidden="1">'P1'!$A$1:$I$306</definedName>
    <definedName name="Z_4593F3EE_0998_4E0E_994A_E02D6BAF3A4B_.wvu.PrintArea" localSheetId="4" hidden="1">'P2'!$B$2:$J$192</definedName>
    <definedName name="Z_4593F3EE_0998_4E0E_994A_E02D6BAF3A4B_.wvu.PrintArea" localSheetId="13" hidden="1">'P3'!$B$1:$I$62</definedName>
    <definedName name="Z_4593F3EE_0998_4E0E_994A_E02D6BAF3A4B_.wvu.PrintArea" localSheetId="6" hidden="1">PM!$A$1:$G$22</definedName>
    <definedName name="Z_4593F3EE_0998_4E0E_994A_E02D6BAF3A4B_.wvu.PrintArea" localSheetId="20" hidden="1">'P-Sum'!$A$1:$G$28</definedName>
    <definedName name="Z_4593F3EE_0998_4E0E_994A_E02D6BAF3A4B_.wvu.PrintArea" localSheetId="14" hidden="1">Volt!$B$2:$K$105</definedName>
    <definedName name="Z_4593F3EE_0998_4E0E_994A_E02D6BAF3A4B_.wvu.PrintArea" localSheetId="22" hidden="1">YesterdayFWise!$B$1:$L$33</definedName>
    <definedName name="Z_4593F3EE_0998_4E0E_994A_E02D6BAF3A4B_.wvu.PrintArea" localSheetId="15" hidden="1">YesterdayGen!$A$1:$HY$46</definedName>
    <definedName name="Z_4593F3EE_0998_4E0E_994A_E02D6BAF3A4B_.wvu.PrintTitles" localSheetId="8" hidden="1">EvReport!$7:$8</definedName>
    <definedName name="Z_4593F3EE_0998_4E0E_994A_E02D6BAF3A4B_.wvu.PrintTitles" localSheetId="3" hidden="1">Forecast!$4:$8</definedName>
    <definedName name="Z_4593F3EE_0998_4E0E_994A_E02D6BAF3A4B_.wvu.PrintTitles" localSheetId="4" hidden="1">'P2'!$5:$8</definedName>
    <definedName name="Z_4593F3EE_0998_4E0E_994A_E02D6BAF3A4B_.wvu.Rows" localSheetId="1" hidden="1">FWise!$24:$24</definedName>
    <definedName name="Z_4593F3EE_0998_4E0E_994A_E02D6BAF3A4B_.wvu.Rows" localSheetId="23" hidden="1">Master!$32:$32</definedName>
    <definedName name="Z_4593F3EE_0998_4E0E_994A_E02D6BAF3A4B_.wvu.Rows" localSheetId="22" hidden="1">YesterdayFWise!$24:$24</definedName>
    <definedName name="Z_4593F3EE_0998_4E0E_994A_E02D6BAF3A4B_.wvu.Rows" localSheetId="15" hidden="1">YesterdayGen!$23:$23</definedName>
    <definedName name="Z_45E2451D_0936_48F8_9258_5180ED8CDD01_.wvu.FilterData" localSheetId="8" hidden="1">EvReport!$A$4:$Q$202</definedName>
    <definedName name="Z_462C9A5C_69A5_4630_936A_012468F27B98_.wvu.FilterData" localSheetId="8" hidden="1">EvReport!$A$4:$Q$202</definedName>
    <definedName name="Z_46376877_CAA0_4F95_912C_712865B6D215_.wvu.FilterData" localSheetId="8" hidden="1">EvReport!$A$4:$Q$202</definedName>
    <definedName name="Z_4637F4D4_F332_46F2_8BA9_A568E74E272C_.wvu.FilterData" localSheetId="8" hidden="1">EvReport!$A$4:$Q$202</definedName>
    <definedName name="Z_464135E8_3154_4C1E_99B5_BCF9A8A4F733_.wvu.FilterData" localSheetId="8" hidden="1">EvReport!$A$4:$Q$202</definedName>
    <definedName name="Z_46550E72_7A44_484C_95C2_B4C1FEB66032_.wvu.FilterData" localSheetId="8" hidden="1">EvReport!$A$4:$Q$202</definedName>
    <definedName name="Z_46C95FE1_3BFA_4449_B37F_F84BF200B95F_.wvu.FilterData" localSheetId="8" hidden="1">EvReport!$A$4:$Q$202</definedName>
    <definedName name="Z_47A24F4A_DC18_402E_9EE5_67CAAE5343F0_.wvu.FilterData" localSheetId="8" hidden="1">EvReport!$A$4:$Q$202</definedName>
    <definedName name="Z_480C6A3C_C3FD_489A_AE08_6749ED66EF47_.wvu.FilterData" localSheetId="8" hidden="1">EvReport!$A$4:$Q$202</definedName>
    <definedName name="Z_485919AC_9DE3_434A_9F6D_2016971016C4_.wvu.FilterData" localSheetId="8" hidden="1">EvReport!$A$4:$Q$202</definedName>
    <definedName name="Z_4941BEF8_F2DB_486C_9FB5_3C6B6A70DB1A_.wvu.FilterData" localSheetId="3" hidden="1">Forecast!$A$1:$Z$218</definedName>
    <definedName name="Z_496A51C8_7BD0_4B58_8E43_606C7881F460_.wvu.FilterData" localSheetId="3" hidden="1">Forecast!$A$1:$Z$218</definedName>
    <definedName name="Z_497ED0ED_43DC_4713_9D53_C00D32FABE62_.wvu.FilterData" localSheetId="8" hidden="1">EvReport!$A$4:$Q$202</definedName>
    <definedName name="Z_49CCEB3D_4FF1_4CDE_8005_85299446E6BB_.wvu.FilterData" localSheetId="8" hidden="1">EvReport!$A$4:$Q$202</definedName>
    <definedName name="Z_49CE1423_B4F1_408A_B4EB_904F53DDE912_.wvu.FilterData" localSheetId="8" hidden="1">EvReport!$A$4:$Q$202</definedName>
    <definedName name="Z_49E4E6A3_F9CC_486F_884C_88D26743A139_.wvu.FilterData" localSheetId="8" hidden="1">EvReport!$A$4:$Q$202</definedName>
    <definedName name="Z_4AE7708B_3490_4C61_ABA9_94C2A57786D1_.wvu.FilterData" localSheetId="8" hidden="1">EvReport!$A$4:$Q$202</definedName>
    <definedName name="Z_4AEC10DB_61E4_418C_B11A_6847E253E463_.wvu.FilterData" localSheetId="8" hidden="1">EvReport!$A$4:$Q$202</definedName>
    <definedName name="Z_4B1A9E97_18CB_4E10_A0E6_05A8BAE7D184_.wvu.FilterData" localSheetId="8" hidden="1">EvReport!$A$4:$Q$202</definedName>
    <definedName name="Z_4B442DC0_0230_4F85_86A7_C3A73CAAEF64_.wvu.FilterData" localSheetId="8" hidden="1">EvReport!$A$4:$Q$202</definedName>
    <definedName name="Z_4B647BE7_48F4_4CD5_BD7B_A9B873C49BFE_.wvu.FilterData" localSheetId="8" hidden="1">EvReport!$A$4:$Q$202</definedName>
    <definedName name="Z_4B6C98DE_D7A6_47FD_9996_73A4F1D91799_.wvu.FilterData" localSheetId="8" hidden="1">EvReport!$A$4:$Q$202</definedName>
    <definedName name="Z_4B72E043_8FE6_40D4_84F8_1EFC3D95B948_.wvu.FilterData" localSheetId="8" hidden="1">EvReport!$A$4:$Q$202</definedName>
    <definedName name="Z_4B72EE67_8EEF_4E81_BC0B_65285EB89B0F_.wvu.FilterData" localSheetId="8" hidden="1">EvReport!$A$4:$Q$202</definedName>
    <definedName name="Z_4BA3D7E8_A5A7_4F7E_8FE9_843EF90A7CED_.wvu.FilterData" localSheetId="8" hidden="1">EvReport!$A$4:$Q$202</definedName>
    <definedName name="Z_4BDE2D5B_4782_48F0_83A4_6983EAB58D2B_.wvu.FilterData" localSheetId="8" hidden="1">EvReport!$A$4:$Q$202</definedName>
    <definedName name="Z_4BED3C74_065C_4378_8124_6BA575154ADB_.wvu.FilterData" localSheetId="8" hidden="1">EvReport!$A$4:$Q$202</definedName>
    <definedName name="Z_4BFA63C9_1304_453D_A410_1C639A47FD2A_.wvu.FilterData" localSheetId="8" hidden="1">EvReport!$A$4:$Q$202</definedName>
    <definedName name="Z_4C03931A_0A5C_4BFD_AA51_79615ED54BCD_.wvu.FilterData" localSheetId="8" hidden="1">EvReport!$A$4:$Q$202</definedName>
    <definedName name="Z_4C2F2713_1D87_4259_BD88_E0ADB6BA5C48_.wvu.FilterData" localSheetId="3" hidden="1">Forecast!$A$1:$Z$218</definedName>
    <definedName name="Z_4C3911DD_38E5_478B_AB75_59941ADC5C31_.wvu.FilterData" localSheetId="8" hidden="1">EvReport!$A$4:$Q$202</definedName>
    <definedName name="Z_4C4D262D_CF0C_4B97_8C1C_492C32D42D79_.wvu.FilterData" localSheetId="8" hidden="1">EvReport!$A$4:$Q$202</definedName>
    <definedName name="Z_4CEDB4DD_A4D0_411E_84DB_316F56ADC64F_.wvu.FilterData" localSheetId="8" hidden="1">EvReport!$A$4:$Q$202</definedName>
    <definedName name="Z_4CF40C2F_6921_4690_819E_46034506079A_.wvu.FilterData" localSheetId="8" hidden="1">EvReport!$A$4:$Q$202</definedName>
    <definedName name="Z_4D09A71B_B733_462B_863A_D1366A2535B5_.wvu.FilterData" localSheetId="8" hidden="1">EvReport!$A$4:$Q$202</definedName>
    <definedName name="Z_4D09AC8F_CE65_428F_B499_E94F5E6F9B8D_.wvu.FilterData" localSheetId="3" hidden="1">Forecast!$A$1:$Z$218</definedName>
    <definedName name="Z_4D1281FE_3E2F_4170_B14B_F6E69BD8538E_.wvu.FilterData" localSheetId="8" hidden="1">EvReport!$A$4:$Q$202</definedName>
    <definedName name="Z_4D4A4A6C_E45D_4F6A_94F8_E8356B7EAE2D_.wvu.FilterData" localSheetId="8" hidden="1">EvReport!$A$4:$Q$202</definedName>
    <definedName name="Z_4D6CE4D4_547C_4490_B499_C0B715DD4A7B_.wvu.FilterData" localSheetId="8" hidden="1">EvReport!$A$4:$Q$202</definedName>
    <definedName name="Z_4D71546B_1969_4D79_BD94_E6931B79A39C_.wvu.FilterData" localSheetId="8" hidden="1">EvReport!$A$4:$Q$202</definedName>
    <definedName name="Z_4D7C92A9_DE64_4C75_844C_EBD71EE12C75_.wvu.FilterData" localSheetId="8" hidden="1">EvReport!$A$4:$Q$202</definedName>
    <definedName name="Z_4DB6C640_CE65_4513_9E5A_F6CDD1F4B8AF_.wvu.FilterData" localSheetId="8" hidden="1">EvReport!$A$4:$Q$202</definedName>
    <definedName name="Z_4DB6C640_CE65_4513_9E5A_F6CDD1F4B8AF_.wvu.FilterData" localSheetId="3" hidden="1">Forecast!$A$1:$Z$218</definedName>
    <definedName name="Z_4E3C68C0_2924_44B3_8074_9983ED2458CF_.wvu.FilterData" localSheetId="8" hidden="1">EvReport!$A$4:$Q$202</definedName>
    <definedName name="Z_4E566A2E_1E18_4C07_A896_D9E00328C776_.wvu.FilterData" localSheetId="3" hidden="1">Forecast!$F$8:$F$218</definedName>
    <definedName name="Z_4EA21BB9_CBE2_4CD3_A8E8_139947A66DC4_.wvu.FilterData" localSheetId="8" hidden="1">EvReport!$A$4:$Q$202</definedName>
    <definedName name="Z_4EBFCD13_3341_4009_9D8B_0A5736E4A58F_.wvu.FilterData" localSheetId="8" hidden="1">EvReport!$A$4:$Q$202</definedName>
    <definedName name="Z_4EC5A86C_2795_4FBE_8D55_E954077C838E_.wvu.FilterData" localSheetId="8" hidden="1">EvReport!$A$4:$Q$202</definedName>
    <definedName name="Z_4ED9BE15_A0F9_4EF5_94E1_6C2BB0479A08_.wvu.FilterData" localSheetId="8" hidden="1">EvReport!$A$4:$Q$202</definedName>
    <definedName name="Z_4F4A98C1_92CD_4549_A464_4E48F427F155_.wvu.FilterData" localSheetId="8" hidden="1">EvReport!$A$4:$Q$202</definedName>
    <definedName name="Z_4FC25DE4_6CDB_4FDC_9687_FB1A9BB8113C_.wvu.FilterData" localSheetId="8" hidden="1">EvReport!$A$4:$Q$202</definedName>
    <definedName name="Z_5026A157_5B2E_491B_8DDA_F195604925CE_.wvu.FilterData" localSheetId="3" hidden="1">Forecast!$A$1:$Z$218</definedName>
    <definedName name="Z_5080E933_8FC4_440E_8492_2FB1E50D929D_.wvu.FilterData" localSheetId="8" hidden="1">EvReport!$A$4:$Q$202</definedName>
    <definedName name="Z_50B0685B_56C2_412B_968D_4B1B00CE7281_.wvu.FilterData" localSheetId="8" hidden="1">EvReport!$A$4:$Q$202</definedName>
    <definedName name="Z_50EDAD4C_08FB_45F9_BE41_2286EC83F8A0_.wvu.FilterData" localSheetId="8" hidden="1">EvReport!$A$4:$Q$202</definedName>
    <definedName name="Z_512776F1_EECA_413A_800F_9CDA5FADA9F3_.wvu.FilterData" localSheetId="3" hidden="1">Forecast!$A$1:$Z$218</definedName>
    <definedName name="Z_51DB7461_C30A_4B57_A314_AC0A560C9BE9_.wvu.FilterData" localSheetId="3" hidden="1">Forecast!$A$1:$Z$218</definedName>
    <definedName name="Z_51F564B7_D065_44B3_B625_A710B870C2C3_.wvu.FilterData" localSheetId="8" hidden="1">EvReport!$A$4:$Q$202</definedName>
    <definedName name="Z_526524F3_72F3_4E1B_A040_759B69BBC4A7_.wvu.FilterData" localSheetId="8" hidden="1">EvReport!$A$4:$Q$202</definedName>
    <definedName name="Z_526E2C42_D93E_4FBD_B081_1E59F0A731F3_.wvu.FilterData" localSheetId="3" hidden="1">Forecast!$A$1:$Z$218</definedName>
    <definedName name="Z_52A9F128_EB01_4CAA_99A2_814FC77CC595_.wvu.FilterData" localSheetId="8" hidden="1">EvReport!$A$4:$Q$202</definedName>
    <definedName name="Z_52BD3570_6A98_4395_B1B4_326E149155C5_.wvu.FilterData" localSheetId="8" hidden="1">EvReport!$A$4:$Q$202</definedName>
    <definedName name="Z_533CEC92_FF47_4B7D_B897_D79D990B95E3_.wvu.FilterData" localSheetId="3" hidden="1">Forecast!$A$1:$Z$218</definedName>
    <definedName name="Z_534220FD_87C7_4C8D_8FA1_2F1EF289BC6C_.wvu.FilterData" localSheetId="3" hidden="1">Forecast!$A$1:$Z$218</definedName>
    <definedName name="Z_534672FE_3FE9_4C77_85BE_E2988506C210_.wvu.FilterData" localSheetId="8" hidden="1">EvReport!$A$4:$Q$202</definedName>
    <definedName name="Z_534EFE73_E1C0_4935_9EFE_D16323BBD571_.wvu.FilterData" localSheetId="8" hidden="1">EvReport!$A$4:$Q$202</definedName>
    <definedName name="Z_53555865_A307_4C75_8BF6_070309687174_.wvu.FilterData" localSheetId="8" hidden="1">EvReport!$A$4:$Q$202</definedName>
    <definedName name="Z_538224B5_F5D0_4246_B11D_9CCB3CD2C316_.wvu.FilterData" localSheetId="8" hidden="1">EvReport!$A$4:$Q$202</definedName>
    <definedName name="Z_53966292_138B_454A_B3C1_6E27A76C9F9D_.wvu.FilterData" localSheetId="3" hidden="1">Forecast!$A$1:$Z$218</definedName>
    <definedName name="Z_53BCAF4B_022B_4673_A023_F66DDC25B48C_.wvu.FilterData" localSheetId="8" hidden="1">EvReport!$A$4:$Q$202</definedName>
    <definedName name="Z_5473163C_28A9_4782_9E94_34C1F5F281C9_.wvu.FilterData" localSheetId="8" hidden="1">EvReport!$A$4:$Q$202</definedName>
    <definedName name="Z_547AC996_1A9C_4332_ACFB_F5DC80FBAB0E_.wvu.FilterData" localSheetId="8" hidden="1">EvReport!$A$4:$Q$202</definedName>
    <definedName name="Z_54B23C55_CBFA_4BA2_AFEF_88A5B546BB73_.wvu.FilterData" localSheetId="8" hidden="1">EvReport!$A$4:$Q$202</definedName>
    <definedName name="Z_54B23C55_CBFA_4BA2_AFEF_88A5B546BB73_.wvu.FilterData" localSheetId="3" hidden="1">Forecast!$F$8:$F$218</definedName>
    <definedName name="Z_54E36594_8729_425E_8CCD_011BC8B471C9_.wvu.FilterData" localSheetId="8" hidden="1">EvReport!$A$4:$Q$202</definedName>
    <definedName name="Z_54F46850_A3FB_4177_80FA_4FAF789CBF2A_.wvu.FilterData" localSheetId="8" hidden="1">EvReport!$A$4:$Q$202</definedName>
    <definedName name="Z_55479EDA_5CA3_46C4_A69F_F32E0530B84C_.wvu.FilterData" localSheetId="8" hidden="1">EvReport!$A$4:$Q$202</definedName>
    <definedName name="Z_555B8F8D_CF9D_4FD8_8647_38E2ECA7ABCB_.wvu.FilterData" localSheetId="8" hidden="1">EvReport!$A$4:$Q$202</definedName>
    <definedName name="Z_55BD7181_8EF2_453C_AAF4_449138544B42_.wvu.FilterData" localSheetId="8" hidden="1">EvReport!$A$4:$Q$202</definedName>
    <definedName name="Z_55F10913_5A06_446C_A1C5_0F39B4A3D8AA_.wvu.FilterData" localSheetId="8" hidden="1">EvReport!$A$4:$Q$202</definedName>
    <definedName name="Z_56259562_8AD2_4D61_B0F5_72BE95CC9A35_.wvu.FilterData" localSheetId="8" hidden="1">EvReport!$A$4:$Q$202</definedName>
    <definedName name="Z_563A2263_449F_4285_9DA2_9F2F1199CA36_.wvu.FilterData" localSheetId="8" hidden="1">EvReport!$A$4:$Q$202</definedName>
    <definedName name="Z_5646CB13_E207_4E07_8F1E_E548D6856C88_.wvu.FilterData" localSheetId="8" hidden="1">EvReport!$A$4:$Q$202</definedName>
    <definedName name="Z_57787E7C_8752_4699_91A3_7E58AC0FCA4C_.wvu.FilterData" localSheetId="8" hidden="1">EvReport!$A$4:$Q$202</definedName>
    <definedName name="Z_579B9009_923C_454F_8777_50BD371D353E_.wvu.FilterData" localSheetId="8" hidden="1">EvReport!$A$4:$Q$202</definedName>
    <definedName name="Z_579E9B39_C91E_4CDB_BA2D_B196FFE6CA31_.wvu.FilterData" localSheetId="8" hidden="1">EvReport!$A$4:$Q$202</definedName>
    <definedName name="Z_57A44C0D_9E7B_4AC0_9897_003934CA901D_.wvu.FilterData" localSheetId="8" hidden="1">EvReport!$A$4:$Q$202</definedName>
    <definedName name="Z_57C08311_A0E2_4C9B_947B_F610C1B99A16_.wvu.FilterData" localSheetId="8" hidden="1">EvReport!$A$4:$Q$202</definedName>
    <definedName name="Z_57D91D1A_412A_4A57_88F2_385C1CD279FE_.wvu.FilterData" localSheetId="8" hidden="1">EvReport!$A$4:$Q$202</definedName>
    <definedName name="Z_581B6CC9_3F89_44DF_9C8D_97A0A002EFC7_.wvu.FilterData" localSheetId="8" hidden="1">EvReport!$A$4:$Q$202</definedName>
    <definedName name="Z_5857F536_20CF_475A_BF8D_96607CE6726C_.wvu.FilterData" localSheetId="8" hidden="1">EvReport!$A$4:$Q$202</definedName>
    <definedName name="Z_588A2356_BFFF_4850_898B_0DF3A2BFD8A7_.wvu.FilterData" localSheetId="8" hidden="1">EvReport!$A$4:$Q$202</definedName>
    <definedName name="Z_58BE3F27_6C6E_4D82_B87A_E7700E182586_.wvu.FilterData" localSheetId="8" hidden="1">EvReport!$A$4:$Q$202</definedName>
    <definedName name="Z_58E09C48_73FE_47DD_A7CA_A8A490D01A5C_.wvu.FilterData" localSheetId="8" hidden="1">EvReport!$A$4:$Q$202</definedName>
    <definedName name="Z_594FA617_7210_4B58_B11F_83047129E344_.wvu.FilterData" localSheetId="8" hidden="1">EvReport!$A$4:$Q$202</definedName>
    <definedName name="Z_597302CD_D42B_4DFA_8640_4D176976263E_.wvu.FilterData" localSheetId="8" hidden="1">EvReport!$A$4:$Q$202</definedName>
    <definedName name="Z_597367CC_37C2_4351_A29D_FB0F141F8CD1_.wvu.FilterData" localSheetId="8" hidden="1">EvReport!$A$4:$Q$202</definedName>
    <definedName name="Z_5A089275_0F3D_434C_A6B0_6969BC82CFB5_.wvu.FilterData" localSheetId="8" hidden="1">EvReport!$A$4:$Q$202</definedName>
    <definedName name="Z_5A17102E_EE71_4C81_8F85_E08ECB33509E_.wvu.FilterData" localSheetId="8" hidden="1">EvReport!$A$4:$Q$202</definedName>
    <definedName name="Z_5A243D5C_9442_47FD_AEC4_579B92C96A6C_.wvu.FilterData" localSheetId="3" hidden="1">Forecast!$F$8:$F$218</definedName>
    <definedName name="Z_5A5FE89B_708B_42E9_A2C1_7782D5429198_.wvu.FilterData" localSheetId="8" hidden="1">EvReport!$A$4:$Q$202</definedName>
    <definedName name="Z_5A7D312D_5588_4DAE_831D_EBFBAB5E1A00_.wvu.FilterData" localSheetId="8" hidden="1">EvReport!$A$4:$Q$202</definedName>
    <definedName name="Z_5A7FA532_772D_42E1_9C99_FDAE8F216A4C_.wvu.FilterData" localSheetId="8" hidden="1">EvReport!$A$4:$Q$202</definedName>
    <definedName name="Z_5A803268_F6C5_4035_B3E1_A94CB9AA8994_.wvu.Cols" localSheetId="5" hidden="1">Ch!$B:$B,Ch!$L:$N</definedName>
    <definedName name="Z_5A803268_F6C5_4035_B3E1_A94CB9AA8994_.wvu.Cols" localSheetId="7" hidden="1">Generation!$U:$U</definedName>
    <definedName name="Z_5A803268_F6C5_4035_B3E1_A94CB9AA8994_.wvu.FilterData" localSheetId="8" hidden="1">EvReport!$A$4:$Q$202</definedName>
    <definedName name="Z_5A803268_F6C5_4035_B3E1_A94CB9AA8994_.wvu.PrintArea" localSheetId="5" hidden="1">Ch!$A$1:$J$59</definedName>
    <definedName name="Z_5A803268_F6C5_4035_B3E1_A94CB9AA8994_.wvu.PrintArea" localSheetId="21" hidden="1">Demand!$B$9:$G$25</definedName>
    <definedName name="Z_5A803268_F6C5_4035_B3E1_A94CB9AA8994_.wvu.PrintArea" localSheetId="10" hidden="1">DGFI!$A$1:$F$36</definedName>
    <definedName name="Z_5A803268_F6C5_4035_B3E1_A94CB9AA8994_.wvu.PrintArea" localSheetId="17" hidden="1">'En-Curve'!$O$1:$AA$69</definedName>
    <definedName name="Z_5A803268_F6C5_4035_B3E1_A94CB9AA8994_.wvu.PrintArea" localSheetId="9" hidden="1">EvBangla!$A$1:$L$33</definedName>
    <definedName name="Z_5A803268_F6C5_4035_B3E1_A94CB9AA8994_.wvu.PrintArea" localSheetId="8" hidden="1">EvReport!$B$4:$L$208</definedName>
    <definedName name="Z_5A803268_F6C5_4035_B3E1_A94CB9AA8994_.wvu.PrintArea" localSheetId="3" hidden="1">Forecast!$B$1:$R$224</definedName>
    <definedName name="Z_5A803268_F6C5_4035_B3E1_A94CB9AA8994_.wvu.PrintArea" localSheetId="1" hidden="1">FWise!$B$1:$L$35</definedName>
    <definedName name="Z_5A803268_F6C5_4035_B3E1_A94CB9AA8994_.wvu.PrintArea" localSheetId="7" hidden="1">Generation!$A$1:$AC$194</definedName>
    <definedName name="Z_5A803268_F6C5_4035_B3E1_A94CB9AA8994_.wvu.PrintArea" localSheetId="0" hidden="1">GEntry!$A$2:$GM$30</definedName>
    <definedName name="Z_5A803268_F6C5_4035_B3E1_A94CB9AA8994_.wvu.PrintArea" localSheetId="16" hidden="1">'L-Curve'!$H$2:$R$48</definedName>
    <definedName name="Z_5A803268_F6C5_4035_B3E1_A94CB9AA8994_.wvu.PrintArea" localSheetId="23" hidden="1">Master!$A$3:$GJ$40</definedName>
    <definedName name="Z_5A803268_F6C5_4035_B3E1_A94CB9AA8994_.wvu.PrintArea" localSheetId="19" hidden="1">'NSI Reading'!$D$1:$F$24</definedName>
    <definedName name="Z_5A803268_F6C5_4035_B3E1_A94CB9AA8994_.wvu.PrintArea" localSheetId="12" hidden="1">'P1'!$A$1:$I$306</definedName>
    <definedName name="Z_5A803268_F6C5_4035_B3E1_A94CB9AA8994_.wvu.PrintArea" localSheetId="4" hidden="1">'P2'!$B$2:$J$192</definedName>
    <definedName name="Z_5A803268_F6C5_4035_B3E1_A94CB9AA8994_.wvu.PrintArea" localSheetId="13" hidden="1">'P3'!$B$1:$I$62</definedName>
    <definedName name="Z_5A803268_F6C5_4035_B3E1_A94CB9AA8994_.wvu.PrintArea" localSheetId="6" hidden="1">PM!$A$1:$G$22</definedName>
    <definedName name="Z_5A803268_F6C5_4035_B3E1_A94CB9AA8994_.wvu.PrintArea" localSheetId="20" hidden="1">'P-Sum'!$A$1:$G$28</definedName>
    <definedName name="Z_5A803268_F6C5_4035_B3E1_A94CB9AA8994_.wvu.PrintArea" localSheetId="14" hidden="1">Volt!$B$2:$K$105</definedName>
    <definedName name="Z_5A803268_F6C5_4035_B3E1_A94CB9AA8994_.wvu.PrintArea" localSheetId="22" hidden="1">YesterdayFWise!$B$1:$L$33</definedName>
    <definedName name="Z_5A803268_F6C5_4035_B3E1_A94CB9AA8994_.wvu.PrintArea" localSheetId="15" hidden="1">YesterdayGen!$A$1:$HY$46</definedName>
    <definedName name="Z_5A803268_F6C5_4035_B3E1_A94CB9AA8994_.wvu.PrintTitles" localSheetId="8" hidden="1">EvReport!$7:$8</definedName>
    <definedName name="Z_5A803268_F6C5_4035_B3E1_A94CB9AA8994_.wvu.PrintTitles" localSheetId="3" hidden="1">Forecast!$4:$8</definedName>
    <definedName name="Z_5A803268_F6C5_4035_B3E1_A94CB9AA8994_.wvu.PrintTitles" localSheetId="4" hidden="1">'P2'!$5:$8</definedName>
    <definedName name="Z_5A803268_F6C5_4035_B3E1_A94CB9AA8994_.wvu.Rows" localSheetId="1" hidden="1">FWise!$24:$24</definedName>
    <definedName name="Z_5A803268_F6C5_4035_B3E1_A94CB9AA8994_.wvu.Rows" localSheetId="0" hidden="1">GEntry!$22:$22</definedName>
    <definedName name="Z_5A803268_F6C5_4035_B3E1_A94CB9AA8994_.wvu.Rows" localSheetId="23" hidden="1">Master!$32:$32</definedName>
    <definedName name="Z_5A803268_F6C5_4035_B3E1_A94CB9AA8994_.wvu.Rows" localSheetId="22" hidden="1">YesterdayFWise!$24:$24</definedName>
    <definedName name="Z_5A803268_F6C5_4035_B3E1_A94CB9AA8994_.wvu.Rows" localSheetId="15" hidden="1">YesterdayGen!$23:$23</definedName>
    <definedName name="Z_5A8DFA9C_FC0C_4A64_B2DB_39D37BD712CD_.wvu.FilterData" localSheetId="8" hidden="1">EvReport!$A$4:$Q$202</definedName>
    <definedName name="Z_5A9D85D6_DDBB_475D_8C5F_1D06ED6FBAFF_.wvu.FilterData" localSheetId="8" hidden="1">EvReport!$A$4:$Q$202</definedName>
    <definedName name="Z_5AA2F511_D0DF_4057_9294_1C4720C4107D_.wvu.FilterData" localSheetId="8" hidden="1">EvReport!$A$4:$Q$202</definedName>
    <definedName name="Z_5AFEA097_0D87_4D44_ADFF_3BBA273FF15F_.wvu.FilterData" localSheetId="8" hidden="1">EvReport!$A$4:$Q$202</definedName>
    <definedName name="Z_5B04B077_E160_4982_BE1C_265E8372D978_.wvu.FilterData" localSheetId="8" hidden="1">EvReport!$A$4:$Q$202</definedName>
    <definedName name="Z_5B271355_9527_4BC6_B7F3_CD34FE497828_.wvu.FilterData" localSheetId="8" hidden="1">EvReport!$A$4:$Q$202</definedName>
    <definedName name="Z_5B2C98CB_1AAE_46F7_9DE4_E81192877527_.wvu.FilterData" localSheetId="3" hidden="1">Forecast!$F$8:$F$218</definedName>
    <definedName name="Z_5B962D8F_6DC7_4B7D_ABCD_0102EC5F81CE_.wvu.FilterData" localSheetId="3" hidden="1">Forecast!$A$1:$Z$218</definedName>
    <definedName name="Z_5C05F934_CFCA_4DD1_B238_547040F4AB79_.wvu.FilterData" localSheetId="3" hidden="1">Forecast!$A$1:$Z$218</definedName>
    <definedName name="Z_5C34BCB0_6F08_4570_A693_4992BC1F19F7_.wvu.FilterData" localSheetId="8" hidden="1">EvReport!$A$4:$Q$202</definedName>
    <definedName name="Z_5C3A00FD_8740_4DC8_8FA1_04E8A4D38505_.wvu.FilterData" localSheetId="8" hidden="1">EvReport!$A$4:$Q$202</definedName>
    <definedName name="Z_5C6D9B83_43D8_4A2F_86B7_52F83C3055CC_.wvu.FilterData" localSheetId="8" hidden="1">EvReport!$A$4:$Q$202</definedName>
    <definedName name="Z_5C70CEE6_48EA_40EC_9C96_FE7739E6CA7D_.wvu.FilterData" localSheetId="8" hidden="1">EvReport!$A$4:$Q$202</definedName>
    <definedName name="Z_5C796C4F_9EF3_48CC_9E6B_69227F30E3F6_.wvu.FilterData" localSheetId="8" hidden="1">EvReport!$A$4:$Q$202</definedName>
    <definedName name="Z_5C87BD79_311F_431C_91A4_5F6DC11709C1_.wvu.FilterData" localSheetId="8" hidden="1">EvReport!$A$4:$Q$202</definedName>
    <definedName name="Z_5C8A74F4_073B_4277_9AA1_EF29F3FC2BA0_.wvu.FilterData" localSheetId="8" hidden="1">EvReport!$A$4:$Q$202</definedName>
    <definedName name="Z_5CACEC1F_6D58_4393_985A_4FF444C35866_.wvu.FilterData" localSheetId="8" hidden="1">EvReport!$A$4:$Q$202</definedName>
    <definedName name="Z_5CFE43A7_A502_481A_8E0C_7F45F1F0740E_.wvu.FilterData" localSheetId="3" hidden="1">Forecast!$A$1:$Z$218</definedName>
    <definedName name="Z_5D3E4E8A_013A_4F5B_9DC1_DFE91E7993C0_.wvu.FilterData" localSheetId="8" hidden="1">EvReport!$A$4:$Q$202</definedName>
    <definedName name="Z_5D5A3124_ACBD_4E52_89EE_EB3D0C1EB3C7_.wvu.FilterData" localSheetId="8" hidden="1">EvReport!$A$4:$Q$202</definedName>
    <definedName name="Z_5D5B96C7_7E21_4528_844B_0FF020EB6C6A_.wvu.FilterData" localSheetId="8" hidden="1">EvReport!$A$4:$Q$202</definedName>
    <definedName name="Z_5D5E1551_C7AF_4281_A28C_F7AE27789851_.wvu.FilterData" localSheetId="8" hidden="1">EvReport!$A$4:$Q$202</definedName>
    <definedName name="Z_5D7B899C_9789_42B9_8BA9_295124F71AFF_.wvu.FilterData" localSheetId="8" hidden="1">EvReport!$A$4:$Q$202</definedName>
    <definedName name="Z_5DBDACE9_12A2_4483_9A5A_392794C1A5BA_.wvu.FilterData" localSheetId="8" hidden="1">EvReport!$A$4:$Q$202</definedName>
    <definedName name="Z_5DD33679_1E79_4606_9AFF_A230BC8EC7F2_.wvu.FilterData" localSheetId="8" hidden="1">EvReport!$A$4:$Q$202</definedName>
    <definedName name="Z_5DEF6AC6_E877_452B_8468_E9D41105A520_.wvu.FilterData" localSheetId="8" hidden="1">EvReport!$A$4:$Q$202</definedName>
    <definedName name="Z_5E36BDF8_F896_47DD_B349_0B34156C16DC_.wvu.FilterData" localSheetId="8" hidden="1">EvReport!$A$4:$Q$202</definedName>
    <definedName name="Z_5E3F6ACB_241E_422F_B289_547F8959F820_.wvu.FilterData" localSheetId="8" hidden="1">EvReport!$A$4:$Q$202</definedName>
    <definedName name="Z_5E510B63_1D6D_45A8_A53C_D3FBB1EB690F_.wvu.FilterData" localSheetId="3" hidden="1">Forecast!$F$8:$F$218</definedName>
    <definedName name="Z_5E665273_5427_4FEB_BA2E_1A1BA47051E3_.wvu.FilterData" localSheetId="8" hidden="1">EvReport!$A$4:$Q$202</definedName>
    <definedName name="Z_5E90803E_0799_4A9E_BA93_9D91F6C676B1_.wvu.FilterData" localSheetId="3" hidden="1">Forecast!$A$1:$Z$218</definedName>
    <definedName name="Z_5EC87053_8D56_4085_B837_31FF186A31C1_.wvu.FilterData" localSheetId="8" hidden="1">EvReport!$A$4:$Q$202</definedName>
    <definedName name="Z_5EE8B860_941E_408F_87C4_717C8FFD9B3B_.wvu.FilterData" localSheetId="8" hidden="1">EvReport!$A$4:$Q$202</definedName>
    <definedName name="Z_5EF224B7_5462_4AB4_BAD1_40A00294148E_.wvu.FilterData" localSheetId="8" hidden="1">EvReport!$A$4:$Q$202</definedName>
    <definedName name="Z_5F38A505_162F_4E72_B2E5_2297BAA4AD42_.wvu.FilterData" localSheetId="8" hidden="1">EvReport!$A$4:$Q$202</definedName>
    <definedName name="Z_5F91D09E_8FC9_48DF_88F2_F98D24874C98_.wvu.FilterData" localSheetId="8" hidden="1">EvReport!$A$4:$Q$202</definedName>
    <definedName name="Z_5F9FEDFF_9B89_4E4C_9D30_D7019BC87FB2_.wvu.FilterData" localSheetId="8" hidden="1">EvReport!$A$4:$Q$202</definedName>
    <definedName name="Z_6003C34F_4A73_4FB1_B34D_21E287F29488_.wvu.FilterData" localSheetId="8" hidden="1">EvReport!$A$4:$Q$202</definedName>
    <definedName name="Z_60873202_375F_4743_B852_110703AEB9E6_.wvu.FilterData" localSheetId="8" hidden="1">EvReport!$A$4:$Q$202</definedName>
    <definedName name="Z_60AEEC48_95FB_449C_B976_68F4AF96C068_.wvu.FilterData" localSheetId="8" hidden="1">EvReport!$A$4:$Q$202</definedName>
    <definedName name="Z_60CDE485_9EC2_453E_B107_6BC4AE76BCD0_.wvu.FilterData" localSheetId="8" hidden="1">EvReport!$A$4:$Q$202</definedName>
    <definedName name="Z_60E71858_B932_4D00_AC4C_ABC2AA78554A_.wvu.FilterData" localSheetId="8" hidden="1">EvReport!$A$4:$Q$202</definedName>
    <definedName name="Z_60FC821F_CC47_4A22_AEBF_080D1C40F563_.wvu.FilterData" localSheetId="8" hidden="1">EvReport!$A$4:$Q$202</definedName>
    <definedName name="Z_611A64C1_EC27_45BF_927B_76F2B15E1DE5_.wvu.FilterData" localSheetId="8" hidden="1">EvReport!$A$4:$Q$202</definedName>
    <definedName name="Z_611E2A34_FC61_43CA_B5E3_5E0FC77A306D_.wvu.FilterData" localSheetId="8" hidden="1">EvReport!$A$4:$Q$202</definedName>
    <definedName name="Z_61292967_FB49_4C7D_B24E_2A020A1945DD_.wvu.FilterData" localSheetId="3" hidden="1">Forecast!$A$1:$Z$218</definedName>
    <definedName name="Z_613DF1EC_0F3E_477B_9278_D14774D8F9EE_.wvu.FilterData" localSheetId="8" hidden="1">EvReport!$A$4:$Q$202</definedName>
    <definedName name="Z_614357EE_C40C_4A56_8146_0E6355C4DFF2_.wvu.FilterData" localSheetId="8" hidden="1">EvReport!$A$4:$Q$202</definedName>
    <definedName name="Z_6161F6EE_494A_4579_B2AF_09CE302F89D9_.wvu.FilterData" localSheetId="8" hidden="1">EvReport!$A$4:$Q$202</definedName>
    <definedName name="Z_617A68D6_E53B_4005_80E5_137C1F3B8CB9_.wvu.FilterData" localSheetId="8" hidden="1">EvReport!$A$4:$Q$202</definedName>
    <definedName name="Z_618D869D_DC8A_40B5_9B73_3933FAA6FA72_.wvu.FilterData" localSheetId="8" hidden="1">EvReport!$A$4:$Q$202</definedName>
    <definedName name="Z_62039D26_EF1C_4524_89CC_25D514C14838_.wvu.FilterData" localSheetId="3" hidden="1">Forecast!$F$8:$F$218</definedName>
    <definedName name="Z_62AE66CD_4BAE_4B4E_80D7_AEF461811066_.wvu.FilterData" localSheetId="8" hidden="1">EvReport!$A$4:$Q$202</definedName>
    <definedName name="Z_62F27840_F7A2_43B9_8B12_B7D96F9A104F_.wvu.FilterData" localSheetId="8" hidden="1">EvReport!$A$4:$Q$202</definedName>
    <definedName name="Z_63108354_883B_4A1D_96F2_3C48A9206816_.wvu.FilterData" localSheetId="8" hidden="1">EvReport!$A$4:$Q$202</definedName>
    <definedName name="Z_631CCE0D_83F8_447B_8352_AD4933479A79_.wvu.FilterData" localSheetId="3" hidden="1">Forecast!$A$1:$Z$218</definedName>
    <definedName name="Z_637F3CB4_16B2_4D58_AD67_857C1E737B0E_.wvu.FilterData" localSheetId="8" hidden="1">EvReport!$A$4:$Q$202</definedName>
    <definedName name="Z_63C8AB11_4A5C_41FA_80C2_36C4F38A323D_.wvu.FilterData" localSheetId="8" hidden="1">EvReport!$A$4:$Q$202</definedName>
    <definedName name="Z_63DAEB8A_1639_42E8_8775_CE5CA7511C6F_.wvu.FilterData" localSheetId="8" hidden="1">EvReport!$A$4:$Q$202</definedName>
    <definedName name="Z_63DF36FA_7EA8_47BB_B7EC_265F749481E8_.wvu.FilterData" localSheetId="8" hidden="1">EvReport!$A$4:$Q$202</definedName>
    <definedName name="Z_63F934B6_6896_4C9C_ACED_264D57F553C6_.wvu.FilterData" localSheetId="3" hidden="1">Forecast!$A$1:$Z$218</definedName>
    <definedName name="Z_63FBC021_2523_418B_AA0E_5AA0A8255765_.wvu.FilterData" localSheetId="8" hidden="1">EvReport!$A$4:$Q$202</definedName>
    <definedName name="Z_644F0986_AEA4_40D0_92B6_AFED8553E2C6_.wvu.FilterData" localSheetId="8" hidden="1">EvReport!$A$4:$Q$202</definedName>
    <definedName name="Z_6468BB12_9A7D_4DE0_95E9_EF1578DE8364_.wvu.FilterData" localSheetId="8" hidden="1">EvReport!$A$4:$Q$202</definedName>
    <definedName name="Z_64870CDA_3421_468A_BE63_50DBC832928E_.wvu.FilterData" localSheetId="8" hidden="1">EvReport!$A$4:$Q$202</definedName>
    <definedName name="Z_64920E69_13DD_4365_BB4A_A8B4A2C061A5_.wvu.FilterData" localSheetId="8" hidden="1">EvReport!$A$4:$Q$202</definedName>
    <definedName name="Z_64F0FDBE_CBB4_4F12_B27B_5636DE3ADC39_.wvu.FilterData" localSheetId="8" hidden="1">EvReport!$A$4:$Q$202</definedName>
    <definedName name="Z_6505161A_FC8B_4CF7_950F_517AEE2C930E_.wvu.FilterData" localSheetId="8" hidden="1">EvReport!$A$4:$Q$202</definedName>
    <definedName name="Z_651758AA_53BF_4624_A4E4_A723E27F3F2F_.wvu.FilterData" localSheetId="8" hidden="1">EvReport!$A$4:$Q$202</definedName>
    <definedName name="Z_6521D22C_E108_457A_9FA4_C3BE303D850D_.wvu.FilterData" localSheetId="8" hidden="1">EvReport!$A$4:$Q$202</definedName>
    <definedName name="Z_6526F5BF_F007_439C_AC29_92492022200B_.wvu.FilterData" localSheetId="8" hidden="1">EvReport!$A$4:$Q$202</definedName>
    <definedName name="Z_65D3A3BD_BFBA_4DB4_A689_72383BC0433D_.wvu.FilterData" localSheetId="8" hidden="1">EvReport!$A$4:$Q$202</definedName>
    <definedName name="Z_65ED1DBE_B109_44E4_AF66_E9B3827004ED_.wvu.FilterData" localSheetId="8" hidden="1">EvReport!$A$4:$Q$202</definedName>
    <definedName name="Z_6645C5F8_ED42_43E7_92F8_2D1ECDE64BD8_.wvu.FilterData" localSheetId="8" hidden="1">EvReport!$A$4:$Q$202</definedName>
    <definedName name="Z_66518E4F_AC90_42F4_8435_FA83FA49314E_.wvu.FilterData" localSheetId="8" hidden="1">EvReport!$A$4:$Q$202</definedName>
    <definedName name="Z_6655DDB1_8501_4E5D_88D2_C475C6DFEF2D_.wvu.FilterData" localSheetId="8" hidden="1">EvReport!$A$4:$Q$202</definedName>
    <definedName name="Z_66668932_C75E_4570_91AB_54B795FE699D_.wvu.FilterData" localSheetId="3" hidden="1">Forecast!$F$8:$F$218</definedName>
    <definedName name="Z_666DF125_1145_4394_A463_538B97CC8F1E_.wvu.FilterData" localSheetId="8" hidden="1">EvReport!$A$4:$Q$202</definedName>
    <definedName name="Z_667FCA9E_3927_49F2_8E91_6303EFA26429_.wvu.FilterData" localSheetId="8" hidden="1">EvReport!$A$4:$Q$202</definedName>
    <definedName name="Z_66ADB4DD_BEE2_4A0F_9486_60C6DB17FFB0_.wvu.FilterData" localSheetId="3" hidden="1">Forecast!$A$1:$Z$218</definedName>
    <definedName name="Z_66D7E87B_F9C2_41E8_83B4_33D92B575DE3_.wvu.FilterData" localSheetId="3" hidden="1">Forecast!$A$1:$Z$218</definedName>
    <definedName name="Z_66FA0F51_F4CE_49E6_8672_3CCC2F49F992_.wvu.FilterData" localSheetId="3" hidden="1">Forecast!$B$8:$R$184</definedName>
    <definedName name="Z_670B2799_6FF2_43F7_9C3D_C944734F04DA_.wvu.FilterData" localSheetId="8" hidden="1">EvReport!$A$4:$Q$202</definedName>
    <definedName name="Z_671AABA7_D6F7_4553_871A_E7E6A2FD80FE_.wvu.FilterData" localSheetId="8" hidden="1">EvReport!$A$4:$Q$202</definedName>
    <definedName name="Z_67D22380_C3E2_4AD5_B474_392486589290_.wvu.FilterData" localSheetId="3" hidden="1">Forecast!$A$1:$Z$218</definedName>
    <definedName name="Z_67F62872_9B00_4603_98F6_0F0690E58808_.wvu.FilterData" localSheetId="8" hidden="1">EvReport!$A$4:$Q$202</definedName>
    <definedName name="Z_67F6F80A_562A_45D2_851E_3E8990E64432_.wvu.FilterData" localSheetId="8" hidden="1">EvReport!$A$4:$Q$202</definedName>
    <definedName name="Z_683DFC6A_274D_48F9_A527_C52CBCDB2CB9_.wvu.FilterData" localSheetId="8" hidden="1">EvReport!$A$4:$Q$202</definedName>
    <definedName name="Z_68625B9D_A457_45A0_96BB_DC164F500FE7_.wvu.FilterData" localSheetId="8" hidden="1">EvReport!$A$4:$Q$202</definedName>
    <definedName name="Z_687D1B5A_39A3_4DEC_9389_57A9FE6A164D_.wvu.FilterData" localSheetId="8" hidden="1">EvReport!$A$4:$Q$202</definedName>
    <definedName name="Z_68A03BB7_0A77_4C51_8C66_1877EBDA6C92_.wvu.FilterData" localSheetId="8" hidden="1">EvReport!$A$4:$Q$202</definedName>
    <definedName name="Z_68D1FB3B_8FDC_45FF_8EE8_EFF01D03F26E_.wvu.FilterData" localSheetId="8" hidden="1">EvReport!$A$4:$Q$202</definedName>
    <definedName name="Z_690C0D3C_FA88_432D_A3A2_8994AEFF4F6B_.wvu.FilterData" localSheetId="8" hidden="1">EvReport!$A$4:$Q$202</definedName>
    <definedName name="Z_6955730A_9DAA_484D_B017_B4F0EE945158_.wvu.FilterData" localSheetId="8" hidden="1">EvReport!$A$4:$Q$202</definedName>
    <definedName name="Z_69668A16_C9DE_4E3D_8501_A8B70505E12A_.wvu.FilterData" localSheetId="8" hidden="1">EvReport!$A$4:$Q$202</definedName>
    <definedName name="Z_697D419C_68D5_4439_A0A1_1061578D217B_.wvu.FilterData" localSheetId="8" hidden="1">EvReport!$A$4:$Q$202</definedName>
    <definedName name="Z_69842F2E_33D7_4F70_9383_27069DE4EABC_.wvu.FilterData" localSheetId="8" hidden="1">EvReport!$A$4:$Q$202</definedName>
    <definedName name="Z_69931C95_7DAE_4E87_95E1_671704B6BD62_.wvu.FilterData" localSheetId="8" hidden="1">EvReport!$A$4:$Q$202</definedName>
    <definedName name="Z_69D775C5_0143_4EED_9312_C9AC2B4B531F_.wvu.FilterData" localSheetId="8" hidden="1">EvReport!$A$4:$Q$202</definedName>
    <definedName name="Z_69E948FC_C948_46BF_A467_CBB29DA864A6_.wvu.FilterData" localSheetId="8" hidden="1">EvReport!$A$4:$Q$202</definedName>
    <definedName name="Z_69F8506B_96F9_489F_B951_EEE220F133A5_.wvu.FilterData" localSheetId="8" hidden="1">EvReport!$A$4:$Q$202</definedName>
    <definedName name="Z_6A206D44_EEDA_48C5_A7A3_0833D92A1265_.wvu.FilterData" localSheetId="8" hidden="1">EvReport!$A$4:$Q$202</definedName>
    <definedName name="Z_6A88D6A5_6382_4B64_A07E_D37198025234_.wvu.FilterData" localSheetId="8" hidden="1">EvReport!$A$4:$Q$202</definedName>
    <definedName name="Z_6A9F5095_6818_4B4D_B59C_73DB1D0BE40A_.wvu.FilterData" localSheetId="8" hidden="1">EvReport!$A$4:$Q$202</definedName>
    <definedName name="Z_6AAD44A0_FBC5_4B56_9B7B_105A58325555_.wvu.FilterData" localSheetId="8" hidden="1">EvReport!$A$4:$Q$202</definedName>
    <definedName name="Z_6ACB6484_7910_4A5C_BBD4_8E58329091D5_.wvu.FilterData" localSheetId="8" hidden="1">EvReport!$A$4:$Q$202</definedName>
    <definedName name="Z_6AD9BF4B_B437_4D31_83D6_7D5528F0F6B4_.wvu.FilterData" localSheetId="8" hidden="1">EvReport!$A$4:$Q$202</definedName>
    <definedName name="Z_6AEF225C_F0C2_44FC_89DC_038839B023BD_.wvu.FilterData" localSheetId="8" hidden="1">EvReport!$A$4:$Q$202</definedName>
    <definedName name="Z_6AF3C9BC_029A_4493_AF73_BC680997344F_.wvu.FilterData" localSheetId="8" hidden="1">EvReport!$A$4:$Q$202</definedName>
    <definedName name="Z_6B303437_41F7_4BEF_A698_9E903CB7939E_.wvu.FilterData" localSheetId="3" hidden="1">Forecast!$A$1:$Z$218</definedName>
    <definedName name="Z_6BB8B4FD_470A_4085_97CD_E72466A85EA5_.wvu.FilterData" localSheetId="8" hidden="1">EvReport!$A$4:$Q$202</definedName>
    <definedName name="Z_6C35A70A_B202_4D86_A7F8_B30AF0862C8D_.wvu.FilterData" localSheetId="8" hidden="1">EvReport!$A$4:$Q$202</definedName>
    <definedName name="Z_6C389219_42E4_4BF7_B751_0A01041B2007_.wvu.FilterData" localSheetId="8" hidden="1">EvReport!$A$4:$Q$202</definedName>
    <definedName name="Z_6C5167AC_717F_47E9_AB91_63AE00050163_.wvu.FilterData" localSheetId="8" hidden="1">EvReport!$A$4:$Q$202</definedName>
    <definedName name="Z_6C54DD5A_2009_44E6_8F75_988D4ADFC62F_.wvu.FilterData" localSheetId="8" hidden="1">EvReport!$A$4:$Q$202</definedName>
    <definedName name="Z_6C78418D_AB03_4E9E_86BD_9165001F082A_.wvu.FilterData" localSheetId="8" hidden="1">EvReport!$A$4:$Q$202</definedName>
    <definedName name="Z_6CDC8FB5_F020_48CB_A906_1DC16CD8273D_.wvu.FilterData" localSheetId="8" hidden="1">EvReport!$A$4:$Q$202</definedName>
    <definedName name="Z_6CE1AFA9_A5D7_4ED8_A7C2_24B2CCD16061_.wvu.FilterData" localSheetId="8" hidden="1">EvReport!$A$4:$Q$202</definedName>
    <definedName name="Z_6D074CCC_5E11_4FB1_B8BB_1057EF607BDC_.wvu.FilterData" localSheetId="8" hidden="1">EvReport!$A$4:$Q$202</definedName>
    <definedName name="Z_6DCF2203_2C3B_40AA_A640_2C714F4F513C_.wvu.FilterData" localSheetId="8" hidden="1">EvReport!$A$4:$Q$202</definedName>
    <definedName name="Z_6DE21C9A_76CE_45E2_9647_87BE05B28DE3_.wvu.FilterData" localSheetId="3" hidden="1">Forecast!$F$8:$F$218</definedName>
    <definedName name="Z_6E04F6CF_9C14_4F82_A939_BE9633127033_.wvu.FilterData" localSheetId="8" hidden="1">EvReport!$A$4:$Q$202</definedName>
    <definedName name="Z_6E0E258C_9C27_4564_A017_FEE6B2BADECC_.wvu.FilterData" localSheetId="8" hidden="1">EvReport!$A$4:$Q$202</definedName>
    <definedName name="Z_6E6D07F1_F7E5_4EEF_8BFB_E2439C82CF0E_.wvu.FilterData" localSheetId="8" hidden="1">EvReport!$A$4:$Q$202</definedName>
    <definedName name="Z_6E7E8DEF_EF37_4F13_9A41_A3CFB82AB1E9_.wvu.FilterData" localSheetId="8" hidden="1">EvReport!$A$4:$Q$202</definedName>
    <definedName name="Z_6EC9D9CC_96CA_4C18_AEE5_CF7918F9FF88_.wvu.FilterData" localSheetId="8" hidden="1">EvReport!$A$4:$Q$202</definedName>
    <definedName name="Z_6EE404F0_1A9B_455D_8703_38882422EA96_.wvu.FilterData" localSheetId="8" hidden="1">EvReport!$A$4:$Q$202</definedName>
    <definedName name="Z_6EEA2120_5360_4A40_9D0B_32A7EE8429CB_.wvu.FilterData" localSheetId="8" hidden="1">EvReport!$A$4:$Q$202</definedName>
    <definedName name="Z_6F4370C6_2CFD_4BD1_8533_8875B4195DF4_.wvu.FilterData" localSheetId="8" hidden="1">EvReport!$A$4:$Q$202</definedName>
    <definedName name="Z_6F66FCE2_49A7_4C21_9660_35EC08A8BE7B_.wvu.FilterData" localSheetId="8" hidden="1">EvReport!$A$4:$Q$202</definedName>
    <definedName name="Z_6F8362C1_627E_4635_A8F4_79836BB0F257_.wvu.FilterData" localSheetId="8" hidden="1">EvReport!$A$4:$Q$202</definedName>
    <definedName name="Z_6FACEC67_D132_4F6D_B0F1_49A6C573CD90_.wvu.FilterData" localSheetId="8" hidden="1">EvReport!$A$4:$Q$202</definedName>
    <definedName name="Z_700A0ABF_053E_4B46_8A83_F5CBF152E47F_.wvu.FilterData" localSheetId="8" hidden="1">EvReport!$A$4:$Q$202</definedName>
    <definedName name="Z_70300F58_5D7E_4777_90A1_95FAD9821395_.wvu.FilterData" localSheetId="3" hidden="1">Forecast!$A$1:$Z$218</definedName>
    <definedName name="Z_7082972C_DEDC_4102_9FB1_3E804C042037_.wvu.FilterData" localSheetId="8" hidden="1">EvReport!$A$4:$Q$202</definedName>
    <definedName name="Z_70B3EA42_DED7_4F33_8CD2_FA2490B2B781_.wvu.FilterData" localSheetId="8" hidden="1">EvReport!$A$4:$Q$202</definedName>
    <definedName name="Z_71242D84_5AC0_4942_B72C_88C2141A4CEB_.wvu.FilterData" localSheetId="8" hidden="1">EvReport!$A$4:$Q$202</definedName>
    <definedName name="Z_7128D897_7DED_4BA2_8CC9_E9FC2976F5B9_.wvu.FilterData" localSheetId="8" hidden="1">EvReport!$A$4:$Q$202</definedName>
    <definedName name="Z_721A4F70_C6AD_4C47_985E_65559DE0A965_.wvu.FilterData" localSheetId="8" hidden="1">EvReport!$A$4:$Q$202</definedName>
    <definedName name="Z_721D65EE_D89F_4438_B883_9FFD4F2E11C7_.wvu.FilterData" localSheetId="8" hidden="1">EvReport!$A$4:$Q$202</definedName>
    <definedName name="Z_72B65997_0A5A_4FDD_AEAC_EA7C6F5FA442_.wvu.FilterData" localSheetId="8" hidden="1">EvReport!$A$4:$Q$202</definedName>
    <definedName name="Z_7309095A_E4F7_459B_995A_A706592CD971_.wvu.FilterData" localSheetId="8" hidden="1">EvReport!$A$4:$Q$202</definedName>
    <definedName name="Z_7340743B_11D3_40B4_B71A_0FB776E00A8E_.wvu.FilterData" localSheetId="3" hidden="1">Forecast!$A$1:$Z$218</definedName>
    <definedName name="Z_73B07478_D61A_4F5A_BF51_70797C3558C8_.wvu.FilterData" localSheetId="8" hidden="1">EvReport!$A$4:$Q$202</definedName>
    <definedName name="Z_73C55E0F_524E_46F0_AB49_94A02208370D_.wvu.FilterData" localSheetId="8" hidden="1">EvReport!$A$4:$Q$202</definedName>
    <definedName name="Z_73C599FD_1CAA_46B2_9B33_000851AA56F8_.wvu.FilterData" localSheetId="3" hidden="1">Forecast!$F$8:$F$218</definedName>
    <definedName name="Z_7496D673_EA3A_4C43_AC47_AB71C19FF769_.wvu.FilterData" localSheetId="8" hidden="1">EvReport!$A$4:$Q$202</definedName>
    <definedName name="Z_749714E0_E7D0_447D_AF72_C58130AA2679_.wvu.FilterData" localSheetId="8" hidden="1">EvReport!$A$4:$Q$202</definedName>
    <definedName name="Z_749A7CD3_91BC_4E3C_8867_0447014A6896_.wvu.FilterData" localSheetId="8" hidden="1">EvReport!$A$4:$Q$202</definedName>
    <definedName name="Z_74B827D9_618E_407A_9EB0_296DC66B387F_.wvu.FilterData" localSheetId="8" hidden="1">EvReport!$A$4:$Q$202</definedName>
    <definedName name="Z_74CD9232_2DBA_45BD_85E8_AA5E98786F83_.wvu.FilterData" localSheetId="8" hidden="1">EvReport!$A$4:$Q$202</definedName>
    <definedName name="Z_74D56796_31F8_4D8B_A06D_38765791DD4C_.wvu.FilterData" localSheetId="8" hidden="1">EvReport!$A$4:$Q$202</definedName>
    <definedName name="Z_74DDBF64_834F_45AE_B45F_95FF97A6E0D7_.wvu.FilterData" localSheetId="8" hidden="1">EvReport!$A$4:$Q$202</definedName>
    <definedName name="Z_74E0352B_BA9D_48A0_AA77_9BC41391693F_.wvu.FilterData" localSheetId="8" hidden="1">EvReport!$A$4:$Q$202</definedName>
    <definedName name="Z_74F39E59_BBD1_4302_9C4E_486D91722945_.wvu.FilterData" localSheetId="8" hidden="1">EvReport!$A$4:$Q$202</definedName>
    <definedName name="Z_751D391F_C74F_4B53_B5B5_25E01AC12EA4_.wvu.FilterData" localSheetId="8" hidden="1">EvReport!$A$4:$Q$202</definedName>
    <definedName name="Z_751D391F_C74F_4B53_B5B5_25E01AC12EA4_.wvu.FilterData" localSheetId="3" hidden="1">Forecast!$A$1:$Z$218</definedName>
    <definedName name="Z_751D391F_C74F_4B53_B5B5_25E01AC12EA4_.wvu.PrintArea" localSheetId="5" hidden="1">Ch!$A$1:$J$58</definedName>
    <definedName name="Z_751D391F_C74F_4B53_B5B5_25E01AC12EA4_.wvu.PrintArea" localSheetId="10" hidden="1">DGFI!$A$1:$F$52</definedName>
    <definedName name="Z_751D391F_C74F_4B53_B5B5_25E01AC12EA4_.wvu.PrintArea" localSheetId="17" hidden="1">'En-Curve'!$P$2:$Z$64</definedName>
    <definedName name="Z_751D391F_C74F_4B53_B5B5_25E01AC12EA4_.wvu.PrintArea" localSheetId="26" hidden="1">EnReport!$C$5:$F$38</definedName>
    <definedName name="Z_751D391F_C74F_4B53_B5B5_25E01AC12EA4_.wvu.PrintArea" localSheetId="9" hidden="1">EvBangla!$A$1:$M$32</definedName>
    <definedName name="Z_751D391F_C74F_4B53_B5B5_25E01AC12EA4_.wvu.PrintArea" localSheetId="8" hidden="1">EvReport!$B$1:$L$209</definedName>
    <definedName name="Z_751D391F_C74F_4B53_B5B5_25E01AC12EA4_.wvu.PrintArea" localSheetId="3" hidden="1">Forecast!$B$1:$R$224</definedName>
    <definedName name="Z_751D391F_C74F_4B53_B5B5_25E01AC12EA4_.wvu.PrintArea" localSheetId="1" hidden="1">FWise!$B$2:$L$42</definedName>
    <definedName name="Z_751D391F_C74F_4B53_B5B5_25E01AC12EA4_.wvu.PrintArea" localSheetId="7" hidden="1">Generation!$A$1:$AC$201</definedName>
    <definedName name="Z_751D391F_C74F_4B53_B5B5_25E01AC12EA4_.wvu.PrintArea" localSheetId="16" hidden="1">'L-Curve'!$H$3:$Q$49</definedName>
    <definedName name="Z_751D391F_C74F_4B53_B5B5_25E01AC12EA4_.wvu.PrintArea" localSheetId="12" hidden="1">'P1'!$A$1:$I$113</definedName>
    <definedName name="Z_751D391F_C74F_4B53_B5B5_25E01AC12EA4_.wvu.PrintArea" localSheetId="4" hidden="1">'P2'!$B$1:$J$194</definedName>
    <definedName name="Z_751D391F_C74F_4B53_B5B5_25E01AC12EA4_.wvu.PrintArea" localSheetId="13" hidden="1">'P3'!$B$1:$J$91</definedName>
    <definedName name="Z_751D391F_C74F_4B53_B5B5_25E01AC12EA4_.wvu.PrintArea" localSheetId="6" hidden="1">PM!$A$1:$G$22</definedName>
    <definedName name="Z_751D391F_C74F_4B53_B5B5_25E01AC12EA4_.wvu.PrintArea" localSheetId="14" hidden="1">Volt!$B$2:$K$119</definedName>
    <definedName name="Z_751D391F_C74F_4B53_B5B5_25E01AC12EA4_.wvu.PrintArea" localSheetId="22" hidden="1">YesterdayFWise!$B$2:$L$32</definedName>
    <definedName name="Z_751D391F_C74F_4B53_B5B5_25E01AC12EA4_.wvu.PrintArea" localSheetId="24" hidden="1">'Zone Wise Gen'!$A$3:$K$29</definedName>
    <definedName name="Z_751D391F_C74F_4B53_B5B5_25E01AC12EA4_.wvu.PrintTitles" localSheetId="8" hidden="1">EvReport!$7:$8</definedName>
    <definedName name="Z_751D391F_C74F_4B53_B5B5_25E01AC12EA4_.wvu.PrintTitles" localSheetId="3" hidden="1">Forecast!$4:$8</definedName>
    <definedName name="Z_751D391F_C74F_4B53_B5B5_25E01AC12EA4_.wvu.PrintTitles" localSheetId="4" hidden="1">'P2'!$5:$8</definedName>
    <definedName name="Z_751D391F_C74F_4B53_B5B5_25E01AC12EA4_.wvu.Rows" localSheetId="1" hidden="1">FWise!$24:$24</definedName>
    <definedName name="Z_751D391F_C74F_4B53_B5B5_25E01AC12EA4_.wvu.Rows" localSheetId="12" hidden="1">'P1'!$106:$106,'P1'!$120:$121</definedName>
    <definedName name="Z_752DFCFB_7ED3_4A80_8183_75B2A94645A6_.wvu.FilterData" localSheetId="8" hidden="1">EvReport!$A$4:$Q$202</definedName>
    <definedName name="Z_7561FE66_CDFD_4F2D_9BAE_316A04E4A0CC_.wvu.FilterData" localSheetId="8" hidden="1">EvReport!$A$4:$Q$202</definedName>
    <definedName name="Z_75982CD0_59AF_46A2_B6A5_26243A53D04D_.wvu.FilterData" localSheetId="8" hidden="1">EvReport!$A$4:$Q$202</definedName>
    <definedName name="Z_7631CAE9_70A8_4B9A_B474_8230F72AAA5F_.wvu.FilterData" localSheetId="8" hidden="1">EvReport!$A$4:$Q$202</definedName>
    <definedName name="Z_76396472_E2BF_4C26_A8EB_98F919692884_.wvu.FilterData" localSheetId="8" hidden="1">EvReport!$A$4:$Q$202</definedName>
    <definedName name="Z_76514ED5_964C_48C0_A5B1_8F41357E4A4B_.wvu.FilterData" localSheetId="3" hidden="1">Forecast!$B$8:$R$184</definedName>
    <definedName name="Z_768A68B0_B6EA_4372_8828_FA7B27379E0C_.wvu.FilterData" localSheetId="8" hidden="1">EvReport!$A$4:$Q$202</definedName>
    <definedName name="Z_76AE28D3_6D43_4F41_A4D9_7461BE3451E7_.wvu.FilterData" localSheetId="8" hidden="1">EvReport!$A$4:$Q$202</definedName>
    <definedName name="Z_773632B1_1ACF_4754_BFF7_40AFEBE6945E_.wvu.FilterData" localSheetId="8" hidden="1">EvReport!$A$4:$Q$202</definedName>
    <definedName name="Z_7777E6E7_DB82_42BC_BF00_E55C052ECEA9_.wvu.FilterData" localSheetId="8" hidden="1">EvReport!$A$4:$Q$202</definedName>
    <definedName name="Z_77AA7CA9_2B4A_4FFF_AB07_C32D23B4CE73_.wvu.FilterData" localSheetId="8" hidden="1">EvReport!$A$4:$Q$202</definedName>
    <definedName name="Z_77D832E0_2732_4112_A698_C3CF5D6DC2ED_.wvu.FilterData" localSheetId="8" hidden="1">EvReport!$A$4:$Q$202</definedName>
    <definedName name="Z_77FB52E2_3896_4405_97AF_7958C2646BD1_.wvu.FilterData" localSheetId="8" hidden="1">EvReport!$A$4:$Q$202</definedName>
    <definedName name="Z_780FE9CE_DE45_4792_B20E_B36C349BB0D2_.wvu.FilterData" localSheetId="8" hidden="1">EvReport!$A$4:$Q$202</definedName>
    <definedName name="Z_783F7C75_F06F_4E93_9E67_A28F82CA16BD_.wvu.FilterData" localSheetId="8" hidden="1">EvReport!$A$4:$Q$202</definedName>
    <definedName name="Z_787244C8_ADBC_473C_97A3_366847C6F41B_.wvu.FilterData" localSheetId="3" hidden="1">Forecast!$F$8:$F$218</definedName>
    <definedName name="Z_7893D693_B4B4_41E9_B516_7E8EC38BAC8E_.wvu.FilterData" localSheetId="8" hidden="1">EvReport!$A$4:$Q$202</definedName>
    <definedName name="Z_78ACE19F_2738_4E90_A2D9_CE24F89F58AF_.wvu.FilterData" localSheetId="3" hidden="1">Forecast!$A$1:$Z$218</definedName>
    <definedName name="Z_78B007F6_18B1_43FA_ABEE_2F68CFC4551C_.wvu.FilterData" localSheetId="8" hidden="1">EvReport!$A$4:$Q$202</definedName>
    <definedName name="Z_78E5A794_F250_4E09_8C5C_A2F2B1A42A2C_.wvu.FilterData" localSheetId="8" hidden="1">EvReport!$A$4:$Q$202</definedName>
    <definedName name="Z_791EA664_3025_4C38_954B_0DFE5DF4C82A_.wvu.FilterData" localSheetId="8" hidden="1">EvReport!$A$4:$Q$202</definedName>
    <definedName name="Z_79526332_CEFC_4FFB_99DC_03BE20787EFF_.wvu.FilterData" localSheetId="8" hidden="1">EvReport!$A$4:$Q$202</definedName>
    <definedName name="Z_79650F54_41EA_4FCC_A795_9A324B5C4F27_.wvu.FilterData" localSheetId="3" hidden="1">Forecast!$A$1:$Z$218</definedName>
    <definedName name="Z_7981556B_088D_4FD5_BCEF_523EACC6BE42_.wvu.FilterData" localSheetId="8" hidden="1">EvReport!$A$4:$Q$202</definedName>
    <definedName name="Z_79F46444_8C75_488C_A137_788C05FFABE1_.wvu.FilterData" localSheetId="8" hidden="1">EvReport!$A$4:$Q$202</definedName>
    <definedName name="Z_79FE9F61_328B_4DB2_B071_672702537803_.wvu.FilterData" localSheetId="8" hidden="1">EvReport!$A$4:$Q$202</definedName>
    <definedName name="Z_7A5C6625_533C_4549_B37D_FCE232489454_.wvu.FilterData" localSheetId="8" hidden="1">EvReport!$A$4:$Q$202</definedName>
    <definedName name="Z_7B5B39A1_6841_4D84_AD97_1181A766C5E5_.wvu.FilterData" localSheetId="8" hidden="1">EvReport!$A$4:$Q$202</definedName>
    <definedName name="Z_7B65F774_ED32_4856_927D_E1E6D7EF3761_.wvu.FilterData" localSheetId="8" hidden="1">EvReport!$A$4:$Q$202</definedName>
    <definedName name="Z_7B795DF6_0CCA_4CD1_9977_394052A8E401_.wvu.FilterData" localSheetId="8" hidden="1">EvReport!$A$4:$Q$202</definedName>
    <definedName name="Z_7BC70958_44AC_4C56_ADFC_59AE9041159F_.wvu.FilterData" localSheetId="8" hidden="1">EvReport!$A$4:$Q$202</definedName>
    <definedName name="Z_7BF55688_6E9B_4984_B954_B76E39EB706B_.wvu.FilterData" localSheetId="8" hidden="1">EvReport!$A$4:$Q$202</definedName>
    <definedName name="Z_7C1C4EDC_CE7F_419A_A8A8_7719944DC360_.wvu.FilterData" localSheetId="8" hidden="1">EvReport!$A$4:$Q$202</definedName>
    <definedName name="Z_7C67784F_E055_43AB_BF10_8B4EB8E661A2_.wvu.FilterData" localSheetId="8" hidden="1">EvReport!$A$4:$Q$202</definedName>
    <definedName name="Z_7C71EF2A_5ADA_494C_8F58_DDA71753DD90_.wvu.FilterData" localSheetId="8" hidden="1">EvReport!$A$4:$Q$202</definedName>
    <definedName name="Z_7C71EF2A_5ADA_494C_8F58_DDA71753DD90_.wvu.PrintArea" localSheetId="5" hidden="1">Ch!$A$1:$J$58</definedName>
    <definedName name="Z_7C71EF2A_5ADA_494C_8F58_DDA71753DD90_.wvu.PrintArea" localSheetId="10" hidden="1">DGFI!$A$1:$F$52</definedName>
    <definedName name="Z_7C71EF2A_5ADA_494C_8F58_DDA71753DD90_.wvu.PrintArea" localSheetId="26" hidden="1">EnReport!$B$3:$H$28</definedName>
    <definedName name="Z_7C71EF2A_5ADA_494C_8F58_DDA71753DD90_.wvu.PrintArea" localSheetId="9" hidden="1">EvBangla!$A$1:$M$32</definedName>
    <definedName name="Z_7C71EF2A_5ADA_494C_8F58_DDA71753DD90_.wvu.PrintArea" localSheetId="8" hidden="1">EvReport!$B$1:$L$209</definedName>
    <definedName name="Z_7C71EF2A_5ADA_494C_8F58_DDA71753DD90_.wvu.PrintArea" localSheetId="3" hidden="1">Forecast!$B$1:$R$224</definedName>
    <definedName name="Z_7C71EF2A_5ADA_494C_8F58_DDA71753DD90_.wvu.PrintArea" localSheetId="1" hidden="1">FWise!$B$1:$L$37</definedName>
    <definedName name="Z_7C71EF2A_5ADA_494C_8F58_DDA71753DD90_.wvu.PrintArea" localSheetId="7" hidden="1">Generation!$A$1:$AC$201</definedName>
    <definedName name="Z_7C71EF2A_5ADA_494C_8F58_DDA71753DD90_.wvu.PrintArea" localSheetId="16" hidden="1">'L-Curve'!$H$3:$Q$49</definedName>
    <definedName name="Z_7C71EF2A_5ADA_494C_8F58_DDA71753DD90_.wvu.PrintArea" localSheetId="12" hidden="1">'P1'!$A$1:$I$125</definedName>
    <definedName name="Z_7C71EF2A_5ADA_494C_8F58_DDA71753DD90_.wvu.PrintArea" localSheetId="4" hidden="1">'P2'!$B$1:$J$194</definedName>
    <definedName name="Z_7C71EF2A_5ADA_494C_8F58_DDA71753DD90_.wvu.PrintArea" localSheetId="13" hidden="1">'P3'!$A$1:$J$85</definedName>
    <definedName name="Z_7C71EF2A_5ADA_494C_8F58_DDA71753DD90_.wvu.PrintArea" localSheetId="6" hidden="1">PM!$A$1:$G$22</definedName>
    <definedName name="Z_7C71EF2A_5ADA_494C_8F58_DDA71753DD90_.wvu.PrintArea" localSheetId="14" hidden="1">Volt!$B$1:$K$111</definedName>
    <definedName name="Z_7C71EF2A_5ADA_494C_8F58_DDA71753DD90_.wvu.PrintArea" localSheetId="22" hidden="1">YesterdayFWise!$B$1:$M$38</definedName>
    <definedName name="Z_7C71EF2A_5ADA_494C_8F58_DDA71753DD90_.wvu.PrintTitles" localSheetId="8" hidden="1">EvReport!$7:$8</definedName>
    <definedName name="Z_7C71EF2A_5ADA_494C_8F58_DDA71753DD90_.wvu.PrintTitles" localSheetId="3" hidden="1">Forecast!$4:$8</definedName>
    <definedName name="Z_7C71EF2A_5ADA_494C_8F58_DDA71753DD90_.wvu.PrintTitles" localSheetId="4" hidden="1">'P2'!$5:$8</definedName>
    <definedName name="Z_7C71EF2A_5ADA_494C_8F58_DDA71753DD90_.wvu.Rows" localSheetId="1" hidden="1">FWise!$24:$24</definedName>
    <definedName name="Z_7C8229CA_1063_4F46_A47B_306669242C66_.wvu.FilterData" localSheetId="8" hidden="1">EvReport!$A$4:$Q$202</definedName>
    <definedName name="Z_7CA2B8B7_3BEA_486C_A47C_62E55C846481_.wvu.FilterData" localSheetId="3" hidden="1">Forecast!$A$1:$Z$218</definedName>
    <definedName name="Z_7CD38274_66FA_4167_8F2B_A77B01813C27_.wvu.FilterData" localSheetId="8" hidden="1">EvReport!$A$4:$Q$202</definedName>
    <definedName name="Z_7D15C21D_6A7A_4B79_8FB0_A96C7BA6358E_.wvu.FilterData" localSheetId="8" hidden="1">EvReport!$A$4:$Q$202</definedName>
    <definedName name="Z_7D2B8459_C081_4B61_BEFF_C32D1B3775E1_.wvu.FilterData" localSheetId="8" hidden="1">EvReport!$A$4:$Q$202</definedName>
    <definedName name="Z_7D2F4FB8_36F6_4527_858C_F5A9F54D0E58_.wvu.FilterData" localSheetId="8" hidden="1">EvReport!$A$4:$Q$202</definedName>
    <definedName name="Z_7D532D95_9297_4A1B_88A0_1E6A5858D531_.wvu.FilterData" localSheetId="8" hidden="1">EvReport!$A$4:$Q$202</definedName>
    <definedName name="Z_7D642FE6_8466_42B2_BAF8_D5C397BBCE5D_.wvu.FilterData" localSheetId="8" hidden="1">EvReport!$A$4:$Q$202</definedName>
    <definedName name="Z_7D983E34_49D0_43C5_AEA2_C69D08639841_.wvu.FilterData" localSheetId="8" hidden="1">EvReport!$A$4:$Q$202</definedName>
    <definedName name="Z_7DC4011A_42D9_4D1C_A5F9_E05240959DE8_.wvu.FilterData" localSheetId="8" hidden="1">EvReport!$A$4:$Q$202</definedName>
    <definedName name="Z_7DC8C459_3048_4F3D_91AE_F3F8BAECDD73_.wvu.FilterData" localSheetId="3" hidden="1">Forecast!$F$8:$F$218</definedName>
    <definedName name="Z_7E639DCE_B97C_4130_93C2_D3F8184F03B3_.wvu.FilterData" localSheetId="8" hidden="1">EvReport!$A$4:$Q$202</definedName>
    <definedName name="Z_7E6EC193_1EE8_4400_9CC4_6C44A1B2DC6B_.wvu.FilterData" localSheetId="8" hidden="1">EvReport!$A$4:$Q$202</definedName>
    <definedName name="Z_7E7DD834_D89F_4201_9D5E_978EF39077E7_.wvu.FilterData" localSheetId="8" hidden="1">EvReport!$A$4:$Q$202</definedName>
    <definedName name="Z_7E86CAA2_1147_49DA_9178_79283A3CC2E4_.wvu.FilterData" localSheetId="8" hidden="1">EvReport!$A$4:$Q$202</definedName>
    <definedName name="Z_7E889453_2943_40BC_ADEF_8950955B135A_.wvu.FilterData" localSheetId="8" hidden="1">EvReport!$A$4:$Q$202</definedName>
    <definedName name="Z_7EC1261F_C0B2_44C0_B828_400A5108C3CF_.wvu.FilterData" localSheetId="8" hidden="1">EvReport!$A$4:$Q$202</definedName>
    <definedName name="Z_7EF6E0DD_BD8F_4D96_AFD7_6CF1AABED193_.wvu.FilterData" localSheetId="8" hidden="1">EvReport!$A$4:$Q$202</definedName>
    <definedName name="Z_7F0686C3_4DE1_413B_AD7C_44FF8326AC08_.wvu.FilterData" localSheetId="8" hidden="1">EvReport!$A$4:$Q$202</definedName>
    <definedName name="Z_7F76D03E_2FCF_4DB5_89A6_FF63A0B52D73_.wvu.FilterData" localSheetId="8" hidden="1">EvReport!$A$4:$Q$202</definedName>
    <definedName name="Z_7FB517F3_4BDF_4D2D_B477_DC849E82195A_.wvu.FilterData" localSheetId="3" hidden="1">Forecast!$F$8:$F$218</definedName>
    <definedName name="Z_802D5354_B378_4A9E_B611_D1C8EB16273A_.wvu.FilterData" localSheetId="8" hidden="1">EvReport!$A$4:$Q$202</definedName>
    <definedName name="Z_804A9314_BE0F_406F_941F_E26EC0024F6B_.wvu.FilterData" localSheetId="8" hidden="1">EvReport!$A$4:$Q$202</definedName>
    <definedName name="Z_804DA9EA_72B7_416C_A215_9EE92E484E95_.wvu.FilterData" localSheetId="8" hidden="1">EvReport!$A$4:$Q$202</definedName>
    <definedName name="Z_80701379_1FF6_4C09_8DE8_6D84E1DAC7B5_.wvu.FilterData" localSheetId="8" hidden="1">EvReport!$A$4:$Q$202</definedName>
    <definedName name="Z_808E6BC3_598F_46A4_AB38_71BF5A105E5D_.wvu.FilterData" localSheetId="3" hidden="1">Forecast!$A$1:$Z$218</definedName>
    <definedName name="Z_80A6CE24_3C59_4731_8308_2DBF9FABFB8B_.wvu.FilterData" localSheetId="3" hidden="1">Forecast!$F$8:$F$218</definedName>
    <definedName name="Z_80DA6A29_A124_4116_BC9C_AFAA0904621D_.wvu.FilterData" localSheetId="8" hidden="1">EvReport!$A$4:$Q$202</definedName>
    <definedName name="Z_8119CE4E_F8C6_465B_8D91_BED2ED9DC765_.wvu.FilterData" localSheetId="8" hidden="1">EvReport!$A$4:$Q$202</definedName>
    <definedName name="Z_81380242_0559_41A4_856C_DFAF5B0DDE93_.wvu.FilterData" localSheetId="8" hidden="1">EvReport!$A$4:$Q$202</definedName>
    <definedName name="Z_81491496_B28B_4635_A6CD_3FDAF0AEBA85_.wvu.FilterData" localSheetId="3" hidden="1">Forecast!$A$1:$Z$218</definedName>
    <definedName name="Z_81988995_4EB7_4205_9473_7C815D637B57_.wvu.FilterData" localSheetId="8" hidden="1">EvReport!$A$4:$Q$202</definedName>
    <definedName name="Z_81D544D3_CAC6_4883_B28D_E43B24B43D0C_.wvu.FilterData" localSheetId="8" hidden="1">EvReport!$A$4:$Q$202</definedName>
    <definedName name="Z_81F59BE8_6704_4EC2_97F9_518BBC739358_.wvu.FilterData" localSheetId="3" hidden="1">Forecast!$A$1:$Z$218</definedName>
    <definedName name="Z_8256DCB1_6452_4F65_9FE9_90C7562C393E_.wvu.FilterData" localSheetId="8" hidden="1">EvReport!$A$4:$Q$202</definedName>
    <definedName name="Z_827C9965_9C27_4531_AF5F_38E5F0E328CE_.wvu.FilterData" localSheetId="8" hidden="1">EvReport!$A$4:$Q$202</definedName>
    <definedName name="Z_82F26770_7815_499F_A233_66964B486CBD_.wvu.FilterData" localSheetId="8" hidden="1">EvReport!$A$4:$Q$202</definedName>
    <definedName name="Z_82F8300F_C99C_4EF0_9C9D_D6C7BD92A177_.wvu.FilterData" localSheetId="8" hidden="1">EvReport!$A$4:$Q$202</definedName>
    <definedName name="Z_835DE0B5_7441_4795_868F_B79F9A78EE6B_.wvu.FilterData" localSheetId="8" hidden="1">EvReport!$A$4:$Q$202</definedName>
    <definedName name="Z_837EFD09_9FCC_404A_BC1E_11EBE528C53A_.wvu.FilterData" localSheetId="8" hidden="1">EvReport!$A$4:$Q$202</definedName>
    <definedName name="Z_83ABE26F_4D86_43BF_A641_531E389F3541_.wvu.FilterData" localSheetId="8" hidden="1">EvReport!$A$4:$Q$202</definedName>
    <definedName name="Z_83E5509F_D248_446C_9A7E_707818FF606A_.wvu.FilterData" localSheetId="3" hidden="1">Forecast!$A$1:$Z$218</definedName>
    <definedName name="Z_840243AA_1325_4F53_BB96_5394D09DF247_.wvu.FilterData" localSheetId="8" hidden="1">EvReport!$A$4:$Q$202</definedName>
    <definedName name="Z_84040044_A1DF_4A97_9198_70B041132920_.wvu.FilterData" localSheetId="8" hidden="1">EvReport!$A$4:$Q$202</definedName>
    <definedName name="Z_8417E524_A593_4BEF_AE0F_6E17E970BA6B_.wvu.FilterData" localSheetId="8" hidden="1">EvReport!$A$4:$Q$202</definedName>
    <definedName name="Z_842E8AF3_2C09_468C_84D1_B5ADD97796EC_.wvu.FilterData" localSheetId="8" hidden="1">EvReport!$A$4:$Q$202</definedName>
    <definedName name="Z_8434BA77_129E_48AB_9C85_215D91A442C4_.wvu.FilterData" localSheetId="8" hidden="1">EvReport!$A$4:$Q$202</definedName>
    <definedName name="Z_84798391_AE40_4D8E_83F9_D1320982AA9F_.wvu.FilterData" localSheetId="8" hidden="1">EvReport!$A$4:$Q$202</definedName>
    <definedName name="Z_8483D66E_8278_43A7_82EA_0759C3BFB045_.wvu.FilterData" localSheetId="3" hidden="1">Forecast!$F$8:$F$218</definedName>
    <definedName name="Z_84EF3658_C493_4BA9_9430_EB1DD6188F96_.wvu.FilterData" localSheetId="8" hidden="1">EvReport!$A$4:$Q$202</definedName>
    <definedName name="Z_84EF3658_C493_4BA9_9430_EB1DD6188F96_.wvu.FilterData" localSheetId="3" hidden="1">Forecast!$F$8:$F$218</definedName>
    <definedName name="Z_85965E73_2F7B_4114_B2BD_2C4C845F007E_.wvu.FilterData" localSheetId="8" hidden="1">EvReport!$A$4:$Q$202</definedName>
    <definedName name="Z_85DB7C5B_3E59_4A2D_B55C_4E41088FE1DE_.wvu.FilterData" localSheetId="8" hidden="1">EvReport!$A$4:$Q$202</definedName>
    <definedName name="Z_85E85573_D8BD_45C2_A3CA_9C08E5462B54_.wvu.FilterData" localSheetId="8" hidden="1">EvReport!$A$4:$Q$202</definedName>
    <definedName name="Z_85F9DFB7_CD3E_4D75_9B94_AAF080B59483_.wvu.FilterData" localSheetId="8" hidden="1">EvReport!$A$4:$Q$202</definedName>
    <definedName name="Z_8669581B_633C_4AAA_B21B_40201C411A52_.wvu.FilterData" localSheetId="8" hidden="1">EvReport!$A$4:$Q$202</definedName>
    <definedName name="Z_868D96EB_9892_4375_B5E0_E28F58AD20A9_.wvu.FilterData" localSheetId="8" hidden="1">EvReport!$A$4:$Q$202</definedName>
    <definedName name="Z_8726354C_FCAD_41C5_9E5D_9E2DF1480268_.wvu.FilterData" localSheetId="8" hidden="1">EvReport!$A$4:$Q$202</definedName>
    <definedName name="Z_8748E18C_D90E_4D17_B754_8D79B8C1F374_.wvu.FilterData" localSheetId="8" hidden="1">EvReport!$A$4:$Q$202</definedName>
    <definedName name="Z_8778B1E8_8B08_4D99_A808_AADE35FEB26A_.wvu.FilterData" localSheetId="8" hidden="1">EvReport!$A$4:$Q$202</definedName>
    <definedName name="Z_87825ACD_5ED4_4328_8B06_D63EC69BAE82_.wvu.FilterData" localSheetId="8" hidden="1">EvReport!$A$4:$Q$202</definedName>
    <definedName name="Z_879343E5_E115_4956_BE77_D7E902C73B44_.wvu.FilterData" localSheetId="8" hidden="1">EvReport!$A$4:$Q$202</definedName>
    <definedName name="Z_87A46157_0D0B_4AD2_94B8_4B33267C8697_.wvu.FilterData" localSheetId="8" hidden="1">EvReport!$A$4:$Q$202</definedName>
    <definedName name="Z_87E5B956_0011_4D86_929B_D34B1D27C0B4_.wvu.FilterData" localSheetId="3" hidden="1">Forecast!$A$1:$Z$218</definedName>
    <definedName name="Z_87F9D225_E89E_46BD_A84F_65C26BBD6555_.wvu.FilterData" localSheetId="8" hidden="1">EvReport!$A$4:$Q$202</definedName>
    <definedName name="Z_881A7A0E_9DD9_4AAB_A6E8_B9BF16C201C5_.wvu.FilterData" localSheetId="8" hidden="1">EvReport!$A$4:$Q$202</definedName>
    <definedName name="Z_885D827F_F29C_4C33_82E7_0FB3C53F25AC_.wvu.FilterData" localSheetId="8" hidden="1">EvReport!$A$4:$Q$202</definedName>
    <definedName name="Z_887FD46F_3E77_43D2_A4B0_A196F7EF7FC1_.wvu.FilterData" localSheetId="8" hidden="1">EvReport!$A$4:$Q$202</definedName>
    <definedName name="Z_88A86E76_9513_4BA0_A3F9_E6100F6B62E4_.wvu.FilterData" localSheetId="8" hidden="1">EvReport!$A$4:$Q$202</definedName>
    <definedName name="Z_88B372AF_EE8A_411B_9FDF_50DDB2EAB86F_.wvu.FilterData" localSheetId="8" hidden="1">EvReport!$A$4:$Q$202</definedName>
    <definedName name="Z_8932F1C7_3DDC_4B12_854D_02F6CED9384C_.wvu.FilterData" localSheetId="8" hidden="1">EvReport!$A$4:$Q$202</definedName>
    <definedName name="Z_89577D84_B140_422C_8407_15C98E628999_.wvu.FilterData" localSheetId="8" hidden="1">EvReport!$A$4:$Q$202</definedName>
    <definedName name="Z_898D54B5_051B_413E_9153_2B9CB8527C57_.wvu.FilterData" localSheetId="8" hidden="1">EvReport!$A$4:$Q$202</definedName>
    <definedName name="Z_899DF5FC_47E8_4155_90E4_0EDB4005A5EB_.wvu.FilterData" localSheetId="8" hidden="1">EvReport!$A$4:$Q$202</definedName>
    <definedName name="Z_8A07182F_44ED_4144_B531_BA80D72D51A2_.wvu.FilterData" localSheetId="3" hidden="1">Forecast!$A$1:$Z$218</definedName>
    <definedName name="Z_8A2478BF_BF4B_44BC_8449_3F968C89E6E9_.wvu.FilterData" localSheetId="8" hidden="1">EvReport!$A$4:$Q$202</definedName>
    <definedName name="Z_8A55A829_2377_422B_B813_62075D0C90C0_.wvu.FilterData" localSheetId="8" hidden="1">EvReport!$A$4:$Q$202</definedName>
    <definedName name="Z_8A7D048A_23E8_4C84_999F_DC920BB58BD0_.wvu.FilterData" localSheetId="8" hidden="1">EvReport!$A$4:$Q$202</definedName>
    <definedName name="Z_8A7DD7EF_B60F_462E_A1BD_D33612E3FCC5_.wvu.FilterData" localSheetId="8" hidden="1">EvReport!$A$4:$Q$202</definedName>
    <definedName name="Z_8A9831E1_71BB_434B_94E1_9854ABE5E64D_.wvu.FilterData" localSheetId="8" hidden="1">EvReport!$A$4:$Q$202</definedName>
    <definedName name="Z_8A9E8EB6_B065_49AE_B37F_EC8D33C38FDB_.wvu.FilterData" localSheetId="8" hidden="1">EvReport!$A$4:$Q$202</definedName>
    <definedName name="Z_8B133972_7AE0_4980_8F13_19A3A68BDB79_.wvu.FilterData" localSheetId="8" hidden="1">EvReport!$A$4:$Q$202</definedName>
    <definedName name="Z_8B4BCD4E_0D1D_4491_8871_8EC1826EC105_.wvu.FilterData" localSheetId="3" hidden="1">Forecast!$F$8:$F$218</definedName>
    <definedName name="Z_8B6E455F_02D7_40A7_834B_5BBC333FA300_.wvu.FilterData" localSheetId="8" hidden="1">EvReport!$A$4:$Q$202</definedName>
    <definedName name="Z_8BAFD1EF_E187_472A_B772_B4AE1FC31D30_.wvu.FilterData" localSheetId="8" hidden="1">EvReport!$A$4:$Q$202</definedName>
    <definedName name="Z_8C1F8B12_953D_443A_B615_DC1B6D340B76_.wvu.FilterData" localSheetId="8" hidden="1">EvReport!$A$4:$Q$202</definedName>
    <definedName name="Z_8C782509_69D7_408B_A4E3_BD74725C9F78_.wvu.FilterData" localSheetId="3" hidden="1">Forecast!$A$1:$Z$218</definedName>
    <definedName name="Z_8C9ED8D3_4062_4416_872E_D6E5A1ED8DA9_.wvu.FilterData" localSheetId="3" hidden="1">Forecast!$A$1:$Z$218</definedName>
    <definedName name="Z_8D117EA4_77F8_4170_A508_7159D2C79A80_.wvu.FilterData" localSheetId="3" hidden="1">Forecast!$A$1:$Z$218</definedName>
    <definedName name="Z_8D49E855_502B_4753_B8F5_77091B5AA431_.wvu.FilterData" localSheetId="8" hidden="1">EvReport!$A$4:$Q$202</definedName>
    <definedName name="Z_8D50EE5B_E70E_4E36_A32A_D69D005EC6E4_.wvu.FilterData" localSheetId="8" hidden="1">EvReport!$A$4:$Q$202</definedName>
    <definedName name="Z_8D541C6B_FB70_4409_ACE9_51439A0FDA5D_.wvu.FilterData" localSheetId="8" hidden="1">EvReport!$A$4:$Q$202</definedName>
    <definedName name="Z_8D67856B_CB41_4644_B053_3ABAA64B77AE_.wvu.FilterData" localSheetId="8" hidden="1">EvReport!$A$4:$Q$202</definedName>
    <definedName name="Z_8D72C783_B770_4BAE_A640_13335455C8BA_.wvu.FilterData" localSheetId="8" hidden="1">EvReport!$A$4:$Q$202</definedName>
    <definedName name="Z_8D7C666D_6379_4F7D_8D15_18046D01A41A_.wvu.FilterData" localSheetId="8" hidden="1">EvReport!$A$4:$Q$202</definedName>
    <definedName name="Z_8D879D4C_090F_42CF_BC60_D579164091E4_.wvu.FilterData" localSheetId="8" hidden="1">EvReport!$A$4:$Q$202</definedName>
    <definedName name="Z_8D997BB1_4012_4157_BF83_C46FCBEA99D9_.wvu.FilterData" localSheetId="8" hidden="1">EvReport!$A$4:$Q$202</definedName>
    <definedName name="Z_8DB8CB3F_9166_44F1_8834_BADB00C3D2EB_.wvu.FilterData" localSheetId="8" hidden="1">EvReport!$A$4:$Q$202</definedName>
    <definedName name="Z_8E7F3328_970E_4F12_8A0E_81B9D1081BB1_.wvu.FilterData" localSheetId="8" hidden="1">EvReport!$A$4:$Q$202</definedName>
    <definedName name="Z_8EABB946_418F_437C_B180_93D049776341_.wvu.FilterData" localSheetId="8" hidden="1">EvReport!$A$4:$Q$202</definedName>
    <definedName name="Z_8EF9E854_153D_4273_8793_A8B929C908F9_.wvu.FilterData" localSheetId="8" hidden="1">EvReport!$A$4:$Q$202</definedName>
    <definedName name="Z_8F10DD2B_B293_467B_8F90_DAF3A871813A_.wvu.FilterData" localSheetId="8" hidden="1">EvReport!$A$4:$Q$202</definedName>
    <definedName name="Z_8F18503B_C40A_4662_BB21_969BE8B2206D_.wvu.FilterData" localSheetId="8" hidden="1">EvReport!$A$4:$Q$202</definedName>
    <definedName name="Z_8FB25013_84AE_474F_8D7A_041E151A2260_.wvu.FilterData" localSheetId="8" hidden="1">EvReport!$A$4:$Q$202</definedName>
    <definedName name="Z_8FB527C7_32B4_4DFC_A514_DF1D5E6F2D44_.wvu.FilterData" localSheetId="8" hidden="1">EvReport!$A$4:$Q$202</definedName>
    <definedName name="Z_8FB94424_B042_41B8_AAF4_D729E31826A6_.wvu.FilterData" localSheetId="8" hidden="1">EvReport!$A$4:$Q$202</definedName>
    <definedName name="Z_8FC836A1_8334_4033_933B_CE9454E38D45_.wvu.FilterData" localSheetId="8" hidden="1">EvReport!$A$4:$Q$202</definedName>
    <definedName name="Z_902B9F15_4660_4690_A198_6C64F6399434_.wvu.FilterData" localSheetId="8" hidden="1">EvReport!$A$4:$Q$202</definedName>
    <definedName name="Z_9069EE3E_7D57_4EC0_AD03_27B5873F593A_.wvu.FilterData" localSheetId="8" hidden="1">EvReport!$A$4:$Q$202</definedName>
    <definedName name="Z_90A47383_6A95_424A_920D_514F805CEF44_.wvu.FilterData" localSheetId="8" hidden="1">EvReport!$A$4:$Q$202</definedName>
    <definedName name="Z_90CF6D74_301C_434C_9C8B_80721927F1F7_.wvu.FilterData" localSheetId="8" hidden="1">EvReport!$A$4:$Q$202</definedName>
    <definedName name="Z_90F8FF3C_506E_4757_97A3_D4E0242245E8_.wvu.FilterData" localSheetId="8" hidden="1">EvReport!$A$4:$Q$202</definedName>
    <definedName name="Z_917057C8_5E5F_4164_B84C_85103677A2E5_.wvu.PrintArea" localSheetId="5" hidden="1">Ch!$A$1:$J$59</definedName>
    <definedName name="Z_917057C8_5E5F_4164_B84C_85103677A2E5_.wvu.PrintArea" localSheetId="21" hidden="1">Demand!$B$9:$G$25</definedName>
    <definedName name="Z_917057C8_5E5F_4164_B84C_85103677A2E5_.wvu.PrintArea" localSheetId="10" hidden="1">DGFI!$A$1:$F$36</definedName>
    <definedName name="Z_917057C8_5E5F_4164_B84C_85103677A2E5_.wvu.PrintArea" localSheetId="17" hidden="1">'En-Curve'!$P$1:$AA$62</definedName>
    <definedName name="Z_917057C8_5E5F_4164_B84C_85103677A2E5_.wvu.PrintArea" localSheetId="9" hidden="1">EvBangla!$A$1:$L$33</definedName>
    <definedName name="Z_917057C8_5E5F_4164_B84C_85103677A2E5_.wvu.PrintArea" localSheetId="8" hidden="1">EvReport!$B$4:$L$208</definedName>
    <definedName name="Z_917057C8_5E5F_4164_B84C_85103677A2E5_.wvu.PrintArea" localSheetId="3" hidden="1">Forecast!$B$1:$R$224</definedName>
    <definedName name="Z_917057C8_5E5F_4164_B84C_85103677A2E5_.wvu.PrintArea" localSheetId="1" hidden="1">FWise!$B$1:$L$32</definedName>
    <definedName name="Z_917057C8_5E5F_4164_B84C_85103677A2E5_.wvu.PrintArea" localSheetId="7" hidden="1">Generation!$A$1:$AC$196</definedName>
    <definedName name="Z_917057C8_5E5F_4164_B84C_85103677A2E5_.wvu.PrintArea" localSheetId="0" hidden="1">GEntry!$A$2:$GM$30</definedName>
    <definedName name="Z_917057C8_5E5F_4164_B84C_85103677A2E5_.wvu.PrintArea" localSheetId="16" hidden="1">'L-Curve'!$H$2:$R$48</definedName>
    <definedName name="Z_917057C8_5E5F_4164_B84C_85103677A2E5_.wvu.PrintArea" localSheetId="23" hidden="1">Master!$A$3:$GJ$40</definedName>
    <definedName name="Z_917057C8_5E5F_4164_B84C_85103677A2E5_.wvu.PrintArea" localSheetId="19" hidden="1">'NSI Reading'!$D$1:$F$24</definedName>
    <definedName name="Z_917057C8_5E5F_4164_B84C_85103677A2E5_.wvu.PrintArea" localSheetId="12" hidden="1">'P1'!$A$1:$I$125</definedName>
    <definedName name="Z_917057C8_5E5F_4164_B84C_85103677A2E5_.wvu.PrintArea" localSheetId="4" hidden="1">'P2'!$B$2:$J$192</definedName>
    <definedName name="Z_917057C8_5E5F_4164_B84C_85103677A2E5_.wvu.PrintArea" localSheetId="13" hidden="1">'P3'!$A$2:$J$83</definedName>
    <definedName name="Z_917057C8_5E5F_4164_B84C_85103677A2E5_.wvu.PrintArea" localSheetId="6" hidden="1">PM!$A$1:$G$22</definedName>
    <definedName name="Z_917057C8_5E5F_4164_B84C_85103677A2E5_.wvu.PrintArea" localSheetId="20" hidden="1">'P-Sum'!$A$1:$G$28</definedName>
    <definedName name="Z_917057C8_5E5F_4164_B84C_85103677A2E5_.wvu.PrintArea" localSheetId="14" hidden="1">Volt!$A$2:$K$107</definedName>
    <definedName name="Z_917057C8_5E5F_4164_B84C_85103677A2E5_.wvu.PrintArea" localSheetId="22" hidden="1">YesterdayFWise!$B$1:$L$33</definedName>
    <definedName name="Z_917057C8_5E5F_4164_B84C_85103677A2E5_.wvu.PrintArea" localSheetId="15" hidden="1">YesterdayGen!$A$1:$HY$46</definedName>
    <definedName name="Z_917057C8_5E5F_4164_B84C_85103677A2E5_.wvu.PrintTitles" localSheetId="8" hidden="1">EvReport!$7:$8</definedName>
    <definedName name="Z_917057C8_5E5F_4164_B84C_85103677A2E5_.wvu.PrintTitles" localSheetId="3" hidden="1">Forecast!$4:$8</definedName>
    <definedName name="Z_917057C8_5E5F_4164_B84C_85103677A2E5_.wvu.PrintTitles" localSheetId="4" hidden="1">'P2'!$5:$8</definedName>
    <definedName name="Z_91969094_8C68_475B_8794_DD338CD363BB_.wvu.FilterData" localSheetId="8" hidden="1">EvReport!$A$4:$Q$202</definedName>
    <definedName name="Z_91D012FF_65C6_4BCB_BBC5_1EF6E5D5C868_.wvu.FilterData" localSheetId="8" hidden="1">EvReport!$A$4:$Q$202</definedName>
    <definedName name="Z_9267F758_7360_432A_90EB_1E404BFB128B_.wvu.FilterData" localSheetId="8" hidden="1">EvReport!$A$4:$Q$202</definedName>
    <definedName name="Z_9275872C_1A3B_4AE5_9781_92D6FEBF723D_.wvu.FilterData" localSheetId="8" hidden="1">EvReport!$A$4:$Q$202</definedName>
    <definedName name="Z_927695B8_DEDC_438B_BD99_80FCA5F18142_.wvu.FilterData" localSheetId="8" hidden="1">EvReport!$A$4:$Q$202</definedName>
    <definedName name="Z_928F0835_6D87_4C73_981A_6C6161C9E273_.wvu.FilterData" localSheetId="8" hidden="1">EvReport!$A$4:$Q$202</definedName>
    <definedName name="Z_92BB1A14_98D7_4FE8_868E_EF37330B751D_.wvu.FilterData" localSheetId="8" hidden="1">EvReport!$A$4:$Q$202</definedName>
    <definedName name="Z_930A67D8_5E8D_471B_9129_E64CAFBCF5D3_.wvu.FilterData" localSheetId="8" hidden="1">EvReport!$A$4:$Q$202</definedName>
    <definedName name="Z_9330E852_6803_440C_A542_E6913FBEB0F6_.wvu.FilterData" localSheetId="8" hidden="1">EvReport!$A$4:$Q$202</definedName>
    <definedName name="Z_93445565_A851_4CC4_A0DF_F46723DB1B7D_.wvu.FilterData" localSheetId="8" hidden="1">EvReport!$A$4:$Q$202</definedName>
    <definedName name="Z_93837E07_F8E4_4A12_8D83_A0FEF1F02B2F_.wvu.FilterData" localSheetId="8" hidden="1">EvReport!$A$4:$Q$202</definedName>
    <definedName name="Z_93F7419F_AF1E_4142_A903_7B44AB041E6F_.wvu.FilterData" localSheetId="3" hidden="1">Forecast!$F$8:$F$218</definedName>
    <definedName name="Z_93FE8C35_0FE9_4C05_B3A2_09426680A249_.wvu.FilterData" localSheetId="8" hidden="1">EvReport!$A$4:$Q$202</definedName>
    <definedName name="Z_93FEA45A_891E_4F5A_9D17_FAC1F9482B09_.wvu.FilterData" localSheetId="8" hidden="1">EvReport!$A$4:$Q$202</definedName>
    <definedName name="Z_940C5E82_3BD1_4ACC_B219_D721907595C3_.wvu.FilterData" localSheetId="3" hidden="1">Forecast!$A$1:$Z$218</definedName>
    <definedName name="Z_941559FD_F8A5_4E6E_AFCA_7BA38D2B122B_.wvu.FilterData" localSheetId="8" hidden="1">EvReport!$A$4:$Q$202</definedName>
    <definedName name="Z_9434DFF6_0400_4C22_80DD_F2B6DFDF3671_.wvu.FilterData" localSheetId="8" hidden="1">EvReport!$A$4:$Q$202</definedName>
    <definedName name="Z_9456E8AC_5835_4E6C_9EC7_713ECA3F3B1B_.wvu.FilterData" localSheetId="8" hidden="1">EvReport!$A$4:$Q$202</definedName>
    <definedName name="Z_9496BCDB_0387_4866_9C40_E966F0B19172_.wvu.FilterData" localSheetId="8" hidden="1">EvReport!$A$4:$Q$202</definedName>
    <definedName name="Z_94BAA395_B188_449A_A0AF_6C38555D75BB_.wvu.FilterData" localSheetId="8" hidden="1">EvReport!$A$4:$Q$202</definedName>
    <definedName name="Z_94CDD387_FDC3_4CB2_B584_6942B21DCC03_.wvu.FilterData" localSheetId="8" hidden="1">EvReport!$A$4:$Q$202</definedName>
    <definedName name="Z_94CDD387_FDC3_4CB2_B584_6942B21DCC03_.wvu.FilterData" localSheetId="3" hidden="1">Forecast!$A$1:$Z$218</definedName>
    <definedName name="Z_94D74BD5_8ADF_428D_A777_DC45E3D56625_.wvu.FilterData" localSheetId="8" hidden="1">EvReport!$A$4:$Q$202</definedName>
    <definedName name="Z_94E675A3_FD0B_4A8D_AAD3_CE56079AD4E9_.wvu.FilterData" localSheetId="3" hidden="1">Forecast!$A$1:$Z$218</definedName>
    <definedName name="Z_94F436DC_7848_440C_BFA0_5243FDABF8D5_.wvu.FilterData" localSheetId="8" hidden="1">EvReport!$A$4:$Q$202</definedName>
    <definedName name="Z_955B2527_10EF_4B8E_8243_559542CE2533_.wvu.FilterData" localSheetId="8" hidden="1">EvReport!$A$4:$Q$202</definedName>
    <definedName name="Z_955B6EFF_98AB_4250_A3FD_CABFFC035FDD_.wvu.FilterData" localSheetId="8" hidden="1">EvReport!$A$4:$Q$202</definedName>
    <definedName name="Z_95D39DEB_A4B1_455E_935E_D38701EC0AD5_.wvu.FilterData" localSheetId="8" hidden="1">EvReport!$A$4:$Q$202</definedName>
    <definedName name="Z_9643B313_B6C6_4373_9641_EA38508456CF_.wvu.FilterData" localSheetId="8" hidden="1">EvReport!$A$4:$Q$202</definedName>
    <definedName name="Z_96499D43_7496_45C5_90AE_6D2DF3116600_.wvu.FilterData" localSheetId="8" hidden="1">EvReport!$A$4:$Q$202</definedName>
    <definedName name="Z_96639DE8_4552_492E_B4D5_4A482C813501_.wvu.FilterData" localSheetId="8" hidden="1">EvReport!$A$4:$Q$202</definedName>
    <definedName name="Z_96666334_0903_4BD4_A7A2_1A7B4E74BD9E_.wvu.FilterData" localSheetId="8" hidden="1">EvReport!$A$4:$Q$202</definedName>
    <definedName name="Z_96678584_BBB2_4B48_AD17_C9EA97F11FCB_.wvu.FilterData" localSheetId="8" hidden="1">EvReport!$A$4:$Q$202</definedName>
    <definedName name="Z_967B53B5_9E53_41BA_95CC_2537254C7A0F_.wvu.FilterData" localSheetId="8" hidden="1">EvReport!$A$4:$Q$202</definedName>
    <definedName name="Z_9698D300_8173_43A1_889D_67E6B0FD741A_.wvu.FilterData" localSheetId="8" hidden="1">EvReport!$A$4:$Q$202</definedName>
    <definedName name="Z_96C8BBEC_508D_4E99_8612_6CF0C87B43AE_.wvu.FilterData" localSheetId="8" hidden="1">EvReport!$A$4:$Q$202</definedName>
    <definedName name="Z_970EBF07_564A_47DF_80FA_1174CF58A29C_.wvu.FilterData" localSheetId="3" hidden="1">Forecast!$F$8:$F$218</definedName>
    <definedName name="Z_97355FD3_51B2_4378_A9D1_9F8B4D49AEF0_.wvu.FilterData" localSheetId="8" hidden="1">EvReport!$A$4:$Q$202</definedName>
    <definedName name="Z_9760A81E_0FE4_4BC8_B575_291BDE74B187_.wvu.FilterData" localSheetId="8" hidden="1">EvReport!$A$4:$Q$202</definedName>
    <definedName name="Z_97CF6DF8_4BA3_43F6_8898_6F94CAE537D5_.wvu.FilterData" localSheetId="8" hidden="1">EvReport!$A$4:$Q$202</definedName>
    <definedName name="Z_980C420C_5812_4948_9F72_954D3F655CB9_.wvu.FilterData" localSheetId="8" hidden="1">EvReport!$A$4:$Q$202</definedName>
    <definedName name="Z_98202BE3_C1CB_4EEB_AB51_5A4201ECE734_.wvu.FilterData" localSheetId="8" hidden="1">EvReport!$A$4:$Q$202</definedName>
    <definedName name="Z_98707692_B9F2_4399_975E_34B3FC15700E_.wvu.FilterData" localSheetId="8" hidden="1">EvReport!$A$4:$Q$202</definedName>
    <definedName name="Z_9899F5A4_E8F6_42EE_A011_F7D286B8CAA9_.wvu.FilterData" localSheetId="8" hidden="1">EvReport!$A$4:$Q$202</definedName>
    <definedName name="Z_98A7B99E_FA5C_4535_BF06_FE4303B2B5A5_.wvu.FilterData" localSheetId="3" hidden="1">Forecast!$A$1:$Z$218</definedName>
    <definedName name="Z_98D21DAD_8A16_4A34_B4D2_AFD97E8E7170_.wvu.FilterData" localSheetId="3" hidden="1">Forecast!$F$8:$F$218</definedName>
    <definedName name="Z_9926F187_44CE_4D29_AA78_A1FFED91A43E_.wvu.FilterData" localSheetId="8" hidden="1">EvReport!$A$4:$Q$202</definedName>
    <definedName name="Z_9938F17C_B212_4638_8423_13823357E980_.wvu.FilterData" localSheetId="8" hidden="1">EvReport!$A$4:$Q$202</definedName>
    <definedName name="Z_99636C99_E2FE_4BA8_A9DD_0C89BF280CCB_.wvu.FilterData" localSheetId="8" hidden="1">EvReport!$A$4:$Q$202</definedName>
    <definedName name="Z_996EF971_309E_41AB_8EE9_7E8B509CED5C_.wvu.FilterData" localSheetId="8" hidden="1">EvReport!$A$4:$Q$202</definedName>
    <definedName name="Z_999BDCD1_4B9E_4E94_BD46_C229995D473E_.wvu.FilterData" localSheetId="8" hidden="1">EvReport!$A$4:$Q$202</definedName>
    <definedName name="Z_9A208796_F23F_4A3B_A5F3_F2CE65DE1A52_.wvu.FilterData" localSheetId="8" hidden="1">EvReport!$A$4:$Q$202</definedName>
    <definedName name="Z_9A4899EC_629E_492A_A3DD_9AF66932899D_.wvu.FilterData" localSheetId="8" hidden="1">EvReport!$A$4:$Q$202</definedName>
    <definedName name="Z_9A8BDC15_3B17_495D_BF7B_42A4243E0A07_.wvu.FilterData" localSheetId="8" hidden="1">EvReport!$A$4:$Q$202</definedName>
    <definedName name="Z_9A98EF91_B60E_48C5_A49E_4183D91D9760_.wvu.FilterData" localSheetId="8" hidden="1">EvReport!$A$4:$Q$202</definedName>
    <definedName name="Z_9AB4E96A_95C0_42F9_B61A_15461875C0C3_.wvu.FilterData" localSheetId="8" hidden="1">EvReport!$A$4:$Q$202</definedName>
    <definedName name="Z_9ABE9F31_2C27_4D79_97E8_FD4014D3601C_.wvu.FilterData" localSheetId="3" hidden="1">Forecast!$F$8:$F$218</definedName>
    <definedName name="Z_9AF6A55B_7B5B_4AF9_BE8E_AAF081BA2861_.wvu.FilterData" localSheetId="3" hidden="1">Forecast!$A$1:$Z$218</definedName>
    <definedName name="Z_9B23FF12_8115_442B_8E20_C13E6A1CBFD6_.wvu.FilterData" localSheetId="8" hidden="1">EvReport!$A$4:$Q$202</definedName>
    <definedName name="Z_9B271F4B_B51F_4B0E_9911_108748DD124F_.wvu.FilterData" localSheetId="8" hidden="1">EvReport!$A$4:$Q$202</definedName>
    <definedName name="Z_9B2A75E5_1D9D_425C_B7C1_82038CC7020A_.wvu.FilterData" localSheetId="8" hidden="1">EvReport!$A$4:$Q$202</definedName>
    <definedName name="Z_9B33649C_C24E_46DA_B3CA_D0302E8B6E86_.wvu.FilterData" localSheetId="8" hidden="1">EvReport!$A$4:$Q$202</definedName>
    <definedName name="Z_9B8329D1_F0F3_4D12_9DA1_E3A76F178708_.wvu.FilterData" localSheetId="8" hidden="1">EvReport!$A$4:$Q$202</definedName>
    <definedName name="Z_9B9D3F21_8A3B_4E79_805C_76A034E711C4_.wvu.FilterData" localSheetId="3" hidden="1">Forecast!$A$1:$Z$218</definedName>
    <definedName name="Z_9BAB3331_CB95_4BEC_8CA1_42E25C72EEFC_.wvu.FilterData" localSheetId="8" hidden="1">EvReport!$A$4:$Q$202</definedName>
    <definedName name="Z_9BF0B828_7B50_468A_91D4_8F03F601BFDB_.wvu.FilterData" localSheetId="8" hidden="1">EvReport!$A$4:$Q$202</definedName>
    <definedName name="Z_9C052C4D_69FA_4B53_83A8_179860DB3EE7_.wvu.FilterData" localSheetId="8" hidden="1">EvReport!$A$4:$Q$202</definedName>
    <definedName name="Z_9C483A79_CB70_4C5F_A74A_E1C4AA445B2A_.wvu.FilterData" localSheetId="8" hidden="1">EvReport!$A$4:$Q$202</definedName>
    <definedName name="Z_9C695E68_0E63_4F05_8BCD_629B3BAFD66E_.wvu.FilterData" localSheetId="3" hidden="1">Forecast!$A$1:$Z$218</definedName>
    <definedName name="Z_9C70CC7F_7F4B_4BBA_B29A_6E3436128E07_.wvu.FilterData" localSheetId="3" hidden="1">Forecast!$A$1:$Z$218</definedName>
    <definedName name="Z_9C870430_C6FA_4770_9C61_4A5E6BA7E790_.wvu.FilterData" localSheetId="8" hidden="1">EvReport!$A$4:$Q$202</definedName>
    <definedName name="Z_9C9A88FC_60AA_4E46_985E_6B93E0C31673_.wvu.FilterData" localSheetId="8" hidden="1">EvReport!$A$4:$Q$202</definedName>
    <definedName name="Z_9CA7DB77_3767_42F6_ABD7_635CFBA23957_.wvu.FilterData" localSheetId="8" hidden="1">EvReport!$A$4:$Q$202</definedName>
    <definedName name="Z_9CE4A35A_F3EC_4A7D_B21F_DCA2D491286B_.wvu.FilterData" localSheetId="8" hidden="1">EvReport!$A$4:$Q$202</definedName>
    <definedName name="Z_9D095BF5_C390_403C_8991_89EC0A5937E0_.wvu.FilterData" localSheetId="8" hidden="1">EvReport!$A$4:$Q$202</definedName>
    <definedName name="Z_9D198CC2_7808_4B0C_B5C0_B5C3C956AE10_.wvu.FilterData" localSheetId="8" hidden="1">EvReport!$A$4:$Q$202</definedName>
    <definedName name="Z_9D1A8B00_30C7_4F31_B483_5B93F67FABD1_.wvu.FilterData" localSheetId="8" hidden="1">EvReport!$A$4:$Q$202</definedName>
    <definedName name="Z_9D838B38_9944_4187_B8E5_3E026338382D_.wvu.FilterData" localSheetId="8" hidden="1">EvReport!$A$4:$Q$202</definedName>
    <definedName name="Z_9D98A0D4_37E6_4C67_8F9D_3573EC128349_.wvu.FilterData" localSheetId="8" hidden="1">EvReport!$A$4:$Q$202</definedName>
    <definedName name="Z_9D9D8347_9D9C_4542_A769_27E477973153_.wvu.FilterData" localSheetId="8" hidden="1">EvReport!$A$4:$Q$202</definedName>
    <definedName name="Z_9DA07C6E_CA11_4B44_A534_66EC28FAACD2_.wvu.FilterData" localSheetId="8" hidden="1">EvReport!$A$4:$Q$202</definedName>
    <definedName name="Z_9DB0A8CB_2826_4428_A8A8_C56D0B267243_.wvu.FilterData" localSheetId="8" hidden="1">EvReport!$A$4:$Q$202</definedName>
    <definedName name="Z_9DEF91C4_4059_4E43_905B_7C422B6A5DC0_.wvu.FilterData" localSheetId="8" hidden="1">EvReport!$A$4:$Q$202</definedName>
    <definedName name="Z_9E12343E_E5A1_4068_B94D_0F2B5F2619CC_.wvu.FilterData" localSheetId="8" hidden="1">EvReport!$A$4:$Q$202</definedName>
    <definedName name="Z_9E37EE29_228E_4B93_87AE_BB91C7647A13_.wvu.FilterData" localSheetId="8" hidden="1">EvReport!$A$4:$Q$202</definedName>
    <definedName name="Z_9E3C4919_F66B_4D38_A143_2ADA48987AAD_.wvu.FilterData" localSheetId="8" hidden="1">EvReport!$A$4:$Q$202</definedName>
    <definedName name="Z_9E40F8C0_7E43_4438_8B64_25CDABA851AA_.wvu.FilterData" localSheetId="8" hidden="1">EvReport!$A$4:$Q$202</definedName>
    <definedName name="Z_9EC2B3C4_3E23_424E_B158_F5AD89A12266_.wvu.FilterData" localSheetId="3" hidden="1">Forecast!$F$8:$F$218</definedName>
    <definedName name="Z_9EDBAA97_FCEC_4CD8_B050_485771D39D45_.wvu.FilterData" localSheetId="3" hidden="1">Forecast!$A$1:$Z$218</definedName>
    <definedName name="Z_9F09C159_AC63_42D0_96A5_3C8EE6F62DE0_.wvu.FilterData" localSheetId="8" hidden="1">EvReport!$A$4:$Q$202</definedName>
    <definedName name="Z_9F82D168_2F32_414A_A5C4_2E80D6098DEA_.wvu.FilterData" localSheetId="8" hidden="1">EvReport!$A$4:$Q$202</definedName>
    <definedName name="Z_A0618D45_83BB_4AE2_A54D_9F73359E1D80_.wvu.FilterData" localSheetId="8" hidden="1">EvReport!$A$4:$Q$202</definedName>
    <definedName name="Z_A0924AFA_E8E0_4218_9674_6D89CCA57CD5_.wvu.FilterData" localSheetId="8" hidden="1">EvReport!$A$4:$Q$202</definedName>
    <definedName name="Z_A09EC2C1_ED1D_4A17_B3BF_1DFA312E3F77_.wvu.FilterData" localSheetId="8" hidden="1">EvReport!$A$4:$Q$202</definedName>
    <definedName name="Z_A0A98947_7314_4325_AE81_ED5BCF6FD7D8_.wvu.FilterData" localSheetId="8" hidden="1">EvReport!$A$4:$Q$202</definedName>
    <definedName name="Z_A0ACEF04_C3CC_4E73_9432_384BC01C3DA5_.wvu.FilterData" localSheetId="8" hidden="1">EvReport!$A$4:$Q$202</definedName>
    <definedName name="Z_A0C98DEC_E5A3_45BA_887F_6344512A8B15_.wvu.FilterData" localSheetId="8" hidden="1">EvReport!$A$4:$Q$202</definedName>
    <definedName name="Z_A103C930_37EC_460A_8D46_EC61CDCBB5FE_.wvu.FilterData" localSheetId="8" hidden="1">EvReport!$A$4:$Q$202</definedName>
    <definedName name="Z_A135B34C_A53D_48B8_BFA7_48EE9550BD7A_.wvu.FilterData" localSheetId="3" hidden="1">Forecast!$A$1:$Z$218</definedName>
    <definedName name="Z_A14690B3_EF23_47B9_88FB_4B0632C9756C_.wvu.FilterData" localSheetId="8" hidden="1">EvReport!$A$4:$Q$202</definedName>
    <definedName name="Z_A150F9A8_4E57_429D_A1D6_86D7DB3E4A85_.wvu.FilterData" localSheetId="8" hidden="1">EvReport!$A$4:$Q$202</definedName>
    <definedName name="Z_A177C5DA_F090_4522_BE09_58D46E1B2F72_.wvu.FilterData" localSheetId="8" hidden="1">EvReport!$A$4:$Q$202</definedName>
    <definedName name="Z_A19EFBFC_E3D5_4E23_8FDC_D8FF3AF9CC29_.wvu.FilterData" localSheetId="8" hidden="1">EvReport!$A$4:$Q$202</definedName>
    <definedName name="Z_A1D70F80_373F_404D_9A3A_0616E1FE7B1E_.wvu.FilterData" localSheetId="8" hidden="1">EvReport!$A$4:$Q$202</definedName>
    <definedName name="Z_A1E69751_CCEA_4509_A0BD_08871405B426_.wvu.FilterData" localSheetId="8" hidden="1">EvReport!$A$4:$Q$202</definedName>
    <definedName name="Z_A1F27188_873C_4347_9D05_661ACD433009_.wvu.FilterData" localSheetId="8" hidden="1">EvReport!$A$4:$Q$202</definedName>
    <definedName name="Z_A2448B1A_9CB5_4937_B910_7762B6980EE9_.wvu.FilterData" localSheetId="8" hidden="1">EvReport!$A$4:$Q$202</definedName>
    <definedName name="Z_A24A355C_442F_41BC_AB95_E5FED6F40130_.wvu.FilterData" localSheetId="8" hidden="1">EvReport!$A$4:$Q$202</definedName>
    <definedName name="Z_A24A355C_442F_41BC_AB95_E5FED6F40130_.wvu.FilterData" localSheetId="3" hidden="1">Forecast!$A$1:$Z$218</definedName>
    <definedName name="Z_A25FE889_847F_4468_9721_F84FC609BF50_.wvu.FilterData" localSheetId="3" hidden="1">Forecast!$A$1:$Z$218</definedName>
    <definedName name="Z_A28E71AF_1292_4CC9_8A12_45DB6FB8B679_.wvu.FilterData" localSheetId="8" hidden="1">EvReport!$A$4:$Q$202</definedName>
    <definedName name="Z_A292A451_6415_4FC8_B05B_04655DCB6C59_.wvu.FilterData" localSheetId="8" hidden="1">EvReport!$A$4:$Q$202</definedName>
    <definedName name="Z_A2E99FDC_CE69_4D1B_A451_11245FDDA70E_.wvu.FilterData" localSheetId="8" hidden="1">EvReport!$A$4:$Q$202</definedName>
    <definedName name="Z_A2F872B7_E9AA_418B_9BED_0D9A05982669_.wvu.FilterData" localSheetId="8" hidden="1">EvReport!$A$4:$Q$202</definedName>
    <definedName name="Z_A3163368_E7F1_4B3C_AA49_EAFC9B0BC962_.wvu.FilterData" localSheetId="8" hidden="1">EvReport!$A$4:$Q$202</definedName>
    <definedName name="Z_A3273F7B_29BF_4A7F_9F93_AD0FBAB2822E_.wvu.FilterData" localSheetId="8" hidden="1">EvReport!$A$4:$Q$202</definedName>
    <definedName name="Z_A37741A5_F58C_4937_8395_877F49ABF80B_.wvu.FilterData" localSheetId="8" hidden="1">EvReport!$A$4:$Q$202</definedName>
    <definedName name="Z_A3B342B0_A253_4889_88B0_61DAA62138EB_.wvu.FilterData" localSheetId="8" hidden="1">EvReport!$A$4:$Q$202</definedName>
    <definedName name="Z_A3E88BE3_B6AE_4E26_A377_668F3066195F_.wvu.FilterData" localSheetId="8" hidden="1">EvReport!$A$4:$Q$202</definedName>
    <definedName name="Z_A3F1EC42_BEBF_4653_A5AC_0088CBB23120_.wvu.FilterData" localSheetId="8" hidden="1">EvReport!$A$4:$Q$202</definedName>
    <definedName name="Z_A40E370C_674B_4DB9_ABCE_6C8E80052429_.wvu.FilterData" localSheetId="8" hidden="1">EvReport!$A$4:$Q$202</definedName>
    <definedName name="Z_A421DE65_83B0_4174_B275_B52CAE26C358_.wvu.FilterData" localSheetId="8" hidden="1">EvReport!$A$4:$Q$202</definedName>
    <definedName name="Z_A42C7629_8429_4911_AAFD_CFEEBDF7225B_.wvu.FilterData" localSheetId="3" hidden="1">Forecast!$A$1:$Z$218</definedName>
    <definedName name="Z_A449DF68_501B_43A1_9EDC_A8BA901C3065_.wvu.FilterData" localSheetId="8" hidden="1">EvReport!$A$4:$Q$202</definedName>
    <definedName name="Z_A491101E_9CA8_45D9_8846_F4E1F984E48F_.wvu.FilterData" localSheetId="8" hidden="1">EvReport!$A$4:$Q$202</definedName>
    <definedName name="Z_A4C2CDB0_E039_42D5_A2E4_A644F29A21DC_.wvu.FilterData" localSheetId="8" hidden="1">EvReport!$A$4:$Q$202</definedName>
    <definedName name="Z_A4D6EAC9_ED13_431A_BEDD_278BECF7C1D4_.wvu.FilterData" localSheetId="3" hidden="1">Forecast!$A$1:$Z$218</definedName>
    <definedName name="Z_A5459409_244E_40A9_A04A_CB6F8F0CFA07_.wvu.FilterData" localSheetId="3" hidden="1">Forecast!$F$8:$F$218</definedName>
    <definedName name="Z_A57CC5D3_3241_4A41_8B57_3F41CCBC3574_.wvu.FilterData" localSheetId="8" hidden="1">EvReport!$A$4:$Q$202</definedName>
    <definedName name="Z_A586472D_117F_4AFE_9640_DAC874473B0F_.wvu.FilterData" localSheetId="8" hidden="1">EvReport!$A$4:$Q$202</definedName>
    <definedName name="Z_A59B04BC_0DC0_434A_AB74_4BE405D60615_.wvu.FilterData" localSheetId="8" hidden="1">EvReport!$A$4:$Q$202</definedName>
    <definedName name="Z_A59D6A34_A560_42FA_94A7_525C22D96335_.wvu.FilterData" localSheetId="3" hidden="1">Forecast!$A$1:$Z$218</definedName>
    <definedName name="Z_A5B2BFF0_FA6D_4D5B_91ED_8F21E3DFA52A_.wvu.FilterData" localSheetId="8" hidden="1">EvReport!$A$4:$Q$202</definedName>
    <definedName name="Z_A5DD5AED_FE9E_4651_BB7B_2BE69E7BBFE0_.wvu.FilterData" localSheetId="3" hidden="1">Forecast!$F$8:$F$218</definedName>
    <definedName name="Z_A5E49BB2_175C_4B45_9CC5_C988C5173252_.wvu.FilterData" localSheetId="8" hidden="1">EvReport!$A$4:$Q$202</definedName>
    <definedName name="Z_A637F5D1_65C9_48FC_8929_977C5C65EB2B_.wvu.FilterData" localSheetId="8" hidden="1">EvReport!$A$4:$Q$202</definedName>
    <definedName name="Z_A63AA4B0_7943_4348_8304_125E448D8055_.wvu.FilterData" localSheetId="8" hidden="1">EvReport!$A$4:$Q$202</definedName>
    <definedName name="Z_A6474D47_A70E_43B7_A22B_CE1359E9F36E_.wvu.FilterData" localSheetId="8" hidden="1">EvReport!$A$4:$Q$202</definedName>
    <definedName name="Z_A695FE56_5126_4FD3_A378_40928EBAC1A7_.wvu.FilterData" localSheetId="8" hidden="1">EvReport!$A$4:$Q$202</definedName>
    <definedName name="Z_A6B09E7E_11CE_460E_9E9B_B60E7F9231EB_.wvu.FilterData" localSheetId="8" hidden="1">EvReport!$A$4:$Q$202</definedName>
    <definedName name="Z_A6B0E2D7_A944_4C15_97D0_A684A4D32705_.wvu.FilterData" localSheetId="8" hidden="1">EvReport!$A$4:$Q$202</definedName>
    <definedName name="Z_A6B2FEA4_E08C_4A73_A1E2_341CC1162694_.wvu.FilterData" localSheetId="8" hidden="1">EvReport!$A$4:$Q$202</definedName>
    <definedName name="Z_A6CEE700_6733_4330_B912_D539A466F98D_.wvu.FilterData" localSheetId="8" hidden="1">EvReport!$A$4:$Q$202</definedName>
    <definedName name="Z_A704EC86_0DBB_4233_A067_5ACF6A047B02_.wvu.FilterData" localSheetId="8" hidden="1">EvReport!$A$4:$Q$202</definedName>
    <definedName name="Z_A709628D_8F48_4838_811C_AA7B9E3FAE2B_.wvu.FilterData" localSheetId="8" hidden="1">EvReport!$A$4:$Q$202</definedName>
    <definedName name="Z_A7D22923_6FC2_4BBC_BDAA_2C8A5C98AA3D_.wvu.FilterData" localSheetId="3" hidden="1">Forecast!$A$1:$Z$218</definedName>
    <definedName name="Z_A8135EAF_3A8A_41DB_945D_9277A751FD46_.wvu.FilterData" localSheetId="8" hidden="1">EvReport!$A$4:$Q$202</definedName>
    <definedName name="Z_A8E6BBAC_763A_4E8F_B398_907D49E5B7C7_.wvu.FilterData" localSheetId="8" hidden="1">EvReport!$A$4:$Q$202</definedName>
    <definedName name="Z_A905276D_FBF1_4F96_80B3_43161D40DEC7_.wvu.FilterData" localSheetId="8" hidden="1">EvReport!$A$4:$Q$202</definedName>
    <definedName name="Z_A9054712_F70D_492B_97D6_EF09911EFFB4_.wvu.FilterData" localSheetId="8" hidden="1">EvReport!$A$4:$Q$202</definedName>
    <definedName name="Z_A958F141_A335_4FDB_9213_98B2CAED95AF_.wvu.FilterData" localSheetId="8" hidden="1">EvReport!$A$4:$Q$202</definedName>
    <definedName name="Z_A96D5FAC_A843_462B_8840_E945462B3883_.wvu.FilterData" localSheetId="8" hidden="1">EvReport!$A$4:$Q$202</definedName>
    <definedName name="Z_A973B3BA_95D0_4EB1_ACBE_B526F561CA2A_.wvu.FilterData" localSheetId="8" hidden="1">EvReport!$A$4:$Q$202</definedName>
    <definedName name="Z_A9A5EBD1_F768_409B_A1C1_F3913B0D0E3C_.wvu.FilterData" localSheetId="8" hidden="1">EvReport!$A$4:$Q$202</definedName>
    <definedName name="Z_A9E5371F_56FA_4923_A733_C6A6578EFE77_.wvu.FilterData" localSheetId="3" hidden="1">Forecast!$A$1:$Z$218</definedName>
    <definedName name="Z_AA610245_7E1B_4F00_AE52_1165F4413413_.wvu.FilterData" localSheetId="8" hidden="1">EvReport!$A$4:$Q$202</definedName>
    <definedName name="Z_AA80CB49_13B7_4157_9893_515B32E40A09_.wvu.FilterData" localSheetId="3" hidden="1">Forecast!$A$1:$Z$218</definedName>
    <definedName name="Z_AAB58287_77A2_406C_9849_D960DC6AA5AF_.wvu.FilterData" localSheetId="8" hidden="1">EvReport!$A$4:$Q$202</definedName>
    <definedName name="Z_AACE9870_B22A_4963_9593_8D5A42D81A86_.wvu.FilterData" localSheetId="8" hidden="1">EvReport!$A$4:$Q$202</definedName>
    <definedName name="Z_AAF8737E_1F12_4C3C_B2B2_8701D3DC519F_.wvu.FilterData" localSheetId="8" hidden="1">EvReport!$A$4:$Q$202</definedName>
    <definedName name="Z_AB0DC3D1_5078_4B27_8211_36F4399FFAEE_.wvu.FilterData" localSheetId="8" hidden="1">EvReport!$A$4:$Q$202</definedName>
    <definedName name="Z_AB17510E_FC17_42E4_B62A_97ECDC0D0E7E_.wvu.FilterData" localSheetId="8" hidden="1">EvReport!$A$4:$Q$202</definedName>
    <definedName name="Z_AB2A0688_3AC3_422A_AAF9_872D87481A60_.wvu.FilterData" localSheetId="8" hidden="1">EvReport!$A$4:$Q$202</definedName>
    <definedName name="Z_AB466C7A_01C1_42EC_A00D_14885FC6691C_.wvu.FilterData" localSheetId="8" hidden="1">EvReport!$A$4:$Q$202</definedName>
    <definedName name="Z_AB73915D_63D7_4400_B176_EC476E39B06F_.wvu.FilterData" localSheetId="3" hidden="1">Forecast!$A$1:$Z$218</definedName>
    <definedName name="Z_AB7C411A_C014_4E16_B283_B483256B83FD_.wvu.FilterData" localSheetId="3" hidden="1">Forecast!$A$1:$Z$218</definedName>
    <definedName name="Z_ABCCFD2D_9AFB_49CA_92DD_EBCFF4FA5E0F_.wvu.FilterData" localSheetId="8" hidden="1">EvReport!$A$4:$Q$202</definedName>
    <definedName name="Z_ABD9E513_B9B1_4388_AD3A_8BD318B178C4_.wvu.FilterData" localSheetId="8" hidden="1">EvReport!$A$4:$Q$202</definedName>
    <definedName name="Z_AC7B16C6_609E_4363_973C_578523B1B9DA_.wvu.FilterData" localSheetId="8" hidden="1">EvReport!$A$4:$Q$202</definedName>
    <definedName name="Z_ACB581C4_02AC_4186_B3B2_D4AF71C9D531_.wvu.FilterData" localSheetId="8" hidden="1">EvReport!$A$4:$Q$202</definedName>
    <definedName name="Z_ACD36536_BDC8_4DB4_8B12_AA0ECBD4C557_.wvu.FilterData" localSheetId="8" hidden="1">EvReport!$A$4:$Q$202</definedName>
    <definedName name="Z_ACED769C_0557_4CCD_A629_7C751EFE487F_.wvu.FilterData" localSheetId="8" hidden="1">EvReport!$A$4:$Q$202</definedName>
    <definedName name="Z_ACEFFB5E_5EDF_4FCF_9E86_83C27B769A4F_.wvu.FilterData" localSheetId="8" hidden="1">EvReport!$A$4:$Q$202</definedName>
    <definedName name="Z_AD2BF47C_0561_4C93_B380_82BBA6372F91_.wvu.FilterData" localSheetId="8" hidden="1">EvReport!$A$4:$Q$202</definedName>
    <definedName name="Z_AD465622_22B0_4988_A132_20C3B988DF44_.wvu.FilterData" localSheetId="8" hidden="1">EvReport!$A$4:$Q$202</definedName>
    <definedName name="Z_ADA9380C_E104_4FD9_A353_5276EDD092E0_.wvu.FilterData" localSheetId="8" hidden="1">EvReport!$A$4:$Q$202</definedName>
    <definedName name="Z_ADBCC50B_8F50_476F_9FB0_5CAA78730155_.wvu.FilterData" localSheetId="8" hidden="1">EvReport!$A$4:$Q$202</definedName>
    <definedName name="Z_AE0A3B38_1253_4326_962C_502D5145B0C5_.wvu.FilterData" localSheetId="8" hidden="1">EvReport!$A$4:$Q$202</definedName>
    <definedName name="Z_AE92F4F2_3932_41EA_9883_B860F25FDFC0_.wvu.FilterData" localSheetId="8" hidden="1">EvReport!$A$4:$Q$202</definedName>
    <definedName name="Z_AE9A17FF_CF59_4219_82DE_57023ACF5EAA_.wvu.FilterData" localSheetId="8" hidden="1">EvReport!$A$4:$Q$202</definedName>
    <definedName name="Z_AEF2BA7A_8A75_4469_A94B_2435B1941723_.wvu.FilterData" localSheetId="3" hidden="1">Forecast!$A$1:$Z$218</definedName>
    <definedName name="Z_AEF3D1D6_B0E6_499F_9D0C_9B176C17D14E_.wvu.FilterData" localSheetId="3" hidden="1">Forecast!$F$8:$F$218</definedName>
    <definedName name="Z_AF4F1F2C_A1BE_4485_A9AC_BC461E983C3F_.wvu.FilterData" localSheetId="8" hidden="1">EvReport!$A$4:$Q$202</definedName>
    <definedName name="Z_AF708513_42F3_4687_BAB2_7E1B43B70203_.wvu.FilterData" localSheetId="8" hidden="1">EvReport!$A$4:$Q$202</definedName>
    <definedName name="Z_AF7C7599_EA49_46F0_9AC4_C327C7F33E44_.wvu.FilterData" localSheetId="8" hidden="1">EvReport!$A$4:$Q$202</definedName>
    <definedName name="Z_AF9B1291_AF57_43F9_A494_69C139313400_.wvu.FilterData" localSheetId="8" hidden="1">EvReport!$A$4:$Q$202</definedName>
    <definedName name="Z_AFA4F828_F3AC_4CAB_A0F4_2CE32C10B2D5_.wvu.FilterData" localSheetId="3" hidden="1">Forecast!$F$8:$F$218</definedName>
    <definedName name="Z_AFA7AD51_0687_4A68_B5B8_54D6A5FE49E0_.wvu.FilterData" localSheetId="8" hidden="1">EvReport!$A$4:$Q$202</definedName>
    <definedName name="Z_AFC7B62F_5437_43FA_8FB2_82ED72BAACBB_.wvu.FilterData" localSheetId="8" hidden="1">EvReport!$A$4:$Q$202</definedName>
    <definedName name="Z_B06774BF_16D2_4DC1_854E_1EE4A53270A1_.wvu.FilterData" localSheetId="3" hidden="1">Forecast!$A$1:$Z$218</definedName>
    <definedName name="Z_B0793BF3_3CC9_450D_8C40_D6D93E378B73_.wvu.FilterData" localSheetId="8" hidden="1">EvReport!$A$4:$Q$202</definedName>
    <definedName name="Z_B08DF3CD_5A12_46C5_B194_2308419B4826_.wvu.FilterData" localSheetId="8" hidden="1">EvReport!$A$4:$Q$202</definedName>
    <definedName name="Z_B118553A_498C_423C_B40B_6022D864E4EA_.wvu.FilterData" localSheetId="8" hidden="1">EvReport!$A$4:$Q$202</definedName>
    <definedName name="Z_B128734F_CF57_4DC8_8EEC_B3C3FA610058_.wvu.FilterData" localSheetId="8" hidden="1">EvReport!$A$4:$Q$202</definedName>
    <definedName name="Z_B17BE0AB_7D81_4A2D_A0B2_7FC565E2620A_.wvu.FilterData" localSheetId="3" hidden="1">Forecast!$A$1:$Z$218</definedName>
    <definedName name="Z_B1FE821F_C58B_4A4F_9B17_6B2650EF358C_.wvu.FilterData" localSheetId="8" hidden="1">EvReport!$A$4:$Q$202</definedName>
    <definedName name="Z_B2032C8F_2E55_450C_A67C_EB130C48A950_.wvu.FilterData" localSheetId="8" hidden="1">EvReport!$A$4:$Q$202</definedName>
    <definedName name="Z_B260686E_199F_424C_923A_91E7A862BC57_.wvu.FilterData" localSheetId="8" hidden="1">EvReport!$A$4:$Q$202</definedName>
    <definedName name="Z_B26A7B5D_4B7A_4833_B55A_35A1F8731516_.wvu.FilterData" localSheetId="3" hidden="1">Forecast!$A$1:$Z$218</definedName>
    <definedName name="Z_B26F852E_5C06_47F6_A5A1_F28630B4E41B_.wvu.FilterData" localSheetId="8" hidden="1">EvReport!$A$4:$Q$202</definedName>
    <definedName name="Z_B277AC2F_7DE7_45A7_AA72_93ADAB65FB60_.wvu.FilterData" localSheetId="8" hidden="1">EvReport!$A$4:$Q$202</definedName>
    <definedName name="Z_B284709F_D2B5_4617_B433_C8CF4F3CDC79_.wvu.FilterData" localSheetId="8" hidden="1">EvReport!$A$4:$Q$202</definedName>
    <definedName name="Z_B2A3E4CE_99E2_4B85_A127_EEAA98BABC8A_.wvu.FilterData" localSheetId="8" hidden="1">EvReport!$A$4:$Q$202</definedName>
    <definedName name="Z_B2E9E869_3745_4AA5_89C9_86D4530511DF_.wvu.FilterData" localSheetId="8" hidden="1">EvReport!$A$4:$Q$202</definedName>
    <definedName name="Z_B3143AC0_73B6_4272_B301_8A4A8BE2F97C_.wvu.FilterData" localSheetId="8" hidden="1">EvReport!$A$4:$Q$202</definedName>
    <definedName name="Z_B34D7CE2_29AE_4F2F_B666_9D73C59BED3A_.wvu.FilterData" localSheetId="8" hidden="1">EvReport!$A$4:$Q$202</definedName>
    <definedName name="Z_B35C484C_D9D1_4975_A92F_94CBD16F9FEC_.wvu.FilterData" localSheetId="8" hidden="1">EvReport!$A$4:$Q$202</definedName>
    <definedName name="Z_B368E3A0_A659_4C81_A819_ABEE9A38023E_.wvu.FilterData" localSheetId="8" hidden="1">EvReport!$A$4:$Q$202</definedName>
    <definedName name="Z_B3936CFC_FF32_4F72_8022_B2E242E848E5_.wvu.FilterData" localSheetId="8" hidden="1">EvReport!$A$4:$Q$202</definedName>
    <definedName name="Z_B3A2EBE4_E25D_47D5_A791_3FFD4B0249BC_.wvu.FilterData" localSheetId="8" hidden="1">EvReport!$A$4:$Q$202</definedName>
    <definedName name="Z_B3C2A983_E195_4DA8_908A_C69BB21F35DC_.wvu.FilterData" localSheetId="8" hidden="1">EvReport!$A$4:$Q$202</definedName>
    <definedName name="Z_B3C4446F_8E19_4494_A5DE_91F22DA2D321_.wvu.FilterData" localSheetId="8" hidden="1">EvReport!$A$4:$Q$202</definedName>
    <definedName name="Z_B3CF3BDC_96FD_4C6B_9DC9_0F20B77F3595_.wvu.FilterData" localSheetId="8" hidden="1">EvReport!$A$4:$Q$202</definedName>
    <definedName name="Z_B3E59856_6845_4A3C_8BEC_6CCB937F02E1_.wvu.FilterData" localSheetId="8" hidden="1">EvReport!$A$4:$Q$202</definedName>
    <definedName name="Z_B43A3C70_7AC5_41D3_92D8_976DA082A0AC_.wvu.FilterData" localSheetId="8" hidden="1">EvReport!$A$4:$Q$202</definedName>
    <definedName name="Z_B44255D8_B6C9_4039_97A2_C52550ECD07A_.wvu.FilterData" localSheetId="8" hidden="1">EvReport!$A$4:$Q$202</definedName>
    <definedName name="Z_B44D936F_E1C1_445D_868A_74691B4F74AA_.wvu.FilterData" localSheetId="3" hidden="1">Forecast!$A$1:$Z$218</definedName>
    <definedName name="Z_B4765FD7_84A1_44FC_8D9B_590097ABA9A5_.wvu.FilterData" localSheetId="8" hidden="1">EvReport!$A$4:$Q$202</definedName>
    <definedName name="Z_B4809C42_8DEE_4864_8D82_F1E93D4200A0_.wvu.FilterData" localSheetId="3" hidden="1">Forecast!$A$1:$Z$218</definedName>
    <definedName name="Z_B4ACAFBA_D2C3_4351_8236_535289AF9053_.wvu.FilterData" localSheetId="3" hidden="1">Forecast!$A$1:$Z$218</definedName>
    <definedName name="Z_B4B0DFB6_10D1_4098_94C6_B9BC6DE560B2_.wvu.FilterData" localSheetId="8" hidden="1">EvReport!$A$4:$Q$202</definedName>
    <definedName name="Z_B4B6BBFA_A55B_4FC2_9E0C_E5559F4DC602_.wvu.FilterData" localSheetId="8" hidden="1">EvReport!$A$4:$Q$202</definedName>
    <definedName name="Z_B4C49B22_FF7C_4099_92AF_49E1CE60DD2E_.wvu.FilterData" localSheetId="8" hidden="1">EvReport!$A$4:$Q$202</definedName>
    <definedName name="Z_B4DBEF59_8D61_485F_8376_CA38A0FE6F21_.wvu.FilterData" localSheetId="8" hidden="1">EvReport!$A$4:$Q$202</definedName>
    <definedName name="Z_B4F3971A_4C8D_4CB2_AC3A_67698898F9ED_.wvu.FilterData" localSheetId="8" hidden="1">EvReport!$A$4:$Q$202</definedName>
    <definedName name="Z_B538537E_E15F_4DDC_9477_0EDE5519E236_.wvu.FilterData" localSheetId="8" hidden="1">EvReport!$A$4:$Q$202</definedName>
    <definedName name="Z_B5833C02_8B08_467F_B079_36D27569E92D_.wvu.FilterData" localSheetId="8" hidden="1">EvReport!$A$4:$Q$202</definedName>
    <definedName name="Z_B5ADF263_57E2_4D4E_A0A9_D35993BE59B0_.wvu.FilterData" localSheetId="8" hidden="1">EvReport!$A$4:$Q$202</definedName>
    <definedName name="Z_B6234BE6_87CF_4A59_889F_D569EFEFD81B_.wvu.FilterData" localSheetId="8" hidden="1">EvReport!$A$4:$Q$202</definedName>
    <definedName name="Z_B65B9F6D_97E4_4373_8FB9_21C66AF3DCB4_.wvu.FilterData" localSheetId="8" hidden="1">EvReport!$A$4:$Q$202</definedName>
    <definedName name="Z_B7277E79_9A65_4F13_A66E_55F27325D9E7_.wvu.FilterData" localSheetId="8" hidden="1">EvReport!$A$4:$Q$202</definedName>
    <definedName name="Z_B778119E_0628_4A5E_9FC9_CE223FBCEAEE_.wvu.FilterData" localSheetId="8" hidden="1">EvReport!$A$4:$Q$202</definedName>
    <definedName name="Z_B7C3FE63_1E52_409D_BFC7_D9D511AAAB97_.wvu.FilterData" localSheetId="8" hidden="1">EvReport!$A$4:$Q$202</definedName>
    <definedName name="Z_B7D7A536_D5EC_43FD_B675_CD7A44DF32C8_.wvu.FilterData" localSheetId="8" hidden="1">EvReport!$A$4:$Q$202</definedName>
    <definedName name="Z_B7EE2778_28D8_4D08_95DB_730EC0311173_.wvu.FilterData" localSheetId="8" hidden="1">EvReport!$A$4:$Q$202</definedName>
    <definedName name="Z_B7EE2D37_7F15_4EF9_AFB9_5A92F4A255E2_.wvu.FilterData" localSheetId="8" hidden="1">EvReport!$A$4:$Q$202</definedName>
    <definedName name="Z_B871839A_FBBE_45EC_8B20_12E8ED40200A_.wvu.FilterData" localSheetId="8" hidden="1">EvReport!$A$4:$Q$202</definedName>
    <definedName name="Z_B886F371_7F15_4F56_97E9_05A5AC0576FA_.wvu.FilterData" localSheetId="8" hidden="1">EvReport!$A$4:$Q$202</definedName>
    <definedName name="Z_B89E6D9C_5B51_4FA4_B99F_2E3C862FC8E1_.wvu.FilterData" localSheetId="8" hidden="1">EvReport!$A$4:$Q$202</definedName>
    <definedName name="Z_B8D38A36_57F7_4A59_92CD_8AE20C89528C_.wvu.FilterData" localSheetId="8" hidden="1">EvReport!$A$4:$Q$202</definedName>
    <definedName name="Z_B8F67C72_50AE_4791_9816_4CAEE5CAD344_.wvu.FilterData" localSheetId="8" hidden="1">EvReport!$A$4:$Q$202</definedName>
    <definedName name="Z_B91C2E87_5EDA_40AE_AC27_0E2C17E803CE_.wvu.Cols" localSheetId="5" hidden="1">Ch!$B:$B,Ch!$L:$N</definedName>
    <definedName name="Z_B91C2E87_5EDA_40AE_AC27_0E2C17E803CE_.wvu.Cols" localSheetId="7" hidden="1">Generation!$U:$U</definedName>
    <definedName name="Z_B91C2E87_5EDA_40AE_AC27_0E2C17E803CE_.wvu.Cols" localSheetId="16" hidden="1">'L-Curve'!$R:$R</definedName>
    <definedName name="Z_B91C2E87_5EDA_40AE_AC27_0E2C17E803CE_.wvu.Cols" localSheetId="12" hidden="1">'P1'!$J:$J</definedName>
    <definedName name="Z_B91C2E87_5EDA_40AE_AC27_0E2C17E803CE_.wvu.PrintArea" localSheetId="5" hidden="1">Ch!$A$1:$J$59</definedName>
    <definedName name="Z_B91C2E87_5EDA_40AE_AC27_0E2C17E803CE_.wvu.PrintArea" localSheetId="21" hidden="1">Demand!$B$9:$G$25</definedName>
    <definedName name="Z_B91C2E87_5EDA_40AE_AC27_0E2C17E803CE_.wvu.PrintArea" localSheetId="10" hidden="1">DGFI!$A$1:$F$52</definedName>
    <definedName name="Z_B91C2E87_5EDA_40AE_AC27_0E2C17E803CE_.wvu.PrintArea" localSheetId="17" hidden="1">'En-Curve'!$P$1:$AA$55</definedName>
    <definedName name="Z_B91C2E87_5EDA_40AE_AC27_0E2C17E803CE_.wvu.PrintArea" localSheetId="26" hidden="1">EnReport!$C$3:$H$28</definedName>
    <definedName name="Z_B91C2E87_5EDA_40AE_AC27_0E2C17E803CE_.wvu.PrintArea" localSheetId="9" hidden="1">EvBangla!$A$1:$L$33</definedName>
    <definedName name="Z_B91C2E87_5EDA_40AE_AC27_0E2C17E803CE_.wvu.PrintArea" localSheetId="8" hidden="1">EvReport!$B$4:$L$208</definedName>
    <definedName name="Z_B91C2E87_5EDA_40AE_AC27_0E2C17E803CE_.wvu.PrintArea" localSheetId="3" hidden="1">Forecast!$B$1:$R$224</definedName>
    <definedName name="Z_B91C2E87_5EDA_40AE_AC27_0E2C17E803CE_.wvu.PrintArea" localSheetId="1" hidden="1">FWise!$B$1:$L$32</definedName>
    <definedName name="Z_B91C2E87_5EDA_40AE_AC27_0E2C17E803CE_.wvu.PrintArea" localSheetId="7" hidden="1">Generation!$A$1:$AC$196</definedName>
    <definedName name="Z_B91C2E87_5EDA_40AE_AC27_0E2C17E803CE_.wvu.PrintArea" localSheetId="0" hidden="1">GEntry!$A$2:$GM$30</definedName>
    <definedName name="Z_B91C2E87_5EDA_40AE_AC27_0E2C17E803CE_.wvu.PrintArea" localSheetId="16" hidden="1">'L-Curve'!$H$1:$Q$48</definedName>
    <definedName name="Z_B91C2E87_5EDA_40AE_AC27_0E2C17E803CE_.wvu.PrintArea" localSheetId="23" hidden="1">Master!$A$3:$GJ$40</definedName>
    <definedName name="Z_B91C2E87_5EDA_40AE_AC27_0E2C17E803CE_.wvu.PrintArea" localSheetId="19" hidden="1">'NSI Reading'!$D$1:$F$24</definedName>
    <definedName name="Z_B91C2E87_5EDA_40AE_AC27_0E2C17E803CE_.wvu.PrintArea" localSheetId="12" hidden="1">'P1'!$A$1:$I$125</definedName>
    <definedName name="Z_B91C2E87_5EDA_40AE_AC27_0E2C17E803CE_.wvu.PrintArea" localSheetId="4" hidden="1">'P2'!$A$1:$J$194</definedName>
    <definedName name="Z_B91C2E87_5EDA_40AE_AC27_0E2C17E803CE_.wvu.PrintArea" localSheetId="13" hidden="1">'P3'!$A$2:$J$82</definedName>
    <definedName name="Z_B91C2E87_5EDA_40AE_AC27_0E2C17E803CE_.wvu.PrintArea" localSheetId="6" hidden="1">PM!$A$1:$G$22</definedName>
    <definedName name="Z_B91C2E87_5EDA_40AE_AC27_0E2C17E803CE_.wvu.PrintArea" localSheetId="20" hidden="1">'P-Sum'!$A$1:$G$28</definedName>
    <definedName name="Z_B91C2E87_5EDA_40AE_AC27_0E2C17E803CE_.wvu.PrintArea" localSheetId="25" hidden="1">solar!$B$2:$H$27</definedName>
    <definedName name="Z_B91C2E87_5EDA_40AE_AC27_0E2C17E803CE_.wvu.PrintArea" localSheetId="14" hidden="1">Volt!$B$1:$L$108</definedName>
    <definedName name="Z_B91C2E87_5EDA_40AE_AC27_0E2C17E803CE_.wvu.PrintArea" localSheetId="22" hidden="1">YesterdayFWise!$B$1:$L$33</definedName>
    <definedName name="Z_B91C2E87_5EDA_40AE_AC27_0E2C17E803CE_.wvu.PrintArea" localSheetId="15" hidden="1">YesterdayGen!$A$1:$HY$46</definedName>
    <definedName name="Z_B91C2E87_5EDA_40AE_AC27_0E2C17E803CE_.wvu.PrintTitles" localSheetId="8" hidden="1">EvReport!$7:$8</definedName>
    <definedName name="Z_B91C2E87_5EDA_40AE_AC27_0E2C17E803CE_.wvu.PrintTitles" localSheetId="3" hidden="1">Forecast!$4:$8</definedName>
    <definedName name="Z_B91C2E87_5EDA_40AE_AC27_0E2C17E803CE_.wvu.PrintTitles" localSheetId="4" hidden="1">'P2'!$5:$8</definedName>
    <definedName name="Z_B91C2E87_5EDA_40AE_AC27_0E2C17E803CE_.wvu.Rows" localSheetId="10" hidden="1">DGFI!$25:$25,DGFI!$28:$28</definedName>
    <definedName name="Z_B91C2E87_5EDA_40AE_AC27_0E2C17E803CE_.wvu.Rows" localSheetId="1" hidden="1">FWise!$24:$24</definedName>
    <definedName name="Z_B91C2E87_5EDA_40AE_AC27_0E2C17E803CE_.wvu.Rows" localSheetId="23" hidden="1">Master!$32:$32</definedName>
    <definedName name="Z_B91C2E87_5EDA_40AE_AC27_0E2C17E803CE_.wvu.Rows" localSheetId="12" hidden="1">'P1'!$26:$26,'P1'!$42:$42,'P1'!$50:$52,'P1'!$54:$54,'P1'!$56:$56,'P1'!$134:$138</definedName>
    <definedName name="Z_B91C2E87_5EDA_40AE_AC27_0E2C17E803CE_.wvu.Rows" localSheetId="22" hidden="1">YesterdayFWise!$24:$24</definedName>
    <definedName name="Z_B91C2E87_5EDA_40AE_AC27_0E2C17E803CE_.wvu.Rows" localSheetId="15" hidden="1">YesterdayGen!$23:$23</definedName>
    <definedName name="Z_B954CDB9_FC41_4DB2_8DED_446A247B43F6_.wvu.FilterData" localSheetId="8" hidden="1">EvReport!$A$4:$Q$202</definedName>
    <definedName name="Z_B95A6B5B_7E6E_408E_8BD0_810061F0F00F_.wvu.FilterData" localSheetId="8" hidden="1">EvReport!$A$4:$Q$202</definedName>
    <definedName name="Z_B9A4030F_1DBE_434F_AA9D_B6BF4911FD99_.wvu.FilterData" localSheetId="8" hidden="1">EvReport!$A$4:$Q$202</definedName>
    <definedName name="Z_B9AE2664_834B_45E3_8DE9_79567FDDC85F_.wvu.FilterData" localSheetId="8" hidden="1">EvReport!$A$4:$Q$202</definedName>
    <definedName name="Z_BA06AF14_E8D9_4BFB_9280_FF48A82BE5B9_.wvu.FilterData" localSheetId="3" hidden="1">Forecast!$F$8:$F$218</definedName>
    <definedName name="Z_BA279E90_BF71_416C_8F02_27EA301E2F17_.wvu.FilterData" localSheetId="3" hidden="1">Forecast!$A$1:$Z$218</definedName>
    <definedName name="Z_BA5E1342_4E48_4300_82F6_4339E9EBD574_.wvu.FilterData" localSheetId="8" hidden="1">EvReport!$A$4:$Q$202</definedName>
    <definedName name="Z_BA605D08_9A59_423E_8BA6_324D1CCFB6B6_.wvu.FilterData" localSheetId="8" hidden="1">EvReport!$A$4:$Q$202</definedName>
    <definedName name="Z_BAC9CAAD_C016_4440_B1E3_99A1188750D0_.wvu.FilterData" localSheetId="8" hidden="1">EvReport!$A$4:$Q$202</definedName>
    <definedName name="Z_BAFA4C84_441F_499D_9F05_A60C4884A088_.wvu.FilterData" localSheetId="8" hidden="1">EvReport!$A$4:$Q$202</definedName>
    <definedName name="Z_BB20E655_2E12_4E77_88E0_027F8D14DB3E_.wvu.FilterData" localSheetId="3" hidden="1">Forecast!$A$1:$Z$218</definedName>
    <definedName name="Z_BB3118A1_9A43_40AD_9D7B_7612C8E57BB5_.wvu.FilterData" localSheetId="8" hidden="1">EvReport!$A$4:$Q$202</definedName>
    <definedName name="Z_BB68A19B_8E46_4298_B198_A309ADA284CC_.wvu.FilterData" localSheetId="8" hidden="1">EvReport!$A$4:$Q$202</definedName>
    <definedName name="Z_BBB167F4_8895_4273_AE29_C1DA960024B7_.wvu.FilterData" localSheetId="8" hidden="1">EvReport!$A$4:$Q$202</definedName>
    <definedName name="Z_BBBF342C_B6DF_4538_92F6_A2561A452703_.wvu.FilterData" localSheetId="8" hidden="1">EvReport!$A$4:$Q$202</definedName>
    <definedName name="Z_BBF2F5F2_7A30_456A_BD78_2C2CC41913FB_.wvu.FilterData" localSheetId="8" hidden="1">EvReport!$A$4:$Q$202</definedName>
    <definedName name="Z_BC2E1799_4173_419B_8439_5716823D6636_.wvu.FilterData" localSheetId="8" hidden="1">EvReport!$A$4:$Q$202</definedName>
    <definedName name="Z_BC9CBA7B_85CD_4B5A_8BEB_0FA8BED207BA_.wvu.FilterData" localSheetId="8" hidden="1">EvReport!$A$4:$Q$202</definedName>
    <definedName name="Z_BCE4A677_E8AC_443C_868D_30264E0E2E7C_.wvu.FilterData" localSheetId="8" hidden="1">EvReport!$A$4:$Q$202</definedName>
    <definedName name="Z_BCFE321A_3E3A_437E_890F_9245BB49654C_.wvu.FilterData" localSheetId="3" hidden="1">Forecast!$A$1:$Z$218</definedName>
    <definedName name="Z_BD745500_B459_405F_809A_33EA4956A56D_.wvu.FilterData" localSheetId="3" hidden="1">Forecast!$A$1:$Z$218</definedName>
    <definedName name="Z_BDB6C148_0600_45D3_B2A5_A400B2DAC388_.wvu.FilterData" localSheetId="8" hidden="1">EvReport!$A$4:$Q$202</definedName>
    <definedName name="Z_BDD5248F_0238_4381_AB1B_05FB36882601_.wvu.FilterData" localSheetId="8" hidden="1">EvReport!$A$4:$Q$202</definedName>
    <definedName name="Z_BE2C35DE_2188_44DB_9C67_825F3DBBEB71_.wvu.FilterData" localSheetId="8" hidden="1">EvReport!$A$4:$Q$202</definedName>
    <definedName name="Z_BE45FEF5_0A17_417E_9E11_3AE67AE0D705_.wvu.FilterData" localSheetId="8" hidden="1">EvReport!$A$4:$Q$202</definedName>
    <definedName name="Z_BE8E9A4B_98C4_4C32_93DA_7C81BBCBFE8B_.wvu.FilterData" localSheetId="8" hidden="1">EvReport!$A$4:$Q$202</definedName>
    <definedName name="Z_BE991C4D_4B3D_428E_A9F3_450E6D546BF5_.wvu.FilterData" localSheetId="8" hidden="1">EvReport!$A$4:$Q$202</definedName>
    <definedName name="Z_BEC6E58A_2DB1_42A1_9DEB_73372CFDE6C8_.wvu.FilterData" localSheetId="8" hidden="1">EvReport!$A$4:$Q$202</definedName>
    <definedName name="Z_BF11B58B_0C5A_4B6E_99DE_582B71EE7FFB_.wvu.FilterData" localSheetId="8" hidden="1">EvReport!$A$4:$Q$202</definedName>
    <definedName name="Z_BF398AAA_7F9B_46AE_BFAF_CBFCEA83D076_.wvu.FilterData" localSheetId="8" hidden="1">EvReport!$A$4:$Q$202</definedName>
    <definedName name="Z_BF44C998_A672_4776_A291_75F577F2B219_.wvu.FilterData" localSheetId="8" hidden="1">EvReport!$A$4:$Q$202</definedName>
    <definedName name="Z_BF4803BC_2E53_4910_86FA_ACD2543DE245_.wvu.FilterData" localSheetId="8" hidden="1">EvReport!$A$4:$Q$202</definedName>
    <definedName name="Z_BF730F83_20F3_4BD7_92A4_B7E1E1ECF51C_.wvu.FilterData" localSheetId="8" hidden="1">EvReport!$A$4:$Q$202</definedName>
    <definedName name="Z_BF8239A4_187A_41B9_B421_6A711D98B257_.wvu.FilterData" localSheetId="8" hidden="1">EvReport!$A$4:$Q$202</definedName>
    <definedName name="Z_BF8593D8_DC0C_45CE_8E0A_E76D4ED25777_.wvu.FilterData" localSheetId="8" hidden="1">EvReport!$A$4:$Q$202</definedName>
    <definedName name="Z_BF94EE06_FF3C_45CA_BEAA_D78D33D9076B_.wvu.FilterData" localSheetId="8" hidden="1">EvReport!$A$4:$Q$202</definedName>
    <definedName name="Z_BFBDD375_5966_4C78_B941_990F9EDFD6DD_.wvu.FilterData" localSheetId="8" hidden="1">EvReport!$A$4:$Q$202</definedName>
    <definedName name="Z_BFE1A014_AE1A_4A33_9A5A_BC870F2FF1EC_.wvu.FilterData" localSheetId="3" hidden="1">Forecast!$F$8:$F$218</definedName>
    <definedName name="Z_C03A431F_FFFF_4A94_A5FB_105CD10200D9_.wvu.FilterData" localSheetId="8" hidden="1">EvReport!$A$4:$Q$202</definedName>
    <definedName name="Z_C08722AB_1D14_4C81_8EE1_515736539C3C_.wvu.FilterData" localSheetId="8" hidden="1">EvReport!$A$4:$Q$202</definedName>
    <definedName name="Z_C0C06E1A_B30C_4EA8_9671_A6B7C208251D_.wvu.FilterData" localSheetId="8" hidden="1">EvReport!$A$4:$Q$202</definedName>
    <definedName name="Z_C121E6BC_29E4_4370_806A_4C680624D3B0_.wvu.FilterData" localSheetId="8" hidden="1">EvReport!$A$4:$Q$202</definedName>
    <definedName name="Z_C192BBE6_202E_47CC_87B6_EBCA3BC4A434_.wvu.FilterData" localSheetId="8" hidden="1">EvReport!$A$4:$Q$202</definedName>
    <definedName name="Z_C1B78DBC_2D71_4B88_BCC5_D0BB5FC9EDCA_.wvu.FilterData" localSheetId="8" hidden="1">EvReport!$A$4:$Q$202</definedName>
    <definedName name="Z_C1BEBFDD_E9CB_4A74_AAF2_51C47213ADFD_.wvu.FilterData" localSheetId="8" hidden="1">EvReport!$A$4:$Q$202</definedName>
    <definedName name="Z_C1C6392D_05F7_4953_A512_2741A0076CFD_.wvu.FilterData" localSheetId="8" hidden="1">EvReport!$A$4:$Q$202</definedName>
    <definedName name="Z_C22F838D_868C_4417_BB91_1AAE1227451B_.wvu.FilterData" localSheetId="8" hidden="1">EvReport!$A$4:$Q$202</definedName>
    <definedName name="Z_C23070EA_2AE5_4733_B21B_276656416459_.wvu.FilterData" localSheetId="8" hidden="1">EvReport!$A$4:$Q$202</definedName>
    <definedName name="Z_C2580C63_897D_4645_9DEB_49B139113C37_.wvu.FilterData" localSheetId="8" hidden="1">EvReport!$A$4:$Q$202</definedName>
    <definedName name="Z_C29BF4A7_AD30_4A91_8F68_9C6F87BFFC7F_.wvu.FilterData" localSheetId="8" hidden="1">EvReport!$A$4:$Q$202</definedName>
    <definedName name="Z_C2D8599C_DB20_416A_B49D_269C0FEBA52A_.wvu.FilterData" localSheetId="8" hidden="1">EvReport!$A$4:$Q$202</definedName>
    <definedName name="Z_C2EFE031_FA4D_4042_93B1_D6D261722090_.wvu.FilterData" localSheetId="8" hidden="1">EvReport!$A$4:$Q$202</definedName>
    <definedName name="Z_C3348F62_02F2_4500_9BF2_19F2DEA57A8D_.wvu.Cols" localSheetId="1" hidden="1">FWise!$O:$O</definedName>
    <definedName name="Z_C3348F62_02F2_4500_9BF2_19F2DEA57A8D_.wvu.FilterData" localSheetId="8" hidden="1">EvReport!$A$4:$Q$202</definedName>
    <definedName name="Z_C3348F62_02F2_4500_9BF2_19F2DEA57A8D_.wvu.FilterData" localSheetId="3" hidden="1">Forecast!$A$1:$Z$218</definedName>
    <definedName name="Z_C3348F62_02F2_4500_9BF2_19F2DEA57A8D_.wvu.PrintArea" localSheetId="5" hidden="1">Ch!$A$1:$J$58</definedName>
    <definedName name="Z_C3348F62_02F2_4500_9BF2_19F2DEA57A8D_.wvu.PrintArea" localSheetId="10" hidden="1">DGFI!$A$1:$F$52</definedName>
    <definedName name="Z_C3348F62_02F2_4500_9BF2_19F2DEA57A8D_.wvu.PrintArea" localSheetId="17" hidden="1">'En-Curve'!$P$2:$Z$64</definedName>
    <definedName name="Z_C3348F62_02F2_4500_9BF2_19F2DEA57A8D_.wvu.PrintArea" localSheetId="26" hidden="1">EnReport!$C$5:$F$38</definedName>
    <definedName name="Z_C3348F62_02F2_4500_9BF2_19F2DEA57A8D_.wvu.PrintArea" localSheetId="9" hidden="1">EvBangla!$A$1:$M$32</definedName>
    <definedName name="Z_C3348F62_02F2_4500_9BF2_19F2DEA57A8D_.wvu.PrintArea" localSheetId="8" hidden="1">EvReport!$B$1:$L$206</definedName>
    <definedName name="Z_C3348F62_02F2_4500_9BF2_19F2DEA57A8D_.wvu.PrintArea" localSheetId="3" hidden="1">Forecast!$B$1:$R$224</definedName>
    <definedName name="Z_C3348F62_02F2_4500_9BF2_19F2DEA57A8D_.wvu.PrintArea" localSheetId="1" hidden="1">FWise!$B$2:$M$32</definedName>
    <definedName name="Z_C3348F62_02F2_4500_9BF2_19F2DEA57A8D_.wvu.PrintArea" localSheetId="7" hidden="1">Generation!$A$1:$AC$201</definedName>
    <definedName name="Z_C3348F62_02F2_4500_9BF2_19F2DEA57A8D_.wvu.PrintArea" localSheetId="16" hidden="1">'L-Curve'!$H$3:$Q$49</definedName>
    <definedName name="Z_C3348F62_02F2_4500_9BF2_19F2DEA57A8D_.wvu.PrintArea" localSheetId="12" hidden="1">'P1'!$A$1:$I$113</definedName>
    <definedName name="Z_C3348F62_02F2_4500_9BF2_19F2DEA57A8D_.wvu.PrintArea" localSheetId="4" hidden="1">'P2'!$B$1:$J$194</definedName>
    <definedName name="Z_C3348F62_02F2_4500_9BF2_19F2DEA57A8D_.wvu.PrintArea" localSheetId="13" hidden="1">'P3'!$B$1:$P$72</definedName>
    <definedName name="Z_C3348F62_02F2_4500_9BF2_19F2DEA57A8D_.wvu.PrintArea" localSheetId="6" hidden="1">PM!$A$1:$G$22</definedName>
    <definedName name="Z_C3348F62_02F2_4500_9BF2_19F2DEA57A8D_.wvu.PrintArea" localSheetId="14" hidden="1">Volt!$B$2:$K$132</definedName>
    <definedName name="Z_C3348F62_02F2_4500_9BF2_19F2DEA57A8D_.wvu.PrintArea" localSheetId="22" hidden="1">YesterdayFWise!$B$2:$L$32</definedName>
    <definedName name="Z_C3348F62_02F2_4500_9BF2_19F2DEA57A8D_.wvu.PrintArea" localSheetId="24" hidden="1">'Zone Wise Gen'!$A$3:$K$29</definedName>
    <definedName name="Z_C3348F62_02F2_4500_9BF2_19F2DEA57A8D_.wvu.PrintTitles" localSheetId="8" hidden="1">EvReport!$7:$8</definedName>
    <definedName name="Z_C3348F62_02F2_4500_9BF2_19F2DEA57A8D_.wvu.PrintTitles" localSheetId="3" hidden="1">Forecast!$4:$8</definedName>
    <definedName name="Z_C3348F62_02F2_4500_9BF2_19F2DEA57A8D_.wvu.PrintTitles" localSheetId="4" hidden="1">'P2'!$5:$8</definedName>
    <definedName name="Z_C3348F62_02F2_4500_9BF2_19F2DEA57A8D_.wvu.PrintTitles" localSheetId="14" hidden="1">Volt!$2:$6</definedName>
    <definedName name="Z_C3348F62_02F2_4500_9BF2_19F2DEA57A8D_.wvu.Rows" localSheetId="1" hidden="1">FWise!$24:$24</definedName>
    <definedName name="Z_C3348F62_02F2_4500_9BF2_19F2DEA57A8D_.wvu.Rows" localSheetId="12" hidden="1">'P1'!$106:$106</definedName>
    <definedName name="Z_C3348F62_02F2_4500_9BF2_19F2DEA57A8D_.wvu.Rows" localSheetId="24" hidden="1">'Zone Wise Gen'!$22:$22</definedName>
    <definedName name="Z_C3426A49_6151_436F_AD98_98ED0C0998D4_.wvu.FilterData" localSheetId="3" hidden="1">Forecast!$F$8:$F$218</definedName>
    <definedName name="Z_C37F72D5_17C9_4FFB_8F77_04812E776A13_.wvu.FilterData" localSheetId="8" hidden="1">EvReport!$A$4:$Q$202</definedName>
    <definedName name="Z_C3953A80_ECDF_4065_A777_6658619E9C39_.wvu.FilterData" localSheetId="8" hidden="1">EvReport!$A$4:$Q$202</definedName>
    <definedName name="Z_C397AE3D_4F8D_4758_AD4D_22601CDD18E8_.wvu.FilterData" localSheetId="8" hidden="1">EvReport!$A$4:$Q$202</definedName>
    <definedName name="Z_C3DDAD00_543A_44C0_A5F0_3639606F1B33_.wvu.FilterData" localSheetId="8" hidden="1">EvReport!$A$4:$Q$202</definedName>
    <definedName name="Z_C443BD29_A127_453D_B12F_A5CE206E4276_.wvu.FilterData" localSheetId="8" hidden="1">EvReport!$A$4:$Q$202</definedName>
    <definedName name="Z_C4487D6B_D663_41B5_A04D_B1AE8107E5BC_.wvu.FilterData" localSheetId="8" hidden="1">EvReport!$A$4:$Q$202</definedName>
    <definedName name="Z_C46E732C_12DF_401E_A5FD_976B02E590AA_.wvu.FilterData" localSheetId="3" hidden="1">Forecast!$A$1:$Z$218</definedName>
    <definedName name="Z_C5188159_0CBC_44C0_A246_45644630D436_.wvu.FilterData" localSheetId="8" hidden="1">EvReport!$A$4:$Q$202</definedName>
    <definedName name="Z_C550AAF3_0944_4817_AC6B_43F8797C374E_.wvu.FilterData" localSheetId="8" hidden="1">EvReport!$A$4:$Q$202</definedName>
    <definedName name="Z_C577C2B2_3F6E_48F4_9059_9E8CC1EA1F20_.wvu.FilterData" localSheetId="8" hidden="1">EvReport!$A$4:$Q$202</definedName>
    <definedName name="Z_C5D2069C_BBE4_4C47_BED2_BABCDF48E71D_.wvu.FilterData" localSheetId="8" hidden="1">EvReport!$A$4:$Q$202</definedName>
    <definedName name="Z_C5DF7396_2C87_435D_9C67_8A8F84A71F07_.wvu.FilterData" localSheetId="8" hidden="1">EvReport!$A$4:$Q$202</definedName>
    <definedName name="Z_C62B7688_CEAC_4100_81D5_84EA3737F681_.wvu.FilterData" localSheetId="8" hidden="1">EvReport!$A$4:$Q$202</definedName>
    <definedName name="Z_C66941F6_D5B4_4087_BD70_E9EB72C48AA5_.wvu.FilterData" localSheetId="8" hidden="1">EvReport!$A$4:$Q$202</definedName>
    <definedName name="Z_C66A0B6B_9D28_435E_9488_E7AE1556AD41_.wvu.FilterData" localSheetId="8" hidden="1">EvReport!$A$4:$Q$202</definedName>
    <definedName name="Z_C68B123B_33C3_490C_898C_871DC51C2BCA_.wvu.FilterData" localSheetId="8" hidden="1">EvReport!$A$4:$Q$202</definedName>
    <definedName name="Z_C6B07B13_98B2_4417_81BC_FD456EF9D2A0_.wvu.FilterData" localSheetId="8" hidden="1">EvReport!$A$4:$Q$202</definedName>
    <definedName name="Z_C6E7C550_D9DA_40D6_9B17_74A835A7553E_.wvu.FilterData" localSheetId="3" hidden="1">Forecast!$A$1:$Z$218</definedName>
    <definedName name="Z_C7227216_3D0E_4FC5_B641_EF6787F75FBC_.wvu.FilterData" localSheetId="8" hidden="1">EvReport!$A$4:$Q$202</definedName>
    <definedName name="Z_C72F0467_F8B4_4EF2_81B5_3E8C73865C56_.wvu.FilterData" localSheetId="3" hidden="1">Forecast!$A$1:$Z$218</definedName>
    <definedName name="Z_C76AE565_49B6_4E0E_950D_E9561DE0751C_.wvu.FilterData" localSheetId="8" hidden="1">EvReport!$A$4:$Q$202</definedName>
    <definedName name="Z_C773085F_C0B8_47D5_9C7B_91F686B795A1_.wvu.FilterData" localSheetId="8" hidden="1">EvReport!$A$4:$Q$202</definedName>
    <definedName name="Z_C818A49B_982A_426F_9546_74B42FCDDE0C_.wvu.FilterData" localSheetId="8" hidden="1">EvReport!$A$4:$Q$202</definedName>
    <definedName name="Z_C888744D_65CA_49B8_9843_C9F1C935A678_.wvu.FilterData" localSheetId="8" hidden="1">EvReport!$A$4:$Q$202</definedName>
    <definedName name="Z_C898CFCF_9DDB_4C07_8004_1CCD8175CCA5_.wvu.FilterData" localSheetId="8" hidden="1">EvReport!$A$4:$Q$202</definedName>
    <definedName name="Z_C8A4D6A5_F176_438F_AB31_1C9F1431D5DE_.wvu.FilterData" localSheetId="8" hidden="1">EvReport!$A$4:$Q$202</definedName>
    <definedName name="Z_C923A397_2DF6_423B_9B62_52FCE9884AE9_.wvu.FilterData" localSheetId="8" hidden="1">EvReport!$A$4:$Q$202</definedName>
    <definedName name="Z_C94645F4_8568_4F34_8130_171AD3472EE0_.wvu.FilterData" localSheetId="8" hidden="1">EvReport!$A$4:$Q$202</definedName>
    <definedName name="Z_C962D720_D5EE_4DAD_B781_DC6F35367A04_.wvu.FilterData" localSheetId="8" hidden="1">EvReport!$A$4:$Q$202</definedName>
    <definedName name="Z_C9AE9C0B_63C7_481E_9A96_6AFD4956A1E8_.wvu.FilterData" localSheetId="8" hidden="1">EvReport!$A$4:$Q$202</definedName>
    <definedName name="Z_C9EC096B_1D64_449E_8BF5_3A126EFE1052_.wvu.FilterData" localSheetId="8" hidden="1">EvReport!$A$4:$Q$202</definedName>
    <definedName name="Z_CA092FA6_8750_46C6_8652_AF86EC37E9BE_.wvu.FilterData" localSheetId="8" hidden="1">EvReport!$A$4:$Q$202</definedName>
    <definedName name="Z_CA434C27_162F_45FD_850B_90E2A659A055_.wvu.FilterData" localSheetId="8" hidden="1">EvReport!$A$4:$Q$202</definedName>
    <definedName name="Z_CA55C48D_B5BF_4090_B21A_F8456C24C950_.wvu.FilterData" localSheetId="8" hidden="1">EvReport!$A$4:$Q$202</definedName>
    <definedName name="Z_CA994846_65A9_42B0_A939_3170B495379F_.wvu.FilterData" localSheetId="8" hidden="1">EvReport!$A$4:$Q$202</definedName>
    <definedName name="Z_CAA4E222_6E0F_407A_A2D0_954857CCF8D5_.wvu.FilterData" localSheetId="8" hidden="1">EvReport!$A$4:$Q$202</definedName>
    <definedName name="Z_CAC8A437_C4DF_4FE1_B8CB_A86F3D66B361_.wvu.FilterData" localSheetId="8" hidden="1">EvReport!$A$4:$Q$202</definedName>
    <definedName name="Z_CB58F875_D8B2_4E29_8791_400199998592_.wvu.FilterData" localSheetId="8" hidden="1">EvReport!$A$4:$Q$202</definedName>
    <definedName name="Z_CB6E318B_C2B8_4EAE_8A36_1CDD8209AAA3_.wvu.FilterData" localSheetId="3" hidden="1">Forecast!$A$1:$Z$218</definedName>
    <definedName name="Z_CBBF0871_A4B4_4A9B_9DA4_15F0ABE52DE3_.wvu.FilterData" localSheetId="8" hidden="1">EvReport!$A$4:$Q$202</definedName>
    <definedName name="Z_CC064239_3357_44FD_BAE2_20946612EDDD_.wvu.FilterData" localSheetId="8" hidden="1">EvReport!$A$4:$Q$202</definedName>
    <definedName name="Z_CC0B67BC_4950_4356_81A0_0F26B900E47F_.wvu.FilterData" localSheetId="8" hidden="1">EvReport!$A$4:$Q$202</definedName>
    <definedName name="Z_CC16352E_0862_443F_A65A_C62AC425D18E_.wvu.FilterData" localSheetId="3" hidden="1">Forecast!$A$1:$Z$218</definedName>
    <definedName name="Z_CC34EC35_DC22_4DCE_9FD8_1C4A612BAB76_.wvu.FilterData" localSheetId="8" hidden="1">EvReport!$A$4:$Q$202</definedName>
    <definedName name="Z_CC4ACC35_87E8_447C_8F6E_4EAF910C4E0E_.wvu.FilterData" localSheetId="8" hidden="1">EvReport!$A$4:$Q$202</definedName>
    <definedName name="Z_CC61CA1E_DE6C_4578_BA45_4996FD5B2677_.wvu.FilterData" localSheetId="8" hidden="1">EvReport!$A$4:$Q$202</definedName>
    <definedName name="Z_CC688D01_4807_4ADE_90D1_4DE4FEE50790_.wvu.FilterData" localSheetId="8" hidden="1">EvReport!$A$4:$Q$202</definedName>
    <definedName name="Z_CC719DED_BF56_4130_B860_61FD30AAE310_.wvu.FilterData" localSheetId="8" hidden="1">EvReport!$A$4:$Q$202</definedName>
    <definedName name="Z_CC885F6A_1F24_4E05_9C15_E66158A74679_.wvu.FilterData" localSheetId="8" hidden="1">EvReport!$A$4:$Q$202</definedName>
    <definedName name="Z_CC998AA0_D0FD_4693_BDB6_921B6C7F6114_.wvu.FilterData" localSheetId="3" hidden="1">Forecast!$F$8:$F$218</definedName>
    <definedName name="Z_CCCE29BA_B600_4A09_807B_9DB0E7D34856_.wvu.FilterData" localSheetId="8" hidden="1">EvReport!$A$4:$Q$202</definedName>
    <definedName name="Z_CCDFF867_3C22_47DF_9DAC_557B107D4AB0_.wvu.FilterData" localSheetId="8" hidden="1">EvReport!$A$4:$Q$202</definedName>
    <definedName name="Z_CCE4A10F_F06D_4A95_9C59_5C1DA2C68D81_.wvu.FilterData" localSheetId="8" hidden="1">EvReport!$A$4:$Q$202</definedName>
    <definedName name="Z_CCFBDE61_73FA_4402_B778_7E0B439B8CED_.wvu.FilterData" localSheetId="8" hidden="1">EvReport!$A$4:$Q$202</definedName>
    <definedName name="Z_CD28BA96_21A9_4753_ABD4_D4506BBA3C0A_.wvu.FilterData" localSheetId="8" hidden="1">EvReport!$A$4:$Q$202</definedName>
    <definedName name="Z_CD5BDBDF_EA25_4F49_8CA0_17253E22665E_.wvu.FilterData" localSheetId="8" hidden="1">EvReport!$A$4:$Q$202</definedName>
    <definedName name="Z_CDC42F14_E78F_478C_8140_89358000E8C0_.wvu.FilterData" localSheetId="3" hidden="1">Forecast!$F$8:$F$218</definedName>
    <definedName name="Z_CDCA54C9_B394_407B_ADA0_C7945B9EDC57_.wvu.FilterData" localSheetId="8" hidden="1">EvReport!$A$4:$Q$202</definedName>
    <definedName name="Z_CE2D27B0_9405_43E2_9EB3_20DFA17217EC_.wvu.FilterData" localSheetId="8" hidden="1">EvReport!$A$4:$Q$202</definedName>
    <definedName name="Z_CE5DE3D4_1C97_4725_BED8_D58C76419370_.wvu.FilterData" localSheetId="8" hidden="1">EvReport!$A$4:$Q$202</definedName>
    <definedName name="Z_CE655C08_4AD0_48BE_82FE_C367FBE1C800_.wvu.FilterData" localSheetId="3" hidden="1">Forecast!$F$8:$F$218</definedName>
    <definedName name="Z_CE9CDA72_74A5_404D_B8A1_9528840E4137_.wvu.FilterData" localSheetId="3" hidden="1">Forecast!$A$1:$Z$218</definedName>
    <definedName name="Z_CEC4E181_B5BB_4B88_8185_D0F62F423432_.wvu.FilterData" localSheetId="3" hidden="1">Forecast!$A$1:$Z$218</definedName>
    <definedName name="Z_CED42E1B_51B3_4A6E_A6AA_D1198A49ECB3_.wvu.FilterData" localSheetId="8" hidden="1">EvReport!$A$4:$Q$202</definedName>
    <definedName name="Z_CED44DB0_A5FD_475C_A301_0D8A00AAD7B7_.wvu.FilterData" localSheetId="8" hidden="1">EvReport!$A$4:$Q$202</definedName>
    <definedName name="Z_CF1E27EC_DA72_43B2_B862_556930EA8E90_.wvu.FilterData" localSheetId="8" hidden="1">EvReport!$A$4:$Q$202</definedName>
    <definedName name="Z_CF2262FA_9D65_400A_9A9F_E1045F1DA35F_.wvu.FilterData" localSheetId="8" hidden="1">EvReport!$A$4:$Q$202</definedName>
    <definedName name="Z_CF4AB0FA_7045_4700_A0D2_195E1CC193B7_.wvu.FilterData" localSheetId="8" hidden="1">EvReport!$A$4:$Q$202</definedName>
    <definedName name="Z_CF7C3FA3_26C9_4D31_9AA6_4BB62E7921E3_.wvu.FilterData" localSheetId="3" hidden="1">Forecast!$F$8:$F$218</definedName>
    <definedName name="Z_CFC02B5C_8790_40CE_9489_AD5CE4A505D1_.wvu.FilterData" localSheetId="8" hidden="1">EvReport!$A$4:$Q$202</definedName>
    <definedName name="Z_D01F2231_A811_45B2_B08A_109B18999160_.wvu.FilterData" localSheetId="8" hidden="1">EvReport!$A$4:$Q$202</definedName>
    <definedName name="Z_D0341367_0D09_4945_8768_F6128FEDC696_.wvu.FilterData" localSheetId="8" hidden="1">EvReport!$A$4:$Q$202</definedName>
    <definedName name="Z_D0BCA88B_6887_487E_A610_24841FDF0D18_.wvu.FilterData" localSheetId="8" hidden="1">EvReport!$A$4:$Q$202</definedName>
    <definedName name="Z_D0C2495B_305C_4624_90D7_DFF54AB56385_.wvu.FilterData" localSheetId="8" hidden="1">EvReport!$A$4:$Q$202</definedName>
    <definedName name="Z_D0E1DD42_AEB3_4CC5_8290_D75994B981D8_.wvu.FilterData" localSheetId="8" hidden="1">EvReport!$A$4:$Q$202</definedName>
    <definedName name="Z_D0F9A27D_726D_4B0C_BDA9_0718435554A0_.wvu.FilterData" localSheetId="8" hidden="1">EvReport!$A$4:$Q$202</definedName>
    <definedName name="Z_D105E9AB_0F1E_460F_BD0E_DD29FA6FF6C6_.wvu.FilterData" localSheetId="3" hidden="1">Forecast!$F$8:$F$218</definedName>
    <definedName name="Z_D1124AA2_9FF3_4A28_A55F_AF66945FF72D_.wvu.FilterData" localSheetId="8" hidden="1">EvReport!$A$4:$Q$202</definedName>
    <definedName name="Z_D116B352_61B1_48ED_8F61_BB5BC0A2DB1B_.wvu.FilterData" localSheetId="8" hidden="1">EvReport!$A$4:$Q$202</definedName>
    <definedName name="Z_D16CA067_A17B_4259_8A22_DA00A502A027_.wvu.FilterData" localSheetId="8" hidden="1">EvReport!$A$4:$Q$202</definedName>
    <definedName name="Z_D1B5C7DD_F366_4DDF_91DC_7A486C89626A_.wvu.FilterData" localSheetId="3" hidden="1">Forecast!$F$8:$F$218</definedName>
    <definedName name="Z_D1D1E152_95AB_45D3_AC07_4EC0834D3E0C_.wvu.FilterData" localSheetId="8" hidden="1">EvReport!$A$4:$Q$202</definedName>
    <definedName name="Z_D1D1E152_95AB_45D3_AC07_4EC0834D3E0C_.wvu.FilterData" localSheetId="3" hidden="1">Forecast!$A$1:$Z$218</definedName>
    <definedName name="Z_D1D1E152_95AB_45D3_AC07_4EC0834D3E0C_.wvu.PrintArea" localSheetId="5" hidden="1">Ch!$A$1:$J$58</definedName>
    <definedName name="Z_D1D1E152_95AB_45D3_AC07_4EC0834D3E0C_.wvu.PrintArea" localSheetId="10" hidden="1">DGFI!$A$1:$F$52</definedName>
    <definedName name="Z_D1D1E152_95AB_45D3_AC07_4EC0834D3E0C_.wvu.PrintArea" localSheetId="17" hidden="1">'En-Curve'!$P$2:$Z$64</definedName>
    <definedName name="Z_D1D1E152_95AB_45D3_AC07_4EC0834D3E0C_.wvu.PrintArea" localSheetId="26" hidden="1">EnReport!$C$5:$F$38</definedName>
    <definedName name="Z_D1D1E152_95AB_45D3_AC07_4EC0834D3E0C_.wvu.PrintArea" localSheetId="9" hidden="1">EvBangla!$A$1:$M$32</definedName>
    <definedName name="Z_D1D1E152_95AB_45D3_AC07_4EC0834D3E0C_.wvu.PrintArea" localSheetId="8" hidden="1">EvReport!$B$1:$L$206</definedName>
    <definedName name="Z_D1D1E152_95AB_45D3_AC07_4EC0834D3E0C_.wvu.PrintArea" localSheetId="3" hidden="1">Forecast!$B$1:$R$224</definedName>
    <definedName name="Z_D1D1E152_95AB_45D3_AC07_4EC0834D3E0C_.wvu.PrintArea" localSheetId="1" hidden="1">FWise!$B$1:$L$42</definedName>
    <definedName name="Z_D1D1E152_95AB_45D3_AC07_4EC0834D3E0C_.wvu.PrintArea" localSheetId="7" hidden="1">Generation!$A$1:$AC$201</definedName>
    <definedName name="Z_D1D1E152_95AB_45D3_AC07_4EC0834D3E0C_.wvu.PrintArea" localSheetId="16" hidden="1">'L-Curve'!$H$3:$Q$49</definedName>
    <definedName name="Z_D1D1E152_95AB_45D3_AC07_4EC0834D3E0C_.wvu.PrintArea" localSheetId="12" hidden="1">'P1'!$A$1:$I$113</definedName>
    <definedName name="Z_D1D1E152_95AB_45D3_AC07_4EC0834D3E0C_.wvu.PrintArea" localSheetId="4" hidden="1">'P2'!$B$1:$J$194</definedName>
    <definedName name="Z_D1D1E152_95AB_45D3_AC07_4EC0834D3E0C_.wvu.PrintArea" localSheetId="13" hidden="1">'P3'!$B$1:$P$72</definedName>
    <definedName name="Z_D1D1E152_95AB_45D3_AC07_4EC0834D3E0C_.wvu.PrintArea" localSheetId="6" hidden="1">PM!$A$1:$G$22</definedName>
    <definedName name="Z_D1D1E152_95AB_45D3_AC07_4EC0834D3E0C_.wvu.PrintArea" localSheetId="27" hidden="1">VAR!$A$1:$I$70</definedName>
    <definedName name="Z_D1D1E152_95AB_45D3_AC07_4EC0834D3E0C_.wvu.PrintArea" localSheetId="14" hidden="1">Volt!$B$2:$K$119</definedName>
    <definedName name="Z_D1D1E152_95AB_45D3_AC07_4EC0834D3E0C_.wvu.PrintArea" localSheetId="22" hidden="1">YesterdayFWise!$B$1:$L$35</definedName>
    <definedName name="Z_D1D1E152_95AB_45D3_AC07_4EC0834D3E0C_.wvu.PrintArea" localSheetId="24" hidden="1">'Zone Wise Gen'!$A$3:$K$29</definedName>
    <definedName name="Z_D1D1E152_95AB_45D3_AC07_4EC0834D3E0C_.wvu.PrintTitles" localSheetId="8" hidden="1">EvReport!$7:$8</definedName>
    <definedName name="Z_D1D1E152_95AB_45D3_AC07_4EC0834D3E0C_.wvu.PrintTitles" localSheetId="3" hidden="1">Forecast!$4:$8</definedName>
    <definedName name="Z_D1D1E152_95AB_45D3_AC07_4EC0834D3E0C_.wvu.PrintTitles" localSheetId="4" hidden="1">'P2'!$5:$8</definedName>
    <definedName name="Z_D1D1E152_95AB_45D3_AC07_4EC0834D3E0C_.wvu.Rows" localSheetId="1" hidden="1">FWise!$24:$24</definedName>
    <definedName name="Z_D1D1E152_95AB_45D3_AC07_4EC0834D3E0C_.wvu.Rows" localSheetId="12" hidden="1">'P1'!$106:$106,'P1'!$120:$121</definedName>
    <definedName name="Z_D1D1E152_95AB_45D3_AC07_4EC0834D3E0C_.wvu.Rows" localSheetId="24" hidden="1">'Zone Wise Gen'!$22:$22</definedName>
    <definedName name="Z_D234F597_DF4A_4548_9AE7_8D2259780E1A_.wvu.FilterData" localSheetId="8" hidden="1">EvReport!$A$4:$Q$202</definedName>
    <definedName name="Z_D2890D78_89BA_43EF_A993_45A64DD19B53_.wvu.FilterData" localSheetId="8" hidden="1">EvReport!$A$4:$Q$202</definedName>
    <definedName name="Z_D2A9DB95_8C5F_47C9_99F1_2680CC82A126_.wvu.FilterData" localSheetId="8" hidden="1">EvReport!$A$4:$Q$202</definedName>
    <definedName name="Z_D2BDF8E1_8406_4A1A_9377_605D58CF2EC1_.wvu.FilterData" localSheetId="8" hidden="1">EvReport!$A$4:$Q$202</definedName>
    <definedName name="Z_D395ACED_4980_4199_A773_41E831A5291B_.wvu.FilterData" localSheetId="8" hidden="1">EvReport!$A$4:$Q$202</definedName>
    <definedName name="Z_D424AAEB_9DC9_4F47_B899_B8ECEF5CD769_.wvu.FilterData" localSheetId="8" hidden="1">EvReport!$A$4:$Q$202</definedName>
    <definedName name="Z_D427964F_F8D6_40D7_9B06_BC9857830AC6_.wvu.FilterData" localSheetId="3" hidden="1">Forecast!$F$8:$F$218</definedName>
    <definedName name="Z_D4376D1B_790C_41E9_838B_AAC8DA8CC9B4_.wvu.FilterData" localSheetId="8" hidden="1">EvReport!$A$4:$Q$202</definedName>
    <definedName name="Z_D4571FAC_7883_4566_BA83_251BDFAAB5D0_.wvu.FilterData" localSheetId="8" hidden="1">EvReport!$A$4:$Q$202</definedName>
    <definedName name="Z_D471D404_DE85_4116_BE66_BDE8CAD604E8_.wvu.FilterData" localSheetId="3" hidden="1">Forecast!$A$1:$Z$218</definedName>
    <definedName name="Z_D479E827_E306_4B80_A073_55F51C340BC6_.wvu.FilterData" localSheetId="8" hidden="1">EvReport!$A$4:$Q$202</definedName>
    <definedName name="Z_D508E739_D963_40EC_91B6_F45896EB6B75_.wvu.FilterData" localSheetId="8" hidden="1">EvReport!$A$4:$Q$202</definedName>
    <definedName name="Z_D517D13A_D403_4A18_AB9A_61C629092DD8_.wvu.FilterData" localSheetId="8" hidden="1">EvReport!$A$4:$Q$202</definedName>
    <definedName name="Z_D5395775_621D_4BEB_8151_A4ED458B1133_.wvu.FilterData" localSheetId="8" hidden="1">EvReport!$A$4:$Q$202</definedName>
    <definedName name="Z_D56A989F_BDED_4B59_97FD_278B93B5F81F_.wvu.FilterData" localSheetId="8" hidden="1">EvReport!$A$4:$Q$202</definedName>
    <definedName name="Z_D582852A_AB54_4FA7_8DA4_D6CFE51483CE_.wvu.FilterData" localSheetId="8" hidden="1">EvReport!$A$4:$Q$202</definedName>
    <definedName name="Z_D5BD227B_949B_4D63_9C15_9324F6453587_.wvu.FilterData" localSheetId="8" hidden="1">EvReport!$A$4:$Q$202</definedName>
    <definedName name="Z_D5C67E97_A228_4271_B48A_86C88049922C_.wvu.FilterData" localSheetId="8" hidden="1">EvReport!$A$4:$Q$202</definedName>
    <definedName name="Z_D5D5E797_9CD4_46C3_808A_9FAF9519FE13_.wvu.FilterData" localSheetId="8" hidden="1">EvReport!$A$4:$Q$202</definedName>
    <definedName name="Z_D5EFD4AF_6BB1_4A7E_816F_FDB1EC89AA97_.wvu.FilterData" localSheetId="8" hidden="1">EvReport!$A$4:$Q$202</definedName>
    <definedName name="Z_D61F7C82_48C4_4981_AB78_9C85CB654A83_.wvu.FilterData" localSheetId="8" hidden="1">EvReport!$A$4:$Q$202</definedName>
    <definedName name="Z_D62009DD_9B7C_4461_B66B_0E7324E57C82_.wvu.FilterData" localSheetId="8" hidden="1">EvReport!$A$4:$Q$202</definedName>
    <definedName name="Z_D63D347F_17F8_40D4_BB32_E77F366220E3_.wvu.FilterData" localSheetId="3" hidden="1">Forecast!$F$8:$F$218</definedName>
    <definedName name="Z_D645FE15_CE85_4AA9_816B_76055CFF8ED0_.wvu.FilterData" localSheetId="8" hidden="1">EvReport!$A$4:$Q$202</definedName>
    <definedName name="Z_D6586E18_FD16_4E92_B9FB_91C40CEEC5BF_.wvu.FilterData" localSheetId="8" hidden="1">EvReport!$A$4:$Q$202</definedName>
    <definedName name="Z_D66014F2_3EC2_4787_AA4F_6F85BC06E822_.wvu.FilterData" localSheetId="8" hidden="1">EvReport!$A$4:$Q$202</definedName>
    <definedName name="Z_D68221A5_1646_4229_B705_8424EE943A77_.wvu.FilterData" localSheetId="8" hidden="1">EvReport!$A$4:$Q$202</definedName>
    <definedName name="Z_D6845E61_07EA_455D_BE67_4932EE5CAF30_.wvu.FilterData" localSheetId="3" hidden="1">Forecast!$A$1:$Z$218</definedName>
    <definedName name="Z_D6AE7A87_A45F_42D9_8265_5598B5D09145_.wvu.FilterData" localSheetId="3" hidden="1">Forecast!$A$1:$Z$218</definedName>
    <definedName name="Z_D739EE34_D8B7_4ACE_8D48_E8699E2836B2_.wvu.FilterData" localSheetId="8" hidden="1">EvReport!$A$4:$Q$202</definedName>
    <definedName name="Z_D73A5B3E_B276_4351_A32C_4BF82CF46B38_.wvu.FilterData" localSheetId="8" hidden="1">EvReport!$A$4:$Q$202</definedName>
    <definedName name="Z_D7B38D61_F60C_43E1_AFD4_E1820594F418_.wvu.FilterData" localSheetId="3" hidden="1">Forecast!$A$1:$Z$218</definedName>
    <definedName name="Z_D80395CE_A843_4233_8F13_A2455CD681D1_.wvu.FilterData" localSheetId="8" hidden="1">EvReport!$A$4:$Q$202</definedName>
    <definedName name="Z_D8198587_07DA_4781_A491_2D62C6FEC0B0_.wvu.FilterData" localSheetId="8" hidden="1">EvReport!$A$4:$Q$202</definedName>
    <definedName name="Z_D84E4EA0_374A_4D56_99FA_22742E273F5B_.wvu.FilterData" localSheetId="8" hidden="1">EvReport!$A$4:$Q$202</definedName>
    <definedName name="Z_D88184D4_CA8E_4188_BF58_699095968EF9_.wvu.FilterData" localSheetId="8" hidden="1">EvReport!$A$4:$Q$202</definedName>
    <definedName name="Z_D8F5E682_065B_4C9D_B5F6_390FE1C96944_.wvu.FilterData" localSheetId="8" hidden="1">EvReport!$A$4:$Q$202</definedName>
    <definedName name="Z_D901F4AC_51D4_4D28_A2CE_421103E32749_.wvu.FilterData" localSheetId="8" hidden="1">EvReport!$A$4:$Q$202</definedName>
    <definedName name="Z_D9021D8D_ECCC_495D_B330_E8F1549D20B0_.wvu.FilterData" localSheetId="8" hidden="1">EvReport!$A$4:$Q$202</definedName>
    <definedName name="Z_D9073FEF_9E19_4587_9192_24A29DB407D0_.wvu.FilterData" localSheetId="8" hidden="1">EvReport!$A$4:$Q$202</definedName>
    <definedName name="Z_D90BABB5_8EFC_4E7B_B6D3_A0E90F609AA2_.wvu.FilterData" localSheetId="8" hidden="1">EvReport!$A$4:$Q$202</definedName>
    <definedName name="Z_D94A9067_2187_42FB_A14E_FBC1F0118DE3_.wvu.FilterData" localSheetId="8" hidden="1">EvReport!$A$4:$Q$202</definedName>
    <definedName name="Z_D95F6B61_984B_4718_9058_EC25C1DBD833_.wvu.FilterData" localSheetId="8" hidden="1">EvReport!$A$4:$Q$202</definedName>
    <definedName name="Z_D961783B_6FDB_4F46_9EDC_CFB8D0D5F0F9_.wvu.FilterData" localSheetId="8" hidden="1">EvReport!$A$4:$Q$202</definedName>
    <definedName name="Z_D962A337_55F5_4123_AA2B_078CEC5349CE_.wvu.FilterData" localSheetId="8" hidden="1">EvReport!$A$4:$Q$202</definedName>
    <definedName name="Z_D98D7BAC_5C59_481B_B4D1_1C87F5BA9E55_.wvu.FilterData" localSheetId="8" hidden="1">EvReport!$A$4:$Q$202</definedName>
    <definedName name="Z_D9D80567_356B_43BB_922A_7487752F37D4_.wvu.FilterData" localSheetId="8" hidden="1">EvReport!$A$4:$Q$202</definedName>
    <definedName name="Z_DA3B1FF5_3FAC_4F5B_85F6_9F7804E565A5_.wvu.FilterData" localSheetId="3" hidden="1">Forecast!$F$8:$F$218</definedName>
    <definedName name="Z_DA8CE39D_3B39_4209_A5EB_BD38D57574B0_.wvu.FilterData" localSheetId="8" hidden="1">EvReport!$A$4:$Q$202</definedName>
    <definedName name="Z_DA983927_968F_42D0_8F19_62B62078AB4D_.wvu.FilterData" localSheetId="8" hidden="1">EvReport!$A$4:$Q$202</definedName>
    <definedName name="Z_DA9C515D_4195_415D_B9B7_02204A7763A0_.wvu.FilterData" localSheetId="8" hidden="1">EvReport!$A$4:$Q$202</definedName>
    <definedName name="Z_DAA70A19_A955_4DCF_A301_B6F8F618A02F_.wvu.FilterData" localSheetId="8" hidden="1">EvReport!$A$4:$Q$202</definedName>
    <definedName name="Z_DB8062B0_4856_4F59_8BBE_8E3813C0F75C_.wvu.FilterData" localSheetId="8" hidden="1">EvReport!$A$4:$Q$202</definedName>
    <definedName name="Z_DB8B43A6_F8B0_4A09_BA84_A6131B490D60_.wvu.FilterData" localSheetId="8" hidden="1">EvReport!$A$4:$Q$202</definedName>
    <definedName name="Z_DB9D6A0B_F0B1_4833_BD35_9D892FDF53EE_.wvu.FilterData" localSheetId="8" hidden="1">EvReport!$A$4:$Q$202</definedName>
    <definedName name="Z_DBA9841E_8CCB_4300_984E_6EA2253C9320_.wvu.FilterData" localSheetId="3" hidden="1">Forecast!$A$1:$Z$218</definedName>
    <definedName name="Z_DC094632_B530_4B8E_9943_7968D35BEE1A_.wvu.FilterData" localSheetId="3" hidden="1">Forecast!$A$1:$Z$218</definedName>
    <definedName name="Z_DC232D62_7692_42CF_B44C_7A96302466D7_.wvu.FilterData" localSheetId="8" hidden="1">EvReport!$A$4:$Q$202</definedName>
    <definedName name="Z_DC23E426_26D3_4428_89C0_E618A09E4A65_.wvu.FilterData" localSheetId="8" hidden="1">EvReport!$A$4:$Q$202</definedName>
    <definedName name="Z_DC64C2E7_C1C1_4790_B42B_CEBBB8BD20D5_.wvu.FilterData" localSheetId="8" hidden="1">EvReport!$A$4:$Q$202</definedName>
    <definedName name="Z_DC72D02F_67E3_4509_BB4A_4225309E4942_.wvu.FilterData" localSheetId="8" hidden="1">EvReport!$A$4:$Q$202</definedName>
    <definedName name="Z_DCA8504D_04EF_48E3_A2E4_173C6729C45B_.wvu.FilterData" localSheetId="8" hidden="1">EvReport!$A$4:$Q$202</definedName>
    <definedName name="Z_DCDADADE_FABA_4ECE_BF13_F803D42B6FC6_.wvu.FilterData" localSheetId="8" hidden="1">EvReport!$A$4:$Q$202</definedName>
    <definedName name="Z_DD50766C_1C99_449C_B19F_24D41F754BA0_.wvu.FilterData" localSheetId="8" hidden="1">EvReport!$A$4:$Q$202</definedName>
    <definedName name="Z_DDAF299B_F0A2_4927_9A6C_CAF1294B291B_.wvu.FilterData" localSheetId="8" hidden="1">EvReport!$A$4:$Q$202</definedName>
    <definedName name="Z_DE558BDD_7D25_4B96_B304_2B9F3C100002_.wvu.FilterData" localSheetId="8" hidden="1">EvReport!$A$4:$Q$202</definedName>
    <definedName name="Z_DEF5B338_F727_46C7_AE64_7BC043CE0D5B_.wvu.FilterData" localSheetId="3" hidden="1">Forecast!$A$1:$Z$218</definedName>
    <definedName name="Z_DEF61CF2_2C3B_4FDA_A449_787594F52533_.wvu.FilterData" localSheetId="8" hidden="1">EvReport!$A$4:$Q$202</definedName>
    <definedName name="Z_DF0AC901_BBA8_4A12_93EB_6F2EE3C528BA_.wvu.FilterData" localSheetId="8" hidden="1">EvReport!$A$4:$Q$202</definedName>
    <definedName name="Z_DF20B8FB_FF54_4BC0_8C96_A53E6B7716EB_.wvu.FilterData" localSheetId="3" hidden="1">Forecast!$F$8:$F$218</definedName>
    <definedName name="Z_DF59F2C5_1F7E_47E7_87F1_3F421E1D13DF_.wvu.FilterData" localSheetId="3" hidden="1">Forecast!$A$1:$Z$218</definedName>
    <definedName name="Z_DFA40E3A_D71E_439A_B482_8480F6988543_.wvu.FilterData" localSheetId="3" hidden="1">Forecast!$A$1:$Z$218</definedName>
    <definedName name="Z_DFA5A853_C391_4975_85D9_113B07A0534C_.wvu.FilterData" localSheetId="8" hidden="1">EvReport!$A$4:$Q$202</definedName>
    <definedName name="Z_DFC0FBB4_C302_42A5_809C_054B0D3E28E9_.wvu.FilterData" localSheetId="8" hidden="1">EvReport!$A$4:$Q$202</definedName>
    <definedName name="Z_DFD58166_E77B_4693_9B70_5CA037366F65_.wvu.FilterData" localSheetId="8" hidden="1">EvReport!$A$4:$Q$202</definedName>
    <definedName name="Z_DFFAE5B4_08CB_4E20_B097_18A436F259DD_.wvu.FilterData" localSheetId="8" hidden="1">EvReport!$A$4:$Q$202</definedName>
    <definedName name="Z_E04A5B11_DAD7_4AB3_A816_E213A419014B_.wvu.FilterData" localSheetId="8" hidden="1">EvReport!$A$4:$Q$202</definedName>
    <definedName name="Z_E07715EE_154E_4C13_80BD_7A75FCBC02DA_.wvu.FilterData" localSheetId="8" hidden="1">EvReport!$A$4:$Q$202</definedName>
    <definedName name="Z_E0AC80FA_42FD_433A_B979_328431F30833_.wvu.FilterData" localSheetId="8" hidden="1">EvReport!$A$4:$Q$202</definedName>
    <definedName name="Z_E0B5A1F0_4BFE_4697_B1D0_E19C5CC3E084_.wvu.FilterData" localSheetId="8" hidden="1">EvReport!$A$4:$Q$202</definedName>
    <definedName name="Z_E0D37AEE_6B0D_4093_A533_22076D7B8DBD_.wvu.FilterData" localSheetId="8" hidden="1">EvReport!$A$4:$Q$202</definedName>
    <definedName name="Z_E1184CF9_3F43_4D28_BE1D_F7B9A37D5B38_.wvu.FilterData" localSheetId="8" hidden="1">EvReport!$A$4:$Q$202</definedName>
    <definedName name="Z_E149DDA5_C1C2_40C8_9816_CC704E73F29C_.wvu.FilterData" localSheetId="8" hidden="1">EvReport!$A$4:$Q$202</definedName>
    <definedName name="Z_E17D0E5B_08AF_4862_A54A_9B9C9C7E77C9_.wvu.FilterData" localSheetId="8" hidden="1">EvReport!$A$4:$Q$202</definedName>
    <definedName name="Z_E1905705_3418_4C53_B157_62C7D9470682_.wvu.FilterData" localSheetId="8" hidden="1">EvReport!$A$4:$Q$202</definedName>
    <definedName name="Z_E1C80802_B2C0_4A97_B71D_D6241F1628B0_.wvu.FilterData" localSheetId="8" hidden="1">EvReport!$A$4:$Q$202</definedName>
    <definedName name="Z_E244DD59_740A_4DD5_B82D_13C763EC3C1B_.wvu.FilterData" localSheetId="8" hidden="1">EvReport!$A$4:$Q$202</definedName>
    <definedName name="Z_E2636547_A9AF_421B_9C87_A49879792FE5_.wvu.FilterData" localSheetId="8" hidden="1">EvReport!$A$4:$Q$202</definedName>
    <definedName name="Z_E319C463_D454_463D_A3A9_5E977401B752_.wvu.FilterData" localSheetId="8" hidden="1">EvReport!$A$4:$Q$202</definedName>
    <definedName name="Z_E376B8E1_99E1_4062_B6FA_D49F5FA97095_.wvu.FilterData" localSheetId="8" hidden="1">EvReport!$A$4:$Q$202</definedName>
    <definedName name="Z_E3BB0929_9CBE_4C59_8D7F_B5F00F3FECFB_.wvu.FilterData" localSheetId="8" hidden="1">EvReport!$A$4:$Q$202</definedName>
    <definedName name="Z_E3E8C429_B477_448E_9AF3_837A86816C1E_.wvu.FilterData" localSheetId="8" hidden="1">EvReport!$A$4:$Q$202</definedName>
    <definedName name="Z_E403BD67_5F84_4C20_B0A4_2EFAF759105D_.wvu.FilterData" localSheetId="8" hidden="1">EvReport!$A$4:$Q$202</definedName>
    <definedName name="Z_E451EB7A_D8EF_469F_A78C_71B0302973EA_.wvu.FilterData" localSheetId="3" hidden="1">Forecast!$A$1:$Z$218</definedName>
    <definedName name="Z_E4817A4D_EF5C_4CF8_AE6C_5BEA2220C4A0_.wvu.FilterData" localSheetId="8" hidden="1">EvReport!$A$4:$Q$202</definedName>
    <definedName name="Z_E48336A8_393B_4A74_B22C_6D5ED8685D14_.wvu.FilterData" localSheetId="8" hidden="1">EvReport!$A$4:$Q$202</definedName>
    <definedName name="Z_E4AF8C8D_3071_4703_ADE9_AC63E1994C90_.wvu.FilterData" localSheetId="3" hidden="1">Forecast!$A$1:$Z$218</definedName>
    <definedName name="Z_E4DB0170_78EE_464D_A7AF_259B0DC357E8_.wvu.FilterData" localSheetId="8" hidden="1">EvReport!$A$4:$Q$202</definedName>
    <definedName name="Z_E51B59B8_8BBF_43DF_897E_47DF83F77845_.wvu.FilterData" localSheetId="8" hidden="1">EvReport!$A$4:$Q$202</definedName>
    <definedName name="Z_E51DCB06_86CE_489F_AFC8_8E576C174023_.wvu.FilterData" localSheetId="8" hidden="1">EvReport!$A$4:$Q$202</definedName>
    <definedName name="Z_E52E7DE2_3C93_4FCE_8E11_5E923A70EA1E_.wvu.FilterData" localSheetId="8" hidden="1">EvReport!$A$4:$Q$202</definedName>
    <definedName name="Z_E53D3C2C_82E5_457F_8523_904125D8861F_.wvu.FilterData" localSheetId="8" hidden="1">EvReport!$A$4:$Q$202</definedName>
    <definedName name="Z_E541F922_FC60_4150_A0FC_11F61124579A_.wvu.FilterData" localSheetId="8" hidden="1">EvReport!$A$4:$Q$202</definedName>
    <definedName name="Z_E577E7F5_B99B_4D59_B481_EDD3893741A4_.wvu.FilterData" localSheetId="8" hidden="1">EvReport!$A$4:$Q$202</definedName>
    <definedName name="Z_E5B8B869_D853_4098_BFA0_2CF0121BF086_.wvu.FilterData" localSheetId="8" hidden="1">EvReport!$A$4:$Q$202</definedName>
    <definedName name="Z_E63D5373_EDDA_41FB_9A12_0EB4773BC7DA_.wvu.FilterData" localSheetId="8" hidden="1">EvReport!$A$4:$Q$202</definedName>
    <definedName name="Z_E64F2694_DBD6_4A60_990C_2F83EC0394B8_.wvu.FilterData" localSheetId="8" hidden="1">EvReport!$A$4:$Q$202</definedName>
    <definedName name="Z_E69366B4_9F77_470A_91CE_7BE76F1B3092_.wvu.FilterData" localSheetId="8" hidden="1">EvReport!$A$4:$Q$202</definedName>
    <definedName name="Z_E6F14C67_C7E9_4979_989A_E4052D3B22AA_.wvu.FilterData" localSheetId="8" hidden="1">EvReport!$A$4:$Q$202</definedName>
    <definedName name="Z_E71E6D59_3494_4C68_B7C6_6A823CFD4208_.wvu.FilterData" localSheetId="8" hidden="1">EvReport!$A$4:$Q$202</definedName>
    <definedName name="Z_E7C3012D_2EB3_4615_AB18_8183AEA8F505_.wvu.FilterData" localSheetId="8" hidden="1">EvReport!$A$4:$Q$202</definedName>
    <definedName name="Z_E7CFB922_19F6_47A9_8673_BC0F08AA43D2_.wvu.FilterData" localSheetId="8" hidden="1">EvReport!$A$4:$Q$202</definedName>
    <definedName name="Z_E8049896_42FA_40BE_8232_C5D91A8E5124_.wvu.FilterData" localSheetId="8" hidden="1">EvReport!$A$4:$Q$202</definedName>
    <definedName name="Z_E8116D78_E9DA_42EE_BB69_63C6D7247D70_.wvu.FilterData" localSheetId="8" hidden="1">EvReport!$A$4:$Q$202</definedName>
    <definedName name="Z_E81C3CC4_71F5_4907_B5B0_472484585D71_.wvu.FilterData" localSheetId="8" hidden="1">EvReport!$A$4:$Q$202</definedName>
    <definedName name="Z_E82B78B6_FEEE_415A_8177_CE49FADF3EEB_.wvu.FilterData" localSheetId="8" hidden="1">EvReport!$A$4:$Q$202</definedName>
    <definedName name="Z_E83268D9_7E00_44FA_B461_23B04BE3F625_.wvu.FilterData" localSheetId="8" hidden="1">EvReport!$A$4:$Q$202</definedName>
    <definedName name="Z_E8A8F0D1_9AF1_4719_8B0B_EE70A0E736B7_.wvu.FilterData" localSheetId="8" hidden="1">EvReport!$A$4:$Q$202</definedName>
    <definedName name="Z_E8D169F9_670E_4153_BBE5_635FE2495EBD_.wvu.FilterData" localSheetId="8" hidden="1">EvReport!$A$4:$Q$202</definedName>
    <definedName name="Z_E8E5259F_C984_4E5E_9031_8EFB25533EFE_.wvu.FilterData" localSheetId="8" hidden="1">EvReport!$A$4:$Q$202</definedName>
    <definedName name="Z_E9081533_DA6E_432B_8461_520FB2697845_.wvu.FilterData" localSheetId="8" hidden="1">EvReport!$A$4:$Q$202</definedName>
    <definedName name="Z_E9276E5D_C2C5_43F3_A637_12F0B611BA88_.wvu.FilterData" localSheetId="8" hidden="1">EvReport!$A$4:$Q$202</definedName>
    <definedName name="Z_E937E6CB_F2E1_4B70_8F60_A2AA4709BA54_.wvu.FilterData" localSheetId="8" hidden="1">EvReport!$A$4:$Q$202</definedName>
    <definedName name="Z_E952609F_B2AB_40CB_A25E_6EAAB5B1E075_.wvu.FilterData" localSheetId="8" hidden="1">EvReport!$A$4:$Q$202</definedName>
    <definedName name="Z_E95D4E4B_BA28_4EF7_B429_F30335DDB69A_.wvu.FilterData" localSheetId="8" hidden="1">EvReport!$A$4:$Q$202</definedName>
    <definedName name="Z_E96899BF_D358_4E59_9F1B_33464707C073_.wvu.FilterData" localSheetId="8" hidden="1">EvReport!$A$4:$Q$202</definedName>
    <definedName name="Z_E98E908A_2C27_48EC_8E1C_3F3A9CEF8A5A_.wvu.FilterData" localSheetId="3" hidden="1">Forecast!$A$1:$Z$218</definedName>
    <definedName name="Z_E9C3F004_49DA_458C_8686_6B93839B59D6_.wvu.FilterData" localSheetId="8" hidden="1">EvReport!$A$4:$Q$202</definedName>
    <definedName name="Z_E9D767B1_B135_4588_A4C2_7835A68345F7_.wvu.FilterData" localSheetId="8" hidden="1">EvReport!$A$4:$Q$202</definedName>
    <definedName name="Z_E9DB239D_EE1A_47F5_8DC9_8327F82A35DA_.wvu.FilterData" localSheetId="8" hidden="1">EvReport!$A$4:$Q$202</definedName>
    <definedName name="Z_E9E1BDDD_D6ED_4A90_8497_5B2564BB9475_.wvu.FilterData" localSheetId="8" hidden="1">EvReport!$A$4:$Q$202</definedName>
    <definedName name="Z_E9E1BDDD_D6ED_4A90_8497_5B2564BB9475_.wvu.FilterData" localSheetId="3" hidden="1">Forecast!$A$1:$Z$218</definedName>
    <definedName name="Z_EA190098_C47A_4AE5_8C6B_32F4C570066E_.wvu.FilterData" localSheetId="8" hidden="1">EvReport!$A$4:$Q$202</definedName>
    <definedName name="Z_EA234AD5_6CA4_4244_9EB4_BF869E62438B_.wvu.FilterData" localSheetId="8" hidden="1">EvReport!$A$4:$Q$202</definedName>
    <definedName name="Z_EA8AE7AC_DEB6_4A62_916F_068E334DEC58_.wvu.FilterData" localSheetId="8" hidden="1">EvReport!$A$4:$Q$202</definedName>
    <definedName name="Z_EA8B97AD_4364_4F77_BED6_FDA699E0AB56_.wvu.FilterData" localSheetId="8" hidden="1">EvReport!$A$4:$Q$202</definedName>
    <definedName name="Z_EACA7E23_063E_427B_9BC5_7FBC23729E2E_.wvu.FilterData" localSheetId="8" hidden="1">EvReport!$A$4:$Q$202</definedName>
    <definedName name="Z_EB0B5FE1_BDF5_459F_9876_2652C9C0B7D4_.wvu.FilterData" localSheetId="8" hidden="1">EvReport!$A$4:$Q$202</definedName>
    <definedName name="Z_EB1E7655_0508_4BA3_8F56_F03F98C822A4_.wvu.FilterData" localSheetId="8" hidden="1">EvReport!$A$4:$Q$202</definedName>
    <definedName name="Z_EB20AD35_6EDD_4DF9_9E85_784F88B67B2B_.wvu.FilterData" localSheetId="8" hidden="1">EvReport!$A$4:$Q$202</definedName>
    <definedName name="Z_EB361952_4FEC_4D14_9EB9_15CBA2C1F19F_.wvu.FilterData" localSheetId="8" hidden="1">EvReport!$A$4:$Q$202</definedName>
    <definedName name="Z_EB877857_1DF9_44BC_BED7_EBACC7AFACF7_.wvu.FilterData" localSheetId="8" hidden="1">EvReport!$A$4:$Q$202</definedName>
    <definedName name="Z_EC640DDC_BD1E_4259_9836_C7AD69AB143B_.wvu.FilterData" localSheetId="8" hidden="1">EvReport!$A$4:$Q$202</definedName>
    <definedName name="Z_ECA6F238_A3D5_434A_82AD_EAD568B9BDEC_.wvu.FilterData" localSheetId="8" hidden="1">EvReport!$A$4:$Q$202</definedName>
    <definedName name="Z_ED872469_26BE_4A79_B3C1_9C9D52BB2F6F_.wvu.FilterData" localSheetId="8" hidden="1">EvReport!$A$4:$Q$202</definedName>
    <definedName name="Z_ED880703_5EC9_4B68_84D5_67BF9A4DF2A4_.wvu.FilterData" localSheetId="8" hidden="1">EvReport!$A$4:$Q$202</definedName>
    <definedName name="Z_ED8B43FE_215A_48CA_82FD_D87AFB850908_.wvu.FilterData" localSheetId="8" hidden="1">EvReport!$A$4:$Q$202</definedName>
    <definedName name="Z_EDA41EE9_D7BA_4497_B0B6_124509F4E67B_.wvu.FilterData" localSheetId="8" hidden="1">EvReport!$A$4:$Q$202</definedName>
    <definedName name="Z_EDD915B8_B05C_488B_87F8_2AEA8AA2B724_.wvu.FilterData" localSheetId="8" hidden="1">EvReport!$A$4:$Q$202</definedName>
    <definedName name="Z_EDEC9196_D966_47BD_80E2_022D882ABD14_.wvu.FilterData" localSheetId="3" hidden="1">Forecast!$F$8:$F$218</definedName>
    <definedName name="Z_EE28E329_6DDC_47C7_BBF4_86CA6B995D07_.wvu.FilterData" localSheetId="8" hidden="1">EvReport!$A$4:$Q$202</definedName>
    <definedName name="Z_EE846585_687E_4FB9_92A4_12EBC57BC5B2_.wvu.FilterData" localSheetId="8" hidden="1">EvReport!$A$4:$Q$202</definedName>
    <definedName name="Z_EECF84B2_F456_42D7_A746_4903D4848479_.wvu.FilterData" localSheetId="8" hidden="1">EvReport!$A$4:$Q$202</definedName>
    <definedName name="Z_EED0E7A8_27A3_40DE_86CE_DD3B9187CBB1_.wvu.FilterData" localSheetId="8" hidden="1">EvReport!$A$4:$Q$202</definedName>
    <definedName name="Z_EEE5937E_4170_4468_BAC4_4885DC558465_.wvu.FilterData" localSheetId="8" hidden="1">EvReport!$A$4:$Q$202</definedName>
    <definedName name="Z_EEF2A856_8645_4A03_AA8B_B51B5F7F8E1B_.wvu.FilterData" localSheetId="8" hidden="1">EvReport!$A$4:$Q$202</definedName>
    <definedName name="Z_EEF68CF6_721E_49EB_8FA1_40EBCFCCE64D_.wvu.FilterData" localSheetId="8" hidden="1">EvReport!$A$4:$Q$202</definedName>
    <definedName name="Z_EF0D6470_4663_4A0F_A36E_A491D99B8DF8_.wvu.FilterData" localSheetId="8" hidden="1">EvReport!$A$4:$Q$202</definedName>
    <definedName name="Z_EFFFA166_F9AC_4E03_8FB3_53FDCBB3AC72_.wvu.FilterData" localSheetId="3" hidden="1">Forecast!$A$1:$Z$218</definedName>
    <definedName name="Z_F015A8BC_992A_45F7_AED2_170FED63DB1F_.wvu.FilterData" localSheetId="8" hidden="1">EvReport!$A$4:$Q$202</definedName>
    <definedName name="Z_F037AFE1_1CEC_49C4_AA5C_76C4219C038A_.wvu.FilterData" localSheetId="3" hidden="1">Forecast!$F$8:$F$218</definedName>
    <definedName name="Z_F04E25E8_F948_453B_9F8B_DE8675C75727_.wvu.FilterData" localSheetId="3" hidden="1">Forecast!$A$1:$Z$218</definedName>
    <definedName name="Z_F05E9840_793E_4342_8025_9A237EC7FC8C_.wvu.FilterData" localSheetId="8" hidden="1">EvReport!$A$4:$Q$202</definedName>
    <definedName name="Z_F067B501_A4FA_4E96_A4B3_5263022758B3_.wvu.FilterData" localSheetId="8" hidden="1">EvReport!$A$4:$Q$202</definedName>
    <definedName name="Z_F076060B_F46E_4623_8A02_C0EFCEAD2C04_.wvu.FilterData" localSheetId="8" hidden="1">EvReport!$A$4:$Q$202</definedName>
    <definedName name="Z_F07DD3B9_B227_4C5D_98A4_FD006F29CAC6_.wvu.FilterData" localSheetId="8" hidden="1">EvReport!$A$4:$Q$202</definedName>
    <definedName name="Z_F07ECFE3_1D9D_4B68_8606_83EE19354D63_.wvu.FilterData" localSheetId="8" hidden="1">EvReport!$A$4:$Q$202</definedName>
    <definedName name="Z_F086071F_5277_49FE_822C_57121514F04F_.wvu.FilterData" localSheetId="3" hidden="1">Forecast!$F$8:$F$218</definedName>
    <definedName name="Z_F0EEDFF1_A337_42B9_8B7A_F9BE66FB6D0E_.wvu.FilterData" localSheetId="8" hidden="1">EvReport!$A$4:$Q$202</definedName>
    <definedName name="Z_F141C49D_9D33_41DE_941D_1BAD7B380C00_.wvu.FilterData" localSheetId="8" hidden="1">EvReport!$A$4:$Q$202</definedName>
    <definedName name="Z_F14FAB9C_2E70_4BE2_83D5_604E4409744C_.wvu.FilterData" localSheetId="8" hidden="1">EvReport!$A$4:$Q$202</definedName>
    <definedName name="Z_F15B19A7_4D8A_43CA_95F9_42D0E4EB8EC1_.wvu.FilterData" localSheetId="8" hidden="1">EvReport!$A$4:$Q$202</definedName>
    <definedName name="Z_F17F6998_91A9_4EB2_B3AE_AD141BE0714C_.wvu.FilterData" localSheetId="8" hidden="1">EvReport!$A$4:$Q$202</definedName>
    <definedName name="Z_F196495D_600C_43A4_83EE_0FCA89C6855F_.wvu.FilterData" localSheetId="8" hidden="1">EvReport!$A$4:$Q$202</definedName>
    <definedName name="Z_F196A47F_0232_4ED3_AB2E_3CBC51FA958B_.wvu.FilterData" localSheetId="3" hidden="1">Forecast!$A$1:$Z$218</definedName>
    <definedName name="Z_F1A2AAF7_14A3_43BE_8389_E785EAC3A379_.wvu.FilterData" localSheetId="3" hidden="1">Forecast!$A$1:$Z$218</definedName>
    <definedName name="Z_F1B1063C_CE81_459C_80A4_6D632C27C0A2_.wvu.FilterData" localSheetId="8" hidden="1">EvReport!$A$4:$Q$202</definedName>
    <definedName name="Z_F1CDA1B3_9839_4E49_9A5B_B01DA881A299_.wvu.FilterData" localSheetId="8" hidden="1">EvReport!$A$4:$Q$202</definedName>
    <definedName name="Z_F20A9CC3_0759_45F7_A7D6_4B1F2DA90CBE_.wvu.FilterData" localSheetId="3" hidden="1">Forecast!$F$8:$F$218</definedName>
    <definedName name="Z_F213790C_DBDD_4145_AD23_F9A8ED3AB298_.wvu.FilterData" localSheetId="8" hidden="1">EvReport!$A$4:$Q$202</definedName>
    <definedName name="Z_F21EB4F4_0B4F_4D73_927D_837AECBB6B38_.wvu.FilterData" localSheetId="3" hidden="1">Forecast!$A$1:$Z$218</definedName>
    <definedName name="Z_F2C62B47_137A_4B46_B43D_91C878AECA0F_.wvu.FilterData" localSheetId="8" hidden="1">EvReport!$A$4:$Q$202</definedName>
    <definedName name="Z_F2ECB571_2CEB_4F25_A22E_270FE21FABCD_.wvu.FilterData" localSheetId="8" hidden="1">EvReport!$A$4:$Q$202</definedName>
    <definedName name="Z_F32C54E4_971F_4DF8_A93C_9FAA4C6D3D6F_.wvu.FilterData" localSheetId="8" hidden="1">EvReport!$A$4:$Q$202</definedName>
    <definedName name="Z_F34BA940_F5B1_4A30_AE25_F67CF094BD87_.wvu.FilterData" localSheetId="8" hidden="1">EvReport!$A$4:$Q$202</definedName>
    <definedName name="Z_F3540F6E_E261_470C_BEDB_8D71EA12366E_.wvu.FilterData" localSheetId="8" hidden="1">EvReport!$A$4:$Q$202</definedName>
    <definedName name="Z_F3860636_A477_479E_AA7A_C65B07999163_.wvu.FilterData" localSheetId="8" hidden="1">EvReport!$A$4:$Q$202</definedName>
    <definedName name="Z_F3EC19EE_3ED6_4F3B_84B1_0D445936D574_.wvu.FilterData" localSheetId="8" hidden="1">EvReport!$A$4:$Q$202</definedName>
    <definedName name="Z_F401B86E_5E73_40E2_B596_A5B1E5961AB7_.wvu.FilterData" localSheetId="8" hidden="1">EvReport!$A$4:$Q$202</definedName>
    <definedName name="Z_F45262AE_994F_4A95_B4E0_644CD0E2FC72_.wvu.FilterData" localSheetId="8" hidden="1">EvReport!$A$4:$Q$202</definedName>
    <definedName name="Z_F48E9012_7635_4F91_89A3_39999B1D47A7_.wvu.FilterData" localSheetId="3" hidden="1">Forecast!$A$1:$Z$218</definedName>
    <definedName name="Z_F49CF1F2_7B28_48A6_8385_66BA13085F8D_.wvu.FilterData" localSheetId="3" hidden="1">Forecast!$F$8:$F$218</definedName>
    <definedName name="Z_F50AA671_590A_4F4C_8783_86F9CFFFA7F5_.wvu.FilterData" localSheetId="8" hidden="1">EvReport!$A$4:$Q$202</definedName>
    <definedName name="Z_F53F933E_D0EB_4A3D_B225_9492B296D709_.wvu.FilterData" localSheetId="3" hidden="1">Forecast!$A$1:$Z$218</definedName>
    <definedName name="Z_F5B273D4_6DA7_45EB_86E1_129B964B2F84_.wvu.FilterData" localSheetId="8" hidden="1">EvReport!$A$4:$Q$202</definedName>
    <definedName name="Z_F5E0D49B_A96B_47F1_93B1_231A17A60755_.wvu.FilterData" localSheetId="8" hidden="1">EvReport!$A$4:$Q$202</definedName>
    <definedName name="Z_F5F08860_D78E_4AC1_AFD4_7E8689EDC2D2_.wvu.FilterData" localSheetId="8" hidden="1">EvReport!$A$4:$Q$202</definedName>
    <definedName name="Z_F60BC9E8_4616_46D1_AC45_A346F8975D40_.wvu.FilterData" localSheetId="3" hidden="1">Forecast!$A$1:$Z$218</definedName>
    <definedName name="Z_F61147F9_75FA_47E3_9910_B1F8371F7E0C_.wvu.FilterData" localSheetId="8" hidden="1">EvReport!$A$4:$Q$202</definedName>
    <definedName name="Z_F6681A58_FD25_4E3D_AD2C_0D9B26EFC25D_.wvu.FilterData" localSheetId="8" hidden="1">EvReport!$A$4:$Q$202</definedName>
    <definedName name="Z_F68218F9_1181_46DE_B94B_D33982E23EB8_.wvu.FilterData" localSheetId="8" hidden="1">EvReport!$A$4:$Q$202</definedName>
    <definedName name="Z_F6A258E2_E143_4BB2_8A76_63473FC23A6E_.wvu.FilterData" localSheetId="8" hidden="1">EvReport!$A$4:$Q$202</definedName>
    <definedName name="Z_F6A6B1B3_5504_4668_839D_724BCE92690A_.wvu.FilterData" localSheetId="8" hidden="1">EvReport!$A$4:$Q$202</definedName>
    <definedName name="Z_F7254CE7_AE95_463C_95E9_58E372B36118_.wvu.FilterData" localSheetId="8" hidden="1">EvReport!$A$4:$Q$202</definedName>
    <definedName name="Z_F7590E5A_ACB2_408A_9A2C_0FAD0DAA9646_.wvu.FilterData" localSheetId="8" hidden="1">EvReport!$A$4:$Q$202</definedName>
    <definedName name="Z_F760172A_31CA_4DD1_AF91_195C42317971_.wvu.FilterData" localSheetId="8" hidden="1">EvReport!$A$4:$Q$202</definedName>
    <definedName name="Z_F7829190_0324_4AAB_83FF_DD09A3ACFC83_.wvu.FilterData" localSheetId="8" hidden="1">EvReport!$A$4:$Q$202</definedName>
    <definedName name="Z_F78F2615_232E_4330_8188_2129F805D50C_.wvu.FilterData" localSheetId="8" hidden="1">EvReport!$A$4:$Q$202</definedName>
    <definedName name="Z_F7F15848_6D93_420F_9A21_EE606DE3C5BF_.wvu.FilterData" localSheetId="8" hidden="1">EvReport!$A$4:$Q$202</definedName>
    <definedName name="Z_F7F300CC_2543_4C6D_842E_BE667CC3AD57_.wvu.FilterData" localSheetId="8" hidden="1">EvReport!$A$4:$Q$202</definedName>
    <definedName name="Z_F8270393_995D_4A62_B6D7_FEB709F07DFD_.wvu.FilterData" localSheetId="8" hidden="1">EvReport!$A$4:$Q$202</definedName>
    <definedName name="Z_F87D5146_51A9_4937_90E5_B829E388A88B_.wvu.FilterData" localSheetId="8" hidden="1">EvReport!$A$4:$Q$202</definedName>
    <definedName name="Z_F8BD5072_052C_455C_B41D_560133E6073B_.wvu.FilterData" localSheetId="8" hidden="1">EvReport!$A$4:$Q$202</definedName>
    <definedName name="Z_F8BEBE10_3DF1_4E73_9AED_A1200B350F39_.wvu.FilterData" localSheetId="8" hidden="1">EvReport!$A$4:$Q$202</definedName>
    <definedName name="Z_F9700E49_EF64_43C2_929E_59697A9BEB8B_.wvu.FilterData" localSheetId="8" hidden="1">EvReport!$A$4:$Q$202</definedName>
    <definedName name="Z_F9BEAE0C_540F_497F_8EDF_2951C7CA8235_.wvu.FilterData" localSheetId="8" hidden="1">EvReport!$A$4:$Q$202</definedName>
    <definedName name="Z_F9CD520D_C063_4ABE_808D_E6A35BC54E87_.wvu.FilterData" localSheetId="3" hidden="1">Forecast!$A$1:$Z$218</definedName>
    <definedName name="Z_F9CDBCC6_4FF7_4186_8FEB_D019F44B2DC5_.wvu.FilterData" localSheetId="8" hidden="1">EvReport!$A$4:$Q$202</definedName>
    <definedName name="Z_F9CDCEC3_BD6D_4FF8_838A_15768B771035_.wvu.FilterData" localSheetId="8" hidden="1">EvReport!$A$4:$Q$202</definedName>
    <definedName name="Z_F9FA70D1_097C_4041_B33D_C88E595DABC8_.wvu.FilterData" localSheetId="3" hidden="1">Forecast!$A$1:$Z$218</definedName>
    <definedName name="Z_FA036832_B0E9_4890_8B3F_4E19A6D5DCB3_.wvu.FilterData" localSheetId="8" hidden="1">EvReport!$A$4:$Q$202</definedName>
    <definedName name="Z_FA057342_C44C_41E6_BC30_8D3B7C97EF9E_.wvu.FilterData" localSheetId="8" hidden="1">EvReport!$A$4:$Q$202</definedName>
    <definedName name="Z_FA215CB5_9E9D_49C6_A97C_5307721A8C52_.wvu.FilterData" localSheetId="8" hidden="1">EvReport!$A$4:$Q$202</definedName>
    <definedName name="Z_FA3EFEC4_AA45_4592_9C93_32CD59590CF1_.wvu.FilterData" localSheetId="8" hidden="1">EvReport!$A$4:$Q$202</definedName>
    <definedName name="Z_FA4B34A7_B4DB_4D55_B2EB_C5EE7B7A84D0_.wvu.FilterData" localSheetId="3" hidden="1">Forecast!$A$1:$Z$218</definedName>
    <definedName name="Z_FA5E8E85_E68F_414A_9463_63D121E298B7_.wvu.FilterData" localSheetId="8" hidden="1">EvReport!$A$4:$Q$202</definedName>
    <definedName name="Z_FA71782E_5B41_41B0_855D_C706143F7ED7_.wvu.FilterData" localSheetId="8" hidden="1">EvReport!$A$4:$Q$202</definedName>
    <definedName name="Z_FA778266_9F82_46F9_B5BF_AB926ED3C46A_.wvu.FilterData" localSheetId="8" hidden="1">EvReport!$A$4:$Q$202</definedName>
    <definedName name="Z_FA79C9D6_B715_4015_9809_8513C373D495_.wvu.FilterData" localSheetId="3" hidden="1">Forecast!$F$8:$F$218</definedName>
    <definedName name="Z_FB215F45_D2D1_42AB_897D_53C951547B3A_.wvu.FilterData" localSheetId="8" hidden="1">EvReport!$A$4:$Q$202</definedName>
    <definedName name="Z_FB4F6CE5_9134_45E7_972C_C1BE054AA76A_.wvu.FilterData" localSheetId="8" hidden="1">EvReport!$A$4:$Q$202</definedName>
    <definedName name="Z_FB60C240_B823_4199_8B50_36CE530E374B_.wvu.FilterData" localSheetId="3" hidden="1">Forecast!$A$1:$Z$218</definedName>
    <definedName name="Z_FBA54A56_074A_46F6_82C2_450F8F7212C4_.wvu.FilterData" localSheetId="3" hidden="1">Forecast!$A$1:$Z$218</definedName>
    <definedName name="Z_FBBC346B_0A5F_4D14_807D_D3DA7D9CB01D_.wvu.FilterData" localSheetId="8" hidden="1">EvReport!$A$4:$Q$202</definedName>
    <definedName name="Z_FBEA42A0_3DAD_4BC1_BD2E_1070DD319D66_.wvu.FilterData" localSheetId="8" hidden="1">EvReport!$A$4:$Q$202</definedName>
    <definedName name="Z_FC44FA1A_BE58_4EEB_B726_6706F51D292C_.wvu.FilterData" localSheetId="8" hidden="1">EvReport!$A$4:$Q$202</definedName>
    <definedName name="Z_FC4FB04A_4A1A_4AB0_AC79_4327AE25D37E_.wvu.FilterData" localSheetId="8" hidden="1">EvReport!$A$4:$Q$202</definedName>
    <definedName name="Z_FC5B41A5_5F5A_4998_A0D6_C87322FBECAF_.wvu.FilterData" localSheetId="8" hidden="1">EvReport!$A$4:$Q$202</definedName>
    <definedName name="Z_FC8BA8CF_65D3_4772_B69B_2705DCB4CA9A_.wvu.FilterData" localSheetId="8" hidden="1">EvReport!$A$4:$Q$202</definedName>
    <definedName name="Z_FCDA2B55_3757_4EE8_AA37_8009BCC6F4F2_.wvu.FilterData" localSheetId="8" hidden="1">EvReport!$A$4:$Q$202</definedName>
    <definedName name="Z_FCE0E9FA_9039_446B_BF2E_C7CFA05B7A0A_.wvu.FilterData" localSheetId="8" hidden="1">EvReport!$A$4:$Q$202</definedName>
    <definedName name="Z_FD478460_B55E_44CE_BD3B_2483083D407D_.wvu.FilterData" localSheetId="8" hidden="1">EvReport!$A$4:$Q$202</definedName>
    <definedName name="Z_FD4942E3_AE22_4412_AAEC_43BC1EFF45B0_.wvu.FilterData" localSheetId="8" hidden="1">EvReport!$A$4:$Q$202</definedName>
    <definedName name="Z_FD6068B5_4018_4C3C_8816_B6BCD386730F_.wvu.FilterData" localSheetId="8" hidden="1">EvReport!$A$4:$Q$202</definedName>
    <definedName name="Z_FD743483_A33C_42EE_AB0F_92A1C2E0E37B_.wvu.FilterData" localSheetId="8" hidden="1">EvReport!$A$4:$Q$202</definedName>
    <definedName name="Z_FD7EF5E1_EFBE_4309_833A_8D90F4610BE2_.wvu.FilterData" localSheetId="3" hidden="1">Forecast!$A$1:$Z$218</definedName>
    <definedName name="Z_FD9244E3_A495_4423_A892_AF2166B17444_.wvu.FilterData" localSheetId="8" hidden="1">EvReport!$A$4:$Q$202</definedName>
    <definedName name="Z_FDA786EB_99F6_4C86_9527_7EC2A6C351DF_.wvu.FilterData" localSheetId="8" hidden="1">EvReport!$A$4:$Q$202</definedName>
    <definedName name="Z_FDADD7CF_2EE0_4A65_AABE_F3A8A3E7B6CC_.wvu.FilterData" localSheetId="8" hidden="1">EvReport!$A$4:$Q$202</definedName>
    <definedName name="Z_FDB084F3_2B11_47E3_8C32_79224277EB9C_.wvu.FilterData" localSheetId="8" hidden="1">EvReport!$A$4:$Q$202</definedName>
    <definedName name="Z_FDC3AA01_43C6_4B40_8BBF_DE48E48FA92B_.wvu.FilterData" localSheetId="8" hidden="1">EvReport!$A$4:$Q$202</definedName>
    <definedName name="Z_FDD2EE05_3281_42F0_A486_BDC94DBF9261_.wvu.FilterData" localSheetId="8" hidden="1">EvReport!$A$4:$Q$202</definedName>
    <definedName name="Z_FDE77D46_3F5B_4C61_A270_47617045D814_.wvu.FilterData" localSheetId="8" hidden="1">EvReport!$A$4:$Q$202</definedName>
    <definedName name="Z_FE283D44_81A0_4BAA_A5D2_C09B68A6A278_.wvu.FilterData" localSheetId="8" hidden="1">EvReport!$A$4:$Q$202</definedName>
    <definedName name="Z_FF12D64C_B5F6_4D68_A4BC_F5DB3D326762_.wvu.FilterData" localSheetId="8" hidden="1">EvReport!$A$4:$Q$202</definedName>
    <definedName name="Z_FF4312C4_84BF_4700_AC55_95646F00FA6D_.wvu.FilterData" localSheetId="8" hidden="1">EvReport!$A$4:$Q$202</definedName>
    <definedName name="Z_FF592724_ECB3_4B4D_81C0_0D793AD4DD15_.wvu.FilterData" localSheetId="8" hidden="1">EvReport!$A$4:$Q$202</definedName>
    <definedName name="Z_FF5F06A8_FF97_4366_901D_727B02358156_.wvu.FilterData" localSheetId="8" hidden="1">EvReport!$A$4:$Q$202</definedName>
  </definedNames>
  <calcPr calcId="191029"/>
  <customWorkbookViews>
    <customWorkbookView name="NLDC XEN PC - Personal View" guid="{751D391F-C74F-4B53-B5B5-25E01AC12EA4}" mergeInterval="0" personalView="1" maximized="1" xWindow="1" yWindow="1" windowWidth="1366" windowHeight="538" tabRatio="902" activeSheetId="2"/>
    <customWorkbookView name="User - Personal View" guid="{5A803268-F6C5-4035-B3E1-A94CB9AA8994}" mergeInterval="0" personalView="1" maximized="1" xWindow="1" yWindow="1" windowWidth="1366" windowHeight="629" tabRatio="884" activeSheetId="25"/>
    <customWorkbookView name="Microsoft - Personal View" guid="{917057C8-5E5F-4164-B84C-85103677A2E5}" mergeInterval="0" personalView="1" maximized="1" xWindow="1" yWindow="1" windowWidth="1366" windowHeight="629" tabRatio="803" activeSheetId="1"/>
    <customWorkbookView name="KzamaN - Personal View" guid="{4593F3EE-0998-4E0E-994A-E02D6BAF3A4B}" mergeInterval="0" personalView="1" maximized="1" xWindow="1" yWindow="1" windowWidth="1366" windowHeight="538" tabRatio="876" activeSheetId="1"/>
    <customWorkbookView name="AE_Shift - Personal View" guid="{23F4DC00-BC97-4745-AA5C-F05D469CB1EF}" mergeInterval="0" personalView="1" maximized="1" xWindow="1" yWindow="1" windowWidth="1366" windowHeight="548" tabRatio="187" activeSheetId="19"/>
    <customWorkbookView name="NLDC - Personal View" guid="{B91C2E87-5EDA-40AE-AC27-0E2C17E803CE}" mergeInterval="0" personalView="1" maximized="1" xWindow="1" yWindow="1" windowWidth="1920" windowHeight="804" tabRatio="919" activeSheetId="4" showComments="commIndAndComment"/>
    <customWorkbookView name="Generation - Personal View" guid="{7C71EF2A-5ADA-494C-8F58-DDA71753DD90}" mergeInterval="0" personalView="1" maximized="1" xWindow="1" yWindow="1" windowWidth="1920" windowHeight="829" tabRatio="774" activeSheetId="1"/>
    <customWorkbookView name="Windows User - Personal View" guid="{4DB6C640-CE65-4513-9E5A-F6CDD1F4B8AF}" mergeInterval="0" personalView="1" maximized="1" xWindow="1" yWindow="1" windowWidth="1920" windowHeight="1022" tabRatio="905" activeSheetId="19"/>
    <customWorkbookView name="SAE(Gen) - Personal View" guid="{D1D1E152-95AB-45D3-AC07-4EC0834D3E0C}" mergeInterval="0" personalView="1" maximized="1" xWindow="1" yWindow="1" windowWidth="1920" windowHeight="850" tabRatio="916" activeSheetId="1"/>
    <customWorkbookView name="cv - Personal View" guid="{C3348F62-02F2-4500-9BF2-19F2DEA57A8D}" mergeInterval="0" personalView="1" maximized="1" xWindow="1" yWindow="1" windowWidth="1920" windowHeight="842" tabRatio="86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0" i="13" l="1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9" i="13"/>
  <c r="GM14" i="1"/>
  <c r="GL14" i="1"/>
  <c r="DZ14" i="1"/>
  <c r="GM13" i="1" l="1"/>
  <c r="GL13" i="1"/>
  <c r="DZ13" i="1"/>
  <c r="GM12" i="1"/>
  <c r="GL12" i="1"/>
  <c r="DZ12" i="1"/>
  <c r="GM11" i="1"/>
  <c r="GL11" i="1"/>
  <c r="DZ11" i="1"/>
  <c r="GM10" i="1"/>
  <c r="GL10" i="1"/>
  <c r="DZ10" i="1"/>
  <c r="GM9" i="1"/>
  <c r="GL9" i="1"/>
  <c r="DZ9" i="1"/>
  <c r="GM8" i="1"/>
  <c r="GL8" i="1"/>
  <c r="DZ8" i="1"/>
  <c r="GM7" i="1"/>
  <c r="GL7" i="1"/>
  <c r="DZ7" i="1"/>
  <c r="GM6" i="1"/>
  <c r="GL6" i="1"/>
  <c r="DZ6" i="1"/>
  <c r="GM5" i="1"/>
  <c r="GL5" i="1"/>
  <c r="DZ5" i="1"/>
  <c r="GM4" i="1"/>
  <c r="GL4" i="1"/>
  <c r="DZ4" i="1"/>
  <c r="GM30" i="1"/>
  <c r="GL30" i="1"/>
  <c r="DZ30" i="1"/>
  <c r="GM29" i="1"/>
  <c r="GL29" i="1"/>
  <c r="DZ29" i="1"/>
  <c r="GM28" i="1"/>
  <c r="GL28" i="1"/>
  <c r="DZ28" i="1"/>
  <c r="GM27" i="1"/>
  <c r="GL27" i="1"/>
  <c r="DZ27" i="1"/>
  <c r="DZ26" i="1"/>
  <c r="DZ25" i="1"/>
  <c r="DZ24" i="1"/>
  <c r="DZ23" i="1"/>
  <c r="DZ21" i="1"/>
  <c r="DZ20" i="1"/>
  <c r="DZ19" i="1"/>
  <c r="DZ18" i="1"/>
  <c r="DZ17" i="1" l="1"/>
  <c r="DZ16" i="1"/>
  <c r="GL16" i="1"/>
  <c r="GM16" i="1"/>
  <c r="DZ15" i="1"/>
  <c r="GL15" i="1"/>
  <c r="GM15" i="1"/>
  <c r="Z197" i="7"/>
  <c r="GL26" i="1"/>
  <c r="GM26" i="1"/>
  <c r="GL25" i="1"/>
  <c r="GM25" i="1"/>
  <c r="GL24" i="1"/>
  <c r="GM24" i="1"/>
  <c r="GL23" i="1"/>
  <c r="GM23" i="1"/>
  <c r="GL21" i="1"/>
  <c r="GM21" i="1"/>
  <c r="GL20" i="1"/>
  <c r="GM20" i="1"/>
  <c r="GL19" i="1"/>
  <c r="GM19" i="1"/>
  <c r="GL17" i="1"/>
  <c r="GM17" i="1"/>
  <c r="GL18" i="1"/>
  <c r="GM18" i="1"/>
  <c r="F37" i="27" l="1"/>
  <c r="S34" i="9" l="1"/>
  <c r="I21" i="9" l="1"/>
  <c r="I23" i="9" l="1"/>
  <c r="Q211" i="4" l="1"/>
  <c r="J200" i="8" l="1"/>
  <c r="J202" i="8" s="1"/>
  <c r="R213" i="8"/>
  <c r="Q213" i="8"/>
  <c r="Q214" i="8" s="1"/>
  <c r="Q215" i="8" l="1"/>
  <c r="F19" i="20" l="1"/>
  <c r="F18" i="20"/>
  <c r="F17" i="20"/>
  <c r="F16" i="20"/>
  <c r="X200" i="4"/>
  <c r="X199" i="4"/>
  <c r="X198" i="4"/>
  <c r="X197" i="4"/>
  <c r="X196" i="4"/>
  <c r="X195" i="4"/>
  <c r="X194" i="4"/>
  <c r="X193" i="4"/>
  <c r="X192" i="4"/>
  <c r="C2" i="2"/>
  <c r="Z187" i="4"/>
  <c r="F7" i="20" l="1"/>
  <c r="E42" i="5" l="1"/>
  <c r="FH45" i="16" l="1"/>
  <c r="AJ15" i="24" l="1"/>
  <c r="AJ16" i="24"/>
  <c r="AJ17" i="24"/>
  <c r="AJ18" i="24"/>
  <c r="AJ19" i="24"/>
  <c r="AJ20" i="24"/>
  <c r="AJ21" i="24"/>
  <c r="AJ22" i="24"/>
  <c r="AJ23" i="24"/>
  <c r="AJ24" i="24"/>
  <c r="AJ25" i="24"/>
  <c r="AJ26" i="24"/>
  <c r="AJ27" i="24"/>
  <c r="AJ28" i="24"/>
  <c r="AJ29" i="24"/>
  <c r="AJ30" i="24"/>
  <c r="AJ31" i="24"/>
  <c r="AJ32" i="24"/>
  <c r="AJ33" i="24"/>
  <c r="AJ34" i="24"/>
  <c r="AJ35" i="24"/>
  <c r="AJ36" i="24"/>
  <c r="AJ37" i="24"/>
  <c r="AJ38" i="24"/>
  <c r="AJ39" i="24"/>
  <c r="DE27" i="24" l="1"/>
  <c r="DE28" i="24"/>
  <c r="I142" i="8" l="1"/>
  <c r="M142" i="4"/>
  <c r="H142" i="8" s="1"/>
  <c r="L142" i="4"/>
  <c r="K142" i="4"/>
  <c r="J142" i="4"/>
  <c r="GF15" i="24"/>
  <c r="GF16" i="24"/>
  <c r="GF17" i="24"/>
  <c r="GF18" i="24"/>
  <c r="GF19" i="24"/>
  <c r="GF20" i="24"/>
  <c r="GF21" i="24"/>
  <c r="GF37" i="16" s="1"/>
  <c r="GF22" i="24"/>
  <c r="GF23" i="24"/>
  <c r="GF24" i="24"/>
  <c r="GF25" i="24"/>
  <c r="GF26" i="24"/>
  <c r="GF27" i="24"/>
  <c r="GF28" i="24"/>
  <c r="GF29" i="24"/>
  <c r="GF30" i="24"/>
  <c r="GF31" i="24"/>
  <c r="GF32" i="24"/>
  <c r="GF33" i="24"/>
  <c r="GF34" i="24"/>
  <c r="GF35" i="24"/>
  <c r="GF36" i="24"/>
  <c r="GF37" i="24"/>
  <c r="GF38" i="24"/>
  <c r="GF39" i="24"/>
  <c r="GF40" i="24"/>
  <c r="GF41" i="24" s="1"/>
  <c r="GF14" i="24"/>
  <c r="EE3" i="1"/>
  <c r="J142" i="13"/>
  <c r="I142" i="13"/>
  <c r="H142" i="13"/>
  <c r="G142" i="13"/>
  <c r="F142" i="13"/>
  <c r="E142" i="13"/>
  <c r="C142" i="13"/>
  <c r="G142" i="8"/>
  <c r="F142" i="8"/>
  <c r="E142" i="8"/>
  <c r="C142" i="8"/>
  <c r="I142" i="4"/>
  <c r="H142" i="4"/>
  <c r="G142" i="4"/>
  <c r="F142" i="4"/>
  <c r="C142" i="4"/>
  <c r="GE40" i="24"/>
  <c r="GE41" i="24" s="1"/>
  <c r="GE39" i="24"/>
  <c r="GE38" i="24"/>
  <c r="GE37" i="24"/>
  <c r="GE36" i="24"/>
  <c r="GE35" i="24"/>
  <c r="GE34" i="24"/>
  <c r="GE33" i="24"/>
  <c r="GE32" i="24"/>
  <c r="GE31" i="24"/>
  <c r="GE30" i="24"/>
  <c r="GE29" i="24"/>
  <c r="GE28" i="24"/>
  <c r="GE27" i="24"/>
  <c r="GE26" i="24"/>
  <c r="GE25" i="24"/>
  <c r="GE24" i="24"/>
  <c r="GE23" i="24"/>
  <c r="GE22" i="24"/>
  <c r="GE21" i="24"/>
  <c r="GE37" i="16" s="1"/>
  <c r="GE20" i="24"/>
  <c r="GE19" i="24"/>
  <c r="GE18" i="24"/>
  <c r="GE17" i="24"/>
  <c r="GE16" i="24"/>
  <c r="GE15" i="24"/>
  <c r="GE14" i="24"/>
  <c r="EF3" i="1"/>
  <c r="J81" i="13"/>
  <c r="K142" i="8" l="1"/>
  <c r="J142" i="8"/>
  <c r="I81" i="13"/>
  <c r="H81" i="13"/>
  <c r="G81" i="13"/>
  <c r="F81" i="13"/>
  <c r="E81" i="13"/>
  <c r="C81" i="13"/>
  <c r="I81" i="8"/>
  <c r="G81" i="8"/>
  <c r="F81" i="8"/>
  <c r="E81" i="8"/>
  <c r="D81" i="8"/>
  <c r="C81" i="8"/>
  <c r="M81" i="4"/>
  <c r="H81" i="8" s="1"/>
  <c r="L81" i="4"/>
  <c r="K81" i="4"/>
  <c r="J81" i="4"/>
  <c r="I81" i="4"/>
  <c r="H81" i="4"/>
  <c r="G81" i="4"/>
  <c r="F81" i="4"/>
  <c r="E81" i="4"/>
  <c r="C81" i="4"/>
  <c r="DX40" i="24"/>
  <c r="DX41" i="24" s="1"/>
  <c r="DX39" i="24"/>
  <c r="DX38" i="24"/>
  <c r="DX37" i="24"/>
  <c r="DX36" i="24"/>
  <c r="DX35" i="24"/>
  <c r="DX34" i="24"/>
  <c r="DX33" i="24"/>
  <c r="DX32" i="24"/>
  <c r="DX31" i="24"/>
  <c r="DX30" i="24"/>
  <c r="DX29" i="24"/>
  <c r="DX28" i="24"/>
  <c r="DX27" i="24"/>
  <c r="DX26" i="24"/>
  <c r="DX25" i="24"/>
  <c r="DX24" i="24"/>
  <c r="DX23" i="24"/>
  <c r="DX22" i="24"/>
  <c r="DX21" i="24"/>
  <c r="DX37" i="16" s="1"/>
  <c r="DX20" i="24"/>
  <c r="DX19" i="24"/>
  <c r="DX18" i="24"/>
  <c r="DX17" i="24"/>
  <c r="DX16" i="24"/>
  <c r="DX15" i="24"/>
  <c r="DX14" i="24"/>
  <c r="AK3" i="1"/>
  <c r="K81" i="8" l="1"/>
  <c r="J81" i="8"/>
  <c r="R20" i="15" l="1"/>
  <c r="R19" i="15"/>
  <c r="Q20" i="15"/>
  <c r="Q19" i="15"/>
  <c r="O20" i="15" l="1"/>
  <c r="O19" i="15"/>
  <c r="D174" i="8" l="1"/>
  <c r="R23" i="15" l="1"/>
  <c r="R22" i="15"/>
  <c r="Q23" i="15"/>
  <c r="Q22" i="15"/>
  <c r="C14" i="4" l="1"/>
  <c r="H214" i="4" l="1"/>
  <c r="H213" i="4"/>
  <c r="H193" i="4"/>
  <c r="H192" i="4"/>
  <c r="H191" i="4"/>
  <c r="D193" i="4"/>
  <c r="D192" i="4"/>
  <c r="N169" i="8" l="1"/>
  <c r="I160" i="13" l="1"/>
  <c r="C102" i="8" l="1"/>
  <c r="I159" i="4" l="1"/>
  <c r="GL37" i="16" l="1"/>
  <c r="GN37" i="16" s="1"/>
  <c r="GM38" i="16" s="1"/>
  <c r="N176" i="8" l="1"/>
  <c r="E201" i="8" s="1"/>
  <c r="H201" i="8" s="1"/>
  <c r="N175" i="8"/>
  <c r="E196" i="8" s="1"/>
  <c r="H196" i="8" s="1"/>
  <c r="N174" i="8"/>
  <c r="E200" i="8" s="1"/>
  <c r="N173" i="8"/>
  <c r="E195" i="8" s="1"/>
  <c r="H195" i="8" s="1"/>
  <c r="N172" i="8"/>
  <c r="E199" i="8" s="1"/>
  <c r="H199" i="8" s="1"/>
  <c r="N171" i="8"/>
  <c r="E198" i="8" s="1"/>
  <c r="H198" i="8" s="1"/>
  <c r="N170" i="8"/>
  <c r="E197" i="8" s="1"/>
  <c r="H197" i="8" s="1"/>
  <c r="N168" i="8"/>
  <c r="E193" i="8" s="1"/>
  <c r="H193" i="8" s="1"/>
  <c r="E194" i="8" l="1"/>
  <c r="H194" i="8" s="1"/>
  <c r="D15" i="9" s="1"/>
  <c r="D22" i="9"/>
  <c r="D19" i="9"/>
  <c r="D18" i="9"/>
  <c r="D17" i="9"/>
  <c r="D20" i="9"/>
  <c r="D16" i="9"/>
  <c r="N177" i="8"/>
  <c r="P18" i="9"/>
  <c r="R18" i="9"/>
  <c r="H22" i="9" s="1"/>
  <c r="J22" i="9" s="1"/>
  <c r="R17" i="9"/>
  <c r="H17" i="9" s="1"/>
  <c r="J17" i="9" s="1"/>
  <c r="R16" i="9"/>
  <c r="H21" i="9" s="1"/>
  <c r="J21" i="9" s="1"/>
  <c r="R15" i="9"/>
  <c r="H16" i="9" s="1"/>
  <c r="J16" i="9" s="1"/>
  <c r="R14" i="9"/>
  <c r="H20" i="9" s="1"/>
  <c r="J20" i="9" s="1"/>
  <c r="R13" i="9"/>
  <c r="H19" i="9" s="1"/>
  <c r="J19" i="9" s="1"/>
  <c r="R12" i="9"/>
  <c r="H18" i="9" s="1"/>
  <c r="J18" i="9" s="1"/>
  <c r="R11" i="9"/>
  <c r="H15" i="9" s="1"/>
  <c r="J15" i="9" s="1"/>
  <c r="R10" i="9"/>
  <c r="E202" i="8" l="1"/>
  <c r="H14" i="9"/>
  <c r="J14" i="9" s="1"/>
  <c r="R19" i="9"/>
  <c r="G168" i="4"/>
  <c r="G167" i="4"/>
  <c r="M169" i="4" l="1"/>
  <c r="L169" i="4"/>
  <c r="Q27" i="9" l="1"/>
  <c r="H23" i="9" l="1"/>
  <c r="B39" i="18" l="1"/>
  <c r="C132" i="4" l="1"/>
  <c r="F148" i="6"/>
  <c r="F146" i="6"/>
  <c r="E152" i="6"/>
  <c r="F152" i="6" s="1"/>
  <c r="E151" i="6"/>
  <c r="F151" i="6" s="1"/>
  <c r="E150" i="6"/>
  <c r="F150" i="6" s="1"/>
  <c r="E149" i="6"/>
  <c r="F149" i="6" s="1"/>
  <c r="E148" i="6"/>
  <c r="E147" i="6"/>
  <c r="F147" i="6" s="1"/>
  <c r="E146" i="6"/>
  <c r="E145" i="6"/>
  <c r="F145" i="6" s="1"/>
  <c r="S33" i="2" l="1"/>
  <c r="C181" i="4" l="1"/>
  <c r="J181" i="13"/>
  <c r="I181" i="13"/>
  <c r="H181" i="13"/>
  <c r="G181" i="13"/>
  <c r="F181" i="13"/>
  <c r="E181" i="13"/>
  <c r="C181" i="13"/>
  <c r="I181" i="8"/>
  <c r="G181" i="8"/>
  <c r="F181" i="8"/>
  <c r="E181" i="8"/>
  <c r="D181" i="8"/>
  <c r="C181" i="8"/>
  <c r="M181" i="4"/>
  <c r="H181" i="8" s="1"/>
  <c r="L181" i="4"/>
  <c r="K181" i="4"/>
  <c r="J181" i="4"/>
  <c r="I181" i="4"/>
  <c r="O181" i="4" s="1"/>
  <c r="H181" i="4"/>
  <c r="G181" i="4"/>
  <c r="F181" i="4"/>
  <c r="E181" i="4"/>
  <c r="GD15" i="24"/>
  <c r="GD16" i="24"/>
  <c r="GD17" i="24"/>
  <c r="GD18" i="24"/>
  <c r="GD19" i="24"/>
  <c r="GD20" i="24"/>
  <c r="GD21" i="24"/>
  <c r="GD37" i="16" s="1"/>
  <c r="GD22" i="24"/>
  <c r="GD23" i="24"/>
  <c r="GD24" i="24"/>
  <c r="GD25" i="24"/>
  <c r="GD26" i="24"/>
  <c r="GD27" i="24"/>
  <c r="GD28" i="24"/>
  <c r="GD29" i="24"/>
  <c r="GD30" i="24"/>
  <c r="GD31" i="24"/>
  <c r="GD32" i="24"/>
  <c r="GD33" i="24"/>
  <c r="GD34" i="24"/>
  <c r="GD35" i="24"/>
  <c r="GD36" i="24"/>
  <c r="GD37" i="24"/>
  <c r="GD38" i="24"/>
  <c r="GD39" i="24"/>
  <c r="GD40" i="24"/>
  <c r="GD41" i="24" s="1"/>
  <c r="GD14" i="24"/>
  <c r="GJ3" i="1"/>
  <c r="T33" i="2"/>
  <c r="R202" i="4"/>
  <c r="R201" i="4"/>
  <c r="R200" i="4"/>
  <c r="R199" i="4"/>
  <c r="R198" i="4"/>
  <c r="R197" i="4"/>
  <c r="R195" i="4"/>
  <c r="J141" i="13"/>
  <c r="I141" i="13"/>
  <c r="H141" i="13"/>
  <c r="G141" i="13"/>
  <c r="F141" i="13"/>
  <c r="E141" i="13"/>
  <c r="C141" i="13"/>
  <c r="I141" i="8"/>
  <c r="G141" i="8"/>
  <c r="F141" i="8"/>
  <c r="E141" i="8"/>
  <c r="D141" i="8"/>
  <c r="C141" i="8"/>
  <c r="M141" i="4"/>
  <c r="H141" i="8" s="1"/>
  <c r="L141" i="4"/>
  <c r="K141" i="4"/>
  <c r="J141" i="4"/>
  <c r="I141" i="4"/>
  <c r="H141" i="4"/>
  <c r="G141" i="4"/>
  <c r="F141" i="4"/>
  <c r="E141" i="4"/>
  <c r="C141" i="4"/>
  <c r="K181" i="8" l="1"/>
  <c r="J181" i="8"/>
  <c r="J141" i="8"/>
  <c r="K141" i="8"/>
  <c r="GC15" i="24"/>
  <c r="GC16" i="24"/>
  <c r="GC17" i="24"/>
  <c r="GC18" i="24"/>
  <c r="GC19" i="24"/>
  <c r="GC20" i="24"/>
  <c r="GC21" i="24"/>
  <c r="GC37" i="16" s="1"/>
  <c r="GC22" i="24"/>
  <c r="GC23" i="24"/>
  <c r="GC24" i="24"/>
  <c r="GC25" i="24"/>
  <c r="GC26" i="24"/>
  <c r="GC27" i="24"/>
  <c r="GC28" i="24"/>
  <c r="GC29" i="24"/>
  <c r="GC30" i="24"/>
  <c r="GC31" i="24"/>
  <c r="GC32" i="24"/>
  <c r="GC33" i="24"/>
  <c r="GC34" i="24"/>
  <c r="GC35" i="24"/>
  <c r="GC36" i="24"/>
  <c r="GC37" i="24"/>
  <c r="GC38" i="24"/>
  <c r="GC39" i="24"/>
  <c r="GC40" i="24"/>
  <c r="GC41" i="24" s="1"/>
  <c r="GC14" i="24"/>
  <c r="EK3" i="1"/>
  <c r="FJ31" i="24"/>
  <c r="FJ32" i="24"/>
  <c r="FJ33" i="24"/>
  <c r="FJ34" i="24"/>
  <c r="FJ35" i="24"/>
  <c r="FJ36" i="24"/>
  <c r="FJ37" i="24"/>
  <c r="FJ38" i="24"/>
  <c r="FJ39" i="24"/>
  <c r="FI31" i="24"/>
  <c r="FI32" i="24"/>
  <c r="FI33" i="24"/>
  <c r="FI34" i="24"/>
  <c r="FI35" i="24"/>
  <c r="FI36" i="24"/>
  <c r="FI37" i="24"/>
  <c r="FI38" i="24"/>
  <c r="FI39" i="24"/>
  <c r="M50" i="4" l="1"/>
  <c r="L50" i="4"/>
  <c r="K50" i="4"/>
  <c r="J50" i="4"/>
  <c r="I50" i="4"/>
  <c r="H50" i="4"/>
  <c r="G50" i="4"/>
  <c r="F50" i="4"/>
  <c r="E50" i="4"/>
  <c r="C50" i="4"/>
  <c r="M49" i="4"/>
  <c r="L49" i="4"/>
  <c r="K49" i="4"/>
  <c r="J49" i="4"/>
  <c r="I49" i="4"/>
  <c r="H49" i="4"/>
  <c r="G49" i="4"/>
  <c r="F49" i="4"/>
  <c r="E49" i="4"/>
  <c r="C49" i="4"/>
  <c r="DY37" i="16" l="1"/>
  <c r="AU37" i="16"/>
  <c r="K37" i="16"/>
  <c r="DY3" i="1" l="1"/>
  <c r="J50" i="13"/>
  <c r="I50" i="13"/>
  <c r="H50" i="13"/>
  <c r="G50" i="13"/>
  <c r="F50" i="13"/>
  <c r="E50" i="13"/>
  <c r="C50" i="13"/>
  <c r="I50" i="8"/>
  <c r="G50" i="8"/>
  <c r="F50" i="8"/>
  <c r="E50" i="8"/>
  <c r="D50" i="8"/>
  <c r="C50" i="8"/>
  <c r="H50" i="8"/>
  <c r="DW40" i="24"/>
  <c r="DW41" i="24" s="1"/>
  <c r="DW39" i="24"/>
  <c r="DW38" i="24"/>
  <c r="DW37" i="24"/>
  <c r="DW36" i="24"/>
  <c r="DW35" i="24"/>
  <c r="DW34" i="24"/>
  <c r="DW33" i="24"/>
  <c r="DW32" i="24"/>
  <c r="DW31" i="24"/>
  <c r="DW30" i="24"/>
  <c r="DW29" i="24"/>
  <c r="DW28" i="24"/>
  <c r="DW27" i="24"/>
  <c r="DW26" i="24"/>
  <c r="DW25" i="24"/>
  <c r="DW24" i="24"/>
  <c r="DW23" i="24"/>
  <c r="DW22" i="24"/>
  <c r="DW21" i="24"/>
  <c r="DW37" i="16" s="1"/>
  <c r="DW20" i="24"/>
  <c r="DW19" i="24"/>
  <c r="DW18" i="24"/>
  <c r="DW17" i="24"/>
  <c r="DW16" i="24"/>
  <c r="DW15" i="24"/>
  <c r="DW14" i="24"/>
  <c r="J50" i="8" l="1"/>
  <c r="K50" i="8"/>
  <c r="J100" i="13"/>
  <c r="I100" i="13"/>
  <c r="H100" i="13"/>
  <c r="G100" i="13"/>
  <c r="F100" i="13"/>
  <c r="E100" i="13"/>
  <c r="C100" i="13"/>
  <c r="I100" i="8"/>
  <c r="G100" i="8"/>
  <c r="F100" i="8"/>
  <c r="E100" i="8"/>
  <c r="D100" i="8"/>
  <c r="C100" i="8"/>
  <c r="M100" i="4"/>
  <c r="L100" i="4"/>
  <c r="K100" i="4"/>
  <c r="J100" i="4"/>
  <c r="I100" i="4"/>
  <c r="H100" i="4"/>
  <c r="G100" i="4"/>
  <c r="F100" i="4"/>
  <c r="E100" i="4"/>
  <c r="C100" i="4"/>
  <c r="DV40" i="24"/>
  <c r="DV41" i="24" s="1"/>
  <c r="DV39" i="24"/>
  <c r="DV38" i="24"/>
  <c r="DV37" i="24"/>
  <c r="DV36" i="24"/>
  <c r="DV35" i="24"/>
  <c r="DV34" i="24"/>
  <c r="DV33" i="24"/>
  <c r="DV32" i="24"/>
  <c r="DV31" i="24"/>
  <c r="DV30" i="24"/>
  <c r="DV29" i="24"/>
  <c r="DV28" i="24"/>
  <c r="DV27" i="24"/>
  <c r="DV26" i="24"/>
  <c r="DV25" i="24"/>
  <c r="DV24" i="24"/>
  <c r="DV23" i="24"/>
  <c r="DV22" i="24"/>
  <c r="DV21" i="24"/>
  <c r="DV37" i="16" s="1"/>
  <c r="DV20" i="24"/>
  <c r="DV19" i="24"/>
  <c r="DV18" i="24"/>
  <c r="DV17" i="24"/>
  <c r="DV16" i="24"/>
  <c r="DV15" i="24"/>
  <c r="DV14" i="24"/>
  <c r="DX3" i="1"/>
  <c r="N100" i="4" l="1"/>
  <c r="H100" i="8"/>
  <c r="J100" i="8" s="1"/>
  <c r="K100" i="8" l="1"/>
  <c r="BM40" i="24"/>
  <c r="AL22" i="15" l="1"/>
  <c r="O22" i="15" l="1"/>
  <c r="O23" i="15"/>
  <c r="H34" i="24" l="1"/>
  <c r="C174" i="8" l="1"/>
  <c r="H216" i="4" l="1"/>
  <c r="I198" i="4"/>
  <c r="F199" i="4"/>
  <c r="K50" i="18"/>
  <c r="K38" i="18"/>
  <c r="K34" i="18"/>
  <c r="K32" i="18"/>
  <c r="K30" i="18"/>
  <c r="K48" i="18"/>
  <c r="F34" i="18"/>
  <c r="E34" i="18"/>
  <c r="M54" i="18"/>
  <c r="M52" i="18"/>
  <c r="M50" i="18"/>
  <c r="M48" i="18"/>
  <c r="M46" i="18"/>
  <c r="M45" i="18"/>
  <c r="M44" i="18"/>
  <c r="M42" i="18"/>
  <c r="M40" i="18"/>
  <c r="M38" i="18"/>
  <c r="M36" i="18"/>
  <c r="M34" i="18"/>
  <c r="M32" i="18"/>
  <c r="M30" i="18"/>
  <c r="M28" i="18"/>
  <c r="M26" i="18"/>
  <c r="M24" i="18"/>
  <c r="M22" i="18"/>
  <c r="M20" i="18"/>
  <c r="M18" i="18"/>
  <c r="M16" i="18"/>
  <c r="M14" i="18"/>
  <c r="M12" i="18"/>
  <c r="M10" i="18"/>
  <c r="M8" i="18"/>
  <c r="M6" i="18"/>
  <c r="L54" i="18"/>
  <c r="L52" i="18"/>
  <c r="L50" i="18"/>
  <c r="L48" i="18"/>
  <c r="L46" i="18"/>
  <c r="L45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10" i="18"/>
  <c r="L8" i="18"/>
  <c r="L6" i="18"/>
  <c r="F54" i="18"/>
  <c r="E54" i="18"/>
  <c r="J54" i="18"/>
  <c r="J52" i="18"/>
  <c r="J50" i="18"/>
  <c r="J48" i="18"/>
  <c r="J46" i="18"/>
  <c r="J45" i="18"/>
  <c r="J44" i="18"/>
  <c r="J42" i="18"/>
  <c r="J40" i="18"/>
  <c r="J38" i="18"/>
  <c r="J36" i="18"/>
  <c r="J34" i="18"/>
  <c r="J32" i="18"/>
  <c r="J30" i="18"/>
  <c r="J28" i="18"/>
  <c r="J26" i="18"/>
  <c r="J24" i="18"/>
  <c r="J22" i="18"/>
  <c r="J20" i="18"/>
  <c r="J18" i="18"/>
  <c r="J16" i="18"/>
  <c r="J14" i="18"/>
  <c r="J12" i="18"/>
  <c r="J10" i="18"/>
  <c r="J8" i="18"/>
  <c r="J6" i="18"/>
  <c r="I54" i="18"/>
  <c r="I52" i="18"/>
  <c r="I50" i="18"/>
  <c r="I48" i="18"/>
  <c r="I46" i="18"/>
  <c r="I45" i="18"/>
  <c r="I44" i="18"/>
  <c r="I42" i="18"/>
  <c r="I40" i="18"/>
  <c r="I38" i="18"/>
  <c r="I36" i="18"/>
  <c r="I34" i="18"/>
  <c r="I32" i="18"/>
  <c r="I30" i="18"/>
  <c r="I28" i="18"/>
  <c r="I26" i="18"/>
  <c r="I24" i="18"/>
  <c r="I22" i="18"/>
  <c r="I20" i="18"/>
  <c r="I18" i="18"/>
  <c r="I16" i="18"/>
  <c r="I14" i="18"/>
  <c r="I12" i="18"/>
  <c r="I10" i="18"/>
  <c r="I8" i="18"/>
  <c r="I6" i="18"/>
  <c r="F6" i="18"/>
  <c r="E6" i="18"/>
  <c r="H54" i="18"/>
  <c r="H52" i="18"/>
  <c r="H50" i="18"/>
  <c r="H48" i="18"/>
  <c r="H46" i="18"/>
  <c r="H45" i="18"/>
  <c r="H44" i="18"/>
  <c r="H42" i="18"/>
  <c r="H40" i="18"/>
  <c r="H38" i="18"/>
  <c r="H36" i="18"/>
  <c r="H34" i="18"/>
  <c r="H32" i="18"/>
  <c r="H30" i="18"/>
  <c r="H28" i="18"/>
  <c r="H26" i="18"/>
  <c r="H24" i="18"/>
  <c r="H22" i="18"/>
  <c r="H20" i="18"/>
  <c r="H18" i="18"/>
  <c r="H16" i="18"/>
  <c r="H14" i="18"/>
  <c r="H12" i="18"/>
  <c r="H10" i="18"/>
  <c r="H8" i="18"/>
  <c r="H6" i="18"/>
  <c r="G54" i="18"/>
  <c r="G52" i="18"/>
  <c r="G50" i="18"/>
  <c r="G48" i="18"/>
  <c r="G46" i="18"/>
  <c r="G45" i="18"/>
  <c r="G44" i="18"/>
  <c r="G42" i="18"/>
  <c r="G40" i="18"/>
  <c r="G38" i="18"/>
  <c r="G36" i="18"/>
  <c r="G34" i="18"/>
  <c r="G32" i="18"/>
  <c r="G30" i="18"/>
  <c r="G28" i="18"/>
  <c r="G26" i="18"/>
  <c r="G24" i="18"/>
  <c r="G22" i="18"/>
  <c r="G20" i="18"/>
  <c r="G18" i="18"/>
  <c r="G16" i="18"/>
  <c r="G14" i="18"/>
  <c r="G12" i="18"/>
  <c r="G10" i="18"/>
  <c r="G8" i="18"/>
  <c r="G6" i="18"/>
  <c r="F52" i="18"/>
  <c r="F50" i="18"/>
  <c r="F48" i="18"/>
  <c r="F46" i="18"/>
  <c r="F45" i="18"/>
  <c r="F44" i="18"/>
  <c r="F42" i="18"/>
  <c r="F40" i="18"/>
  <c r="F38" i="18"/>
  <c r="F36" i="18"/>
  <c r="F32" i="18"/>
  <c r="F30" i="18"/>
  <c r="F28" i="18"/>
  <c r="F26" i="18"/>
  <c r="F24" i="18"/>
  <c r="F22" i="18"/>
  <c r="F20" i="18"/>
  <c r="F18" i="18"/>
  <c r="F16" i="18"/>
  <c r="F14" i="18"/>
  <c r="F12" i="18"/>
  <c r="F10" i="18"/>
  <c r="F8" i="18"/>
  <c r="E52" i="18"/>
  <c r="E50" i="18"/>
  <c r="E48" i="18"/>
  <c r="E46" i="18"/>
  <c r="E45" i="18"/>
  <c r="E44" i="18"/>
  <c r="E42" i="18"/>
  <c r="E40" i="18"/>
  <c r="E38" i="18"/>
  <c r="E36" i="18"/>
  <c r="E32" i="18"/>
  <c r="E30" i="18"/>
  <c r="E28" i="18"/>
  <c r="E26" i="18"/>
  <c r="E24" i="18"/>
  <c r="E22" i="18"/>
  <c r="E20" i="18"/>
  <c r="E18" i="18"/>
  <c r="E16" i="18"/>
  <c r="E14" i="18"/>
  <c r="E12" i="18"/>
  <c r="E10" i="18"/>
  <c r="E8" i="18"/>
  <c r="E9" i="18" l="1"/>
  <c r="E17" i="18"/>
  <c r="E53" i="18"/>
  <c r="J31" i="18"/>
  <c r="E25" i="18"/>
  <c r="I29" i="18"/>
  <c r="K49" i="18"/>
  <c r="I23" i="18"/>
  <c r="E15" i="18"/>
  <c r="E23" i="18"/>
  <c r="E31" i="18"/>
  <c r="E41" i="18"/>
  <c r="I17" i="18"/>
  <c r="E35" i="18"/>
  <c r="E47" i="18"/>
  <c r="I53" i="18"/>
  <c r="E43" i="18"/>
  <c r="E51" i="18"/>
  <c r="H51" i="18"/>
  <c r="E13" i="18"/>
  <c r="E21" i="18"/>
  <c r="E29" i="18"/>
  <c r="E39" i="18"/>
  <c r="E49" i="18"/>
  <c r="E11" i="18"/>
  <c r="E19" i="18"/>
  <c r="E27" i="18"/>
  <c r="E37" i="18"/>
  <c r="I51" i="18"/>
  <c r="E7" i="18"/>
  <c r="I25" i="18"/>
  <c r="E33" i="18"/>
  <c r="K33" i="18"/>
  <c r="K31" i="18"/>
  <c r="I49" i="18"/>
  <c r="I47" i="18"/>
  <c r="I43" i="18"/>
  <c r="I41" i="18"/>
  <c r="I37" i="18"/>
  <c r="I35" i="18"/>
  <c r="I31" i="18"/>
  <c r="I19" i="18"/>
  <c r="I13" i="18"/>
  <c r="I9" i="18"/>
  <c r="I7" i="18"/>
  <c r="I33" i="18"/>
  <c r="I15" i="18"/>
  <c r="I21" i="18"/>
  <c r="I27" i="18"/>
  <c r="I39" i="18"/>
  <c r="I11" i="18"/>
  <c r="C2" i="23" l="1"/>
  <c r="C9" i="8" l="1"/>
  <c r="M10" i="4" l="1"/>
  <c r="G123" i="8" l="1"/>
  <c r="F123" i="8"/>
  <c r="Q29" i="24" l="1"/>
  <c r="F137" i="4" l="1"/>
  <c r="E137" i="4"/>
  <c r="C137" i="4"/>
  <c r="M137" i="4" l="1"/>
  <c r="L137" i="4"/>
  <c r="K137" i="4"/>
  <c r="J137" i="4"/>
  <c r="I137" i="4"/>
  <c r="H137" i="4"/>
  <c r="G137" i="4"/>
  <c r="N137" i="4" l="1"/>
  <c r="F11" i="20"/>
  <c r="C138" i="8" l="1"/>
  <c r="I172" i="8" l="1"/>
  <c r="G172" i="8"/>
  <c r="F172" i="8"/>
  <c r="E172" i="8"/>
  <c r="D172" i="8"/>
  <c r="C172" i="8"/>
  <c r="I171" i="8"/>
  <c r="G171" i="8"/>
  <c r="F171" i="8"/>
  <c r="E171" i="8"/>
  <c r="D171" i="8"/>
  <c r="C171" i="8"/>
  <c r="M172" i="4"/>
  <c r="H172" i="8" s="1"/>
  <c r="L172" i="4"/>
  <c r="K172" i="4"/>
  <c r="J172" i="4"/>
  <c r="I172" i="4"/>
  <c r="H172" i="4"/>
  <c r="G172" i="4"/>
  <c r="F172" i="4"/>
  <c r="E172" i="4"/>
  <c r="C172" i="4"/>
  <c r="M171" i="4"/>
  <c r="L171" i="4"/>
  <c r="K171" i="4"/>
  <c r="J171" i="4"/>
  <c r="I171" i="4"/>
  <c r="H171" i="4"/>
  <c r="G171" i="4"/>
  <c r="F171" i="4"/>
  <c r="E171" i="4"/>
  <c r="C171" i="4"/>
  <c r="J172" i="13"/>
  <c r="I172" i="13"/>
  <c r="H172" i="13"/>
  <c r="G172" i="13"/>
  <c r="F172" i="13"/>
  <c r="E172" i="13"/>
  <c r="C172" i="13"/>
  <c r="GB40" i="24"/>
  <c r="GB41" i="24" s="1"/>
  <c r="GB39" i="24"/>
  <c r="GB38" i="24"/>
  <c r="GB37" i="24"/>
  <c r="GB36" i="24"/>
  <c r="GB35" i="24"/>
  <c r="GB34" i="24"/>
  <c r="GB33" i="24"/>
  <c r="GB32" i="24"/>
  <c r="GB31" i="24"/>
  <c r="GB30" i="24"/>
  <c r="GB29" i="24"/>
  <c r="GB28" i="24"/>
  <c r="GB27" i="24"/>
  <c r="GB26" i="24"/>
  <c r="GB25" i="24"/>
  <c r="GB24" i="24"/>
  <c r="GB23" i="24"/>
  <c r="GB22" i="24"/>
  <c r="GB21" i="24"/>
  <c r="GB37" i="16" s="1"/>
  <c r="GB20" i="24"/>
  <c r="GB19" i="24"/>
  <c r="GB18" i="24"/>
  <c r="GB17" i="24"/>
  <c r="GB16" i="24"/>
  <c r="GB15" i="24"/>
  <c r="GB14" i="24"/>
  <c r="FJ3" i="1"/>
  <c r="O171" i="4" l="1"/>
  <c r="H171" i="8"/>
  <c r="J171" i="8" s="1"/>
  <c r="J172" i="8"/>
  <c r="K172" i="8"/>
  <c r="K171" i="8" l="1"/>
  <c r="K23" i="26" l="1"/>
  <c r="K21" i="26"/>
  <c r="K24" i="26" s="1"/>
  <c r="K20" i="26"/>
  <c r="K19" i="26"/>
  <c r="K22" i="26" l="1"/>
  <c r="K12" i="26"/>
  <c r="K13" i="26" s="1"/>
  <c r="K11" i="26"/>
  <c r="F7" i="27" l="1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8" i="27" l="1"/>
  <c r="F140" i="4" l="1"/>
  <c r="GW32" i="24" l="1"/>
  <c r="GV26" i="24"/>
  <c r="J109" i="13" l="1"/>
  <c r="J108" i="13"/>
  <c r="J107" i="13"/>
  <c r="J106" i="13"/>
  <c r="J105" i="13"/>
  <c r="J104" i="13"/>
  <c r="J171" i="13"/>
  <c r="I171" i="13"/>
  <c r="H171" i="13"/>
  <c r="G171" i="13"/>
  <c r="F171" i="13"/>
  <c r="E171" i="13"/>
  <c r="C171" i="13"/>
  <c r="J170" i="13"/>
  <c r="I170" i="13"/>
  <c r="H170" i="13"/>
  <c r="G170" i="13"/>
  <c r="F170" i="13"/>
  <c r="E170" i="13"/>
  <c r="C170" i="13"/>
  <c r="J169" i="13"/>
  <c r="I169" i="13"/>
  <c r="H169" i="13"/>
  <c r="G169" i="13"/>
  <c r="F169" i="13"/>
  <c r="E169" i="13"/>
  <c r="C169" i="13"/>
  <c r="J168" i="13"/>
  <c r="I168" i="13"/>
  <c r="H168" i="13"/>
  <c r="G168" i="13"/>
  <c r="F168" i="13"/>
  <c r="E168" i="13"/>
  <c r="C168" i="13"/>
  <c r="J150" i="13"/>
  <c r="I150" i="13"/>
  <c r="H150" i="13"/>
  <c r="G150" i="13"/>
  <c r="F150" i="13"/>
  <c r="E150" i="13"/>
  <c r="C150" i="13"/>
  <c r="J149" i="13"/>
  <c r="I149" i="13"/>
  <c r="H149" i="13"/>
  <c r="G149" i="13"/>
  <c r="F149" i="13"/>
  <c r="E149" i="13"/>
  <c r="J148" i="13"/>
  <c r="I148" i="13"/>
  <c r="H148" i="13"/>
  <c r="G148" i="13"/>
  <c r="F148" i="13"/>
  <c r="E148" i="13"/>
  <c r="C148" i="13"/>
  <c r="J147" i="13"/>
  <c r="I147" i="13"/>
  <c r="H147" i="13"/>
  <c r="G147" i="13"/>
  <c r="F147" i="13"/>
  <c r="E147" i="13"/>
  <c r="C147" i="13"/>
  <c r="J140" i="13"/>
  <c r="I140" i="13"/>
  <c r="H140" i="13"/>
  <c r="G140" i="13"/>
  <c r="F140" i="13"/>
  <c r="E140" i="13"/>
  <c r="C140" i="13"/>
  <c r="J139" i="13"/>
  <c r="I139" i="13"/>
  <c r="H139" i="13"/>
  <c r="G139" i="13"/>
  <c r="F139" i="13"/>
  <c r="E139" i="13"/>
  <c r="C139" i="13"/>
  <c r="J138" i="13"/>
  <c r="I138" i="13"/>
  <c r="H138" i="13"/>
  <c r="G138" i="13"/>
  <c r="F138" i="13"/>
  <c r="E138" i="13"/>
  <c r="C138" i="13"/>
  <c r="J137" i="13"/>
  <c r="I137" i="13"/>
  <c r="H137" i="13"/>
  <c r="G137" i="13"/>
  <c r="F137" i="13"/>
  <c r="E137" i="13"/>
  <c r="C137" i="13"/>
  <c r="J128" i="13"/>
  <c r="I128" i="13"/>
  <c r="H128" i="13"/>
  <c r="G128" i="13"/>
  <c r="F128" i="13"/>
  <c r="E128" i="13"/>
  <c r="C128" i="13"/>
  <c r="J127" i="13"/>
  <c r="I127" i="13"/>
  <c r="H127" i="13"/>
  <c r="G127" i="13"/>
  <c r="F127" i="13"/>
  <c r="E127" i="13"/>
  <c r="C127" i="13"/>
  <c r="J126" i="13"/>
  <c r="I126" i="13"/>
  <c r="H126" i="13"/>
  <c r="G126" i="13"/>
  <c r="F126" i="13"/>
  <c r="E126" i="13"/>
  <c r="C126" i="13"/>
  <c r="J125" i="13"/>
  <c r="I125" i="13"/>
  <c r="H125" i="13"/>
  <c r="G125" i="13"/>
  <c r="F125" i="13"/>
  <c r="E125" i="13"/>
  <c r="C125" i="13"/>
  <c r="I109" i="13"/>
  <c r="H109" i="13"/>
  <c r="G109" i="13"/>
  <c r="F109" i="13"/>
  <c r="E109" i="13"/>
  <c r="C109" i="13"/>
  <c r="I108" i="13"/>
  <c r="H108" i="13"/>
  <c r="G108" i="13"/>
  <c r="F108" i="13"/>
  <c r="E108" i="13"/>
  <c r="C108" i="13"/>
  <c r="I107" i="13"/>
  <c r="H107" i="13"/>
  <c r="G107" i="13"/>
  <c r="F107" i="13"/>
  <c r="E107" i="13"/>
  <c r="C107" i="13"/>
  <c r="I106" i="13"/>
  <c r="H106" i="13"/>
  <c r="G106" i="13"/>
  <c r="F106" i="13"/>
  <c r="E106" i="13"/>
  <c r="C106" i="13"/>
  <c r="J99" i="13"/>
  <c r="I99" i="13"/>
  <c r="H99" i="13"/>
  <c r="G99" i="13"/>
  <c r="F99" i="13"/>
  <c r="E99" i="13"/>
  <c r="C99" i="13"/>
  <c r="J98" i="13"/>
  <c r="I98" i="13"/>
  <c r="H98" i="13"/>
  <c r="G98" i="13"/>
  <c r="F98" i="13"/>
  <c r="E98" i="13"/>
  <c r="C98" i="13"/>
  <c r="J97" i="13"/>
  <c r="I97" i="13"/>
  <c r="H97" i="13"/>
  <c r="G97" i="13"/>
  <c r="F97" i="13"/>
  <c r="E97" i="13"/>
  <c r="C97" i="13"/>
  <c r="J96" i="13"/>
  <c r="I96" i="13"/>
  <c r="H96" i="13"/>
  <c r="G96" i="13"/>
  <c r="F96" i="13"/>
  <c r="E96" i="13"/>
  <c r="C96" i="13"/>
  <c r="J73" i="13"/>
  <c r="I73" i="13"/>
  <c r="H73" i="13"/>
  <c r="G73" i="13"/>
  <c r="F73" i="13"/>
  <c r="E73" i="13"/>
  <c r="C73" i="13"/>
  <c r="J72" i="13"/>
  <c r="I72" i="13"/>
  <c r="H72" i="13"/>
  <c r="G72" i="13"/>
  <c r="F72" i="13"/>
  <c r="E72" i="13"/>
  <c r="C72" i="13"/>
  <c r="J71" i="13"/>
  <c r="I71" i="13"/>
  <c r="H71" i="13"/>
  <c r="G71" i="13"/>
  <c r="F71" i="13"/>
  <c r="E71" i="13"/>
  <c r="C71" i="13"/>
  <c r="J70" i="13"/>
  <c r="I70" i="13"/>
  <c r="H70" i="13"/>
  <c r="G70" i="13"/>
  <c r="F70" i="13"/>
  <c r="E70" i="13"/>
  <c r="C70" i="13"/>
  <c r="C46" i="13"/>
  <c r="E46" i="13"/>
  <c r="F46" i="13"/>
  <c r="G46" i="13"/>
  <c r="H46" i="13"/>
  <c r="I46" i="13"/>
  <c r="J46" i="13"/>
  <c r="C47" i="13"/>
  <c r="E47" i="13"/>
  <c r="F47" i="13"/>
  <c r="G47" i="13"/>
  <c r="H47" i="13"/>
  <c r="I47" i="13"/>
  <c r="J47" i="13"/>
  <c r="C48" i="13"/>
  <c r="E48" i="13"/>
  <c r="F48" i="13"/>
  <c r="G48" i="13"/>
  <c r="H48" i="13"/>
  <c r="I48" i="13"/>
  <c r="J48" i="13"/>
  <c r="C49" i="13"/>
  <c r="E49" i="13"/>
  <c r="F49" i="13"/>
  <c r="G49" i="13"/>
  <c r="H49" i="13"/>
  <c r="I49" i="13"/>
  <c r="J49" i="13"/>
  <c r="C44" i="13"/>
  <c r="E44" i="13"/>
  <c r="F44" i="13"/>
  <c r="G44" i="13"/>
  <c r="H44" i="13"/>
  <c r="I44" i="13"/>
  <c r="J44" i="13"/>
  <c r="C45" i="13"/>
  <c r="E45" i="13"/>
  <c r="F45" i="13"/>
  <c r="G45" i="13"/>
  <c r="H45" i="13"/>
  <c r="I45" i="13"/>
  <c r="J45" i="13"/>
  <c r="BY34" i="24"/>
  <c r="DE40" i="24" l="1"/>
  <c r="DE41" i="24" s="1"/>
  <c r="GZ77" i="1" l="1"/>
  <c r="GY77" i="1"/>
  <c r="GX77" i="1"/>
  <c r="GW77" i="1"/>
  <c r="GV77" i="1"/>
  <c r="GU77" i="1"/>
  <c r="GT77" i="1"/>
  <c r="GS77" i="1"/>
  <c r="GR77" i="1"/>
  <c r="GQ77" i="1"/>
  <c r="GP77" i="1"/>
  <c r="GO77" i="1"/>
  <c r="GN77" i="1"/>
  <c r="GK77" i="1"/>
  <c r="GJ77" i="1"/>
  <c r="GI77" i="1"/>
  <c r="GH77" i="1"/>
  <c r="GG77" i="1"/>
  <c r="GF77" i="1"/>
  <c r="GE77" i="1"/>
  <c r="GD77" i="1"/>
  <c r="GC77" i="1"/>
  <c r="GB77" i="1"/>
  <c r="GA77" i="1"/>
  <c r="FZ77" i="1"/>
  <c r="FY77" i="1"/>
  <c r="FX77" i="1"/>
  <c r="FW77" i="1"/>
  <c r="FV77" i="1"/>
  <c r="FU77" i="1"/>
  <c r="FT77" i="1"/>
  <c r="FS77" i="1"/>
  <c r="FR77" i="1"/>
  <c r="FQ77" i="1"/>
  <c r="FP77" i="1"/>
  <c r="FO77" i="1"/>
  <c r="FN77" i="1"/>
  <c r="FM77" i="1"/>
  <c r="FL77" i="1"/>
  <c r="FK77" i="1"/>
  <c r="FJ77" i="1"/>
  <c r="FI77" i="1"/>
  <c r="FH77" i="1"/>
  <c r="FG77" i="1"/>
  <c r="FF77" i="1"/>
  <c r="FE77" i="1"/>
  <c r="FD77" i="1"/>
  <c r="FC77" i="1"/>
  <c r="FB77" i="1"/>
  <c r="FA77" i="1"/>
  <c r="EZ77" i="1"/>
  <c r="EY77" i="1"/>
  <c r="EX77" i="1"/>
  <c r="EW77" i="1"/>
  <c r="EV77" i="1"/>
  <c r="EU77" i="1"/>
  <c r="ET77" i="1"/>
  <c r="ES77" i="1"/>
  <c r="ER77" i="1"/>
  <c r="EQ77" i="1"/>
  <c r="EP77" i="1"/>
  <c r="EO77" i="1"/>
  <c r="EN77" i="1"/>
  <c r="EM77" i="1"/>
  <c r="EL77" i="1"/>
  <c r="EK77" i="1"/>
  <c r="EJ77" i="1"/>
  <c r="EI77" i="1"/>
  <c r="EH77" i="1"/>
  <c r="EG77" i="1"/>
  <c r="EF77" i="1"/>
  <c r="ED77" i="1"/>
  <c r="EC77" i="1"/>
  <c r="EB77" i="1"/>
  <c r="EA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B77" i="1"/>
  <c r="CA77" i="1"/>
  <c r="BZ77" i="1"/>
  <c r="BY77" i="1"/>
  <c r="BX77" i="1"/>
  <c r="BW77" i="1"/>
  <c r="BV77" i="1"/>
  <c r="BU77" i="1"/>
  <c r="BT77" i="1"/>
  <c r="BS77" i="1"/>
  <c r="BR77" i="1"/>
  <c r="BQ77" i="1"/>
  <c r="BP77" i="1"/>
  <c r="BO77" i="1"/>
  <c r="BN77" i="1"/>
  <c r="BM77" i="1"/>
  <c r="BL77" i="1"/>
  <c r="BK77" i="1"/>
  <c r="BJ77" i="1"/>
  <c r="BI77" i="1"/>
  <c r="BH77" i="1"/>
  <c r="BG77" i="1"/>
  <c r="BF77" i="1"/>
  <c r="BE77" i="1"/>
  <c r="BD77" i="1"/>
  <c r="BC77" i="1"/>
  <c r="BB77" i="1"/>
  <c r="BA77" i="1"/>
  <c r="AZ77" i="1"/>
  <c r="AY77" i="1"/>
  <c r="AX77" i="1"/>
  <c r="AW77" i="1"/>
  <c r="AV77" i="1"/>
  <c r="AU77" i="1"/>
  <c r="AT77" i="1"/>
  <c r="AS77" i="1"/>
  <c r="AR77" i="1"/>
  <c r="AQ77" i="1"/>
  <c r="AP77" i="1"/>
  <c r="AO77" i="1"/>
  <c r="AN77" i="1"/>
  <c r="AM77" i="1"/>
  <c r="AL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GM76" i="1"/>
  <c r="GL76" i="1"/>
  <c r="DZ76" i="1"/>
  <c r="DZ77" i="1" l="1"/>
  <c r="GM77" i="1" l="1"/>
  <c r="GL77" i="1"/>
  <c r="H128" i="4" l="1"/>
  <c r="AG196" i="7" l="1"/>
  <c r="AG131" i="7"/>
  <c r="AG203" i="7" l="1"/>
  <c r="L4" i="9"/>
  <c r="AL38" i="24" l="1"/>
  <c r="C49" i="8" l="1"/>
  <c r="I49" i="8"/>
  <c r="G49" i="8"/>
  <c r="F49" i="8"/>
  <c r="E49" i="8"/>
  <c r="D49" i="8"/>
  <c r="H49" i="8"/>
  <c r="DU15" i="24"/>
  <c r="DU16" i="24"/>
  <c r="DU17" i="24"/>
  <c r="DU18" i="24"/>
  <c r="DU19" i="24"/>
  <c r="DU20" i="24"/>
  <c r="DU21" i="24"/>
  <c r="DU37" i="16" s="1"/>
  <c r="DU22" i="24"/>
  <c r="DU23" i="24"/>
  <c r="DU24" i="24"/>
  <c r="DU25" i="24"/>
  <c r="DU26" i="24"/>
  <c r="DU27" i="24"/>
  <c r="DU28" i="24"/>
  <c r="DU29" i="24"/>
  <c r="DU30" i="24"/>
  <c r="DU31" i="24"/>
  <c r="DU32" i="24"/>
  <c r="DU33" i="24"/>
  <c r="DU34" i="24"/>
  <c r="DU35" i="24"/>
  <c r="DU36" i="24"/>
  <c r="DU37" i="24"/>
  <c r="DU38" i="24"/>
  <c r="DU39" i="24"/>
  <c r="DU40" i="24"/>
  <c r="DU41" i="24" s="1"/>
  <c r="DU14" i="24"/>
  <c r="DW3" i="1"/>
  <c r="J49" i="8" l="1"/>
  <c r="K49" i="8"/>
  <c r="M99" i="4" l="1"/>
  <c r="L99" i="4"/>
  <c r="K99" i="4"/>
  <c r="J99" i="4"/>
  <c r="I99" i="4"/>
  <c r="H99" i="4"/>
  <c r="G99" i="4"/>
  <c r="F99" i="4"/>
  <c r="E99" i="4"/>
  <c r="C99" i="4"/>
  <c r="M98" i="4"/>
  <c r="L98" i="4"/>
  <c r="K98" i="4"/>
  <c r="J98" i="4"/>
  <c r="I98" i="4"/>
  <c r="H98" i="4"/>
  <c r="G98" i="4"/>
  <c r="F98" i="4"/>
  <c r="E98" i="4"/>
  <c r="C98" i="4"/>
  <c r="I99" i="8"/>
  <c r="G99" i="8"/>
  <c r="F99" i="8"/>
  <c r="E99" i="8"/>
  <c r="D99" i="8"/>
  <c r="C99" i="8"/>
  <c r="I98" i="8"/>
  <c r="G98" i="8"/>
  <c r="F98" i="8"/>
  <c r="E98" i="8"/>
  <c r="D98" i="8"/>
  <c r="C98" i="8"/>
  <c r="DT40" i="24"/>
  <c r="DT41" i="24" s="1"/>
  <c r="DT39" i="24"/>
  <c r="DT38" i="24"/>
  <c r="DT37" i="24"/>
  <c r="DT36" i="24"/>
  <c r="DT35" i="24"/>
  <c r="DT34" i="24"/>
  <c r="DT33" i="24"/>
  <c r="DT32" i="24"/>
  <c r="DT31" i="24"/>
  <c r="DT30" i="24"/>
  <c r="DT29" i="24"/>
  <c r="DT28" i="24"/>
  <c r="DT27" i="24"/>
  <c r="DT26" i="24"/>
  <c r="DT25" i="24"/>
  <c r="DT24" i="24"/>
  <c r="DT23" i="24"/>
  <c r="DT22" i="24"/>
  <c r="DT21" i="24"/>
  <c r="DT37" i="16" s="1"/>
  <c r="DT20" i="24"/>
  <c r="DT19" i="24"/>
  <c r="DT18" i="24"/>
  <c r="DT17" i="24"/>
  <c r="DT16" i="24"/>
  <c r="DT15" i="24"/>
  <c r="DT14" i="24"/>
  <c r="DV3" i="1"/>
  <c r="O99" i="4" l="1"/>
  <c r="H98" i="8"/>
  <c r="J98" i="8" s="1"/>
  <c r="H99" i="8"/>
  <c r="K99" i="8" s="1"/>
  <c r="K98" i="8" l="1"/>
  <c r="J99" i="8"/>
  <c r="G148" i="8"/>
  <c r="F148" i="8"/>
  <c r="I72" i="4" l="1"/>
  <c r="H72" i="4"/>
  <c r="N28" i="23" l="1"/>
  <c r="AL19" i="24" l="1"/>
  <c r="AL21" i="24" l="1"/>
  <c r="AM20" i="24"/>
  <c r="AM19" i="24"/>
  <c r="I11" i="2" s="1"/>
  <c r="AM18" i="24"/>
  <c r="AM17" i="24"/>
  <c r="AL37" i="16" l="1"/>
  <c r="AC197" i="7"/>
  <c r="S34" i="2" s="1"/>
  <c r="AB3" i="27" l="1"/>
  <c r="D45" i="8" l="1"/>
  <c r="G148" i="4" l="1"/>
  <c r="H19" i="4" l="1"/>
  <c r="C42" i="8" l="1"/>
  <c r="B1" i="25" l="1"/>
  <c r="M79" i="4" l="1"/>
  <c r="M67" i="4" l="1"/>
  <c r="E17" i="8"/>
  <c r="J120" i="13"/>
  <c r="I120" i="13"/>
  <c r="H120" i="13"/>
  <c r="G120" i="13"/>
  <c r="F120" i="13"/>
  <c r="E120" i="13"/>
  <c r="C120" i="13"/>
  <c r="I120" i="8"/>
  <c r="G120" i="8"/>
  <c r="F120" i="8"/>
  <c r="E120" i="8"/>
  <c r="D120" i="8"/>
  <c r="C120" i="8"/>
  <c r="M120" i="4"/>
  <c r="L120" i="4"/>
  <c r="K120" i="4"/>
  <c r="J120" i="4"/>
  <c r="I120" i="4"/>
  <c r="H120" i="4"/>
  <c r="G120" i="4"/>
  <c r="F120" i="4"/>
  <c r="E120" i="4"/>
  <c r="C120" i="4"/>
  <c r="DS15" i="24"/>
  <c r="DS16" i="24"/>
  <c r="DS17" i="24"/>
  <c r="DS18" i="24"/>
  <c r="DS19" i="24"/>
  <c r="DS20" i="24"/>
  <c r="DS21" i="24"/>
  <c r="DS37" i="16" s="1"/>
  <c r="DS22" i="24"/>
  <c r="DS23" i="24"/>
  <c r="DS24" i="24"/>
  <c r="DS25" i="24"/>
  <c r="DS26" i="24"/>
  <c r="DS27" i="24"/>
  <c r="DS28" i="24"/>
  <c r="DS29" i="24"/>
  <c r="DS30" i="24"/>
  <c r="DS31" i="24"/>
  <c r="DS32" i="24"/>
  <c r="DS33" i="24"/>
  <c r="DS34" i="24"/>
  <c r="DS35" i="24"/>
  <c r="DS36" i="24"/>
  <c r="DS37" i="24"/>
  <c r="DS38" i="24"/>
  <c r="DS39" i="24"/>
  <c r="DS40" i="24"/>
  <c r="DS41" i="24" s="1"/>
  <c r="DS14" i="24"/>
  <c r="AZ3" i="1"/>
  <c r="O120" i="4" l="1"/>
  <c r="H120" i="8"/>
  <c r="K120" i="8" s="1"/>
  <c r="J120" i="8" l="1"/>
  <c r="I109" i="8"/>
  <c r="G109" i="8"/>
  <c r="F109" i="8"/>
  <c r="E109" i="8"/>
  <c r="D109" i="8"/>
  <c r="C109" i="8"/>
  <c r="M109" i="4"/>
  <c r="L109" i="4"/>
  <c r="K109" i="4"/>
  <c r="J109" i="4"/>
  <c r="I109" i="4"/>
  <c r="H109" i="4"/>
  <c r="G109" i="4"/>
  <c r="F109" i="4"/>
  <c r="E109" i="4"/>
  <c r="C109" i="4"/>
  <c r="H109" i="8" l="1"/>
  <c r="K109" i="8" s="1"/>
  <c r="O109" i="4"/>
  <c r="J109" i="8" l="1"/>
  <c r="M53" i="18"/>
  <c r="M37" i="18"/>
  <c r="M49" i="18"/>
  <c r="M43" i="18"/>
  <c r="M19" i="18"/>
  <c r="M51" i="18"/>
  <c r="M25" i="18"/>
  <c r="M41" i="18"/>
  <c r="M17" i="18"/>
  <c r="M27" i="18"/>
  <c r="M21" i="18"/>
  <c r="M31" i="18"/>
  <c r="M39" i="18"/>
  <c r="M7" i="18"/>
  <c r="M15" i="18"/>
  <c r="M33" i="18"/>
  <c r="M47" i="18"/>
  <c r="M13" i="18"/>
  <c r="M23" i="18"/>
  <c r="M29" i="18"/>
  <c r="M35" i="18"/>
  <c r="M9" i="18"/>
  <c r="M11" i="18"/>
  <c r="AD10" i="18" l="1"/>
  <c r="GW39" i="24"/>
  <c r="GW38" i="24"/>
  <c r="GW37" i="24"/>
  <c r="GW36" i="24"/>
  <c r="GW27" i="24"/>
  <c r="GW26" i="24"/>
  <c r="GW25" i="24"/>
  <c r="GW24" i="24"/>
  <c r="F68" i="8" l="1"/>
  <c r="G68" i="8"/>
  <c r="I68" i="8"/>
  <c r="F69" i="8"/>
  <c r="G69" i="8"/>
  <c r="I69" i="8"/>
  <c r="F70" i="8"/>
  <c r="G70" i="8"/>
  <c r="I70" i="8"/>
  <c r="F71" i="8"/>
  <c r="G71" i="8"/>
  <c r="I71" i="8"/>
  <c r="F72" i="8"/>
  <c r="G72" i="8"/>
  <c r="I72" i="8"/>
  <c r="I73" i="8"/>
  <c r="G73" i="8"/>
  <c r="F73" i="8"/>
  <c r="E73" i="8"/>
  <c r="D73" i="8"/>
  <c r="C73" i="8"/>
  <c r="M73" i="4"/>
  <c r="L73" i="4"/>
  <c r="K73" i="4"/>
  <c r="J73" i="4"/>
  <c r="I73" i="4"/>
  <c r="H73" i="4"/>
  <c r="G73" i="4"/>
  <c r="F73" i="4"/>
  <c r="E73" i="4"/>
  <c r="C73" i="4"/>
  <c r="DR15" i="24"/>
  <c r="DR16" i="24"/>
  <c r="DR17" i="24"/>
  <c r="DR18" i="24"/>
  <c r="DR19" i="24"/>
  <c r="DR20" i="24"/>
  <c r="DR21" i="24"/>
  <c r="DR37" i="16" s="1"/>
  <c r="DR22" i="24"/>
  <c r="DR23" i="24"/>
  <c r="DR24" i="24"/>
  <c r="DR25" i="24"/>
  <c r="DR26" i="24"/>
  <c r="DR27" i="24"/>
  <c r="DR28" i="24"/>
  <c r="DR29" i="24"/>
  <c r="DR30" i="24"/>
  <c r="DR31" i="24"/>
  <c r="DR32" i="24"/>
  <c r="DR33" i="24"/>
  <c r="DR34" i="24"/>
  <c r="DR35" i="24"/>
  <c r="DR36" i="24"/>
  <c r="DR37" i="24"/>
  <c r="DR38" i="24"/>
  <c r="DR39" i="24"/>
  <c r="DR40" i="24"/>
  <c r="DR41" i="24" s="1"/>
  <c r="DR14" i="24"/>
  <c r="DU3" i="1"/>
  <c r="H73" i="8" l="1"/>
  <c r="J73" i="8" s="1"/>
  <c r="K73" i="8" l="1"/>
  <c r="I150" i="8"/>
  <c r="G150" i="8"/>
  <c r="F150" i="8"/>
  <c r="E150" i="8"/>
  <c r="D150" i="8"/>
  <c r="C150" i="8"/>
  <c r="M150" i="4"/>
  <c r="L150" i="4"/>
  <c r="K150" i="4"/>
  <c r="J150" i="4"/>
  <c r="I150" i="4"/>
  <c r="H150" i="4"/>
  <c r="G150" i="4"/>
  <c r="F150" i="4"/>
  <c r="E150" i="4"/>
  <c r="C150" i="4"/>
  <c r="GA15" i="24"/>
  <c r="GA16" i="24"/>
  <c r="GA17" i="24"/>
  <c r="GA18" i="24"/>
  <c r="GA19" i="24"/>
  <c r="GA20" i="24"/>
  <c r="GA21" i="24"/>
  <c r="GA37" i="16" s="1"/>
  <c r="GA22" i="24"/>
  <c r="GA23" i="24"/>
  <c r="GA24" i="24"/>
  <c r="GA25" i="24"/>
  <c r="GA26" i="24"/>
  <c r="GA27" i="24"/>
  <c r="GA28" i="24"/>
  <c r="GA29" i="24"/>
  <c r="GA30" i="24"/>
  <c r="GA31" i="24"/>
  <c r="GA32" i="24"/>
  <c r="GA33" i="24"/>
  <c r="GA34" i="24"/>
  <c r="GA35" i="24"/>
  <c r="GA36" i="24"/>
  <c r="GA37" i="24"/>
  <c r="GA38" i="24"/>
  <c r="GA39" i="24"/>
  <c r="GA40" i="24"/>
  <c r="GA41" i="24" s="1"/>
  <c r="GA14" i="24"/>
  <c r="EM3" i="1"/>
  <c r="H150" i="8" l="1"/>
  <c r="J150" i="8" s="1"/>
  <c r="K150" i="8" l="1"/>
  <c r="AV17" i="24"/>
  <c r="AV18" i="24"/>
  <c r="AV19" i="24"/>
  <c r="AV20" i="24"/>
  <c r="AW17" i="24"/>
  <c r="M165" i="4" l="1"/>
  <c r="L165" i="4"/>
  <c r="K165" i="4"/>
  <c r="J165" i="4"/>
  <c r="I165" i="4"/>
  <c r="H165" i="4"/>
  <c r="G165" i="4"/>
  <c r="F165" i="4"/>
  <c r="E165" i="4"/>
  <c r="C165" i="4"/>
  <c r="G22" i="8" l="1"/>
  <c r="I48" i="8" l="1"/>
  <c r="G48" i="8"/>
  <c r="F48" i="8"/>
  <c r="E48" i="8"/>
  <c r="D48" i="8"/>
  <c r="C48" i="8"/>
  <c r="M48" i="4"/>
  <c r="L48" i="4"/>
  <c r="K48" i="4"/>
  <c r="J48" i="4"/>
  <c r="I48" i="4"/>
  <c r="H48" i="4"/>
  <c r="G48" i="4"/>
  <c r="F48" i="4"/>
  <c r="E48" i="4"/>
  <c r="C48" i="4"/>
  <c r="DQ15" i="24"/>
  <c r="DQ16" i="24"/>
  <c r="DQ17" i="24"/>
  <c r="DQ18" i="24"/>
  <c r="DQ19" i="24"/>
  <c r="DQ20" i="24"/>
  <c r="DQ21" i="24"/>
  <c r="DQ37" i="16" s="1"/>
  <c r="DQ22" i="24"/>
  <c r="DQ23" i="24"/>
  <c r="DQ24" i="24"/>
  <c r="DQ25" i="24"/>
  <c r="DQ26" i="24"/>
  <c r="DQ27" i="24"/>
  <c r="DQ28" i="24"/>
  <c r="DQ29" i="24"/>
  <c r="DQ30" i="24"/>
  <c r="DQ31" i="24"/>
  <c r="DQ32" i="24"/>
  <c r="DQ33" i="24"/>
  <c r="DQ34" i="24"/>
  <c r="DQ35" i="24"/>
  <c r="DQ36" i="24"/>
  <c r="DQ37" i="24"/>
  <c r="DQ38" i="24"/>
  <c r="DQ39" i="24"/>
  <c r="DQ40" i="24"/>
  <c r="DQ41" i="24" s="1"/>
  <c r="DQ14" i="24"/>
  <c r="CC3" i="1"/>
  <c r="H48" i="8" l="1"/>
  <c r="K48" i="8" s="1"/>
  <c r="J48" i="8" l="1"/>
  <c r="O8" i="4"/>
  <c r="I149" i="8" l="1"/>
  <c r="G149" i="8"/>
  <c r="F149" i="8"/>
  <c r="E149" i="8"/>
  <c r="D149" i="8"/>
  <c r="M149" i="4"/>
  <c r="L149" i="4"/>
  <c r="K149" i="4"/>
  <c r="J149" i="4"/>
  <c r="I149" i="4"/>
  <c r="H149" i="4"/>
  <c r="G149" i="4"/>
  <c r="F149" i="4"/>
  <c r="E149" i="4"/>
  <c r="H149" i="8" l="1"/>
  <c r="J149" i="8" s="1"/>
  <c r="K149" i="8" l="1"/>
  <c r="FZ40" i="24"/>
  <c r="FZ41" i="24" s="1"/>
  <c r="FZ39" i="24"/>
  <c r="FZ38" i="24"/>
  <c r="FZ37" i="24"/>
  <c r="FZ36" i="24"/>
  <c r="FZ35" i="24"/>
  <c r="FZ34" i="24"/>
  <c r="FZ33" i="24"/>
  <c r="FZ32" i="24"/>
  <c r="FZ31" i="24"/>
  <c r="FZ30" i="24"/>
  <c r="FZ29" i="24"/>
  <c r="FZ28" i="24"/>
  <c r="FZ27" i="24"/>
  <c r="FZ26" i="24"/>
  <c r="FZ25" i="24"/>
  <c r="FZ24" i="24"/>
  <c r="FZ23" i="24"/>
  <c r="FZ22" i="24"/>
  <c r="FZ21" i="24"/>
  <c r="FZ37" i="16" s="1"/>
  <c r="FZ20" i="24"/>
  <c r="FZ19" i="24"/>
  <c r="FZ18" i="24"/>
  <c r="FZ17" i="24"/>
  <c r="FZ16" i="24"/>
  <c r="FZ15" i="24"/>
  <c r="FZ14" i="24"/>
  <c r="EO3" i="1"/>
  <c r="FY40" i="24"/>
  <c r="FY41" i="24" s="1"/>
  <c r="FY39" i="24"/>
  <c r="FY38" i="24"/>
  <c r="FY37" i="24"/>
  <c r="FY36" i="24"/>
  <c r="FY35" i="24"/>
  <c r="FY34" i="24"/>
  <c r="FY33" i="24"/>
  <c r="FY32" i="24"/>
  <c r="FY31" i="24"/>
  <c r="FY30" i="24"/>
  <c r="FY29" i="24"/>
  <c r="FY28" i="24"/>
  <c r="FY27" i="24"/>
  <c r="FY26" i="24"/>
  <c r="FY25" i="24"/>
  <c r="FY24" i="24"/>
  <c r="FY23" i="24"/>
  <c r="FY22" i="24"/>
  <c r="FY21" i="24"/>
  <c r="FY37" i="16" s="1"/>
  <c r="FY20" i="24"/>
  <c r="FY19" i="24"/>
  <c r="FY18" i="24"/>
  <c r="FY17" i="24"/>
  <c r="FY16" i="24"/>
  <c r="FY15" i="24"/>
  <c r="FY14" i="24"/>
  <c r="EN3" i="1"/>
  <c r="I108" i="8"/>
  <c r="G108" i="8"/>
  <c r="F108" i="8"/>
  <c r="E108" i="8"/>
  <c r="D108" i="8"/>
  <c r="C108" i="8"/>
  <c r="M108" i="4"/>
  <c r="H108" i="8" s="1"/>
  <c r="L108" i="4"/>
  <c r="K108" i="4"/>
  <c r="J108" i="4"/>
  <c r="I108" i="4"/>
  <c r="H108" i="4"/>
  <c r="G108" i="4"/>
  <c r="F108" i="4"/>
  <c r="E108" i="4"/>
  <c r="C108" i="4"/>
  <c r="DP40" i="24"/>
  <c r="DP41" i="24" s="1"/>
  <c r="DP39" i="24"/>
  <c r="DP38" i="24"/>
  <c r="DP37" i="24"/>
  <c r="DP36" i="24"/>
  <c r="DP35" i="24"/>
  <c r="DP34" i="24"/>
  <c r="DP33" i="24"/>
  <c r="DP32" i="24"/>
  <c r="DP31" i="24"/>
  <c r="DP30" i="24"/>
  <c r="DP29" i="24"/>
  <c r="DP28" i="24"/>
  <c r="DP27" i="24"/>
  <c r="DP26" i="24"/>
  <c r="DP25" i="24"/>
  <c r="DP24" i="24"/>
  <c r="DP23" i="24"/>
  <c r="DP22" i="24"/>
  <c r="DP21" i="24"/>
  <c r="DP37" i="16" s="1"/>
  <c r="DP20" i="24"/>
  <c r="DP19" i="24"/>
  <c r="DP18" i="24"/>
  <c r="DP17" i="24"/>
  <c r="DP16" i="24"/>
  <c r="DP15" i="24"/>
  <c r="DP14" i="24"/>
  <c r="AT3" i="1"/>
  <c r="K108" i="8" l="1"/>
  <c r="J108" i="8"/>
  <c r="C18" i="8" l="1"/>
  <c r="AL27" i="24" l="1"/>
  <c r="AL25" i="24"/>
  <c r="I17" i="2" s="1"/>
  <c r="AM25" i="24"/>
  <c r="AL26" i="24"/>
  <c r="AM26" i="24"/>
  <c r="AM27" i="24"/>
  <c r="AL28" i="24"/>
  <c r="AM28" i="24"/>
  <c r="AL29" i="24"/>
  <c r="AM29" i="24"/>
  <c r="AL30" i="24"/>
  <c r="AM30" i="24"/>
  <c r="I22" i="2" l="1"/>
  <c r="I21" i="2"/>
  <c r="I19" i="2"/>
  <c r="I20" i="2"/>
  <c r="I18" i="2"/>
  <c r="M80" i="4" l="1"/>
  <c r="M119" i="4"/>
  <c r="C118" i="4" l="1"/>
  <c r="M167" i="4" l="1"/>
  <c r="C18" i="24" l="1"/>
  <c r="W3" i="1"/>
  <c r="F15" i="20" l="1"/>
  <c r="GW35" i="24"/>
  <c r="GW34" i="24"/>
  <c r="GW33" i="24"/>
  <c r="GW31" i="24"/>
  <c r="GW30" i="24"/>
  <c r="GW29" i="24"/>
  <c r="GW28" i="24"/>
  <c r="GW23" i="24"/>
  <c r="GW22" i="24"/>
  <c r="GW21" i="24"/>
  <c r="GW20" i="24"/>
  <c r="GW19" i="24"/>
  <c r="GW18" i="24"/>
  <c r="GW17" i="24"/>
  <c r="GW16" i="24"/>
  <c r="GW15" i="24"/>
  <c r="GW14" i="24"/>
  <c r="I136" i="4" l="1"/>
  <c r="J23" i="9" l="1"/>
  <c r="F38" i="10"/>
  <c r="AP26" i="24" l="1"/>
  <c r="M47" i="4" l="1"/>
  <c r="L47" i="4"/>
  <c r="K47" i="4"/>
  <c r="J47" i="4"/>
  <c r="I47" i="4"/>
  <c r="H47" i="4"/>
  <c r="G47" i="4"/>
  <c r="F47" i="4"/>
  <c r="E47" i="4"/>
  <c r="C47" i="4"/>
  <c r="M46" i="4"/>
  <c r="L46" i="4"/>
  <c r="K46" i="4"/>
  <c r="J46" i="4"/>
  <c r="I46" i="4"/>
  <c r="H46" i="4"/>
  <c r="G46" i="4"/>
  <c r="F46" i="4"/>
  <c r="E46" i="4"/>
  <c r="C46" i="4"/>
  <c r="O46" i="4" l="1"/>
  <c r="I47" i="8"/>
  <c r="G47" i="8"/>
  <c r="F47" i="8"/>
  <c r="E47" i="8"/>
  <c r="D47" i="8"/>
  <c r="C47" i="8"/>
  <c r="H47" i="8"/>
  <c r="DO15" i="24"/>
  <c r="DO16" i="24"/>
  <c r="DO17" i="24"/>
  <c r="DO18" i="24"/>
  <c r="DO19" i="24"/>
  <c r="DO20" i="24"/>
  <c r="DO21" i="24"/>
  <c r="DO37" i="16" s="1"/>
  <c r="DO22" i="24"/>
  <c r="DO23" i="24"/>
  <c r="DO24" i="24"/>
  <c r="DO25" i="24"/>
  <c r="DO26" i="24"/>
  <c r="DO27" i="24"/>
  <c r="DO28" i="24"/>
  <c r="DO29" i="24"/>
  <c r="DO30" i="24"/>
  <c r="DO31" i="24"/>
  <c r="DO32" i="24"/>
  <c r="DO33" i="24"/>
  <c r="DO34" i="24"/>
  <c r="DO35" i="24"/>
  <c r="DO36" i="24"/>
  <c r="DO37" i="24"/>
  <c r="DO38" i="24"/>
  <c r="DO39" i="24"/>
  <c r="DO40" i="24"/>
  <c r="DO41" i="24" s="1"/>
  <c r="DO14" i="24"/>
  <c r="CS3" i="1"/>
  <c r="J47" i="8" l="1"/>
  <c r="K47" i="8"/>
  <c r="I9" i="8"/>
  <c r="D39" i="16" l="1"/>
  <c r="M130" i="4" l="1"/>
  <c r="I78" i="13" l="1"/>
  <c r="H130" i="8" l="1"/>
  <c r="F39" i="10" l="1"/>
  <c r="F37" i="10"/>
  <c r="F23" i="10"/>
  <c r="F22" i="10"/>
  <c r="F16" i="10"/>
  <c r="F17" i="10"/>
  <c r="I128" i="8"/>
  <c r="G128" i="8"/>
  <c r="F128" i="8"/>
  <c r="E128" i="8"/>
  <c r="D128" i="8"/>
  <c r="C128" i="8"/>
  <c r="M128" i="4"/>
  <c r="L128" i="4"/>
  <c r="K128" i="4"/>
  <c r="J128" i="4"/>
  <c r="I128" i="4"/>
  <c r="G128" i="4"/>
  <c r="F128" i="4"/>
  <c r="E128" i="4"/>
  <c r="C128" i="4"/>
  <c r="DN40" i="24"/>
  <c r="DN41" i="24" s="1"/>
  <c r="DN39" i="24"/>
  <c r="DN38" i="24"/>
  <c r="DN37" i="24"/>
  <c r="DN36" i="24"/>
  <c r="DN35" i="24"/>
  <c r="DN34" i="24"/>
  <c r="DN33" i="24"/>
  <c r="DN32" i="24"/>
  <c r="DN31" i="24"/>
  <c r="DN30" i="24"/>
  <c r="DN29" i="24"/>
  <c r="DN28" i="24"/>
  <c r="DN27" i="24"/>
  <c r="DN26" i="24"/>
  <c r="DN25" i="24"/>
  <c r="DN24" i="24"/>
  <c r="DN23" i="24"/>
  <c r="DN22" i="24"/>
  <c r="DN21" i="24"/>
  <c r="DN37" i="16" s="1"/>
  <c r="DN20" i="24"/>
  <c r="DN19" i="24"/>
  <c r="DN18" i="24"/>
  <c r="DN17" i="24"/>
  <c r="DN16" i="24"/>
  <c r="DN15" i="24"/>
  <c r="DN14" i="24"/>
  <c r="BJ3" i="1"/>
  <c r="I121" i="4"/>
  <c r="I15" i="4"/>
  <c r="G130" i="8"/>
  <c r="EA7" i="24"/>
  <c r="F130" i="8" s="1"/>
  <c r="G121" i="8"/>
  <c r="CK7" i="24"/>
  <c r="H121" i="4" s="1"/>
  <c r="G15" i="8"/>
  <c r="F15" i="8"/>
  <c r="L7" i="24"/>
  <c r="H15" i="4" s="1"/>
  <c r="H177" i="12"/>
  <c r="H128" i="8" l="1"/>
  <c r="K128" i="8" s="1"/>
  <c r="F121" i="8"/>
  <c r="K7" i="26"/>
  <c r="AB197" i="7"/>
  <c r="J128" i="8" l="1"/>
  <c r="L164" i="4" l="1"/>
  <c r="AB27" i="24" l="1"/>
  <c r="AB26" i="24"/>
  <c r="B40" i="24" l="1"/>
  <c r="C40" i="24"/>
  <c r="D40" i="24"/>
  <c r="E40" i="24"/>
  <c r="F40" i="24"/>
  <c r="G40" i="24"/>
  <c r="H40" i="24"/>
  <c r="I40" i="24"/>
  <c r="J40" i="24"/>
  <c r="L40" i="24"/>
  <c r="M40" i="24"/>
  <c r="N40" i="24"/>
  <c r="O40" i="24"/>
  <c r="P40" i="24"/>
  <c r="Q40" i="24"/>
  <c r="R40" i="24"/>
  <c r="S40" i="24"/>
  <c r="T40" i="24"/>
  <c r="U40" i="24"/>
  <c r="V40" i="24"/>
  <c r="W40" i="24"/>
  <c r="X40" i="24"/>
  <c r="Y40" i="24"/>
  <c r="Z40" i="24"/>
  <c r="AA40" i="24"/>
  <c r="AB40" i="24"/>
  <c r="AC40" i="24"/>
  <c r="AD40" i="24"/>
  <c r="AE40" i="24"/>
  <c r="AF40" i="24"/>
  <c r="AG40" i="24"/>
  <c r="AH40" i="24"/>
  <c r="AI40" i="24"/>
  <c r="AJ40" i="24"/>
  <c r="AK40" i="24"/>
  <c r="AL40" i="24"/>
  <c r="AM40" i="24"/>
  <c r="AN40" i="24"/>
  <c r="AO40" i="24"/>
  <c r="AP40" i="24"/>
  <c r="AQ40" i="24"/>
  <c r="AR40" i="24"/>
  <c r="AS40" i="24"/>
  <c r="AT40" i="24"/>
  <c r="AV40" i="24"/>
  <c r="AW40" i="24"/>
  <c r="AX40" i="24"/>
  <c r="AY40" i="24"/>
  <c r="AZ40" i="24"/>
  <c r="BA40" i="24"/>
  <c r="BB40" i="24"/>
  <c r="BC40" i="24"/>
  <c r="BD40" i="24"/>
  <c r="BE40" i="24"/>
  <c r="BF40" i="24"/>
  <c r="BG40" i="24"/>
  <c r="BH40" i="24"/>
  <c r="BI40" i="24"/>
  <c r="BJ40" i="24"/>
  <c r="BK40" i="24"/>
  <c r="BL40" i="24"/>
  <c r="BN40" i="24"/>
  <c r="BO40" i="24"/>
  <c r="BP40" i="24"/>
  <c r="BQ40" i="24"/>
  <c r="BR40" i="24"/>
  <c r="BS40" i="24"/>
  <c r="BT40" i="24"/>
  <c r="BU40" i="24"/>
  <c r="BV40" i="24"/>
  <c r="BW40" i="24"/>
  <c r="BX40" i="24"/>
  <c r="BY40" i="24"/>
  <c r="BZ40" i="24"/>
  <c r="CA40" i="24"/>
  <c r="CB40" i="24"/>
  <c r="CC40" i="24"/>
  <c r="CD40" i="24"/>
  <c r="CE40" i="24"/>
  <c r="CF40" i="24"/>
  <c r="CG40" i="24"/>
  <c r="CH40" i="24"/>
  <c r="CI40" i="24"/>
  <c r="CJ40" i="24"/>
  <c r="CK40" i="24"/>
  <c r="CL40" i="24"/>
  <c r="CM40" i="24"/>
  <c r="CN40" i="24"/>
  <c r="CO40" i="24"/>
  <c r="CP40" i="24"/>
  <c r="CQ40" i="24"/>
  <c r="CR40" i="24"/>
  <c r="CS40" i="24"/>
  <c r="CT40" i="24"/>
  <c r="CU40" i="24"/>
  <c r="CV40" i="24"/>
  <c r="CW40" i="24"/>
  <c r="CX40" i="24"/>
  <c r="CY40" i="24"/>
  <c r="CZ40" i="24"/>
  <c r="DA40" i="24"/>
  <c r="DB40" i="24"/>
  <c r="DC40" i="24"/>
  <c r="DD40" i="24"/>
  <c r="DD41" i="24" s="1"/>
  <c r="DF40" i="24"/>
  <c r="DG40" i="24"/>
  <c r="DH40" i="24"/>
  <c r="DI40" i="24"/>
  <c r="DJ40" i="24"/>
  <c r="DK40" i="24"/>
  <c r="DL40" i="24"/>
  <c r="DM40" i="24"/>
  <c r="DZ40" i="24"/>
  <c r="EA40" i="24"/>
  <c r="EB40" i="24"/>
  <c r="EC40" i="24"/>
  <c r="ED40" i="24"/>
  <c r="EE40" i="24"/>
  <c r="EF40" i="24"/>
  <c r="EG40" i="24"/>
  <c r="EH40" i="24"/>
  <c r="EI40" i="24"/>
  <c r="EJ40" i="24"/>
  <c r="EK40" i="24"/>
  <c r="EL40" i="24"/>
  <c r="EM40" i="24"/>
  <c r="EN40" i="24"/>
  <c r="EO40" i="24"/>
  <c r="EP40" i="24"/>
  <c r="EQ40" i="24"/>
  <c r="ER40" i="24"/>
  <c r="ES40" i="24"/>
  <c r="ET40" i="24"/>
  <c r="EU40" i="24"/>
  <c r="EV40" i="24"/>
  <c r="EW40" i="24"/>
  <c r="EX40" i="24"/>
  <c r="EY40" i="24"/>
  <c r="EZ40" i="24"/>
  <c r="FA40" i="24"/>
  <c r="FB40" i="24"/>
  <c r="FC40" i="24"/>
  <c r="FD40" i="24"/>
  <c r="FE40" i="24"/>
  <c r="FF40" i="24"/>
  <c r="FG40" i="24"/>
  <c r="FH40" i="24"/>
  <c r="FI40" i="24"/>
  <c r="FJ40" i="24"/>
  <c r="FK40" i="24"/>
  <c r="FL40" i="24"/>
  <c r="FM40" i="24"/>
  <c r="FN40" i="24"/>
  <c r="FO40" i="24"/>
  <c r="FP40" i="24"/>
  <c r="FQ40" i="24"/>
  <c r="FR40" i="24"/>
  <c r="FS40" i="24"/>
  <c r="FT40" i="24"/>
  <c r="FU40" i="24"/>
  <c r="FV40" i="24"/>
  <c r="FW40" i="24"/>
  <c r="FX40" i="24"/>
  <c r="GK40" i="24" l="1"/>
  <c r="C32" i="2"/>
  <c r="GR40" i="24"/>
  <c r="E32" i="2"/>
  <c r="GO40" i="24"/>
  <c r="GN40" i="24"/>
  <c r="GM40" i="24"/>
  <c r="GS40" i="24"/>
  <c r="D32" i="2"/>
  <c r="H32" i="2"/>
  <c r="GU40" i="24"/>
  <c r="GH40" i="24"/>
  <c r="G32" i="2"/>
  <c r="I32" i="2"/>
  <c r="GT40" i="24"/>
  <c r="J32" i="2"/>
  <c r="GL40" i="24"/>
  <c r="K32" i="2"/>
  <c r="GQ40" i="24"/>
  <c r="GP40" i="24"/>
  <c r="GI40" i="24"/>
  <c r="F32" i="2" l="1"/>
  <c r="L32" i="2" s="1"/>
  <c r="GJ40" i="24"/>
  <c r="M58" i="4"/>
  <c r="S32" i="2" l="1"/>
  <c r="O216" i="4"/>
  <c r="FJ30" i="24" l="1"/>
  <c r="FJ29" i="24"/>
  <c r="FJ28" i="24"/>
  <c r="FJ27" i="24"/>
  <c r="FJ26" i="24"/>
  <c r="FJ25" i="24"/>
  <c r="FJ24" i="24"/>
  <c r="FJ23" i="24"/>
  <c r="FI30" i="24"/>
  <c r="FI29" i="24"/>
  <c r="FI28" i="24"/>
  <c r="FI27" i="24"/>
  <c r="FI26" i="24"/>
  <c r="FI25" i="24"/>
  <c r="FI24" i="24"/>
  <c r="FI23" i="24"/>
  <c r="E72" i="8" l="1"/>
  <c r="D72" i="8"/>
  <c r="C72" i="8"/>
  <c r="M72" i="4"/>
  <c r="L72" i="4"/>
  <c r="K72" i="4"/>
  <c r="J72" i="4"/>
  <c r="G72" i="4"/>
  <c r="F72" i="4"/>
  <c r="E72" i="4"/>
  <c r="C72" i="4"/>
  <c r="DM15" i="24"/>
  <c r="DM16" i="24"/>
  <c r="DM17" i="24"/>
  <c r="DM18" i="24"/>
  <c r="DM19" i="24"/>
  <c r="DM20" i="24"/>
  <c r="DM21" i="24"/>
  <c r="DM37" i="16" s="1"/>
  <c r="DM22" i="24"/>
  <c r="DM23" i="24"/>
  <c r="DM24" i="24"/>
  <c r="DM25" i="24"/>
  <c r="DM26" i="24"/>
  <c r="DM27" i="24"/>
  <c r="DM28" i="24"/>
  <c r="DM29" i="24"/>
  <c r="DM30" i="24"/>
  <c r="DM31" i="24"/>
  <c r="DM32" i="24"/>
  <c r="DM34" i="24"/>
  <c r="DM35" i="24"/>
  <c r="DM36" i="24"/>
  <c r="DM37" i="24"/>
  <c r="DM38" i="24"/>
  <c r="DM39" i="24"/>
  <c r="DM41" i="24"/>
  <c r="DM14" i="24"/>
  <c r="DT3" i="1"/>
  <c r="H72" i="8" l="1"/>
  <c r="J72" i="8" s="1"/>
  <c r="D36" i="8"/>
  <c r="K72" i="8" l="1"/>
  <c r="DQ3" i="1"/>
  <c r="FZ19" i="3" l="1"/>
  <c r="DQ27" i="3"/>
  <c r="DQ28" i="3"/>
  <c r="DQ26" i="3" s="1"/>
  <c r="FZ28" i="3"/>
  <c r="GA28" i="3"/>
  <c r="D3" i="1"/>
  <c r="FZ26" i="3" l="1"/>
  <c r="DQ24" i="3"/>
  <c r="DQ25" i="3"/>
  <c r="GA26" i="3"/>
  <c r="GA24" i="3" s="1"/>
  <c r="E3" i="1"/>
  <c r="FZ24" i="3" l="1"/>
  <c r="FZ22" i="3" s="1"/>
  <c r="DQ22" i="3"/>
  <c r="GA22" i="3"/>
  <c r="DQ23" i="3"/>
  <c r="DQ21" i="3" s="1"/>
  <c r="FZ20" i="3" l="1"/>
  <c r="DQ20" i="3"/>
  <c r="GA20" i="3"/>
  <c r="GA19" i="3"/>
  <c r="FZ17" i="3" s="1"/>
  <c r="DQ19" i="3"/>
  <c r="DQ17" i="3" l="1"/>
  <c r="GA17" i="3"/>
  <c r="FZ15" i="3" s="1"/>
  <c r="FZ18" i="3"/>
  <c r="GA18" i="3"/>
  <c r="DQ18" i="3"/>
  <c r="FZ16" i="3" l="1"/>
  <c r="DQ16" i="3"/>
  <c r="GA16" i="3"/>
  <c r="FZ14" i="3" s="1"/>
  <c r="GA15" i="3"/>
  <c r="FZ13" i="3" s="1"/>
  <c r="DQ15" i="3"/>
  <c r="GA29" i="3"/>
  <c r="GB29" i="3" l="1"/>
  <c r="FZ27" i="3"/>
  <c r="GA27" i="3"/>
  <c r="DQ13" i="3"/>
  <c r="GA13" i="3"/>
  <c r="FZ11" i="3" s="1"/>
  <c r="GA14" i="3"/>
  <c r="FZ12" i="3" s="1"/>
  <c r="DQ14" i="3"/>
  <c r="FZ25" i="3" l="1"/>
  <c r="GA25" i="3"/>
  <c r="DQ12" i="3"/>
  <c r="GA12" i="3"/>
  <c r="FZ10" i="3" s="1"/>
  <c r="GA11" i="3"/>
  <c r="FZ9" i="3" s="1"/>
  <c r="DQ11" i="3"/>
  <c r="W197" i="7"/>
  <c r="X197" i="7"/>
  <c r="Y197" i="7"/>
  <c r="AA197" i="7"/>
  <c r="D197" i="7"/>
  <c r="E197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T197" i="7"/>
  <c r="U197" i="7"/>
  <c r="V197" i="7"/>
  <c r="C197" i="7"/>
  <c r="FZ23" i="3" l="1"/>
  <c r="GA23" i="3"/>
  <c r="DQ9" i="3"/>
  <c r="GA9" i="3"/>
  <c r="FZ7" i="3" s="1"/>
  <c r="GA10" i="3"/>
  <c r="FZ8" i="3" s="1"/>
  <c r="DQ10" i="3"/>
  <c r="G112" i="4"/>
  <c r="F14" i="20"/>
  <c r="F13" i="20"/>
  <c r="F12" i="20"/>
  <c r="F10" i="20"/>
  <c r="F9" i="20"/>
  <c r="F8" i="20"/>
  <c r="F6" i="20"/>
  <c r="F5" i="20"/>
  <c r="GH3" i="1"/>
  <c r="AC203" i="7"/>
  <c r="AG204" i="7" s="1"/>
  <c r="F22" i="20" l="1"/>
  <c r="DQ8" i="3"/>
  <c r="GA8" i="3"/>
  <c r="FZ6" i="3" s="1"/>
  <c r="GA7" i="3"/>
  <c r="FZ5" i="3" s="1"/>
  <c r="DQ7" i="3"/>
  <c r="C43" i="4"/>
  <c r="GA6" i="3" l="1"/>
  <c r="FZ4" i="3" s="1"/>
  <c r="DQ6" i="3"/>
  <c r="DQ5" i="3"/>
  <c r="GA5" i="3"/>
  <c r="FZ3" i="3" s="1"/>
  <c r="M148" i="4"/>
  <c r="L148" i="4"/>
  <c r="K148" i="4"/>
  <c r="J148" i="4"/>
  <c r="I148" i="4"/>
  <c r="H148" i="4"/>
  <c r="F148" i="4"/>
  <c r="E148" i="4"/>
  <c r="C148" i="4"/>
  <c r="M147" i="4"/>
  <c r="L147" i="4"/>
  <c r="K147" i="4"/>
  <c r="J147" i="4"/>
  <c r="I147" i="4"/>
  <c r="H147" i="4"/>
  <c r="G147" i="4"/>
  <c r="F147" i="4"/>
  <c r="E147" i="4"/>
  <c r="C147" i="4"/>
  <c r="M146" i="4"/>
  <c r="L146" i="4"/>
  <c r="K146" i="4"/>
  <c r="J146" i="4"/>
  <c r="I146" i="4"/>
  <c r="G146" i="4"/>
  <c r="F146" i="4"/>
  <c r="E146" i="4"/>
  <c r="C146" i="4"/>
  <c r="I148" i="8"/>
  <c r="E148" i="8"/>
  <c r="D148" i="8"/>
  <c r="C148" i="8"/>
  <c r="I147" i="8"/>
  <c r="G147" i="8"/>
  <c r="F147" i="8"/>
  <c r="E147" i="8"/>
  <c r="D147" i="8"/>
  <c r="C147" i="8"/>
  <c r="I146" i="8"/>
  <c r="G146" i="8"/>
  <c r="E146" i="8"/>
  <c r="D146" i="8"/>
  <c r="C146" i="8"/>
  <c r="I140" i="8"/>
  <c r="G140" i="8"/>
  <c r="F140" i="8"/>
  <c r="E140" i="8"/>
  <c r="D140" i="8"/>
  <c r="C140" i="8"/>
  <c r="FX15" i="24"/>
  <c r="FX16" i="24"/>
  <c r="FX17" i="24"/>
  <c r="FX18" i="24"/>
  <c r="FX19" i="24"/>
  <c r="FX20" i="24"/>
  <c r="FX21" i="24"/>
  <c r="FX37" i="16" s="1"/>
  <c r="FX22" i="24"/>
  <c r="FX23" i="24"/>
  <c r="FX24" i="24"/>
  <c r="FX25" i="24"/>
  <c r="FX26" i="24"/>
  <c r="FX27" i="24"/>
  <c r="FX28" i="24"/>
  <c r="FX29" i="24"/>
  <c r="FX30" i="24"/>
  <c r="FX31" i="24"/>
  <c r="FX32" i="24"/>
  <c r="FX33" i="24"/>
  <c r="FX34" i="24"/>
  <c r="FX35" i="24"/>
  <c r="FX36" i="24"/>
  <c r="FX37" i="24"/>
  <c r="FX38" i="24"/>
  <c r="FX39" i="24"/>
  <c r="FX41" i="24"/>
  <c r="FX14" i="24"/>
  <c r="FB3" i="1"/>
  <c r="N146" i="4" l="1"/>
  <c r="N151" i="4" s="1"/>
  <c r="H147" i="8"/>
  <c r="K147" i="8" s="1"/>
  <c r="H148" i="8"/>
  <c r="GA3" i="3"/>
  <c r="DQ3" i="3"/>
  <c r="DQ4" i="3"/>
  <c r="GA4" i="3"/>
  <c r="H146" i="8"/>
  <c r="K146" i="8" s="1"/>
  <c r="J147" i="8" l="1"/>
  <c r="J148" i="8"/>
  <c r="K148" i="8"/>
  <c r="J146" i="8"/>
  <c r="EZ20" i="24"/>
  <c r="EZ19" i="24"/>
  <c r="EZ18" i="24"/>
  <c r="EZ17" i="24"/>
  <c r="EZ16" i="24"/>
  <c r="EZ15" i="24"/>
  <c r="EZ14" i="24"/>
  <c r="FA20" i="24"/>
  <c r="FA19" i="24"/>
  <c r="FA18" i="24"/>
  <c r="FA17" i="24"/>
  <c r="FA16" i="24"/>
  <c r="FA15" i="24"/>
  <c r="FA14" i="24"/>
  <c r="J9" i="13" l="1"/>
  <c r="J20" i="13"/>
  <c r="J19" i="13"/>
  <c r="J18" i="13"/>
  <c r="J17" i="13"/>
  <c r="J16" i="13"/>
  <c r="J15" i="13"/>
  <c r="J14" i="13"/>
  <c r="J13" i="13"/>
  <c r="J12" i="13"/>
  <c r="J11" i="13"/>
  <c r="J10" i="13"/>
  <c r="I132" i="8"/>
  <c r="DL15" i="24" l="1"/>
  <c r="DL16" i="24"/>
  <c r="DL17" i="24"/>
  <c r="DL18" i="24"/>
  <c r="DL19" i="24"/>
  <c r="DL20" i="24"/>
  <c r="DL21" i="24"/>
  <c r="DL37" i="16" s="1"/>
  <c r="DL22" i="24"/>
  <c r="DL23" i="24"/>
  <c r="DL24" i="24"/>
  <c r="DL25" i="24"/>
  <c r="DL26" i="24"/>
  <c r="DL27" i="24"/>
  <c r="DL28" i="24"/>
  <c r="DL29" i="24"/>
  <c r="DL30" i="24"/>
  <c r="DL31" i="24"/>
  <c r="DL32" i="24"/>
  <c r="DL33" i="24"/>
  <c r="DL34" i="24"/>
  <c r="DL35" i="24"/>
  <c r="DL36" i="24"/>
  <c r="DL37" i="24"/>
  <c r="DL38" i="24"/>
  <c r="DL39" i="24"/>
  <c r="DL41" i="24"/>
  <c r="DL14" i="24"/>
  <c r="CB3" i="1"/>
  <c r="EB3" i="1" l="1"/>
  <c r="EC3" i="1"/>
  <c r="ED3" i="1"/>
  <c r="EG3" i="1"/>
  <c r="EH3" i="1"/>
  <c r="EI3" i="1"/>
  <c r="EJ3" i="1"/>
  <c r="EP3" i="1"/>
  <c r="EQ3" i="1"/>
  <c r="ER3" i="1"/>
  <c r="ES3" i="1"/>
  <c r="ET3" i="1"/>
  <c r="EU3" i="1"/>
  <c r="EV3" i="1"/>
  <c r="EW3" i="1"/>
  <c r="EX3" i="1"/>
  <c r="EY3" i="1"/>
  <c r="FA3" i="1"/>
  <c r="FD3" i="1"/>
  <c r="FE3" i="1"/>
  <c r="FF3" i="1"/>
  <c r="FG3" i="1"/>
  <c r="FH3" i="1"/>
  <c r="FI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I3" i="1"/>
  <c r="D180" i="8" l="1"/>
  <c r="G97" i="8"/>
  <c r="F97" i="8"/>
  <c r="I97" i="4"/>
  <c r="H97" i="4"/>
  <c r="D52" i="17"/>
  <c r="D4" i="17"/>
  <c r="AL22" i="24" l="1"/>
  <c r="F97" i="4" l="1"/>
  <c r="E97" i="4"/>
  <c r="C97" i="4"/>
  <c r="G105" i="4"/>
  <c r="I97" i="8"/>
  <c r="E97" i="8"/>
  <c r="D97" i="8"/>
  <c r="C97" i="8"/>
  <c r="M97" i="4"/>
  <c r="L97" i="4"/>
  <c r="K97" i="4"/>
  <c r="J97" i="4"/>
  <c r="G97" i="4"/>
  <c r="DK41" i="24"/>
  <c r="DK39" i="24"/>
  <c r="DK38" i="24"/>
  <c r="DK37" i="24"/>
  <c r="DK36" i="24"/>
  <c r="DK35" i="24"/>
  <c r="DK34" i="24"/>
  <c r="DK33" i="24"/>
  <c r="DK32" i="24"/>
  <c r="DK31" i="24"/>
  <c r="DK30" i="24"/>
  <c r="DK29" i="24"/>
  <c r="DK28" i="24"/>
  <c r="DK27" i="24"/>
  <c r="DK26" i="24"/>
  <c r="DK25" i="24"/>
  <c r="DK24" i="24"/>
  <c r="DK23" i="24"/>
  <c r="DK22" i="24"/>
  <c r="DK21" i="24"/>
  <c r="DK37" i="16" s="1"/>
  <c r="DK20" i="24"/>
  <c r="DK19" i="24"/>
  <c r="DK18" i="24"/>
  <c r="DK17" i="24"/>
  <c r="DK16" i="24"/>
  <c r="DK15" i="24"/>
  <c r="DK14" i="24"/>
  <c r="CA3" i="1"/>
  <c r="H97" i="8" l="1"/>
  <c r="J97" i="8" s="1"/>
  <c r="K97" i="8" l="1"/>
  <c r="M170" i="4" l="1"/>
  <c r="O170" i="4" s="1"/>
  <c r="L170" i="4"/>
  <c r="K170" i="4"/>
  <c r="J170" i="4"/>
  <c r="G170" i="4"/>
  <c r="F170" i="4"/>
  <c r="E170" i="4"/>
  <c r="C170" i="4"/>
  <c r="FW41" i="24" l="1"/>
  <c r="FW39" i="24"/>
  <c r="FW38" i="24"/>
  <c r="FW37" i="24"/>
  <c r="FW36" i="24"/>
  <c r="FW35" i="24"/>
  <c r="FW34" i="24"/>
  <c r="FW33" i="24"/>
  <c r="FW32" i="24"/>
  <c r="FW31" i="24"/>
  <c r="FW30" i="24"/>
  <c r="FW29" i="24"/>
  <c r="FW28" i="24"/>
  <c r="FW27" i="24"/>
  <c r="FW26" i="24"/>
  <c r="FW25" i="24"/>
  <c r="FW24" i="24"/>
  <c r="FW23" i="24"/>
  <c r="FW22" i="24"/>
  <c r="FW21" i="24"/>
  <c r="FW37" i="16" s="1"/>
  <c r="FW20" i="24"/>
  <c r="FW19" i="24"/>
  <c r="FW18" i="24"/>
  <c r="FW17" i="24"/>
  <c r="FW16" i="24"/>
  <c r="FW15" i="24"/>
  <c r="FW14" i="24"/>
  <c r="F4" i="20"/>
  <c r="C44" i="4" l="1"/>
  <c r="C52" i="4"/>
  <c r="G28" i="4" l="1"/>
  <c r="F3" i="1" l="1"/>
  <c r="C179" i="4"/>
  <c r="B3" i="1" l="1"/>
  <c r="C3" i="1"/>
  <c r="G3" i="1"/>
  <c r="H3" i="1"/>
  <c r="I3" i="1"/>
  <c r="K3" i="1"/>
  <c r="L3" i="1"/>
  <c r="M3" i="1"/>
  <c r="N3" i="1"/>
  <c r="O3" i="1"/>
  <c r="P3" i="1"/>
  <c r="Q3" i="1"/>
  <c r="R3" i="1"/>
  <c r="S3" i="1"/>
  <c r="T3" i="1"/>
  <c r="U3" i="1"/>
  <c r="V3" i="1"/>
  <c r="X3" i="1"/>
  <c r="Y3" i="1"/>
  <c r="Z3" i="1"/>
  <c r="AB3" i="1"/>
  <c r="AD3" i="1"/>
  <c r="AE3" i="1"/>
  <c r="AF3" i="1"/>
  <c r="AG3" i="1"/>
  <c r="AH3" i="1"/>
  <c r="AI3" i="1"/>
  <c r="AJ3" i="1"/>
  <c r="AL3" i="1"/>
  <c r="AM3" i="1"/>
  <c r="AN3" i="1"/>
  <c r="AO3" i="1"/>
  <c r="AP3" i="1"/>
  <c r="AQ3" i="1"/>
  <c r="AR3" i="1"/>
  <c r="AS3" i="1"/>
  <c r="AU3" i="1"/>
  <c r="AV3" i="1"/>
  <c r="AW3" i="1"/>
  <c r="AX3" i="1"/>
  <c r="AY3" i="1"/>
  <c r="BA3" i="1"/>
  <c r="BB3" i="1"/>
  <c r="BC3" i="1"/>
  <c r="BD3" i="1"/>
  <c r="BE3" i="1"/>
  <c r="BF3" i="1"/>
  <c r="BG3" i="1"/>
  <c r="BH3" i="1"/>
  <c r="BI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R3" i="1"/>
  <c r="CT3" i="1"/>
  <c r="CU3" i="1"/>
  <c r="CV3" i="1"/>
  <c r="CW3" i="1"/>
  <c r="CX3" i="1"/>
  <c r="CY3" i="1"/>
  <c r="CZ3" i="1"/>
  <c r="DA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R3" i="1"/>
  <c r="DS3" i="1"/>
  <c r="F11" i="10" l="1"/>
  <c r="E71" i="8" l="1"/>
  <c r="D71" i="8"/>
  <c r="C71" i="8"/>
  <c r="M71" i="4"/>
  <c r="L71" i="4"/>
  <c r="K71" i="4"/>
  <c r="J71" i="4"/>
  <c r="I71" i="4"/>
  <c r="N71" i="4" s="1"/>
  <c r="H71" i="4"/>
  <c r="G71" i="4"/>
  <c r="F71" i="4"/>
  <c r="E71" i="4"/>
  <c r="C71" i="4"/>
  <c r="DJ41" i="24"/>
  <c r="DJ39" i="24"/>
  <c r="DJ38" i="24"/>
  <c r="DJ37" i="24"/>
  <c r="DJ36" i="24"/>
  <c r="DJ35" i="24"/>
  <c r="DJ34" i="24"/>
  <c r="DJ33" i="24"/>
  <c r="DJ32" i="24"/>
  <c r="DJ31" i="24"/>
  <c r="DJ30" i="24"/>
  <c r="DJ29" i="24"/>
  <c r="DJ28" i="24"/>
  <c r="DJ27" i="24"/>
  <c r="DJ26" i="24"/>
  <c r="DJ25" i="24"/>
  <c r="DJ24" i="24"/>
  <c r="DJ23" i="24"/>
  <c r="DJ22" i="24"/>
  <c r="DJ21" i="24"/>
  <c r="DJ37" i="16" s="1"/>
  <c r="DJ20" i="24"/>
  <c r="DJ19" i="24"/>
  <c r="DJ18" i="24"/>
  <c r="DJ17" i="24"/>
  <c r="DJ16" i="24"/>
  <c r="DJ15" i="24"/>
  <c r="DJ14" i="24"/>
  <c r="H71" i="8" l="1"/>
  <c r="J71" i="8" s="1"/>
  <c r="E70" i="8"/>
  <c r="D70" i="8"/>
  <c r="C70" i="8"/>
  <c r="M70" i="4"/>
  <c r="L70" i="4"/>
  <c r="K70" i="4"/>
  <c r="J70" i="4"/>
  <c r="I70" i="4"/>
  <c r="O70" i="4" s="1"/>
  <c r="H70" i="4"/>
  <c r="G70" i="4"/>
  <c r="F70" i="4"/>
  <c r="E70" i="4"/>
  <c r="C70" i="4"/>
  <c r="DI15" i="24"/>
  <c r="DI16" i="24"/>
  <c r="DI17" i="24"/>
  <c r="DI18" i="24"/>
  <c r="DI19" i="24"/>
  <c r="DI20" i="24"/>
  <c r="DI21" i="24"/>
  <c r="DI37" i="16" s="1"/>
  <c r="DI22" i="24"/>
  <c r="DI23" i="24"/>
  <c r="DI24" i="24"/>
  <c r="DI25" i="24"/>
  <c r="DI26" i="24"/>
  <c r="DI27" i="24"/>
  <c r="DI28" i="24"/>
  <c r="DI29" i="24"/>
  <c r="DI30" i="24"/>
  <c r="DI31" i="24"/>
  <c r="DI32" i="24"/>
  <c r="DI33" i="24"/>
  <c r="DI34" i="24"/>
  <c r="DI35" i="24"/>
  <c r="DI36" i="24"/>
  <c r="DI37" i="24"/>
  <c r="DI38" i="24"/>
  <c r="DI39" i="24"/>
  <c r="DI14" i="24"/>
  <c r="K71" i="8" l="1"/>
  <c r="H70" i="8"/>
  <c r="J70" i="8" s="1"/>
  <c r="DI41" i="24"/>
  <c r="J162" i="4"/>
  <c r="K70" i="8" l="1"/>
  <c r="I180" i="8"/>
  <c r="G180" i="8"/>
  <c r="F180" i="8"/>
  <c r="E180" i="8"/>
  <c r="C180" i="8"/>
  <c r="I179" i="8"/>
  <c r="G179" i="8"/>
  <c r="F179" i="8"/>
  <c r="E179" i="8"/>
  <c r="D179" i="8"/>
  <c r="C179" i="8"/>
  <c r="E179" i="4"/>
  <c r="F179" i="4"/>
  <c r="G179" i="4"/>
  <c r="J179" i="4"/>
  <c r="K179" i="4"/>
  <c r="L179" i="4"/>
  <c r="M179" i="4"/>
  <c r="O179" i="4" s="1"/>
  <c r="C180" i="4"/>
  <c r="E180" i="4"/>
  <c r="F180" i="4"/>
  <c r="G180" i="4"/>
  <c r="H180" i="4"/>
  <c r="I180" i="4"/>
  <c r="J180" i="4"/>
  <c r="K180" i="4"/>
  <c r="L180" i="4"/>
  <c r="M180" i="4"/>
  <c r="H180" i="8" s="1"/>
  <c r="C177" i="13"/>
  <c r="E177" i="13"/>
  <c r="F177" i="13"/>
  <c r="G177" i="13"/>
  <c r="H177" i="13"/>
  <c r="I177" i="13"/>
  <c r="J177" i="13"/>
  <c r="C178" i="13"/>
  <c r="E178" i="13"/>
  <c r="F178" i="13"/>
  <c r="G178" i="13"/>
  <c r="H178" i="13"/>
  <c r="I178" i="13"/>
  <c r="J178" i="13"/>
  <c r="C179" i="13"/>
  <c r="E179" i="13"/>
  <c r="F179" i="13"/>
  <c r="G179" i="13"/>
  <c r="H179" i="13"/>
  <c r="I179" i="13"/>
  <c r="J179" i="13"/>
  <c r="C180" i="13"/>
  <c r="E180" i="13"/>
  <c r="F180" i="13"/>
  <c r="G180" i="13"/>
  <c r="H180" i="13"/>
  <c r="I180" i="13"/>
  <c r="J180" i="13"/>
  <c r="FV41" i="24"/>
  <c r="FV39" i="24"/>
  <c r="FV38" i="24"/>
  <c r="FV37" i="24"/>
  <c r="FV36" i="24"/>
  <c r="FV35" i="24"/>
  <c r="FV34" i="24"/>
  <c r="FV33" i="24"/>
  <c r="FV32" i="24"/>
  <c r="FV31" i="24"/>
  <c r="FV30" i="24"/>
  <c r="FV29" i="24"/>
  <c r="FV28" i="24"/>
  <c r="FV27" i="24"/>
  <c r="FV26" i="24"/>
  <c r="FV25" i="24"/>
  <c r="FV24" i="24"/>
  <c r="FV23" i="24"/>
  <c r="FV22" i="24"/>
  <c r="FV21" i="24"/>
  <c r="FV37" i="16" s="1"/>
  <c r="FV20" i="24"/>
  <c r="FV19" i="24"/>
  <c r="FV18" i="24"/>
  <c r="FV17" i="24"/>
  <c r="FV16" i="24"/>
  <c r="FV15" i="24"/>
  <c r="FV14" i="24"/>
  <c r="H179" i="8" l="1"/>
  <c r="K179" i="8" s="1"/>
  <c r="K180" i="8"/>
  <c r="J180" i="8"/>
  <c r="J179" i="8" l="1"/>
  <c r="C102" i="4"/>
  <c r="C162" i="4"/>
  <c r="H161" i="13" l="1"/>
  <c r="I161" i="8"/>
  <c r="H162" i="13"/>
  <c r="I162" i="8"/>
  <c r="M162" i="4"/>
  <c r="L162" i="4"/>
  <c r="K162" i="4"/>
  <c r="FU15" i="24"/>
  <c r="FU16" i="24"/>
  <c r="FU17" i="24"/>
  <c r="FU18" i="24"/>
  <c r="FU19" i="24"/>
  <c r="FU20" i="24"/>
  <c r="FU21" i="24"/>
  <c r="FU37" i="16" s="1"/>
  <c r="FU22" i="24"/>
  <c r="FU23" i="24"/>
  <c r="FU24" i="24"/>
  <c r="FU25" i="24"/>
  <c r="FU26" i="24"/>
  <c r="FU27" i="24"/>
  <c r="FU28" i="24"/>
  <c r="FU29" i="24"/>
  <c r="FU30" i="24"/>
  <c r="FU31" i="24"/>
  <c r="FU32" i="24"/>
  <c r="FU33" i="24"/>
  <c r="FU34" i="24"/>
  <c r="FU35" i="24"/>
  <c r="FU36" i="24"/>
  <c r="FU37" i="24"/>
  <c r="FU38" i="24"/>
  <c r="FU39" i="24"/>
  <c r="FU41" i="24"/>
  <c r="FU14" i="24"/>
  <c r="E4" i="20"/>
  <c r="B216" i="13" l="1"/>
  <c r="G68" i="4" l="1"/>
  <c r="B22" i="9"/>
  <c r="B21" i="9"/>
  <c r="B20" i="9"/>
  <c r="B19" i="9"/>
  <c r="B18" i="9"/>
  <c r="B17" i="9"/>
  <c r="B15" i="9"/>
  <c r="FT15" i="24" l="1"/>
  <c r="FT16" i="24"/>
  <c r="FT17" i="24"/>
  <c r="FT18" i="24"/>
  <c r="FT19" i="24"/>
  <c r="FT20" i="24"/>
  <c r="FT21" i="24"/>
  <c r="FT37" i="16" s="1"/>
  <c r="FT22" i="24"/>
  <c r="FT23" i="24"/>
  <c r="FT24" i="24"/>
  <c r="FT25" i="24"/>
  <c r="FT26" i="24"/>
  <c r="FT27" i="24"/>
  <c r="FT28" i="24"/>
  <c r="FT29" i="24"/>
  <c r="FT30" i="24"/>
  <c r="FT31" i="24"/>
  <c r="FT32" i="24"/>
  <c r="FT33" i="24"/>
  <c r="FT34" i="24"/>
  <c r="FT35" i="24"/>
  <c r="FT36" i="24"/>
  <c r="FT37" i="24"/>
  <c r="FT38" i="24"/>
  <c r="FT39" i="24"/>
  <c r="FT41" i="24"/>
  <c r="FT14" i="24"/>
  <c r="C68" i="4" l="1"/>
  <c r="M69" i="4"/>
  <c r="L69" i="4"/>
  <c r="K69" i="4"/>
  <c r="J69" i="4"/>
  <c r="I69" i="4"/>
  <c r="H69" i="4"/>
  <c r="G69" i="4"/>
  <c r="F69" i="4"/>
  <c r="E69" i="4"/>
  <c r="C69" i="4"/>
  <c r="M68" i="4"/>
  <c r="H68" i="8" s="1"/>
  <c r="J68" i="8" s="1"/>
  <c r="L68" i="4"/>
  <c r="K68" i="4"/>
  <c r="J68" i="4"/>
  <c r="I68" i="4"/>
  <c r="H68" i="4"/>
  <c r="F68" i="4"/>
  <c r="E68" i="4"/>
  <c r="N69" i="4" l="1"/>
  <c r="H69" i="8"/>
  <c r="J69" i="8" s="1"/>
  <c r="J69" i="13"/>
  <c r="I69" i="13"/>
  <c r="H69" i="13"/>
  <c r="G69" i="13"/>
  <c r="F69" i="13"/>
  <c r="E69" i="13"/>
  <c r="C69" i="13"/>
  <c r="E69" i="8"/>
  <c r="D69" i="8"/>
  <c r="C69" i="8"/>
  <c r="DH41" i="24"/>
  <c r="DH39" i="24"/>
  <c r="DH38" i="24"/>
  <c r="DH37" i="24"/>
  <c r="DH35" i="24"/>
  <c r="DH34" i="24"/>
  <c r="DH33" i="24"/>
  <c r="DH32" i="24"/>
  <c r="DH30" i="24"/>
  <c r="DH29" i="24"/>
  <c r="DH28" i="24"/>
  <c r="DH26" i="24"/>
  <c r="DH25" i="24"/>
  <c r="DH24" i="24"/>
  <c r="DH23" i="24"/>
  <c r="DH21" i="24"/>
  <c r="DH37" i="16" s="1"/>
  <c r="C65" i="4"/>
  <c r="C66" i="4"/>
  <c r="J68" i="13"/>
  <c r="I68" i="13"/>
  <c r="H68" i="13"/>
  <c r="G68" i="13"/>
  <c r="F68" i="13"/>
  <c r="E68" i="13"/>
  <c r="C68" i="13"/>
  <c r="E68" i="8"/>
  <c r="D68" i="8"/>
  <c r="C68" i="8"/>
  <c r="DG15" i="24"/>
  <c r="DG16" i="24"/>
  <c r="DG17" i="24"/>
  <c r="DG18" i="24"/>
  <c r="DG19" i="24"/>
  <c r="DG20" i="24"/>
  <c r="DG21" i="24"/>
  <c r="DG37" i="16" s="1"/>
  <c r="DG22" i="24"/>
  <c r="DG23" i="24"/>
  <c r="DG24" i="24"/>
  <c r="DG25" i="24"/>
  <c r="DG26" i="24"/>
  <c r="DG27" i="24"/>
  <c r="DG28" i="24"/>
  <c r="DG29" i="24"/>
  <c r="DG30" i="24"/>
  <c r="DG31" i="24"/>
  <c r="DG32" i="24"/>
  <c r="DG33" i="24"/>
  <c r="DG34" i="24"/>
  <c r="DG35" i="24"/>
  <c r="DG36" i="24"/>
  <c r="DG37" i="24"/>
  <c r="DG38" i="24"/>
  <c r="DG39" i="24"/>
  <c r="DG41" i="24"/>
  <c r="DG14" i="24"/>
  <c r="K69" i="8" l="1"/>
  <c r="K68" i="8"/>
  <c r="J60" i="13" l="1"/>
  <c r="I60" i="13"/>
  <c r="H60" i="13"/>
  <c r="G60" i="13"/>
  <c r="F60" i="13"/>
  <c r="E60" i="13"/>
  <c r="C60" i="13"/>
  <c r="I60" i="8"/>
  <c r="G60" i="8"/>
  <c r="F60" i="8"/>
  <c r="E60" i="8"/>
  <c r="D60" i="8"/>
  <c r="C60" i="8"/>
  <c r="M60" i="4"/>
  <c r="L60" i="4"/>
  <c r="K60" i="4"/>
  <c r="J60" i="4"/>
  <c r="I60" i="4"/>
  <c r="H60" i="4"/>
  <c r="G60" i="4"/>
  <c r="F60" i="4"/>
  <c r="E60" i="4"/>
  <c r="C60" i="4"/>
  <c r="I46" i="8"/>
  <c r="DF41" i="24"/>
  <c r="DF39" i="24"/>
  <c r="DF38" i="24"/>
  <c r="DF37" i="24"/>
  <c r="DF36" i="24"/>
  <c r="DF35" i="24"/>
  <c r="DF34" i="24"/>
  <c r="DF33" i="24"/>
  <c r="DF32" i="24"/>
  <c r="DF30" i="24"/>
  <c r="DF29" i="24"/>
  <c r="DF28" i="24"/>
  <c r="DF27" i="24"/>
  <c r="DF26" i="24"/>
  <c r="DF25" i="24"/>
  <c r="DF24" i="24"/>
  <c r="DF23" i="24"/>
  <c r="DF22" i="24"/>
  <c r="DF21" i="24"/>
  <c r="DF37" i="16" s="1"/>
  <c r="DF20" i="24"/>
  <c r="DF19" i="24"/>
  <c r="DF18" i="24"/>
  <c r="DF17" i="24"/>
  <c r="DF16" i="24"/>
  <c r="DF15" i="24"/>
  <c r="DF14" i="24"/>
  <c r="H60" i="8" l="1"/>
  <c r="J60" i="8" s="1"/>
  <c r="N14" i="24"/>
  <c r="K60" i="8" l="1"/>
  <c r="I82" i="4" l="1"/>
  <c r="C6" i="8" l="1"/>
  <c r="GV29" i="24" l="1"/>
  <c r="G46" i="8"/>
  <c r="F46" i="8"/>
  <c r="E46" i="8"/>
  <c r="D46" i="8"/>
  <c r="C46" i="8"/>
  <c r="DE15" i="24"/>
  <c r="DE16" i="24"/>
  <c r="DE17" i="24"/>
  <c r="DE18" i="24"/>
  <c r="DE19" i="24"/>
  <c r="DE20" i="24"/>
  <c r="DE21" i="24"/>
  <c r="DE37" i="16" s="1"/>
  <c r="DE22" i="24"/>
  <c r="DE23" i="24"/>
  <c r="DE24" i="24"/>
  <c r="DE25" i="24"/>
  <c r="DE26" i="24"/>
  <c r="DE29" i="24"/>
  <c r="DE30" i="24"/>
  <c r="DE31" i="24"/>
  <c r="DE32" i="24"/>
  <c r="DE33" i="24"/>
  <c r="DE34" i="24"/>
  <c r="DE35" i="24"/>
  <c r="DE36" i="24"/>
  <c r="DE37" i="24"/>
  <c r="DE38" i="24"/>
  <c r="DE39" i="24"/>
  <c r="DE14" i="24"/>
  <c r="H46" i="8" l="1"/>
  <c r="K46" i="8" s="1"/>
  <c r="J46" i="8" l="1"/>
  <c r="J30" i="13"/>
  <c r="C126" i="4"/>
  <c r="C85" i="13" l="1"/>
  <c r="C27" i="13"/>
  <c r="M140" i="4" l="1"/>
  <c r="L140" i="4"/>
  <c r="K140" i="4"/>
  <c r="J140" i="4"/>
  <c r="I140" i="4"/>
  <c r="H140" i="4"/>
  <c r="G140" i="4"/>
  <c r="E140" i="4"/>
  <c r="C140" i="4"/>
  <c r="FS41" i="24"/>
  <c r="FS39" i="24"/>
  <c r="FS38" i="24"/>
  <c r="FS37" i="24"/>
  <c r="FS36" i="24"/>
  <c r="FS35" i="24"/>
  <c r="FS34" i="24"/>
  <c r="FS33" i="24"/>
  <c r="FS32" i="24"/>
  <c r="FS31" i="24"/>
  <c r="FS30" i="24"/>
  <c r="FS29" i="24"/>
  <c r="FS28" i="24"/>
  <c r="FS27" i="24"/>
  <c r="FS26" i="24"/>
  <c r="FS25" i="24"/>
  <c r="FS24" i="24"/>
  <c r="FS23" i="24"/>
  <c r="FS22" i="24"/>
  <c r="FS21" i="24"/>
  <c r="FS37" i="16" s="1"/>
  <c r="FS20" i="24"/>
  <c r="FS19" i="24"/>
  <c r="FS18" i="24"/>
  <c r="FS17" i="24"/>
  <c r="FS16" i="24"/>
  <c r="FS15" i="24"/>
  <c r="FS14" i="24"/>
  <c r="H140" i="8" l="1"/>
  <c r="J140" i="8" s="1"/>
  <c r="G169" i="4"/>
  <c r="K140" i="8" l="1"/>
  <c r="F33" i="10"/>
  <c r="F32" i="10"/>
  <c r="F34" i="10"/>
  <c r="F31" i="10"/>
  <c r="F30" i="10"/>
  <c r="F27" i="10"/>
  <c r="F20" i="10"/>
  <c r="F10" i="10"/>
  <c r="F14" i="10"/>
  <c r="F13" i="10"/>
  <c r="F12" i="10"/>
  <c r="E21" i="8" l="1"/>
  <c r="F45" i="10" l="1"/>
  <c r="F44" i="10"/>
  <c r="F43" i="10"/>
  <c r="F42" i="10"/>
  <c r="F41" i="10"/>
  <c r="F40" i="10"/>
  <c r="F36" i="10"/>
  <c r="F35" i="10"/>
  <c r="F29" i="10"/>
  <c r="F26" i="10"/>
  <c r="F24" i="10"/>
  <c r="F21" i="10"/>
  <c r="F19" i="10"/>
  <c r="F18" i="10"/>
  <c r="F15" i="10"/>
  <c r="C46" i="10" l="1"/>
  <c r="M16" i="4" l="1"/>
  <c r="DD28" i="24" l="1"/>
  <c r="AM41" i="24"/>
  <c r="AM31" i="24"/>
  <c r="C165" i="8"/>
  <c r="D165" i="8"/>
  <c r="E165" i="8"/>
  <c r="F165" i="8"/>
  <c r="G165" i="8"/>
  <c r="I165" i="8"/>
  <c r="C166" i="8"/>
  <c r="D166" i="8"/>
  <c r="E166" i="8"/>
  <c r="F166" i="8"/>
  <c r="G166" i="8"/>
  <c r="I166" i="8"/>
  <c r="C167" i="8"/>
  <c r="D167" i="8"/>
  <c r="E167" i="8"/>
  <c r="F167" i="8"/>
  <c r="G167" i="8"/>
  <c r="I167" i="8"/>
  <c r="C168" i="8"/>
  <c r="D168" i="8"/>
  <c r="E168" i="8"/>
  <c r="F168" i="8"/>
  <c r="G168" i="8"/>
  <c r="I168" i="8"/>
  <c r="C169" i="8"/>
  <c r="D169" i="8"/>
  <c r="E169" i="8"/>
  <c r="F169" i="8"/>
  <c r="G169" i="8"/>
  <c r="I169" i="8"/>
  <c r="I170" i="8"/>
  <c r="E170" i="8"/>
  <c r="D170" i="8"/>
  <c r="C170" i="8"/>
  <c r="I107" i="8"/>
  <c r="G107" i="8"/>
  <c r="F107" i="8"/>
  <c r="E107" i="8"/>
  <c r="D107" i="8"/>
  <c r="C107" i="8"/>
  <c r="I106" i="8"/>
  <c r="G106" i="8"/>
  <c r="F106" i="8"/>
  <c r="E106" i="8"/>
  <c r="D106" i="8"/>
  <c r="C106" i="8"/>
  <c r="H170" i="8"/>
  <c r="FR41" i="24"/>
  <c r="FR39" i="24"/>
  <c r="FR38" i="24"/>
  <c r="FR37" i="24"/>
  <c r="FR36" i="24"/>
  <c r="FR35" i="24"/>
  <c r="FR34" i="24"/>
  <c r="FR33" i="24"/>
  <c r="FR32" i="24"/>
  <c r="FR31" i="24"/>
  <c r="FR30" i="24"/>
  <c r="FR29" i="24"/>
  <c r="FR28" i="24"/>
  <c r="FR27" i="24"/>
  <c r="FR26" i="24"/>
  <c r="FR25" i="24"/>
  <c r="FR24" i="24"/>
  <c r="FR23" i="24"/>
  <c r="FR22" i="24"/>
  <c r="FR21" i="24"/>
  <c r="FR37" i="16" s="1"/>
  <c r="FR20" i="24"/>
  <c r="FR19" i="24"/>
  <c r="FR18" i="24"/>
  <c r="FR17" i="24"/>
  <c r="FR16" i="24"/>
  <c r="FR15" i="24"/>
  <c r="FR14" i="24"/>
  <c r="M107" i="4"/>
  <c r="L107" i="4"/>
  <c r="K107" i="4"/>
  <c r="J107" i="4"/>
  <c r="I107" i="4"/>
  <c r="H107" i="4"/>
  <c r="G107" i="4"/>
  <c r="F107" i="4"/>
  <c r="E107" i="4"/>
  <c r="C107" i="4"/>
  <c r="DD39" i="24"/>
  <c r="DD38" i="24"/>
  <c r="DD37" i="24"/>
  <c r="DD36" i="24"/>
  <c r="DD35" i="24"/>
  <c r="DD34" i="24"/>
  <c r="DD33" i="24"/>
  <c r="DD32" i="24"/>
  <c r="DD31" i="24"/>
  <c r="DD30" i="24"/>
  <c r="DD29" i="24"/>
  <c r="DD27" i="24"/>
  <c r="DD26" i="24"/>
  <c r="DD25" i="24"/>
  <c r="DD24" i="24"/>
  <c r="DD23" i="24"/>
  <c r="DD22" i="24"/>
  <c r="DD21" i="24"/>
  <c r="DD37" i="16" s="1"/>
  <c r="DD20" i="24"/>
  <c r="DD19" i="24"/>
  <c r="DD18" i="24"/>
  <c r="DD17" i="24"/>
  <c r="DD16" i="24"/>
  <c r="DD15" i="24"/>
  <c r="DD14" i="24"/>
  <c r="O107" i="4" l="1"/>
  <c r="H107" i="8"/>
  <c r="K107" i="8" s="1"/>
  <c r="K170" i="8"/>
  <c r="J170" i="8"/>
  <c r="J107" i="8" l="1"/>
  <c r="H169" i="8" l="1"/>
  <c r="K169" i="8" s="1"/>
  <c r="K169" i="4"/>
  <c r="J169" i="4"/>
  <c r="I169" i="4"/>
  <c r="N169" i="4" s="1"/>
  <c r="H169" i="4"/>
  <c r="F169" i="4"/>
  <c r="E169" i="4"/>
  <c r="C169" i="4"/>
  <c r="FQ15" i="24"/>
  <c r="FQ16" i="24"/>
  <c r="FQ17" i="24"/>
  <c r="FQ18" i="24"/>
  <c r="FQ19" i="24"/>
  <c r="FQ20" i="24"/>
  <c r="FQ21" i="24"/>
  <c r="FQ37" i="16" s="1"/>
  <c r="FQ22" i="24"/>
  <c r="FQ23" i="24"/>
  <c r="FQ24" i="24"/>
  <c r="FQ25" i="24"/>
  <c r="FQ26" i="24"/>
  <c r="FQ27" i="24"/>
  <c r="FQ28" i="24"/>
  <c r="FQ29" i="24"/>
  <c r="FQ30" i="24"/>
  <c r="FQ31" i="24"/>
  <c r="FQ32" i="24"/>
  <c r="FQ33" i="24"/>
  <c r="FQ34" i="24"/>
  <c r="FQ35" i="24"/>
  <c r="FQ36" i="24"/>
  <c r="FQ37" i="24"/>
  <c r="FQ38" i="24"/>
  <c r="FQ39" i="24"/>
  <c r="FQ41" i="24"/>
  <c r="FQ14" i="24"/>
  <c r="J169" i="8" l="1"/>
  <c r="C12" i="22" l="1"/>
  <c r="GG51" i="24"/>
  <c r="DY51" i="24" l="1"/>
  <c r="GV41" i="24" l="1"/>
  <c r="GV40" i="24" l="1"/>
  <c r="FP41" i="24"/>
  <c r="FI41" i="24"/>
  <c r="FF41" i="24"/>
  <c r="FC41" i="24"/>
  <c r="EZ41" i="24"/>
  <c r="EX41" i="24"/>
  <c r="DZ41" i="24"/>
  <c r="BZ41" i="24"/>
  <c r="BV41" i="24"/>
  <c r="BT41" i="24"/>
  <c r="BL41" i="24"/>
  <c r="AL41" i="24"/>
  <c r="AK41" i="24"/>
  <c r="T41" i="24"/>
  <c r="Q41" i="24"/>
  <c r="P41" i="24"/>
  <c r="M41" i="24"/>
  <c r="L41" i="24"/>
  <c r="GV39" i="24"/>
  <c r="FP39" i="24"/>
  <c r="FO39" i="24"/>
  <c r="FN39" i="24"/>
  <c r="FM39" i="24"/>
  <c r="FL39" i="24"/>
  <c r="FK39" i="24"/>
  <c r="FH39" i="24"/>
  <c r="FG39" i="24"/>
  <c r="FF39" i="24"/>
  <c r="FE39" i="24"/>
  <c r="FD39" i="24"/>
  <c r="FC39" i="24"/>
  <c r="FB39" i="24"/>
  <c r="FA39" i="24"/>
  <c r="EZ39" i="24"/>
  <c r="EY39" i="24"/>
  <c r="EX39" i="24"/>
  <c r="EW39" i="24"/>
  <c r="EV39" i="24"/>
  <c r="EU39" i="24"/>
  <c r="ET39" i="24"/>
  <c r="ES39" i="24"/>
  <c r="ER39" i="24"/>
  <c r="EQ39" i="24"/>
  <c r="EP39" i="24"/>
  <c r="EO39" i="24"/>
  <c r="EN39" i="24"/>
  <c r="EM39" i="24"/>
  <c r="EL39" i="24"/>
  <c r="EK39" i="24"/>
  <c r="EJ39" i="24"/>
  <c r="EI39" i="24"/>
  <c r="EH39" i="24"/>
  <c r="EG39" i="24"/>
  <c r="EF39" i="24"/>
  <c r="EE39" i="24"/>
  <c r="ED39" i="24"/>
  <c r="EC39" i="24"/>
  <c r="EB39" i="24"/>
  <c r="EA39" i="24"/>
  <c r="DZ39" i="24"/>
  <c r="K31" i="2" s="1"/>
  <c r="DC39" i="24"/>
  <c r="DB39" i="24"/>
  <c r="DA39" i="24"/>
  <c r="CZ39" i="24"/>
  <c r="CY39" i="24"/>
  <c r="CX39" i="24"/>
  <c r="CW39" i="24"/>
  <c r="CV39" i="24"/>
  <c r="CU39" i="24"/>
  <c r="CT39" i="24"/>
  <c r="CS39" i="24"/>
  <c r="CR39" i="24"/>
  <c r="CQ39" i="24"/>
  <c r="CP39" i="24"/>
  <c r="CO39" i="24"/>
  <c r="CN39" i="24"/>
  <c r="CM39" i="24"/>
  <c r="CL39" i="24"/>
  <c r="CK39" i="24"/>
  <c r="CJ39" i="24"/>
  <c r="CI39" i="24"/>
  <c r="CH39" i="24"/>
  <c r="CG39" i="24"/>
  <c r="CF39" i="24"/>
  <c r="CE39" i="24"/>
  <c r="CD39" i="24"/>
  <c r="CC39" i="24"/>
  <c r="CB39" i="24"/>
  <c r="CA39" i="24"/>
  <c r="H31" i="2" s="1"/>
  <c r="BZ39" i="24"/>
  <c r="BY39" i="24"/>
  <c r="BX39" i="24"/>
  <c r="BW39" i="24"/>
  <c r="J31" i="2" s="1"/>
  <c r="BV39" i="24"/>
  <c r="BU39" i="24"/>
  <c r="BT39" i="24"/>
  <c r="BS39" i="24"/>
  <c r="BR39" i="24"/>
  <c r="BQ39" i="24"/>
  <c r="BP39" i="24"/>
  <c r="BO39" i="24"/>
  <c r="BN39" i="24"/>
  <c r="BM39" i="24"/>
  <c r="BL39" i="24"/>
  <c r="BK39" i="24"/>
  <c r="BJ39" i="24"/>
  <c r="BI39" i="24"/>
  <c r="BH39" i="24"/>
  <c r="BG39" i="24"/>
  <c r="BF39" i="24"/>
  <c r="BE39" i="24"/>
  <c r="BD39" i="24"/>
  <c r="BC39" i="24"/>
  <c r="BB39" i="24"/>
  <c r="BA39" i="24"/>
  <c r="AZ39" i="24"/>
  <c r="AY39" i="24"/>
  <c r="AX39" i="24"/>
  <c r="AW39" i="24"/>
  <c r="AV39" i="24"/>
  <c r="AT39" i="24"/>
  <c r="AS39" i="24"/>
  <c r="AR39" i="24"/>
  <c r="AQ39" i="24"/>
  <c r="AP39" i="24"/>
  <c r="AO39" i="24"/>
  <c r="AN39" i="24"/>
  <c r="AM39" i="24"/>
  <c r="AL39" i="24"/>
  <c r="AK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J39" i="24"/>
  <c r="I39" i="24"/>
  <c r="H39" i="24"/>
  <c r="G39" i="24"/>
  <c r="F39" i="24"/>
  <c r="E39" i="24"/>
  <c r="D39" i="24"/>
  <c r="C39" i="24"/>
  <c r="B39" i="24"/>
  <c r="GV38" i="24"/>
  <c r="FP38" i="24"/>
  <c r="FO38" i="24"/>
  <c r="FN38" i="24"/>
  <c r="FM38" i="24"/>
  <c r="FL38" i="24"/>
  <c r="FK38" i="24"/>
  <c r="FH38" i="24"/>
  <c r="FG38" i="24"/>
  <c r="FF38" i="24"/>
  <c r="FE38" i="24"/>
  <c r="FD38" i="24"/>
  <c r="FC38" i="24"/>
  <c r="FB38" i="24"/>
  <c r="FA38" i="24"/>
  <c r="EZ38" i="24"/>
  <c r="EY38" i="24"/>
  <c r="EX38" i="24"/>
  <c r="EW38" i="24"/>
  <c r="EV38" i="24"/>
  <c r="EU38" i="24"/>
  <c r="ET38" i="24"/>
  <c r="ES38" i="24"/>
  <c r="ER38" i="24"/>
  <c r="EQ38" i="24"/>
  <c r="EP38" i="24"/>
  <c r="EO38" i="24"/>
  <c r="EN38" i="24"/>
  <c r="EM38" i="24"/>
  <c r="EL38" i="24"/>
  <c r="EK38" i="24"/>
  <c r="EJ38" i="24"/>
  <c r="EI38" i="24"/>
  <c r="EH38" i="24"/>
  <c r="EG38" i="24"/>
  <c r="EF38" i="24"/>
  <c r="EE38" i="24"/>
  <c r="ED38" i="24"/>
  <c r="EC38" i="24"/>
  <c r="EB38" i="24"/>
  <c r="EA38" i="24"/>
  <c r="DZ38" i="24"/>
  <c r="K30" i="2" s="1"/>
  <c r="DC38" i="24"/>
  <c r="DB38" i="24"/>
  <c r="DA38" i="24"/>
  <c r="CZ38" i="24"/>
  <c r="CY38" i="24"/>
  <c r="CX38" i="24"/>
  <c r="CW38" i="24"/>
  <c r="CV38" i="24"/>
  <c r="CU38" i="24"/>
  <c r="CT38" i="24"/>
  <c r="CS38" i="24"/>
  <c r="CR38" i="24"/>
  <c r="CQ38" i="24"/>
  <c r="CP38" i="24"/>
  <c r="CO38" i="24"/>
  <c r="CN38" i="24"/>
  <c r="CM38" i="24"/>
  <c r="CL38" i="24"/>
  <c r="CK38" i="24"/>
  <c r="CJ38" i="24"/>
  <c r="CI38" i="24"/>
  <c r="CH38" i="24"/>
  <c r="CG38" i="24"/>
  <c r="CF38" i="24"/>
  <c r="CE38" i="24"/>
  <c r="CD38" i="24"/>
  <c r="CC38" i="24"/>
  <c r="CB38" i="24"/>
  <c r="CA38" i="24"/>
  <c r="H30" i="2" s="1"/>
  <c r="BZ38" i="24"/>
  <c r="BY38" i="24"/>
  <c r="BX38" i="24"/>
  <c r="BW38" i="24"/>
  <c r="J30" i="2" s="1"/>
  <c r="BV38" i="24"/>
  <c r="BU38" i="24"/>
  <c r="BT38" i="24"/>
  <c r="BS38" i="24"/>
  <c r="BR38" i="24"/>
  <c r="BQ38" i="24"/>
  <c r="BP38" i="24"/>
  <c r="BO38" i="24"/>
  <c r="BN38" i="24"/>
  <c r="BM38" i="24"/>
  <c r="BL38" i="24"/>
  <c r="BK38" i="24"/>
  <c r="BJ38" i="24"/>
  <c r="BI38" i="24"/>
  <c r="BH38" i="24"/>
  <c r="BG38" i="24"/>
  <c r="BF38" i="24"/>
  <c r="BE38" i="24"/>
  <c r="BD38" i="24"/>
  <c r="BC38" i="24"/>
  <c r="BB38" i="24"/>
  <c r="BA38" i="24"/>
  <c r="AZ38" i="24"/>
  <c r="AY38" i="24"/>
  <c r="AX38" i="24"/>
  <c r="AW38" i="24"/>
  <c r="AV38" i="24"/>
  <c r="AT38" i="24"/>
  <c r="AS38" i="24"/>
  <c r="AR38" i="24"/>
  <c r="AQ38" i="24"/>
  <c r="AP38" i="24"/>
  <c r="AO38" i="24"/>
  <c r="AN38" i="24"/>
  <c r="AM38" i="24"/>
  <c r="I30" i="2" s="1"/>
  <c r="AK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J38" i="24"/>
  <c r="I38" i="24"/>
  <c r="H38" i="24"/>
  <c r="G38" i="24"/>
  <c r="F38" i="24"/>
  <c r="E38" i="24"/>
  <c r="D38" i="24"/>
  <c r="C38" i="24"/>
  <c r="B38" i="24"/>
  <c r="GV37" i="24"/>
  <c r="FP37" i="24"/>
  <c r="FO37" i="24"/>
  <c r="FN37" i="24"/>
  <c r="FM37" i="24"/>
  <c r="FL37" i="24"/>
  <c r="FK37" i="24"/>
  <c r="FH37" i="24"/>
  <c r="FG37" i="24"/>
  <c r="FF37" i="24"/>
  <c r="FE37" i="24"/>
  <c r="FD37" i="24"/>
  <c r="FC37" i="24"/>
  <c r="FB37" i="24"/>
  <c r="FA37" i="24"/>
  <c r="EZ37" i="24"/>
  <c r="EY37" i="24"/>
  <c r="EX37" i="24"/>
  <c r="EW37" i="24"/>
  <c r="EV37" i="24"/>
  <c r="EU37" i="24"/>
  <c r="ET37" i="24"/>
  <c r="ES37" i="24"/>
  <c r="ER37" i="24"/>
  <c r="EQ37" i="24"/>
  <c r="EP37" i="24"/>
  <c r="EO37" i="24"/>
  <c r="EN37" i="24"/>
  <c r="EM37" i="24"/>
  <c r="EL37" i="24"/>
  <c r="EK37" i="24"/>
  <c r="EJ37" i="24"/>
  <c r="EI37" i="24"/>
  <c r="EH37" i="24"/>
  <c r="EG37" i="24"/>
  <c r="EF37" i="24"/>
  <c r="EE37" i="24"/>
  <c r="ED37" i="24"/>
  <c r="EC37" i="24"/>
  <c r="EB37" i="24"/>
  <c r="EA37" i="24"/>
  <c r="DZ37" i="24"/>
  <c r="K29" i="2" s="1"/>
  <c r="DC37" i="24"/>
  <c r="DB37" i="24"/>
  <c r="DA37" i="24"/>
  <c r="CZ37" i="24"/>
  <c r="CY37" i="24"/>
  <c r="CX37" i="24"/>
  <c r="CW37" i="24"/>
  <c r="CV37" i="24"/>
  <c r="CU37" i="24"/>
  <c r="CT37" i="24"/>
  <c r="CS37" i="24"/>
  <c r="CR37" i="24"/>
  <c r="CQ37" i="24"/>
  <c r="CP37" i="24"/>
  <c r="CO37" i="24"/>
  <c r="CN37" i="24"/>
  <c r="CM37" i="24"/>
  <c r="CL37" i="24"/>
  <c r="CK37" i="24"/>
  <c r="CJ37" i="24"/>
  <c r="CI37" i="24"/>
  <c r="CH37" i="24"/>
  <c r="CG37" i="24"/>
  <c r="CF37" i="24"/>
  <c r="CE37" i="24"/>
  <c r="CD37" i="24"/>
  <c r="CC37" i="24"/>
  <c r="CB37" i="24"/>
  <c r="CA37" i="24"/>
  <c r="H29" i="2" s="1"/>
  <c r="BZ37" i="24"/>
  <c r="BY37" i="24"/>
  <c r="BX37" i="24"/>
  <c r="BW37" i="24"/>
  <c r="J29" i="2" s="1"/>
  <c r="BV37" i="24"/>
  <c r="BU37" i="24"/>
  <c r="BT37" i="24"/>
  <c r="BS37" i="24"/>
  <c r="BR37" i="24"/>
  <c r="BQ37" i="24"/>
  <c r="BP37" i="24"/>
  <c r="BO37" i="24"/>
  <c r="BN37" i="24"/>
  <c r="BM37" i="24"/>
  <c r="BL37" i="24"/>
  <c r="BK37" i="24"/>
  <c r="BJ37" i="24"/>
  <c r="BI37" i="24"/>
  <c r="BH37" i="24"/>
  <c r="BG37" i="24"/>
  <c r="BF37" i="24"/>
  <c r="BE37" i="24"/>
  <c r="BD37" i="24"/>
  <c r="BC37" i="24"/>
  <c r="BB37" i="24"/>
  <c r="BA37" i="24"/>
  <c r="AZ37" i="24"/>
  <c r="AY37" i="24"/>
  <c r="AX37" i="24"/>
  <c r="AW37" i="24"/>
  <c r="AV37" i="24"/>
  <c r="AT37" i="24"/>
  <c r="AS37" i="24"/>
  <c r="AR37" i="24"/>
  <c r="AQ37" i="24"/>
  <c r="AP37" i="24"/>
  <c r="AO37" i="24"/>
  <c r="AN37" i="24"/>
  <c r="AM37" i="24"/>
  <c r="AL37" i="24"/>
  <c r="AK37" i="24"/>
  <c r="AI37" i="24"/>
  <c r="AH37" i="24"/>
  <c r="AG37" i="24"/>
  <c r="AF37" i="24"/>
  <c r="AE37" i="24"/>
  <c r="AD37" i="24"/>
  <c r="AC37" i="24"/>
  <c r="AA37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J37" i="24"/>
  <c r="I37" i="24"/>
  <c r="H37" i="24"/>
  <c r="G37" i="24"/>
  <c r="F37" i="24"/>
  <c r="E37" i="24"/>
  <c r="D37" i="24"/>
  <c r="C37" i="24"/>
  <c r="B37" i="24"/>
  <c r="GV36" i="24"/>
  <c r="FP36" i="24"/>
  <c r="FO36" i="24"/>
  <c r="FN36" i="24"/>
  <c r="FM36" i="24"/>
  <c r="FL36" i="24"/>
  <c r="FK36" i="24"/>
  <c r="FH36" i="24"/>
  <c r="FG36" i="24"/>
  <c r="FF36" i="24"/>
  <c r="FE36" i="24"/>
  <c r="FD36" i="24"/>
  <c r="FC36" i="24"/>
  <c r="FB36" i="24"/>
  <c r="FA36" i="24"/>
  <c r="EZ36" i="24"/>
  <c r="EY36" i="24"/>
  <c r="EX36" i="24"/>
  <c r="EW36" i="24"/>
  <c r="EV36" i="24"/>
  <c r="EU36" i="24"/>
  <c r="ET36" i="24"/>
  <c r="ES36" i="24"/>
  <c r="ER36" i="24"/>
  <c r="EQ36" i="24"/>
  <c r="EP36" i="24"/>
  <c r="EO36" i="24"/>
  <c r="EN36" i="24"/>
  <c r="EM36" i="24"/>
  <c r="EL36" i="24"/>
  <c r="EK36" i="24"/>
  <c r="EJ36" i="24"/>
  <c r="EI36" i="24"/>
  <c r="EH36" i="24"/>
  <c r="EG36" i="24"/>
  <c r="EF36" i="24"/>
  <c r="EE36" i="24"/>
  <c r="ED36" i="24"/>
  <c r="EC36" i="24"/>
  <c r="EB36" i="24"/>
  <c r="EA36" i="24"/>
  <c r="DZ36" i="24"/>
  <c r="K28" i="2" s="1"/>
  <c r="DC36" i="24"/>
  <c r="DB36" i="24"/>
  <c r="DA36" i="24"/>
  <c r="CZ36" i="24"/>
  <c r="CY36" i="24"/>
  <c r="CX36" i="24"/>
  <c r="CW36" i="24"/>
  <c r="CV36" i="24"/>
  <c r="CU36" i="24"/>
  <c r="CT36" i="24"/>
  <c r="CS36" i="24"/>
  <c r="CR36" i="24"/>
  <c r="CQ36" i="24"/>
  <c r="CP36" i="24"/>
  <c r="CO36" i="24"/>
  <c r="CN36" i="24"/>
  <c r="CM36" i="24"/>
  <c r="CL36" i="24"/>
  <c r="CK36" i="24"/>
  <c r="CJ36" i="24"/>
  <c r="CI36" i="24"/>
  <c r="CH36" i="24"/>
  <c r="CG36" i="24"/>
  <c r="CF36" i="24"/>
  <c r="CE36" i="24"/>
  <c r="CD36" i="24"/>
  <c r="CC36" i="24"/>
  <c r="CB36" i="24"/>
  <c r="CA36" i="24"/>
  <c r="H28" i="2" s="1"/>
  <c r="BZ36" i="24"/>
  <c r="BY36" i="24"/>
  <c r="BX36" i="24"/>
  <c r="BW36" i="24"/>
  <c r="J28" i="2" s="1"/>
  <c r="BV36" i="24"/>
  <c r="BU36" i="24"/>
  <c r="BT36" i="24"/>
  <c r="BS36" i="24"/>
  <c r="BR36" i="24"/>
  <c r="BQ36" i="24"/>
  <c r="BP36" i="24"/>
  <c r="BO36" i="24"/>
  <c r="BN36" i="24"/>
  <c r="BM36" i="24"/>
  <c r="BL36" i="24"/>
  <c r="BK36" i="24"/>
  <c r="BJ36" i="24"/>
  <c r="BI36" i="24"/>
  <c r="BH36" i="24"/>
  <c r="BG36" i="24"/>
  <c r="BF36" i="24"/>
  <c r="BE36" i="24"/>
  <c r="BD36" i="24"/>
  <c r="BC36" i="24"/>
  <c r="BB36" i="24"/>
  <c r="BA36" i="24"/>
  <c r="AZ36" i="24"/>
  <c r="AY36" i="24"/>
  <c r="AX36" i="24"/>
  <c r="AW36" i="24"/>
  <c r="AV36" i="24"/>
  <c r="AT36" i="24"/>
  <c r="AS36" i="24"/>
  <c r="AR36" i="24"/>
  <c r="AQ36" i="24"/>
  <c r="AP36" i="24"/>
  <c r="AO36" i="24"/>
  <c r="AN36" i="24"/>
  <c r="AM36" i="24"/>
  <c r="AL36" i="24"/>
  <c r="AK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J36" i="24"/>
  <c r="I36" i="24"/>
  <c r="H36" i="24"/>
  <c r="G36" i="24"/>
  <c r="F36" i="24"/>
  <c r="E36" i="24"/>
  <c r="D36" i="24"/>
  <c r="C36" i="24"/>
  <c r="B36" i="24"/>
  <c r="GV35" i="24"/>
  <c r="FP35" i="24"/>
  <c r="FO35" i="24"/>
  <c r="FN35" i="24"/>
  <c r="FM35" i="24"/>
  <c r="FL35" i="24"/>
  <c r="FK35" i="24"/>
  <c r="FH35" i="24"/>
  <c r="FG35" i="24"/>
  <c r="FF35" i="24"/>
  <c r="FE35" i="24"/>
  <c r="FD35" i="24"/>
  <c r="FC35" i="24"/>
  <c r="FB35" i="24"/>
  <c r="FA35" i="24"/>
  <c r="EZ35" i="24"/>
  <c r="EY35" i="24"/>
  <c r="EX35" i="24"/>
  <c r="EW35" i="24"/>
  <c r="EV35" i="24"/>
  <c r="EU35" i="24"/>
  <c r="ET35" i="24"/>
  <c r="ES35" i="24"/>
  <c r="ER35" i="24"/>
  <c r="EQ35" i="24"/>
  <c r="EP35" i="24"/>
  <c r="EO35" i="24"/>
  <c r="EN35" i="24"/>
  <c r="EM35" i="24"/>
  <c r="EL35" i="24"/>
  <c r="EK35" i="24"/>
  <c r="EJ35" i="24"/>
  <c r="EI35" i="24"/>
  <c r="EH35" i="24"/>
  <c r="EG35" i="24"/>
  <c r="EF35" i="24"/>
  <c r="EE35" i="24"/>
  <c r="ED35" i="24"/>
  <c r="EC35" i="24"/>
  <c r="EB35" i="24"/>
  <c r="EA35" i="24"/>
  <c r="DZ35" i="24"/>
  <c r="K27" i="2" s="1"/>
  <c r="DC35" i="24"/>
  <c r="DB35" i="24"/>
  <c r="DA35" i="24"/>
  <c r="CZ35" i="24"/>
  <c r="CY35" i="24"/>
  <c r="CX35" i="24"/>
  <c r="CW35" i="24"/>
  <c r="CV35" i="24"/>
  <c r="CU35" i="24"/>
  <c r="CT35" i="24"/>
  <c r="CS35" i="24"/>
  <c r="CR35" i="24"/>
  <c r="CQ35" i="24"/>
  <c r="CP35" i="24"/>
  <c r="CO35" i="24"/>
  <c r="CN35" i="24"/>
  <c r="CM35" i="24"/>
  <c r="CL35" i="24"/>
  <c r="CK35" i="24"/>
  <c r="CJ35" i="24"/>
  <c r="CI35" i="24"/>
  <c r="CH35" i="24"/>
  <c r="CG35" i="24"/>
  <c r="CF35" i="24"/>
  <c r="CE35" i="24"/>
  <c r="CD35" i="24"/>
  <c r="CC35" i="24"/>
  <c r="CB35" i="24"/>
  <c r="CA35" i="24"/>
  <c r="H27" i="2" s="1"/>
  <c r="BZ35" i="24"/>
  <c r="BY35" i="24"/>
  <c r="BX35" i="24"/>
  <c r="BW35" i="24"/>
  <c r="J27" i="2" s="1"/>
  <c r="BV35" i="24"/>
  <c r="BU35" i="24"/>
  <c r="BT35" i="24"/>
  <c r="BS35" i="24"/>
  <c r="BR35" i="24"/>
  <c r="BQ35" i="24"/>
  <c r="BP35" i="24"/>
  <c r="BO35" i="24"/>
  <c r="BN35" i="24"/>
  <c r="BM35" i="24"/>
  <c r="BL35" i="24"/>
  <c r="BK35" i="24"/>
  <c r="BJ35" i="24"/>
  <c r="BI35" i="24"/>
  <c r="BH35" i="24"/>
  <c r="BG35" i="24"/>
  <c r="BF35" i="24"/>
  <c r="BE35" i="24"/>
  <c r="BD35" i="24"/>
  <c r="BC35" i="24"/>
  <c r="BB35" i="24"/>
  <c r="BA35" i="24"/>
  <c r="AZ35" i="24"/>
  <c r="AY35" i="24"/>
  <c r="AX35" i="24"/>
  <c r="AW35" i="24"/>
  <c r="AV35" i="24"/>
  <c r="AT35" i="24"/>
  <c r="AS35" i="24"/>
  <c r="AR35" i="24"/>
  <c r="AQ35" i="24"/>
  <c r="AP35" i="24"/>
  <c r="AO35" i="24"/>
  <c r="AN35" i="24"/>
  <c r="AM35" i="24"/>
  <c r="AL35" i="24"/>
  <c r="AK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I35" i="24"/>
  <c r="H35" i="24"/>
  <c r="G35" i="24"/>
  <c r="F35" i="24"/>
  <c r="E35" i="24"/>
  <c r="D35" i="24"/>
  <c r="C35" i="24"/>
  <c r="B35" i="24"/>
  <c r="GV34" i="24"/>
  <c r="E28" i="2" l="1"/>
  <c r="G28" i="2"/>
  <c r="C28" i="2"/>
  <c r="I28" i="2"/>
  <c r="G30" i="2"/>
  <c r="E30" i="2"/>
  <c r="G31" i="2"/>
  <c r="E29" i="2"/>
  <c r="G29" i="2"/>
  <c r="E31" i="2"/>
  <c r="D30" i="2"/>
  <c r="F30" i="2" s="1"/>
  <c r="D31" i="2"/>
  <c r="I31" i="2"/>
  <c r="C29" i="2"/>
  <c r="I29" i="2"/>
  <c r="C30" i="2"/>
  <c r="C31" i="2"/>
  <c r="G27" i="2"/>
  <c r="I27" i="2"/>
  <c r="E27" i="2"/>
  <c r="D27" i="2"/>
  <c r="D25" i="25"/>
  <c r="D29" i="25"/>
  <c r="I29" i="25"/>
  <c r="D28" i="25"/>
  <c r="GK38" i="24"/>
  <c r="I25" i="25"/>
  <c r="GK37" i="24"/>
  <c r="GK36" i="24"/>
  <c r="D27" i="25"/>
  <c r="I28" i="25"/>
  <c r="D26" i="25"/>
  <c r="I27" i="25"/>
  <c r="GK35" i="24"/>
  <c r="I26" i="25"/>
  <c r="GK39" i="24"/>
  <c r="GR37" i="24"/>
  <c r="GR36" i="24"/>
  <c r="GR35" i="24"/>
  <c r="GR39" i="24"/>
  <c r="GR38" i="24"/>
  <c r="H27" i="25"/>
  <c r="H26" i="25"/>
  <c r="H29" i="25"/>
  <c r="H25" i="25"/>
  <c r="H28" i="25"/>
  <c r="GO39" i="24"/>
  <c r="GO38" i="24"/>
  <c r="GO35" i="24"/>
  <c r="GU39" i="24"/>
  <c r="GU38" i="24"/>
  <c r="GU37" i="24"/>
  <c r="GU36" i="24"/>
  <c r="GU35" i="24"/>
  <c r="B29" i="25"/>
  <c r="B28" i="25"/>
  <c r="B26" i="25"/>
  <c r="GN38" i="24"/>
  <c r="GN37" i="24"/>
  <c r="GS35" i="24"/>
  <c r="GS38" i="24"/>
  <c r="GN39" i="24"/>
  <c r="GS37" i="24"/>
  <c r="GN35" i="24"/>
  <c r="GM36" i="24"/>
  <c r="GS36" i="24"/>
  <c r="GS39" i="24"/>
  <c r="GN36" i="24"/>
  <c r="GM38" i="24"/>
  <c r="GM39" i="24"/>
  <c r="GM37" i="24"/>
  <c r="O28" i="2"/>
  <c r="Q28" i="2" s="1"/>
  <c r="O31" i="2"/>
  <c r="Q31" i="2" s="1"/>
  <c r="O27" i="2"/>
  <c r="Q27" i="2" s="1"/>
  <c r="O29" i="2"/>
  <c r="Q29" i="2" s="1"/>
  <c r="O30" i="2"/>
  <c r="Q30" i="2" s="1"/>
  <c r="G26" i="25"/>
  <c r="G25" i="25"/>
  <c r="G28" i="25"/>
  <c r="G29" i="25"/>
  <c r="G27" i="25"/>
  <c r="E29" i="25"/>
  <c r="E28" i="25"/>
  <c r="E27" i="25"/>
  <c r="E26" i="25"/>
  <c r="E25" i="25"/>
  <c r="C28" i="25"/>
  <c r="J29" i="25"/>
  <c r="F29" i="25"/>
  <c r="J27" i="25"/>
  <c r="J26" i="25"/>
  <c r="C29" i="25"/>
  <c r="C27" i="25"/>
  <c r="F27" i="25"/>
  <c r="J28" i="25"/>
  <c r="F28" i="25"/>
  <c r="F26" i="25"/>
  <c r="J25" i="25"/>
  <c r="C25" i="25"/>
  <c r="F25" i="25"/>
  <c r="GL38" i="24"/>
  <c r="GL37" i="24"/>
  <c r="GP37" i="24"/>
  <c r="GP38" i="24"/>
  <c r="GP39" i="24"/>
  <c r="GP36" i="24"/>
  <c r="GP35" i="24"/>
  <c r="GL36" i="24"/>
  <c r="B41" i="24"/>
  <c r="GQ39" i="24"/>
  <c r="GI39" i="24"/>
  <c r="BS41" i="24"/>
  <c r="EW41" i="24"/>
  <c r="EV41" i="24" s="1"/>
  <c r="EU41" i="24" s="1"/>
  <c r="GI35" i="24"/>
  <c r="FE41" i="24"/>
  <c r="FD41" i="24" s="1"/>
  <c r="BR41" i="24"/>
  <c r="BQ41" i="24" s="1"/>
  <c r="GQ35" i="24"/>
  <c r="GH38" i="24"/>
  <c r="S41" i="24"/>
  <c r="GI38" i="24"/>
  <c r="O41" i="24"/>
  <c r="GT36" i="24"/>
  <c r="GT37" i="24"/>
  <c r="GL39" i="24"/>
  <c r="BY41" i="24"/>
  <c r="BX41" i="24" s="1"/>
  <c r="BW41" i="24" s="1"/>
  <c r="GQ36" i="24"/>
  <c r="GQ37" i="24"/>
  <c r="GQ38" i="24"/>
  <c r="GH39" i="24"/>
  <c r="AJ41" i="24"/>
  <c r="AI41" i="24" s="1"/>
  <c r="AH41" i="24" s="1"/>
  <c r="AG41" i="24" s="1"/>
  <c r="AF41" i="24" s="1"/>
  <c r="AE41" i="24" s="1"/>
  <c r="AD41" i="24" s="1"/>
  <c r="AC41" i="24" s="1"/>
  <c r="AB41" i="24" s="1"/>
  <c r="AA41" i="24" s="1"/>
  <c r="Z41" i="24" s="1"/>
  <c r="FB41" i="24"/>
  <c r="BP41" i="24"/>
  <c r="BO41" i="24" s="1"/>
  <c r="BN41" i="24" s="1"/>
  <c r="BM41" i="24" s="1"/>
  <c r="BK41" i="24" s="1"/>
  <c r="BJ41" i="24" s="1"/>
  <c r="BI41" i="24" s="1"/>
  <c r="BH41" i="24" s="1"/>
  <c r="BG41" i="24" s="1"/>
  <c r="BF41" i="24" s="1"/>
  <c r="BE41" i="24" s="1"/>
  <c r="BD41" i="24" s="1"/>
  <c r="BC41" i="24" s="1"/>
  <c r="BB41" i="24" s="1"/>
  <c r="BA41" i="24" s="1"/>
  <c r="AZ41" i="24" s="1"/>
  <c r="AY41" i="24" s="1"/>
  <c r="AX41" i="24" s="1"/>
  <c r="AW41" i="24" s="1"/>
  <c r="AV41" i="24" s="1"/>
  <c r="AT41" i="24" s="1"/>
  <c r="AS41" i="24" s="1"/>
  <c r="ET41" i="24"/>
  <c r="ES41" i="24" s="1"/>
  <c r="ER41" i="24" s="1"/>
  <c r="EQ41" i="24" s="1"/>
  <c r="EP41" i="24" s="1"/>
  <c r="EO41" i="24" s="1"/>
  <c r="EN41" i="24" s="1"/>
  <c r="EM41" i="24" s="1"/>
  <c r="EL41" i="24" s="1"/>
  <c r="EK41" i="24" s="1"/>
  <c r="EJ41" i="24" s="1"/>
  <c r="EI41" i="24" s="1"/>
  <c r="EH41" i="24" s="1"/>
  <c r="EG41" i="24" s="1"/>
  <c r="EF41" i="24" s="1"/>
  <c r="EE41" i="24" s="1"/>
  <c r="ED41" i="24" s="1"/>
  <c r="EC41" i="24" s="1"/>
  <c r="EB41" i="24" s="1"/>
  <c r="EA41" i="24" s="1"/>
  <c r="GI37" i="24"/>
  <c r="R41" i="24"/>
  <c r="EY41" i="24"/>
  <c r="GT35" i="24"/>
  <c r="GT39" i="24"/>
  <c r="FH41" i="24"/>
  <c r="FG41" i="24" s="1"/>
  <c r="G41" i="24"/>
  <c r="AR41" i="24"/>
  <c r="BU41" i="24"/>
  <c r="GI36" i="24"/>
  <c r="GT38" i="24"/>
  <c r="FO41" i="24"/>
  <c r="FN41" i="24" s="1"/>
  <c r="FM41" i="24" s="1"/>
  <c r="FL41" i="24" s="1"/>
  <c r="FK41" i="24" s="1"/>
  <c r="FJ41" i="24" s="1"/>
  <c r="DC41" i="24"/>
  <c r="DB41" i="24" s="1"/>
  <c r="DA41" i="24" s="1"/>
  <c r="CZ41" i="24" s="1"/>
  <c r="CY41" i="24" s="1"/>
  <c r="CX41" i="24" s="1"/>
  <c r="CW41" i="24" s="1"/>
  <c r="CV41" i="24" s="1"/>
  <c r="CU41" i="24" s="1"/>
  <c r="CT41" i="24" s="1"/>
  <c r="CS41" i="24" s="1"/>
  <c r="CR41" i="24" s="1"/>
  <c r="CQ41" i="24" s="1"/>
  <c r="CP41" i="24" s="1"/>
  <c r="CO41" i="24" s="1"/>
  <c r="CN41" i="24" s="1"/>
  <c r="CM41" i="24" s="1"/>
  <c r="CL41" i="24" s="1"/>
  <c r="CK41" i="24" s="1"/>
  <c r="CJ41" i="24" s="1"/>
  <c r="CI41" i="24" s="1"/>
  <c r="CH41" i="24" s="1"/>
  <c r="CG41" i="24" s="1"/>
  <c r="CF41" i="24" s="1"/>
  <c r="CE41" i="24" s="1"/>
  <c r="CD41" i="24" s="1"/>
  <c r="CC41" i="24" s="1"/>
  <c r="CB41" i="24" s="1"/>
  <c r="CA41" i="24" s="1"/>
  <c r="GU41" i="24" s="1"/>
  <c r="GL41" i="24"/>
  <c r="J41" i="24"/>
  <c r="I41" i="24" s="1"/>
  <c r="H41" i="24" s="1"/>
  <c r="V41" i="24"/>
  <c r="U41" i="24" s="1"/>
  <c r="FP34" i="24"/>
  <c r="FO34" i="24"/>
  <c r="FN34" i="24"/>
  <c r="FM34" i="24"/>
  <c r="FL34" i="24"/>
  <c r="FK34" i="24"/>
  <c r="FH34" i="24"/>
  <c r="FG34" i="24"/>
  <c r="FF34" i="24"/>
  <c r="FE34" i="24"/>
  <c r="FD34" i="24"/>
  <c r="FC34" i="24"/>
  <c r="FB34" i="24"/>
  <c r="FA34" i="24"/>
  <c r="EZ34" i="24"/>
  <c r="EY34" i="24"/>
  <c r="EX34" i="24"/>
  <c r="EW34" i="24"/>
  <c r="EV34" i="24"/>
  <c r="EU34" i="24"/>
  <c r="ET34" i="24"/>
  <c r="ES34" i="24"/>
  <c r="ER34" i="24"/>
  <c r="EQ34" i="24"/>
  <c r="EP34" i="24"/>
  <c r="EO34" i="24"/>
  <c r="EN34" i="24"/>
  <c r="EM34" i="24"/>
  <c r="EL34" i="24"/>
  <c r="EK34" i="24"/>
  <c r="EJ34" i="24"/>
  <c r="EI34" i="24"/>
  <c r="EH34" i="24"/>
  <c r="EG34" i="24"/>
  <c r="EF34" i="24"/>
  <c r="EE34" i="24"/>
  <c r="ED34" i="24"/>
  <c r="EC34" i="24"/>
  <c r="EB34" i="24"/>
  <c r="EA34" i="24"/>
  <c r="DZ34" i="24"/>
  <c r="K26" i="2" s="1"/>
  <c r="DC34" i="24"/>
  <c r="DB34" i="24"/>
  <c r="DA34" i="24"/>
  <c r="CZ34" i="24"/>
  <c r="CY34" i="24"/>
  <c r="CX34" i="24"/>
  <c r="CW34" i="24"/>
  <c r="CV34" i="24"/>
  <c r="CU34" i="24"/>
  <c r="CT34" i="24"/>
  <c r="CS34" i="24"/>
  <c r="CR34" i="24"/>
  <c r="CQ34" i="24"/>
  <c r="CP34" i="24"/>
  <c r="CO34" i="24"/>
  <c r="CN34" i="24"/>
  <c r="CM34" i="24"/>
  <c r="CL34" i="24"/>
  <c r="CK34" i="24"/>
  <c r="CJ34" i="24"/>
  <c r="CI34" i="24"/>
  <c r="CH34" i="24"/>
  <c r="CG34" i="24"/>
  <c r="CF34" i="24"/>
  <c r="CE34" i="24"/>
  <c r="CD34" i="24"/>
  <c r="CC34" i="24"/>
  <c r="CB34" i="24"/>
  <c r="CA34" i="24"/>
  <c r="H26" i="2" s="1"/>
  <c r="BZ34" i="24"/>
  <c r="BX34" i="24"/>
  <c r="BW34" i="24"/>
  <c r="J26" i="2" s="1"/>
  <c r="BV34" i="24"/>
  <c r="BU34" i="24"/>
  <c r="BT34" i="24"/>
  <c r="BS34" i="24"/>
  <c r="BR34" i="24"/>
  <c r="BQ34" i="24"/>
  <c r="BP34" i="24"/>
  <c r="BO34" i="24"/>
  <c r="BN34" i="24"/>
  <c r="BM34" i="24"/>
  <c r="BL34" i="24"/>
  <c r="BK34" i="24"/>
  <c r="BJ34" i="24"/>
  <c r="BI34" i="24"/>
  <c r="BH34" i="24"/>
  <c r="BG34" i="24"/>
  <c r="BF34" i="24"/>
  <c r="BE34" i="24"/>
  <c r="BD34" i="24"/>
  <c r="BC34" i="24"/>
  <c r="BB34" i="24"/>
  <c r="BA34" i="24"/>
  <c r="AZ34" i="24"/>
  <c r="AY34" i="24"/>
  <c r="AX34" i="24"/>
  <c r="AW34" i="24"/>
  <c r="AV34" i="24"/>
  <c r="AT34" i="24"/>
  <c r="AS34" i="24"/>
  <c r="AR34" i="24"/>
  <c r="AQ34" i="24"/>
  <c r="AP34" i="24"/>
  <c r="AO34" i="24"/>
  <c r="AN34" i="24"/>
  <c r="AM34" i="24"/>
  <c r="AL34" i="24"/>
  <c r="AK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V34" i="24"/>
  <c r="U34" i="24"/>
  <c r="T34" i="24"/>
  <c r="S34" i="24"/>
  <c r="R34" i="24"/>
  <c r="Q34" i="24"/>
  <c r="P34" i="24"/>
  <c r="O34" i="24"/>
  <c r="N34" i="24"/>
  <c r="M34" i="24"/>
  <c r="L34" i="24"/>
  <c r="I34" i="24"/>
  <c r="G34" i="24"/>
  <c r="F34" i="24"/>
  <c r="E34" i="24"/>
  <c r="D34" i="24"/>
  <c r="C34" i="24"/>
  <c r="B34" i="24"/>
  <c r="GV33" i="24"/>
  <c r="FP33" i="24"/>
  <c r="FO33" i="24"/>
  <c r="FN33" i="24"/>
  <c r="FM33" i="24"/>
  <c r="FL33" i="24"/>
  <c r="FK33" i="24"/>
  <c r="FH33" i="24"/>
  <c r="FG33" i="24"/>
  <c r="FF33" i="24"/>
  <c r="FE33" i="24"/>
  <c r="FD33" i="24"/>
  <c r="FC33" i="24"/>
  <c r="FB33" i="24"/>
  <c r="FA33" i="24"/>
  <c r="EZ33" i="24"/>
  <c r="EY33" i="24"/>
  <c r="EX33" i="24"/>
  <c r="EW33" i="24"/>
  <c r="EV33" i="24"/>
  <c r="EU33" i="24"/>
  <c r="ET33" i="24"/>
  <c r="ES33" i="24"/>
  <c r="ER33" i="24"/>
  <c r="EQ33" i="24"/>
  <c r="EP33" i="24"/>
  <c r="EO33" i="24"/>
  <c r="EN33" i="24"/>
  <c r="EM33" i="24"/>
  <c r="EL33" i="24"/>
  <c r="EK33" i="24"/>
  <c r="EJ33" i="24"/>
  <c r="EI33" i="24"/>
  <c r="EH33" i="24"/>
  <c r="EG33" i="24"/>
  <c r="EF33" i="24"/>
  <c r="EE33" i="24"/>
  <c r="ED33" i="24"/>
  <c r="EC33" i="24"/>
  <c r="EB33" i="24"/>
  <c r="EA33" i="24"/>
  <c r="DZ33" i="24"/>
  <c r="K25" i="2" s="1"/>
  <c r="DC33" i="24"/>
  <c r="DB33" i="24"/>
  <c r="DA33" i="24"/>
  <c r="CZ33" i="24"/>
  <c r="CY33" i="24"/>
  <c r="CX33" i="24"/>
  <c r="CW33" i="24"/>
  <c r="CV33" i="24"/>
  <c r="CU33" i="24"/>
  <c r="CT33" i="24"/>
  <c r="CS33" i="24"/>
  <c r="CR33" i="24"/>
  <c r="CQ33" i="24"/>
  <c r="CP33" i="24"/>
  <c r="CO33" i="24"/>
  <c r="CN33" i="24"/>
  <c r="CM33" i="24"/>
  <c r="CL33" i="24"/>
  <c r="CK33" i="24"/>
  <c r="CJ33" i="24"/>
  <c r="CI33" i="24"/>
  <c r="CH33" i="24"/>
  <c r="CG33" i="24"/>
  <c r="CF33" i="24"/>
  <c r="CE33" i="24"/>
  <c r="CD33" i="24"/>
  <c r="CC33" i="24"/>
  <c r="CB33" i="24"/>
  <c r="CA33" i="24"/>
  <c r="H25" i="2" s="1"/>
  <c r="BZ33" i="24"/>
  <c r="BY33" i="24"/>
  <c r="BX33" i="24"/>
  <c r="BW33" i="24"/>
  <c r="J25" i="2" s="1"/>
  <c r="BV33" i="24"/>
  <c r="BU33" i="24"/>
  <c r="BT33" i="24"/>
  <c r="BS33" i="24"/>
  <c r="BR33" i="24"/>
  <c r="BQ33" i="24"/>
  <c r="BP33" i="24"/>
  <c r="BO33" i="24"/>
  <c r="BN33" i="24"/>
  <c r="BM33" i="24"/>
  <c r="BL33" i="24"/>
  <c r="BK33" i="24"/>
  <c r="BJ33" i="24"/>
  <c r="BI33" i="24"/>
  <c r="BH33" i="24"/>
  <c r="BG33" i="24"/>
  <c r="BF33" i="24"/>
  <c r="BE33" i="24"/>
  <c r="BD33" i="24"/>
  <c r="BC33" i="24"/>
  <c r="BB33" i="24"/>
  <c r="BA33" i="24"/>
  <c r="AZ33" i="24"/>
  <c r="AY33" i="24"/>
  <c r="AX33" i="24"/>
  <c r="AW33" i="24"/>
  <c r="AV33" i="24"/>
  <c r="AT33" i="24"/>
  <c r="AS33" i="24"/>
  <c r="AR33" i="24"/>
  <c r="AQ33" i="24"/>
  <c r="AP33" i="24"/>
  <c r="AO33" i="24"/>
  <c r="AN33" i="24"/>
  <c r="AM33" i="24"/>
  <c r="AL33" i="24"/>
  <c r="AK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V33" i="24"/>
  <c r="U33" i="24"/>
  <c r="T33" i="24"/>
  <c r="S33" i="24"/>
  <c r="R33" i="24"/>
  <c r="Q33" i="24"/>
  <c r="P33" i="24"/>
  <c r="O33" i="24"/>
  <c r="N33" i="24"/>
  <c r="M33" i="24"/>
  <c r="L33" i="24"/>
  <c r="I33" i="24"/>
  <c r="H33" i="24"/>
  <c r="G33" i="24"/>
  <c r="F33" i="24"/>
  <c r="E33" i="24"/>
  <c r="D33" i="24"/>
  <c r="C33" i="24"/>
  <c r="B33" i="24"/>
  <c r="GV32" i="24"/>
  <c r="FP32" i="24"/>
  <c r="FO32" i="24"/>
  <c r="FN32" i="24"/>
  <c r="FM32" i="24"/>
  <c r="FL32" i="24"/>
  <c r="FK32" i="24"/>
  <c r="FH32" i="24"/>
  <c r="FG32" i="24"/>
  <c r="FF32" i="24"/>
  <c r="FE32" i="24"/>
  <c r="FD32" i="24"/>
  <c r="FC32" i="24"/>
  <c r="FB32" i="24"/>
  <c r="FA32" i="24"/>
  <c r="EZ32" i="24"/>
  <c r="EY32" i="24"/>
  <c r="EX32" i="24"/>
  <c r="EW32" i="24"/>
  <c r="EV32" i="24"/>
  <c r="EU32" i="24"/>
  <c r="ET32" i="24"/>
  <c r="ES32" i="24"/>
  <c r="ER32" i="24"/>
  <c r="EQ32" i="24"/>
  <c r="EP32" i="24"/>
  <c r="EO32" i="24"/>
  <c r="EN32" i="24"/>
  <c r="EM32" i="24"/>
  <c r="EL32" i="24"/>
  <c r="EK32" i="24"/>
  <c r="EJ32" i="24"/>
  <c r="EI32" i="24"/>
  <c r="EH32" i="24"/>
  <c r="EG32" i="24"/>
  <c r="EF32" i="24"/>
  <c r="EE32" i="24"/>
  <c r="ED32" i="24"/>
  <c r="EC32" i="24"/>
  <c r="EB32" i="24"/>
  <c r="EA32" i="24"/>
  <c r="DZ32" i="24"/>
  <c r="K24" i="2" s="1"/>
  <c r="DC32" i="24"/>
  <c r="DB32" i="24"/>
  <c r="DA32" i="24"/>
  <c r="CZ32" i="24"/>
  <c r="CY32" i="24"/>
  <c r="CX32" i="24"/>
  <c r="CW32" i="24"/>
  <c r="CV32" i="24"/>
  <c r="CU32" i="24"/>
  <c r="CT32" i="24"/>
  <c r="CS32" i="24"/>
  <c r="CR32" i="24"/>
  <c r="CQ32" i="24"/>
  <c r="CP32" i="24"/>
  <c r="CO32" i="24"/>
  <c r="CN32" i="24"/>
  <c r="CM32" i="24"/>
  <c r="CL32" i="24"/>
  <c r="CK32" i="24"/>
  <c r="CJ32" i="24"/>
  <c r="CI32" i="24"/>
  <c r="CH32" i="24"/>
  <c r="CG32" i="24"/>
  <c r="CF32" i="24"/>
  <c r="CE32" i="24"/>
  <c r="CD32" i="24"/>
  <c r="CC32" i="24"/>
  <c r="CB32" i="24"/>
  <c r="CA32" i="24"/>
  <c r="H24" i="2" s="1"/>
  <c r="BZ32" i="24"/>
  <c r="BY32" i="24"/>
  <c r="BX32" i="24"/>
  <c r="BW32" i="24"/>
  <c r="J24" i="2" s="1"/>
  <c r="BV32" i="24"/>
  <c r="BU32" i="24"/>
  <c r="BT32" i="24"/>
  <c r="BS32" i="24"/>
  <c r="BR32" i="24"/>
  <c r="BQ32" i="24"/>
  <c r="BP32" i="24"/>
  <c r="BO32" i="24"/>
  <c r="BN32" i="24"/>
  <c r="BM32" i="24"/>
  <c r="BL32" i="24"/>
  <c r="BK32" i="24"/>
  <c r="BJ32" i="24"/>
  <c r="BI32" i="24"/>
  <c r="BH32" i="24"/>
  <c r="BG32" i="24"/>
  <c r="BF32" i="24"/>
  <c r="BE32" i="24"/>
  <c r="BD32" i="24"/>
  <c r="BC32" i="24"/>
  <c r="BB32" i="24"/>
  <c r="BA32" i="24"/>
  <c r="AZ32" i="24"/>
  <c r="AY32" i="24"/>
  <c r="AX32" i="24"/>
  <c r="AW32" i="24"/>
  <c r="AV32" i="24"/>
  <c r="AT32" i="24"/>
  <c r="AS32" i="24"/>
  <c r="AR32" i="24"/>
  <c r="AQ32" i="24"/>
  <c r="AP32" i="24"/>
  <c r="AO32" i="24"/>
  <c r="AN32" i="24"/>
  <c r="AM32" i="24"/>
  <c r="AL32" i="24"/>
  <c r="AK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V32" i="24"/>
  <c r="U32" i="24"/>
  <c r="T32" i="24"/>
  <c r="S32" i="24"/>
  <c r="R32" i="24"/>
  <c r="Q32" i="24"/>
  <c r="P32" i="24"/>
  <c r="O32" i="24"/>
  <c r="N32" i="24"/>
  <c r="M32" i="24"/>
  <c r="L32" i="24"/>
  <c r="J32" i="24"/>
  <c r="I32" i="24"/>
  <c r="H32" i="24"/>
  <c r="G32" i="24"/>
  <c r="F32" i="24"/>
  <c r="E32" i="24"/>
  <c r="D32" i="24"/>
  <c r="C32" i="24"/>
  <c r="B32" i="24"/>
  <c r="GV31" i="24"/>
  <c r="FP31" i="24"/>
  <c r="FO31" i="24"/>
  <c r="FN31" i="24"/>
  <c r="FM31" i="24"/>
  <c r="FL31" i="24"/>
  <c r="FK31" i="24"/>
  <c r="FH31" i="24"/>
  <c r="FG31" i="24"/>
  <c r="FF31" i="24"/>
  <c r="FE31" i="24"/>
  <c r="FD31" i="24"/>
  <c r="FC31" i="24"/>
  <c r="FB31" i="24"/>
  <c r="FA31" i="24"/>
  <c r="EZ31" i="24"/>
  <c r="EY31" i="24"/>
  <c r="EX31" i="24"/>
  <c r="EW31" i="24"/>
  <c r="EV31" i="24"/>
  <c r="EU31" i="24"/>
  <c r="ET31" i="24"/>
  <c r="ES31" i="24"/>
  <c r="ER31" i="24"/>
  <c r="EQ31" i="24"/>
  <c r="EP31" i="24"/>
  <c r="EO31" i="24"/>
  <c r="EN31" i="24"/>
  <c r="EM31" i="24"/>
  <c r="EL31" i="24"/>
  <c r="EK31" i="24"/>
  <c r="EJ31" i="24"/>
  <c r="EI31" i="24"/>
  <c r="EH31" i="24"/>
  <c r="EG31" i="24"/>
  <c r="EF31" i="24"/>
  <c r="EE31" i="24"/>
  <c r="ED31" i="24"/>
  <c r="EC31" i="24"/>
  <c r="EB31" i="24"/>
  <c r="EA31" i="24"/>
  <c r="DZ31" i="24"/>
  <c r="K23" i="2" s="1"/>
  <c r="DC31" i="24"/>
  <c r="DB31" i="24"/>
  <c r="DA31" i="24"/>
  <c r="CZ31" i="24"/>
  <c r="CY31" i="24"/>
  <c r="CX31" i="24"/>
  <c r="CW31" i="24"/>
  <c r="CV31" i="24"/>
  <c r="CU31" i="24"/>
  <c r="CT31" i="24"/>
  <c r="CS31" i="24"/>
  <c r="CR31" i="24"/>
  <c r="CQ31" i="24"/>
  <c r="CP31" i="24"/>
  <c r="CO31" i="24"/>
  <c r="CN31" i="24"/>
  <c r="CM31" i="24"/>
  <c r="CL31" i="24"/>
  <c r="CK31" i="24"/>
  <c r="CJ31" i="24"/>
  <c r="CI31" i="24"/>
  <c r="CH31" i="24"/>
  <c r="CG31" i="24"/>
  <c r="CF31" i="24"/>
  <c r="CE31" i="24"/>
  <c r="CD31" i="24"/>
  <c r="CC31" i="24"/>
  <c r="CB31" i="24"/>
  <c r="CA31" i="24"/>
  <c r="H23" i="2" s="1"/>
  <c r="BZ31" i="24"/>
  <c r="BY31" i="24"/>
  <c r="BX31" i="24"/>
  <c r="BW31" i="24"/>
  <c r="J23" i="2" s="1"/>
  <c r="BV31" i="24"/>
  <c r="BU31" i="24"/>
  <c r="BT31" i="24"/>
  <c r="BS31" i="24"/>
  <c r="BR31" i="24"/>
  <c r="BQ31" i="24"/>
  <c r="BP31" i="24"/>
  <c r="BO31" i="24"/>
  <c r="BN31" i="24"/>
  <c r="BM31" i="24"/>
  <c r="BL31" i="24"/>
  <c r="BK31" i="24"/>
  <c r="BJ31" i="24"/>
  <c r="BI31" i="24"/>
  <c r="BH31" i="24"/>
  <c r="BG31" i="24"/>
  <c r="BF31" i="24"/>
  <c r="BE31" i="24"/>
  <c r="BD31" i="24"/>
  <c r="BC31" i="24"/>
  <c r="BB31" i="24"/>
  <c r="BA31" i="24"/>
  <c r="AZ31" i="24"/>
  <c r="AY31" i="24"/>
  <c r="AX31" i="24"/>
  <c r="AW31" i="24"/>
  <c r="AV31" i="24"/>
  <c r="AT31" i="24"/>
  <c r="AS31" i="24"/>
  <c r="AR31" i="24"/>
  <c r="AQ31" i="24"/>
  <c r="AP31" i="24"/>
  <c r="AO31" i="24"/>
  <c r="AN31" i="24"/>
  <c r="AL31" i="24"/>
  <c r="I23" i="2" s="1"/>
  <c r="AK31" i="24"/>
  <c r="AI31" i="24"/>
  <c r="AH31" i="24"/>
  <c r="AG31" i="24"/>
  <c r="AF31" i="24"/>
  <c r="AE31" i="24"/>
  <c r="AD31" i="24"/>
  <c r="AC31" i="24"/>
  <c r="AB31" i="24"/>
  <c r="AA31" i="24"/>
  <c r="Y31" i="24"/>
  <c r="X31" i="24"/>
  <c r="W31" i="24"/>
  <c r="V31" i="24"/>
  <c r="U31" i="24"/>
  <c r="T31" i="24"/>
  <c r="S31" i="24"/>
  <c r="R31" i="24"/>
  <c r="Q31" i="24"/>
  <c r="P31" i="24"/>
  <c r="O31" i="24"/>
  <c r="N31" i="24"/>
  <c r="M31" i="24"/>
  <c r="L31" i="24"/>
  <c r="J31" i="24"/>
  <c r="I31" i="24"/>
  <c r="H31" i="24"/>
  <c r="G31" i="24"/>
  <c r="F31" i="24"/>
  <c r="E31" i="24"/>
  <c r="D31" i="24"/>
  <c r="C31" i="24"/>
  <c r="B31" i="24"/>
  <c r="GV30" i="24"/>
  <c r="FP30" i="24"/>
  <c r="FO30" i="24"/>
  <c r="FN30" i="24"/>
  <c r="FM30" i="24"/>
  <c r="FL30" i="24"/>
  <c r="FK30" i="24"/>
  <c r="FH30" i="24"/>
  <c r="FG30" i="24"/>
  <c r="FF30" i="24"/>
  <c r="FE30" i="24"/>
  <c r="FD30" i="24"/>
  <c r="FC30" i="24"/>
  <c r="FB30" i="24"/>
  <c r="FA30" i="24"/>
  <c r="EZ30" i="24"/>
  <c r="EY30" i="24"/>
  <c r="EX30" i="24"/>
  <c r="EW30" i="24"/>
  <c r="EV30" i="24"/>
  <c r="EU30" i="24"/>
  <c r="ET30" i="24"/>
  <c r="ES30" i="24"/>
  <c r="ER30" i="24"/>
  <c r="EQ30" i="24"/>
  <c r="EP30" i="24"/>
  <c r="EO30" i="24"/>
  <c r="EN30" i="24"/>
  <c r="EM30" i="24"/>
  <c r="EL30" i="24"/>
  <c r="EK30" i="24"/>
  <c r="EJ30" i="24"/>
  <c r="EI30" i="24"/>
  <c r="EH30" i="24"/>
  <c r="EF30" i="24"/>
  <c r="EE30" i="24"/>
  <c r="ED30" i="24"/>
  <c r="EC30" i="24"/>
  <c r="EB30" i="24"/>
  <c r="EA30" i="24"/>
  <c r="DZ30" i="24"/>
  <c r="K22" i="2" s="1"/>
  <c r="DC30" i="24"/>
  <c r="DB30" i="24"/>
  <c r="DA30" i="24"/>
  <c r="CZ30" i="24"/>
  <c r="CY30" i="24"/>
  <c r="CX30" i="24"/>
  <c r="CW30" i="24"/>
  <c r="CV30" i="24"/>
  <c r="CU30" i="24"/>
  <c r="CT30" i="24"/>
  <c r="CS30" i="24"/>
  <c r="CR30" i="24"/>
  <c r="CQ30" i="24"/>
  <c r="CP30" i="24"/>
  <c r="CO30" i="24"/>
  <c r="CN30" i="24"/>
  <c r="CM30" i="24"/>
  <c r="CL30" i="24"/>
  <c r="CK30" i="24"/>
  <c r="CJ30" i="24"/>
  <c r="CI30" i="24"/>
  <c r="CH30" i="24"/>
  <c r="CG30" i="24"/>
  <c r="CF30" i="24"/>
  <c r="CE30" i="24"/>
  <c r="CD30" i="24"/>
  <c r="CC30" i="24"/>
  <c r="CB30" i="24"/>
  <c r="CA30" i="24"/>
  <c r="BZ30" i="24"/>
  <c r="BY30" i="24"/>
  <c r="BX30" i="24"/>
  <c r="BW30" i="24"/>
  <c r="J22" i="2" s="1"/>
  <c r="BV30" i="24"/>
  <c r="BU30" i="24"/>
  <c r="BT30" i="24"/>
  <c r="BS30" i="24"/>
  <c r="BR30" i="24"/>
  <c r="BQ30" i="24"/>
  <c r="BP30" i="24"/>
  <c r="BO30" i="24"/>
  <c r="BN30" i="24"/>
  <c r="BM30" i="24"/>
  <c r="BL30" i="24"/>
  <c r="BK30" i="24"/>
  <c r="BJ30" i="24"/>
  <c r="BI30" i="24"/>
  <c r="BH30" i="24"/>
  <c r="BG30" i="24"/>
  <c r="BF30" i="24"/>
  <c r="BE30" i="24"/>
  <c r="BD30" i="24"/>
  <c r="BC30" i="24"/>
  <c r="BB30" i="24"/>
  <c r="BA30" i="24"/>
  <c r="AZ30" i="24"/>
  <c r="AY30" i="24"/>
  <c r="AX30" i="24"/>
  <c r="AW30" i="24"/>
  <c r="AV30" i="24"/>
  <c r="AT30" i="24"/>
  <c r="AS30" i="24"/>
  <c r="AR30" i="24"/>
  <c r="AQ30" i="24"/>
  <c r="AP30" i="24"/>
  <c r="AO30" i="24"/>
  <c r="AN30" i="24"/>
  <c r="AK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J30" i="24"/>
  <c r="I30" i="24"/>
  <c r="H30" i="24"/>
  <c r="G30" i="24"/>
  <c r="F30" i="24"/>
  <c r="E30" i="24"/>
  <c r="D30" i="24"/>
  <c r="C30" i="24"/>
  <c r="B30" i="24"/>
  <c r="I24" i="2" l="1"/>
  <c r="F31" i="2"/>
  <c r="L31" i="2" s="1"/>
  <c r="H22" i="2"/>
  <c r="I25" i="2"/>
  <c r="L30" i="2"/>
  <c r="G22" i="2"/>
  <c r="G25" i="2"/>
  <c r="G23" i="2"/>
  <c r="D24" i="2"/>
  <c r="E26" i="2"/>
  <c r="C24" i="2"/>
  <c r="E24" i="2"/>
  <c r="G24" i="2"/>
  <c r="G26" i="2"/>
  <c r="E25" i="2"/>
  <c r="I26" i="2"/>
  <c r="D26" i="2"/>
  <c r="E22" i="2"/>
  <c r="C22" i="2"/>
  <c r="D22" i="2"/>
  <c r="F27" i="2"/>
  <c r="C23" i="2"/>
  <c r="I22" i="25"/>
  <c r="GK32" i="24"/>
  <c r="D22" i="25"/>
  <c r="D24" i="25"/>
  <c r="D23" i="25"/>
  <c r="D21" i="25"/>
  <c r="I21" i="25"/>
  <c r="GK31" i="24"/>
  <c r="D20" i="25"/>
  <c r="I24" i="25"/>
  <c r="I20" i="25"/>
  <c r="GK34" i="24"/>
  <c r="I23" i="25"/>
  <c r="GK33" i="24"/>
  <c r="GK30" i="24"/>
  <c r="GR33" i="24"/>
  <c r="GR34" i="24"/>
  <c r="GR32" i="24"/>
  <c r="GR30" i="24"/>
  <c r="GR31" i="24"/>
  <c r="GR41" i="24"/>
  <c r="H22" i="25"/>
  <c r="H20" i="25"/>
  <c r="H24" i="25"/>
  <c r="H21" i="25"/>
  <c r="H23" i="25"/>
  <c r="GO32" i="24"/>
  <c r="GO30" i="24"/>
  <c r="GO34" i="24"/>
  <c r="GU32" i="24"/>
  <c r="GU34" i="24"/>
  <c r="GU33" i="24"/>
  <c r="GU31" i="24"/>
  <c r="GU30" i="24"/>
  <c r="B20" i="25"/>
  <c r="B22" i="25"/>
  <c r="GN30" i="24"/>
  <c r="GS32" i="24"/>
  <c r="GN32" i="24"/>
  <c r="GS31" i="24"/>
  <c r="GN33" i="24"/>
  <c r="GN41" i="24"/>
  <c r="GM30" i="24"/>
  <c r="GS34" i="24"/>
  <c r="GS30" i="24"/>
  <c r="GM31" i="24"/>
  <c r="GM32" i="24"/>
  <c r="GS33" i="24"/>
  <c r="GN34" i="24"/>
  <c r="Y41" i="24"/>
  <c r="X41" i="24" s="1"/>
  <c r="AQ41" i="24"/>
  <c r="AP41" i="24" s="1"/>
  <c r="AO41" i="24" s="1"/>
  <c r="AN41" i="24" s="1"/>
  <c r="O24" i="2"/>
  <c r="Q24" i="2" s="1"/>
  <c r="O26" i="2"/>
  <c r="Q26" i="2" s="1"/>
  <c r="O25" i="2"/>
  <c r="Q25" i="2" s="1"/>
  <c r="O22" i="2"/>
  <c r="Q22" i="2" s="1"/>
  <c r="G23" i="25"/>
  <c r="G24" i="25"/>
  <c r="G22" i="25"/>
  <c r="G20" i="25"/>
  <c r="G21" i="25"/>
  <c r="E22" i="25"/>
  <c r="E24" i="25"/>
  <c r="E23" i="25"/>
  <c r="E20" i="25"/>
  <c r="E21" i="25"/>
  <c r="J22" i="25"/>
  <c r="C22" i="25"/>
  <c r="F22" i="25"/>
  <c r="K29" i="25"/>
  <c r="J23" i="25"/>
  <c r="C24" i="25"/>
  <c r="J21" i="25"/>
  <c r="K28" i="25"/>
  <c r="F21" i="25"/>
  <c r="J24" i="25"/>
  <c r="F24" i="25"/>
  <c r="F23" i="25"/>
  <c r="F20" i="25"/>
  <c r="J20" i="25"/>
  <c r="C20" i="25"/>
  <c r="F41" i="24"/>
  <c r="E41" i="24" s="1"/>
  <c r="GP32" i="24"/>
  <c r="FA41" i="24"/>
  <c r="GI41" i="24" s="1"/>
  <c r="GP41" i="24"/>
  <c r="GP34" i="24"/>
  <c r="GP33" i="24"/>
  <c r="GP31" i="24"/>
  <c r="GP30" i="24"/>
  <c r="GL34" i="24"/>
  <c r="N41" i="24"/>
  <c r="GM41" i="24" s="1"/>
  <c r="GJ39" i="24"/>
  <c r="GL33" i="24"/>
  <c r="GQ34" i="24"/>
  <c r="GH30" i="24"/>
  <c r="GI30" i="24"/>
  <c r="GL31" i="24"/>
  <c r="GT41" i="24"/>
  <c r="GJ38" i="24"/>
  <c r="GQ33" i="24"/>
  <c r="GQ31" i="24"/>
  <c r="GQ30" i="24"/>
  <c r="GT34" i="24"/>
  <c r="GL30" i="24"/>
  <c r="GI31" i="24"/>
  <c r="GI32" i="24"/>
  <c r="GL32" i="24"/>
  <c r="GH32" i="24"/>
  <c r="GI33" i="24"/>
  <c r="GT32" i="24"/>
  <c r="GQ32" i="24" s="1"/>
  <c r="GQ41" i="24"/>
  <c r="GI34" i="24"/>
  <c r="GT30" i="24"/>
  <c r="GT31" i="24"/>
  <c r="GT33" i="24"/>
  <c r="FP29" i="24"/>
  <c r="FO29" i="24"/>
  <c r="FN29" i="24"/>
  <c r="FM29" i="24"/>
  <c r="FL29" i="24"/>
  <c r="FK29" i="24"/>
  <c r="FH29" i="24"/>
  <c r="FG29" i="24"/>
  <c r="FF29" i="24"/>
  <c r="FE29" i="24"/>
  <c r="FD29" i="24"/>
  <c r="FC29" i="24"/>
  <c r="FB29" i="24"/>
  <c r="FA29" i="24"/>
  <c r="EZ29" i="24"/>
  <c r="EY29" i="24"/>
  <c r="EX29" i="24"/>
  <c r="EW29" i="24"/>
  <c r="EV29" i="24"/>
  <c r="EU29" i="24"/>
  <c r="ET29" i="24"/>
  <c r="ES29" i="24"/>
  <c r="ER29" i="24"/>
  <c r="EQ29" i="24"/>
  <c r="EP29" i="24"/>
  <c r="EO29" i="24"/>
  <c r="EN29" i="24"/>
  <c r="EM29" i="24"/>
  <c r="EL29" i="24"/>
  <c r="EK29" i="24"/>
  <c r="EJ29" i="24"/>
  <c r="EI29" i="24"/>
  <c r="EH29" i="24"/>
  <c r="EG29" i="24"/>
  <c r="EF29" i="24"/>
  <c r="EE29" i="24"/>
  <c r="ED29" i="24"/>
  <c r="EC29" i="24"/>
  <c r="EB29" i="24"/>
  <c r="EA29" i="24"/>
  <c r="DZ29" i="24"/>
  <c r="K21" i="2" s="1"/>
  <c r="DC29" i="24"/>
  <c r="DB29" i="24"/>
  <c r="DA29" i="24"/>
  <c r="CZ29" i="24"/>
  <c r="CY29" i="24"/>
  <c r="CX29" i="24"/>
  <c r="CW29" i="24"/>
  <c r="CV29" i="24"/>
  <c r="CU29" i="24"/>
  <c r="CT29" i="24"/>
  <c r="CS29" i="24"/>
  <c r="CR29" i="24"/>
  <c r="CQ29" i="24"/>
  <c r="CP29" i="24"/>
  <c r="CO29" i="24"/>
  <c r="CN29" i="24"/>
  <c r="CM29" i="24"/>
  <c r="CL29" i="24"/>
  <c r="CK29" i="24"/>
  <c r="CJ29" i="24"/>
  <c r="CI29" i="24"/>
  <c r="CH29" i="24"/>
  <c r="CG29" i="24"/>
  <c r="CF29" i="24"/>
  <c r="CE29" i="24"/>
  <c r="CD29" i="24"/>
  <c r="CC29" i="24"/>
  <c r="CB29" i="24"/>
  <c r="CA29" i="24"/>
  <c r="H21" i="2" s="1"/>
  <c r="BZ29" i="24"/>
  <c r="BY29" i="24"/>
  <c r="BX29" i="24"/>
  <c r="BW29" i="24"/>
  <c r="J21" i="2" s="1"/>
  <c r="BV29" i="24"/>
  <c r="BU29" i="24"/>
  <c r="BT29" i="24"/>
  <c r="BS29" i="24"/>
  <c r="BR29" i="24"/>
  <c r="BQ29" i="24"/>
  <c r="BP29" i="24"/>
  <c r="BO29" i="24"/>
  <c r="BN29" i="24"/>
  <c r="BM29" i="24"/>
  <c r="BL29" i="24"/>
  <c r="BK29" i="24"/>
  <c r="BJ29" i="24"/>
  <c r="BI29" i="24"/>
  <c r="BH29" i="24"/>
  <c r="BG29" i="24"/>
  <c r="BF29" i="24"/>
  <c r="BE29" i="24"/>
  <c r="BD29" i="24"/>
  <c r="BC29" i="24"/>
  <c r="BB29" i="24"/>
  <c r="BA29" i="24"/>
  <c r="AZ29" i="24"/>
  <c r="AY29" i="24"/>
  <c r="AX29" i="24"/>
  <c r="AW29" i="24"/>
  <c r="AV29" i="24"/>
  <c r="AT29" i="24"/>
  <c r="AS29" i="24"/>
  <c r="AR29" i="24"/>
  <c r="AQ29" i="24"/>
  <c r="AP29" i="24"/>
  <c r="AO29" i="24"/>
  <c r="AN29" i="24"/>
  <c r="AK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V29" i="24"/>
  <c r="U29" i="24"/>
  <c r="T29" i="24"/>
  <c r="S29" i="24"/>
  <c r="R29" i="24"/>
  <c r="P29" i="24"/>
  <c r="O29" i="24"/>
  <c r="N29" i="24"/>
  <c r="M29" i="24"/>
  <c r="L29" i="24"/>
  <c r="J29" i="24"/>
  <c r="I29" i="24"/>
  <c r="H29" i="24"/>
  <c r="G29" i="24"/>
  <c r="F29" i="24"/>
  <c r="E29" i="24"/>
  <c r="D29" i="24"/>
  <c r="C29" i="24"/>
  <c r="B29" i="24"/>
  <c r="GV28" i="24"/>
  <c r="FP28" i="24"/>
  <c r="FO28" i="24"/>
  <c r="FN28" i="24"/>
  <c r="FM28" i="24"/>
  <c r="FL28" i="24"/>
  <c r="FK28" i="24"/>
  <c r="FH28" i="24"/>
  <c r="FG28" i="24"/>
  <c r="FF28" i="24"/>
  <c r="FE28" i="24"/>
  <c r="FD28" i="24"/>
  <c r="FC28" i="24"/>
  <c r="FB28" i="24"/>
  <c r="FA28" i="24"/>
  <c r="EZ28" i="24"/>
  <c r="EY28" i="24"/>
  <c r="EX28" i="24"/>
  <c r="EW28" i="24"/>
  <c r="EV28" i="24"/>
  <c r="EU28" i="24"/>
  <c r="ET28" i="24"/>
  <c r="ES28" i="24"/>
  <c r="ER28" i="24"/>
  <c r="EQ28" i="24"/>
  <c r="EP28" i="24"/>
  <c r="EO28" i="24"/>
  <c r="EN28" i="24"/>
  <c r="EM28" i="24"/>
  <c r="EL28" i="24"/>
  <c r="EK28" i="24"/>
  <c r="EJ28" i="24"/>
  <c r="EI28" i="24"/>
  <c r="EH28" i="24"/>
  <c r="EG28" i="24"/>
  <c r="EF28" i="24"/>
  <c r="EE28" i="24"/>
  <c r="ED28" i="24"/>
  <c r="EC28" i="24"/>
  <c r="EB28" i="24"/>
  <c r="EA28" i="24"/>
  <c r="DZ28" i="24"/>
  <c r="K20" i="2" s="1"/>
  <c r="DC28" i="24"/>
  <c r="DB28" i="24"/>
  <c r="DA28" i="24"/>
  <c r="CZ28" i="24"/>
  <c r="CY28" i="24"/>
  <c r="CX28" i="24"/>
  <c r="CW28" i="24"/>
  <c r="CV28" i="24"/>
  <c r="CU28" i="24"/>
  <c r="CT28" i="24"/>
  <c r="CS28" i="24"/>
  <c r="CR28" i="24"/>
  <c r="CQ28" i="24"/>
  <c r="CP28" i="24"/>
  <c r="CO28" i="24"/>
  <c r="CN28" i="24"/>
  <c r="CM28" i="24"/>
  <c r="CL28" i="24"/>
  <c r="CK28" i="24"/>
  <c r="CJ28" i="24"/>
  <c r="CI28" i="24"/>
  <c r="CG28" i="24"/>
  <c r="CF28" i="24"/>
  <c r="CE28" i="24"/>
  <c r="CD28" i="24"/>
  <c r="CC28" i="24"/>
  <c r="CB28" i="24"/>
  <c r="CA28" i="24"/>
  <c r="BZ28" i="24"/>
  <c r="BY28" i="24"/>
  <c r="BX28" i="24"/>
  <c r="BW28" i="24"/>
  <c r="J20" i="2" s="1"/>
  <c r="BV28" i="24"/>
  <c r="BU28" i="24"/>
  <c r="BT28" i="24"/>
  <c r="BS28" i="24"/>
  <c r="BR28" i="24"/>
  <c r="BQ28" i="24"/>
  <c r="BP28" i="24"/>
  <c r="BO28" i="24"/>
  <c r="BN28" i="24"/>
  <c r="BM28" i="24"/>
  <c r="BL28" i="24"/>
  <c r="BK28" i="24"/>
  <c r="BJ28" i="24"/>
  <c r="BI28" i="24"/>
  <c r="BH28" i="24"/>
  <c r="BG28" i="24"/>
  <c r="BF28" i="24"/>
  <c r="BE28" i="24"/>
  <c r="BD28" i="24"/>
  <c r="BC28" i="24"/>
  <c r="BB28" i="24"/>
  <c r="BA28" i="24"/>
  <c r="AZ28" i="24"/>
  <c r="AY28" i="24"/>
  <c r="AX28" i="24"/>
  <c r="AW28" i="24"/>
  <c r="AV28" i="24"/>
  <c r="AT28" i="24"/>
  <c r="AS28" i="24"/>
  <c r="AR28" i="24"/>
  <c r="AQ28" i="24"/>
  <c r="AP28" i="24"/>
  <c r="AO28" i="24"/>
  <c r="AN28" i="24"/>
  <c r="AK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J28" i="24"/>
  <c r="I28" i="24"/>
  <c r="H28" i="24"/>
  <c r="G28" i="24"/>
  <c r="F28" i="24"/>
  <c r="E28" i="24"/>
  <c r="D28" i="24"/>
  <c r="C28" i="24"/>
  <c r="B28" i="24"/>
  <c r="GV27" i="24"/>
  <c r="FP27" i="24"/>
  <c r="FO27" i="24"/>
  <c r="FN27" i="24"/>
  <c r="FM27" i="24"/>
  <c r="FL27" i="24"/>
  <c r="FK27" i="24"/>
  <c r="FH27" i="24"/>
  <c r="FG27" i="24"/>
  <c r="FF27" i="24"/>
  <c r="FE27" i="24"/>
  <c r="FD27" i="24"/>
  <c r="FC27" i="24"/>
  <c r="FB27" i="24"/>
  <c r="FA27" i="24"/>
  <c r="EZ27" i="24"/>
  <c r="EY27" i="24"/>
  <c r="EX27" i="24"/>
  <c r="EW27" i="24"/>
  <c r="EV27" i="24"/>
  <c r="EU27" i="24"/>
  <c r="ET27" i="24"/>
  <c r="ES27" i="24"/>
  <c r="ER27" i="24"/>
  <c r="EQ27" i="24"/>
  <c r="EP27" i="24"/>
  <c r="EO27" i="24"/>
  <c r="EN27" i="24"/>
  <c r="EM27" i="24"/>
  <c r="EL27" i="24"/>
  <c r="EK27" i="24"/>
  <c r="EJ27" i="24"/>
  <c r="EI27" i="24"/>
  <c r="EH27" i="24"/>
  <c r="EG27" i="24"/>
  <c r="EF27" i="24"/>
  <c r="EE27" i="24"/>
  <c r="ED27" i="24"/>
  <c r="EC27" i="24"/>
  <c r="EB27" i="24"/>
  <c r="EA27" i="24"/>
  <c r="DZ27" i="24"/>
  <c r="K19" i="2" s="1"/>
  <c r="DC27" i="24"/>
  <c r="DB27" i="24"/>
  <c r="DA27" i="24"/>
  <c r="CZ27" i="24"/>
  <c r="CY27" i="24"/>
  <c r="CX27" i="24"/>
  <c r="CW27" i="24"/>
  <c r="CV27" i="24"/>
  <c r="CU27" i="24"/>
  <c r="CT27" i="24"/>
  <c r="CS27" i="24"/>
  <c r="CR27" i="24"/>
  <c r="CQ27" i="24"/>
  <c r="CP27" i="24"/>
  <c r="CO27" i="24"/>
  <c r="CN27" i="24"/>
  <c r="CM27" i="24"/>
  <c r="CL27" i="24"/>
  <c r="CK27" i="24"/>
  <c r="CJ27" i="24"/>
  <c r="CI27" i="24"/>
  <c r="CH27" i="24"/>
  <c r="CG27" i="24"/>
  <c r="CF27" i="24"/>
  <c r="CE27" i="24"/>
  <c r="CD27" i="24"/>
  <c r="CC27" i="24"/>
  <c r="CB27" i="24"/>
  <c r="CA27" i="24"/>
  <c r="H19" i="2" s="1"/>
  <c r="BZ27" i="24"/>
  <c r="BY27" i="24"/>
  <c r="BX27" i="24"/>
  <c r="BW27" i="24"/>
  <c r="J19" i="2" s="1"/>
  <c r="BV27" i="24"/>
  <c r="BU27" i="24"/>
  <c r="BT27" i="24"/>
  <c r="BS27" i="24"/>
  <c r="BR27" i="24"/>
  <c r="BQ27" i="24"/>
  <c r="BP27" i="24"/>
  <c r="BO27" i="24"/>
  <c r="BN27" i="24"/>
  <c r="BM27" i="24"/>
  <c r="BL27" i="24"/>
  <c r="BK27" i="24"/>
  <c r="BJ27" i="24"/>
  <c r="BI27" i="24"/>
  <c r="BH27" i="24"/>
  <c r="BG27" i="24"/>
  <c r="BF27" i="24"/>
  <c r="BE27" i="24"/>
  <c r="BD27" i="24"/>
  <c r="BC27" i="24"/>
  <c r="BB27" i="24"/>
  <c r="BA27" i="24"/>
  <c r="AZ27" i="24"/>
  <c r="AY27" i="24"/>
  <c r="AX27" i="24"/>
  <c r="AW27" i="24"/>
  <c r="AV27" i="24"/>
  <c r="AT27" i="24"/>
  <c r="AS27" i="24"/>
  <c r="AR27" i="24"/>
  <c r="AQ27" i="24"/>
  <c r="AP27" i="24"/>
  <c r="AO27" i="24"/>
  <c r="AN27" i="24"/>
  <c r="AK27" i="24"/>
  <c r="AI27" i="24"/>
  <c r="AH27" i="24"/>
  <c r="AG27" i="24"/>
  <c r="AF27" i="24"/>
  <c r="AE27" i="24"/>
  <c r="AD27" i="24"/>
  <c r="AC27" i="24"/>
  <c r="AA27" i="24"/>
  <c r="Z27" i="24"/>
  <c r="Y27" i="24"/>
  <c r="X27" i="24"/>
  <c r="W27" i="24"/>
  <c r="U27" i="24"/>
  <c r="T27" i="24"/>
  <c r="S27" i="24"/>
  <c r="R27" i="24"/>
  <c r="Q27" i="24"/>
  <c r="P27" i="24"/>
  <c r="O27" i="24"/>
  <c r="N27" i="24"/>
  <c r="M27" i="24"/>
  <c r="L27" i="24"/>
  <c r="J27" i="24"/>
  <c r="I27" i="24"/>
  <c r="H27" i="24"/>
  <c r="G27" i="24"/>
  <c r="F27" i="24"/>
  <c r="E27" i="24"/>
  <c r="D27" i="24"/>
  <c r="C27" i="24"/>
  <c r="B27" i="24"/>
  <c r="FP26" i="24"/>
  <c r="FO26" i="24"/>
  <c r="FN26" i="24"/>
  <c r="FM26" i="24"/>
  <c r="FL26" i="24"/>
  <c r="FK26" i="24"/>
  <c r="FH26" i="24"/>
  <c r="FG26" i="24"/>
  <c r="FF26" i="24"/>
  <c r="FE26" i="24"/>
  <c r="FC26" i="24"/>
  <c r="FB26" i="24"/>
  <c r="FA26" i="24"/>
  <c r="EZ26" i="24"/>
  <c r="EY26" i="24"/>
  <c r="EX26" i="24"/>
  <c r="EW26" i="24"/>
  <c r="EV26" i="24"/>
  <c r="EU26" i="24"/>
  <c r="ET26" i="24"/>
  <c r="ES26" i="24"/>
  <c r="ER26" i="24"/>
  <c r="EQ26" i="24"/>
  <c r="EO26" i="24"/>
  <c r="EN26" i="24"/>
  <c r="EM26" i="24"/>
  <c r="EL26" i="24"/>
  <c r="EK26" i="24"/>
  <c r="EJ26" i="24"/>
  <c r="EI26" i="24"/>
  <c r="EH26" i="24"/>
  <c r="EG26" i="24"/>
  <c r="EF26" i="24"/>
  <c r="EE26" i="24"/>
  <c r="ED26" i="24"/>
  <c r="EC26" i="24"/>
  <c r="EB26" i="24"/>
  <c r="EA26" i="24"/>
  <c r="DZ26" i="24"/>
  <c r="DC26" i="24"/>
  <c r="DB26" i="24"/>
  <c r="DA26" i="24"/>
  <c r="CZ26" i="24"/>
  <c r="CY26" i="24"/>
  <c r="CX26" i="24"/>
  <c r="CW26" i="24"/>
  <c r="CV26" i="24"/>
  <c r="CU26" i="24"/>
  <c r="CT26" i="24"/>
  <c r="CS26" i="24"/>
  <c r="CR26" i="24"/>
  <c r="CQ26" i="24"/>
  <c r="CP26" i="24"/>
  <c r="CO26" i="24"/>
  <c r="CN26" i="24"/>
  <c r="CM26" i="24"/>
  <c r="CL26" i="24"/>
  <c r="CK26" i="24"/>
  <c r="CJ26" i="24"/>
  <c r="CI26" i="24"/>
  <c r="CH26" i="24"/>
  <c r="CG26" i="24"/>
  <c r="CF26" i="24"/>
  <c r="CE26" i="24"/>
  <c r="CD26" i="24"/>
  <c r="CC26" i="24"/>
  <c r="CB26" i="24"/>
  <c r="CA26" i="24"/>
  <c r="BZ26" i="24"/>
  <c r="BY26" i="24"/>
  <c r="BX26" i="24"/>
  <c r="BW26" i="24"/>
  <c r="J18" i="2" s="1"/>
  <c r="BV26" i="24"/>
  <c r="BU26" i="24"/>
  <c r="BT26" i="24"/>
  <c r="BS26" i="24"/>
  <c r="BR26" i="24"/>
  <c r="BQ26" i="24"/>
  <c r="BP26" i="24"/>
  <c r="BO26" i="24"/>
  <c r="BN26" i="24"/>
  <c r="BM26" i="24"/>
  <c r="BL26" i="24"/>
  <c r="BK26" i="24"/>
  <c r="BJ26" i="24"/>
  <c r="BI26" i="24"/>
  <c r="BH26" i="24"/>
  <c r="BG26" i="24"/>
  <c r="BF26" i="24"/>
  <c r="BE26" i="24"/>
  <c r="BD26" i="24"/>
  <c r="BC26" i="24"/>
  <c r="BB26" i="24"/>
  <c r="BA26" i="24"/>
  <c r="AZ26" i="24"/>
  <c r="AY26" i="24"/>
  <c r="AX26" i="24"/>
  <c r="AW26" i="24"/>
  <c r="AV26" i="24"/>
  <c r="AT26" i="24"/>
  <c r="AS26" i="24"/>
  <c r="AR26" i="24"/>
  <c r="AQ26" i="24"/>
  <c r="AO26" i="24"/>
  <c r="AN26" i="24"/>
  <c r="AK26" i="24"/>
  <c r="AI26" i="24"/>
  <c r="AH26" i="24"/>
  <c r="AG26" i="24"/>
  <c r="AF26" i="24"/>
  <c r="AE26" i="24"/>
  <c r="AD26" i="24"/>
  <c r="AC26" i="24"/>
  <c r="AA26" i="24"/>
  <c r="Z26" i="24"/>
  <c r="Y26" i="24"/>
  <c r="X26" i="24"/>
  <c r="W26" i="24"/>
  <c r="U26" i="24"/>
  <c r="T26" i="24"/>
  <c r="S26" i="24"/>
  <c r="R26" i="24"/>
  <c r="Q26" i="24"/>
  <c r="O26" i="24"/>
  <c r="N26" i="24"/>
  <c r="M26" i="24"/>
  <c r="L26" i="24"/>
  <c r="J26" i="24"/>
  <c r="I26" i="24"/>
  <c r="H26" i="24"/>
  <c r="G26" i="24"/>
  <c r="F26" i="24"/>
  <c r="E26" i="24"/>
  <c r="D26" i="24"/>
  <c r="C26" i="24"/>
  <c r="B26" i="24"/>
  <c r="GV25" i="24"/>
  <c r="FP25" i="24"/>
  <c r="FO25" i="24"/>
  <c r="FN25" i="24"/>
  <c r="FM25" i="24"/>
  <c r="FL25" i="24"/>
  <c r="FK25" i="24"/>
  <c r="FH25" i="24"/>
  <c r="FG25" i="24"/>
  <c r="FF25" i="24"/>
  <c r="FE25" i="24"/>
  <c r="FD25" i="24"/>
  <c r="FC25" i="24"/>
  <c r="FB25" i="24"/>
  <c r="FA25" i="24"/>
  <c r="EZ25" i="24"/>
  <c r="EY25" i="24"/>
  <c r="EX25" i="24"/>
  <c r="EW25" i="24"/>
  <c r="EV25" i="24"/>
  <c r="EU25" i="24"/>
  <c r="ET25" i="24"/>
  <c r="ES25" i="24"/>
  <c r="ER25" i="24"/>
  <c r="EQ25" i="24"/>
  <c r="EP25" i="24"/>
  <c r="EO25" i="24"/>
  <c r="EN25" i="24"/>
  <c r="EM25" i="24"/>
  <c r="EL25" i="24"/>
  <c r="EK25" i="24"/>
  <c r="EJ25" i="24"/>
  <c r="EI25" i="24"/>
  <c r="EH25" i="24"/>
  <c r="EG25" i="24"/>
  <c r="EF25" i="24"/>
  <c r="EE25" i="24"/>
  <c r="ED25" i="24"/>
  <c r="EC25" i="24"/>
  <c r="EB25" i="24"/>
  <c r="EA25" i="24"/>
  <c r="DZ25" i="24"/>
  <c r="K17" i="2" s="1"/>
  <c r="DC25" i="24"/>
  <c r="DB25" i="24"/>
  <c r="CZ25" i="24"/>
  <c r="CY25" i="24"/>
  <c r="CX25" i="24"/>
  <c r="CW25" i="24"/>
  <c r="CV25" i="24"/>
  <c r="CU25" i="24"/>
  <c r="CT25" i="24"/>
  <c r="CS25" i="24"/>
  <c r="CR25" i="24"/>
  <c r="CQ25" i="24"/>
  <c r="CP25" i="24"/>
  <c r="CO25" i="24"/>
  <c r="CN25" i="24"/>
  <c r="CM25" i="24"/>
  <c r="CL25" i="24"/>
  <c r="CK25" i="24"/>
  <c r="CJ25" i="24"/>
  <c r="CI25" i="24"/>
  <c r="CH25" i="24"/>
  <c r="CG25" i="24"/>
  <c r="CF25" i="24"/>
  <c r="CE25" i="24"/>
  <c r="CD25" i="24"/>
  <c r="CC25" i="24"/>
  <c r="CB25" i="24"/>
  <c r="CA25" i="24"/>
  <c r="H17" i="2" s="1"/>
  <c r="BZ25" i="24"/>
  <c r="BY25" i="24"/>
  <c r="BX25" i="24"/>
  <c r="BW25" i="24"/>
  <c r="J17" i="2" s="1"/>
  <c r="BV25" i="24"/>
  <c r="BU25" i="24"/>
  <c r="BT25" i="24"/>
  <c r="BS25" i="24"/>
  <c r="BR25" i="24"/>
  <c r="BQ25" i="24"/>
  <c r="BP25" i="24"/>
  <c r="BO25" i="24"/>
  <c r="BN25" i="24"/>
  <c r="BM25" i="24"/>
  <c r="BL25" i="24"/>
  <c r="BK25" i="24"/>
  <c r="BJ25" i="24"/>
  <c r="BI25" i="24"/>
  <c r="BH25" i="24"/>
  <c r="BG25" i="24"/>
  <c r="BF25" i="24"/>
  <c r="BE25" i="24"/>
  <c r="BD25" i="24"/>
  <c r="BC25" i="24"/>
  <c r="BB25" i="24"/>
  <c r="BA25" i="24"/>
  <c r="AZ25" i="24"/>
  <c r="AY25" i="24"/>
  <c r="AX25" i="24"/>
  <c r="AW25" i="24"/>
  <c r="AV25" i="24"/>
  <c r="AT25" i="24"/>
  <c r="AS25" i="24"/>
  <c r="AR25" i="24"/>
  <c r="AQ25" i="24"/>
  <c r="AP25" i="24"/>
  <c r="AO25" i="24"/>
  <c r="AN25" i="24"/>
  <c r="AK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J25" i="24"/>
  <c r="I25" i="24"/>
  <c r="H25" i="24"/>
  <c r="G25" i="24"/>
  <c r="F25" i="24"/>
  <c r="E25" i="24"/>
  <c r="D25" i="24"/>
  <c r="C25" i="24"/>
  <c r="B25" i="24"/>
  <c r="GV24" i="24"/>
  <c r="F22" i="2" l="1"/>
  <c r="L22" i="2" s="1"/>
  <c r="F26" i="2"/>
  <c r="F24" i="2"/>
  <c r="L24" i="2" s="1"/>
  <c r="G17" i="2"/>
  <c r="E20" i="2"/>
  <c r="D20" i="2"/>
  <c r="H20" i="2"/>
  <c r="G20" i="2"/>
  <c r="C19" i="2"/>
  <c r="G19" i="2"/>
  <c r="E19" i="2"/>
  <c r="E21" i="2"/>
  <c r="G21" i="2"/>
  <c r="D21" i="2"/>
  <c r="C21" i="2"/>
  <c r="E17" i="2"/>
  <c r="C17" i="2"/>
  <c r="E18" i="2"/>
  <c r="D17" i="25"/>
  <c r="GK25" i="24"/>
  <c r="D15" i="25"/>
  <c r="I19" i="25"/>
  <c r="D41" i="24"/>
  <c r="C41" i="24" s="1"/>
  <c r="GK41" i="24" s="1"/>
  <c r="GK29" i="24"/>
  <c r="GK27" i="24"/>
  <c r="I17" i="25"/>
  <c r="I18" i="25"/>
  <c r="D18" i="25"/>
  <c r="D19" i="25"/>
  <c r="D16" i="25"/>
  <c r="I16" i="25"/>
  <c r="GR25" i="24"/>
  <c r="GR29" i="24"/>
  <c r="GR27" i="24"/>
  <c r="GR28" i="24"/>
  <c r="GR26" i="24"/>
  <c r="H18" i="25"/>
  <c r="H19" i="25"/>
  <c r="H15" i="25"/>
  <c r="H17" i="25"/>
  <c r="GO29" i="24"/>
  <c r="W41" i="24"/>
  <c r="GS41" i="24" s="1"/>
  <c r="GO41" i="24"/>
  <c r="GO28" i="24"/>
  <c r="O18" i="2"/>
  <c r="Q18" i="2" s="1"/>
  <c r="O20" i="2"/>
  <c r="Q20" i="2" s="1"/>
  <c r="GU25" i="24"/>
  <c r="GU26" i="24"/>
  <c r="H18" i="2"/>
  <c r="GU27" i="24"/>
  <c r="GU28" i="24"/>
  <c r="GU29" i="24"/>
  <c r="B15" i="25"/>
  <c r="B19" i="25"/>
  <c r="B18" i="25"/>
  <c r="GM25" i="24"/>
  <c r="GS26" i="24"/>
  <c r="GS29" i="24"/>
  <c r="GS25" i="24"/>
  <c r="GN25" i="24"/>
  <c r="GM27" i="24"/>
  <c r="GN28" i="24"/>
  <c r="GM26" i="24"/>
  <c r="GN26" i="24"/>
  <c r="GS27" i="24"/>
  <c r="GM28" i="24"/>
  <c r="GN29" i="24"/>
  <c r="GN27" i="24"/>
  <c r="GS28" i="24"/>
  <c r="GM29" i="24"/>
  <c r="O19" i="2"/>
  <c r="Q19" i="2" s="1"/>
  <c r="O21" i="2"/>
  <c r="Q21" i="2" s="1"/>
  <c r="O17" i="2"/>
  <c r="Q17" i="2" s="1"/>
  <c r="G15" i="25"/>
  <c r="G17" i="25"/>
  <c r="G18" i="25"/>
  <c r="G19" i="25"/>
  <c r="E15" i="25"/>
  <c r="E17" i="25"/>
  <c r="E16" i="25"/>
  <c r="E18" i="25"/>
  <c r="E19" i="25"/>
  <c r="K22" i="25"/>
  <c r="C15" i="25"/>
  <c r="K18" i="2"/>
  <c r="F15" i="25"/>
  <c r="J17" i="25"/>
  <c r="J16" i="25"/>
  <c r="F17" i="25"/>
  <c r="J15" i="25"/>
  <c r="C16" i="25"/>
  <c r="F16" i="25"/>
  <c r="C19" i="25"/>
  <c r="F19" i="25"/>
  <c r="K20" i="25"/>
  <c r="J19" i="25"/>
  <c r="J18" i="25"/>
  <c r="C18" i="25"/>
  <c r="GL27" i="24"/>
  <c r="GP25" i="24"/>
  <c r="GP29" i="24"/>
  <c r="GP27" i="24"/>
  <c r="GP28" i="24"/>
  <c r="GL25" i="24"/>
  <c r="GL28" i="24"/>
  <c r="GL29" i="24"/>
  <c r="GJ30" i="24"/>
  <c r="GJ32" i="24"/>
  <c r="GQ28" i="24"/>
  <c r="GT29" i="24"/>
  <c r="GQ29" i="24"/>
  <c r="GI28" i="24"/>
  <c r="GT27" i="24"/>
  <c r="GT28" i="24"/>
  <c r="GQ25" i="24"/>
  <c r="GL26" i="24"/>
  <c r="GQ26" i="24"/>
  <c r="GQ27" i="24"/>
  <c r="GH29" i="24"/>
  <c r="GI27" i="24"/>
  <c r="GI29" i="24"/>
  <c r="GT25" i="24"/>
  <c r="GT26" i="24"/>
  <c r="GI25" i="24"/>
  <c r="FP24" i="24"/>
  <c r="FO24" i="24"/>
  <c r="FN24" i="24"/>
  <c r="FM24" i="24"/>
  <c r="FL24" i="24"/>
  <c r="FK24" i="24"/>
  <c r="FH24" i="24"/>
  <c r="FG24" i="24"/>
  <c r="FF24" i="24"/>
  <c r="FE24" i="24"/>
  <c r="FD24" i="24"/>
  <c r="FC24" i="24"/>
  <c r="FB24" i="24"/>
  <c r="FA24" i="24"/>
  <c r="EZ24" i="24"/>
  <c r="EY24" i="24"/>
  <c r="EX24" i="24"/>
  <c r="EW24" i="24"/>
  <c r="EV24" i="24"/>
  <c r="EU24" i="24"/>
  <c r="ET24" i="24"/>
  <c r="ES24" i="24"/>
  <c r="ER24" i="24"/>
  <c r="EQ24" i="24"/>
  <c r="EP24" i="24"/>
  <c r="EO24" i="24"/>
  <c r="EN24" i="24"/>
  <c r="EM24" i="24"/>
  <c r="EL24" i="24"/>
  <c r="EK24" i="24"/>
  <c r="EJ24" i="24"/>
  <c r="EI24" i="24"/>
  <c r="EH24" i="24"/>
  <c r="EG24" i="24"/>
  <c r="EF24" i="24"/>
  <c r="EE24" i="24"/>
  <c r="ED24" i="24"/>
  <c r="EC24" i="24"/>
  <c r="EB24" i="24"/>
  <c r="EA24" i="24"/>
  <c r="DZ24" i="24"/>
  <c r="DC24" i="24"/>
  <c r="DB24" i="24"/>
  <c r="DA24" i="24"/>
  <c r="CZ24" i="24"/>
  <c r="CY24" i="24"/>
  <c r="CX24" i="24"/>
  <c r="CW24" i="24"/>
  <c r="CV24" i="24"/>
  <c r="CU24" i="24"/>
  <c r="CT24" i="24"/>
  <c r="CS24" i="24"/>
  <c r="CR24" i="24"/>
  <c r="CQ24" i="24"/>
  <c r="CP24" i="24"/>
  <c r="CO24" i="24"/>
  <c r="CN24" i="24"/>
  <c r="CM24" i="24"/>
  <c r="CL24" i="24"/>
  <c r="CK24" i="24"/>
  <c r="CJ24" i="24"/>
  <c r="CI24" i="24"/>
  <c r="CH24" i="24"/>
  <c r="CG24" i="24"/>
  <c r="CF24" i="24"/>
  <c r="CE24" i="24"/>
  <c r="CD24" i="24"/>
  <c r="CC24" i="24"/>
  <c r="CB24" i="24"/>
  <c r="CA24" i="24"/>
  <c r="BZ24" i="24"/>
  <c r="BY24" i="24"/>
  <c r="BX24" i="24"/>
  <c r="BW24" i="24"/>
  <c r="J16" i="2" s="1"/>
  <c r="BV24" i="24"/>
  <c r="BU24" i="24"/>
  <c r="BT24" i="24"/>
  <c r="BS24" i="24"/>
  <c r="BR24" i="24"/>
  <c r="BQ24" i="24"/>
  <c r="BP24" i="24"/>
  <c r="BO24" i="24"/>
  <c r="BN24" i="24"/>
  <c r="BM24" i="24"/>
  <c r="BL24" i="24"/>
  <c r="BK24" i="24"/>
  <c r="BJ24" i="24"/>
  <c r="BI24" i="24"/>
  <c r="BH24" i="24"/>
  <c r="BG24" i="24"/>
  <c r="BF24" i="24"/>
  <c r="BE24" i="24"/>
  <c r="BD24" i="24"/>
  <c r="BC24" i="24"/>
  <c r="BB24" i="24"/>
  <c r="BA24" i="24"/>
  <c r="AZ24" i="24"/>
  <c r="AY24" i="24"/>
  <c r="AX24" i="24"/>
  <c r="AW24" i="24"/>
  <c r="AV24" i="24"/>
  <c r="AT24" i="24"/>
  <c r="AS24" i="24"/>
  <c r="AR24" i="24"/>
  <c r="AQ24" i="24"/>
  <c r="AP24" i="24"/>
  <c r="AO24" i="24"/>
  <c r="AN24" i="24"/>
  <c r="AM24" i="24"/>
  <c r="AL24" i="24"/>
  <c r="AK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V24" i="24"/>
  <c r="U24" i="24"/>
  <c r="T24" i="24"/>
  <c r="S24" i="24"/>
  <c r="R24" i="24"/>
  <c r="Q24" i="24"/>
  <c r="P24" i="24"/>
  <c r="O24" i="24"/>
  <c r="N24" i="24"/>
  <c r="M24" i="24"/>
  <c r="L24" i="24"/>
  <c r="J24" i="24"/>
  <c r="I24" i="24"/>
  <c r="H24" i="24"/>
  <c r="G24" i="24"/>
  <c r="F24" i="24"/>
  <c r="E24" i="24"/>
  <c r="D24" i="24"/>
  <c r="C24" i="24"/>
  <c r="B24" i="24"/>
  <c r="GV23" i="24"/>
  <c r="F20" i="2" l="1"/>
  <c r="F21" i="2"/>
  <c r="L21" i="2" s="1"/>
  <c r="E16" i="2"/>
  <c r="D16" i="2"/>
  <c r="C16" i="2"/>
  <c r="GR24" i="24"/>
  <c r="D14" i="25"/>
  <c r="GK24" i="24"/>
  <c r="I14" i="25"/>
  <c r="GH41" i="24"/>
  <c r="GJ41" i="24" s="1"/>
  <c r="H14" i="25"/>
  <c r="GO24" i="24"/>
  <c r="H16" i="2"/>
  <c r="GU24" i="24"/>
  <c r="B14" i="25"/>
  <c r="GM24" i="24"/>
  <c r="GS24" i="24"/>
  <c r="GN24" i="24"/>
  <c r="O16" i="2"/>
  <c r="Q16" i="2" s="1"/>
  <c r="G14" i="25"/>
  <c r="E14" i="25"/>
  <c r="J14" i="25"/>
  <c r="C14" i="25"/>
  <c r="F14" i="25"/>
  <c r="K19" i="25"/>
  <c r="K16" i="2"/>
  <c r="G16" i="2"/>
  <c r="I16" i="2"/>
  <c r="GP24" i="24"/>
  <c r="B18" i="19"/>
  <c r="GJ29" i="24"/>
  <c r="GH24" i="24"/>
  <c r="GT24" i="24"/>
  <c r="GL24" i="24"/>
  <c r="GQ24" i="24"/>
  <c r="GI24" i="24"/>
  <c r="FP23" i="24"/>
  <c r="FO23" i="24"/>
  <c r="FN23" i="24"/>
  <c r="FM23" i="24"/>
  <c r="FL23" i="24"/>
  <c r="FK23" i="24"/>
  <c r="FH23" i="24"/>
  <c r="FG23" i="24"/>
  <c r="FF23" i="24"/>
  <c r="FE23" i="24"/>
  <c r="FD23" i="24"/>
  <c r="FC23" i="24"/>
  <c r="FB23" i="24"/>
  <c r="FA23" i="24"/>
  <c r="EZ23" i="24"/>
  <c r="EY23" i="24"/>
  <c r="EX23" i="24"/>
  <c r="EW23" i="24"/>
  <c r="EV23" i="24"/>
  <c r="EU23" i="24"/>
  <c r="ET23" i="24"/>
  <c r="ES23" i="24"/>
  <c r="ER23" i="24"/>
  <c r="EQ23" i="24"/>
  <c r="EP23" i="24"/>
  <c r="EO23" i="24"/>
  <c r="EN23" i="24"/>
  <c r="EM23" i="24"/>
  <c r="EL23" i="24"/>
  <c r="EK23" i="24"/>
  <c r="EJ23" i="24"/>
  <c r="EI23" i="24"/>
  <c r="EH23" i="24"/>
  <c r="EG23" i="24"/>
  <c r="EF23" i="24"/>
  <c r="EE23" i="24"/>
  <c r="ED23" i="24"/>
  <c r="EC23" i="24"/>
  <c r="EB23" i="24"/>
  <c r="EA23" i="24"/>
  <c r="DZ23" i="24"/>
  <c r="DC23" i="24"/>
  <c r="DB23" i="24"/>
  <c r="DA23" i="24"/>
  <c r="CZ23" i="24"/>
  <c r="CY23" i="24"/>
  <c r="CX23" i="24"/>
  <c r="CW23" i="24"/>
  <c r="CV23" i="24"/>
  <c r="CU23" i="24"/>
  <c r="CT23" i="24"/>
  <c r="CS23" i="24"/>
  <c r="CR23" i="24"/>
  <c r="CQ23" i="24"/>
  <c r="CP23" i="24"/>
  <c r="CO23" i="24"/>
  <c r="CN23" i="24"/>
  <c r="CM23" i="24"/>
  <c r="CL23" i="24"/>
  <c r="CK23" i="24"/>
  <c r="CJ23" i="24"/>
  <c r="CI23" i="24"/>
  <c r="CH23" i="24"/>
  <c r="CG23" i="24"/>
  <c r="CF23" i="24"/>
  <c r="CE23" i="24"/>
  <c r="CD23" i="24"/>
  <c r="CC23" i="24"/>
  <c r="CB23" i="24"/>
  <c r="CA23" i="24"/>
  <c r="BZ23" i="24"/>
  <c r="BY23" i="24"/>
  <c r="BX23" i="24"/>
  <c r="BW23" i="24"/>
  <c r="J15" i="2" s="1"/>
  <c r="BV23" i="24"/>
  <c r="BU23" i="24"/>
  <c r="BT23" i="24"/>
  <c r="BS23" i="24"/>
  <c r="BR23" i="24"/>
  <c r="BQ23" i="24"/>
  <c r="BP23" i="24"/>
  <c r="BO23" i="24"/>
  <c r="BN23" i="24"/>
  <c r="BM23" i="24"/>
  <c r="BL23" i="24"/>
  <c r="BK23" i="24"/>
  <c r="BJ23" i="24"/>
  <c r="BI23" i="24"/>
  <c r="BH23" i="24"/>
  <c r="BG23" i="24"/>
  <c r="BF23" i="24"/>
  <c r="BE23" i="24"/>
  <c r="BD23" i="24"/>
  <c r="BC23" i="24"/>
  <c r="BB23" i="24"/>
  <c r="BA23" i="24"/>
  <c r="AZ23" i="24"/>
  <c r="AY23" i="24"/>
  <c r="AX23" i="24"/>
  <c r="AW23" i="24"/>
  <c r="AV23" i="24"/>
  <c r="AT23" i="24"/>
  <c r="AS23" i="24"/>
  <c r="AR23" i="24"/>
  <c r="AQ23" i="24"/>
  <c r="AP23" i="24"/>
  <c r="AO23" i="24"/>
  <c r="AN23" i="24"/>
  <c r="AM23" i="24"/>
  <c r="AL23" i="24"/>
  <c r="AK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V23" i="24"/>
  <c r="U23" i="24"/>
  <c r="T23" i="24"/>
  <c r="S23" i="24"/>
  <c r="R23" i="24"/>
  <c r="Q23" i="24"/>
  <c r="P23" i="24"/>
  <c r="O23" i="24"/>
  <c r="N23" i="24"/>
  <c r="M23" i="24"/>
  <c r="L23" i="24"/>
  <c r="J23" i="24"/>
  <c r="I23" i="24"/>
  <c r="H23" i="24"/>
  <c r="G23" i="24"/>
  <c r="F23" i="24"/>
  <c r="E23" i="24"/>
  <c r="D23" i="24"/>
  <c r="C23" i="24"/>
  <c r="B23" i="24"/>
  <c r="GV22" i="24"/>
  <c r="F16" i="2" l="1"/>
  <c r="L16" i="2" s="1"/>
  <c r="E15" i="2"/>
  <c r="C15" i="2"/>
  <c r="D15" i="2"/>
  <c r="GK23" i="24"/>
  <c r="D13" i="25"/>
  <c r="I13" i="25"/>
  <c r="GR23" i="24"/>
  <c r="H13" i="25"/>
  <c r="GO23" i="24"/>
  <c r="H15" i="2"/>
  <c r="GU23" i="24"/>
  <c r="B13" i="25"/>
  <c r="GN23" i="24"/>
  <c r="GM23" i="24"/>
  <c r="GS23" i="24"/>
  <c r="O15" i="2"/>
  <c r="Q15" i="2" s="1"/>
  <c r="G13" i="25"/>
  <c r="E13" i="25"/>
  <c r="K14" i="25"/>
  <c r="F13" i="25"/>
  <c r="J13" i="25"/>
  <c r="K15" i="2"/>
  <c r="C13" i="25"/>
  <c r="G15" i="2"/>
  <c r="I15" i="2"/>
  <c r="GP23" i="24"/>
  <c r="B17" i="19"/>
  <c r="GI23" i="24"/>
  <c r="GJ24" i="24"/>
  <c r="GT23" i="24"/>
  <c r="GL23" i="24"/>
  <c r="GQ23" i="24"/>
  <c r="GH23" i="24"/>
  <c r="FP22" i="24"/>
  <c r="FO22" i="24"/>
  <c r="FN22" i="24"/>
  <c r="FM22" i="24"/>
  <c r="FL22" i="24"/>
  <c r="FK22" i="24"/>
  <c r="FJ22" i="24"/>
  <c r="FI22" i="24"/>
  <c r="FH22" i="24"/>
  <c r="FG22" i="24"/>
  <c r="FF22" i="24"/>
  <c r="FE22" i="24"/>
  <c r="FD22" i="24"/>
  <c r="FC22" i="24"/>
  <c r="FB22" i="24"/>
  <c r="FA22" i="24"/>
  <c r="EZ22" i="24"/>
  <c r="EY22" i="24"/>
  <c r="EX22" i="24"/>
  <c r="EW22" i="24"/>
  <c r="EV22" i="24"/>
  <c r="EU22" i="24"/>
  <c r="ET22" i="24"/>
  <c r="ES22" i="24"/>
  <c r="ER22" i="24"/>
  <c r="EQ22" i="24"/>
  <c r="EP22" i="24"/>
  <c r="EO22" i="24"/>
  <c r="EN22" i="24"/>
  <c r="EM22" i="24"/>
  <c r="EL22" i="24"/>
  <c r="EK22" i="24"/>
  <c r="EJ22" i="24"/>
  <c r="EI22" i="24"/>
  <c r="EH22" i="24"/>
  <c r="EG22" i="24"/>
  <c r="EF22" i="24"/>
  <c r="EE22" i="24"/>
  <c r="ED22" i="24"/>
  <c r="EC22" i="24"/>
  <c r="EB22" i="24"/>
  <c r="EA22" i="24"/>
  <c r="DZ22" i="24"/>
  <c r="DC22" i="24"/>
  <c r="DB22" i="24"/>
  <c r="DA22" i="24"/>
  <c r="CZ22" i="24"/>
  <c r="CY22" i="24"/>
  <c r="CX22" i="24"/>
  <c r="CW22" i="24"/>
  <c r="CV22" i="24"/>
  <c r="CU22" i="24"/>
  <c r="CT22" i="24"/>
  <c r="CS22" i="24"/>
  <c r="CR22" i="24"/>
  <c r="CQ22" i="24"/>
  <c r="CP22" i="24"/>
  <c r="CO22" i="24"/>
  <c r="CN22" i="24"/>
  <c r="CM22" i="24"/>
  <c r="CL22" i="24"/>
  <c r="CK22" i="24"/>
  <c r="CJ22" i="24"/>
  <c r="CI22" i="24"/>
  <c r="CH22" i="24"/>
  <c r="CG22" i="24"/>
  <c r="CF22" i="24"/>
  <c r="CE22" i="24"/>
  <c r="CD22" i="24"/>
  <c r="CC22" i="24"/>
  <c r="CB22" i="24"/>
  <c r="CA22" i="24"/>
  <c r="BZ22" i="24"/>
  <c r="BY22" i="24"/>
  <c r="BX22" i="24"/>
  <c r="BW22" i="24"/>
  <c r="J14" i="2" s="1"/>
  <c r="BV22" i="24"/>
  <c r="BU22" i="24"/>
  <c r="BT22" i="24"/>
  <c r="BS22" i="24"/>
  <c r="BR22" i="24"/>
  <c r="BQ22" i="24"/>
  <c r="BP22" i="24"/>
  <c r="BO22" i="24"/>
  <c r="BN22" i="24"/>
  <c r="BM22" i="24"/>
  <c r="BL22" i="24"/>
  <c r="BK22" i="24"/>
  <c r="BJ22" i="24"/>
  <c r="BI22" i="24"/>
  <c r="BH22" i="24"/>
  <c r="BG22" i="24"/>
  <c r="BF22" i="24"/>
  <c r="BE22" i="24"/>
  <c r="BD22" i="24"/>
  <c r="BC22" i="24"/>
  <c r="BB22" i="24"/>
  <c r="BA22" i="24"/>
  <c r="AZ22" i="24"/>
  <c r="AY22" i="24"/>
  <c r="AX22" i="24"/>
  <c r="AW22" i="24"/>
  <c r="AV22" i="24"/>
  <c r="AT22" i="24"/>
  <c r="AS22" i="24"/>
  <c r="AR22" i="24"/>
  <c r="AQ22" i="24"/>
  <c r="AP22" i="24"/>
  <c r="AO22" i="24"/>
  <c r="AN22" i="24"/>
  <c r="AM22" i="24"/>
  <c r="I14" i="2" s="1"/>
  <c r="AK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V22" i="24"/>
  <c r="U22" i="24"/>
  <c r="T22" i="24"/>
  <c r="S22" i="24"/>
  <c r="R22" i="24"/>
  <c r="Q22" i="24"/>
  <c r="P22" i="24"/>
  <c r="O22" i="24"/>
  <c r="N22" i="24"/>
  <c r="M22" i="24"/>
  <c r="L22" i="24"/>
  <c r="J22" i="24"/>
  <c r="I22" i="24"/>
  <c r="H22" i="24"/>
  <c r="G22" i="24"/>
  <c r="F22" i="24"/>
  <c r="E22" i="24"/>
  <c r="D22" i="24"/>
  <c r="C22" i="24"/>
  <c r="B22" i="24"/>
  <c r="GV21" i="24"/>
  <c r="F15" i="2" l="1"/>
  <c r="L15" i="2" s="1"/>
  <c r="C14" i="2"/>
  <c r="GK22" i="24"/>
  <c r="K14" i="2"/>
  <c r="D12" i="25"/>
  <c r="I12" i="25"/>
  <c r="E14" i="2"/>
  <c r="GR22" i="24"/>
  <c r="H12" i="25"/>
  <c r="GU22" i="24"/>
  <c r="H14" i="2"/>
  <c r="B12" i="25"/>
  <c r="GM22" i="24"/>
  <c r="GS22" i="24"/>
  <c r="GN22" i="24"/>
  <c r="O14" i="2"/>
  <c r="Q14" i="2" s="1"/>
  <c r="G12" i="25"/>
  <c r="E12" i="25"/>
  <c r="K13" i="25"/>
  <c r="J12" i="25"/>
  <c r="F12" i="25"/>
  <c r="G14" i="2"/>
  <c r="GP22" i="24"/>
  <c r="GJ23" i="24"/>
  <c r="GT22" i="24"/>
  <c r="GQ22" i="24"/>
  <c r="GL22" i="24"/>
  <c r="GI22" i="24"/>
  <c r="FP21" i="24"/>
  <c r="FP37" i="16" s="1"/>
  <c r="FO21" i="24"/>
  <c r="FO37" i="16" s="1"/>
  <c r="FN21" i="24"/>
  <c r="FN37" i="16" s="1"/>
  <c r="FM21" i="24"/>
  <c r="FM37" i="16" s="1"/>
  <c r="FL21" i="24"/>
  <c r="FL37" i="16" s="1"/>
  <c r="FK21" i="24"/>
  <c r="FK37" i="16" s="1"/>
  <c r="FJ21" i="24"/>
  <c r="FJ37" i="16" s="1"/>
  <c r="FI21" i="24"/>
  <c r="FI37" i="16" s="1"/>
  <c r="FH21" i="24"/>
  <c r="FH37" i="16" s="1"/>
  <c r="FG21" i="24"/>
  <c r="FG37" i="16" s="1"/>
  <c r="FF21" i="24"/>
  <c r="FF37" i="16" s="1"/>
  <c r="FE21" i="24"/>
  <c r="FE37" i="16" s="1"/>
  <c r="FD21" i="24"/>
  <c r="FD37" i="16" s="1"/>
  <c r="FC21" i="24"/>
  <c r="FC37" i="16" s="1"/>
  <c r="FB21" i="24"/>
  <c r="FA21" i="24"/>
  <c r="FA37" i="16" s="1"/>
  <c r="EZ21" i="24"/>
  <c r="EZ37" i="16" s="1"/>
  <c r="EY21" i="24"/>
  <c r="EY37" i="16" s="1"/>
  <c r="EX21" i="24"/>
  <c r="EX37" i="16" s="1"/>
  <c r="EW21" i="24"/>
  <c r="EW37" i="16" s="1"/>
  <c r="EV21" i="24"/>
  <c r="EV37" i="16" s="1"/>
  <c r="EU21" i="24"/>
  <c r="EU37" i="16" s="1"/>
  <c r="ET21" i="24"/>
  <c r="ET37" i="16" s="1"/>
  <c r="ES21" i="24"/>
  <c r="ES37" i="16" s="1"/>
  <c r="ER21" i="24"/>
  <c r="ER37" i="16" s="1"/>
  <c r="EQ21" i="24"/>
  <c r="EQ37" i="16" s="1"/>
  <c r="EP21" i="24"/>
  <c r="EP37" i="16" s="1"/>
  <c r="EO21" i="24"/>
  <c r="EO37" i="16" s="1"/>
  <c r="EN21" i="24"/>
  <c r="EN37" i="16" s="1"/>
  <c r="EM21" i="24"/>
  <c r="EM37" i="16" s="1"/>
  <c r="EL21" i="24"/>
  <c r="EL37" i="16" s="1"/>
  <c r="EK21" i="24"/>
  <c r="EK37" i="16" s="1"/>
  <c r="EJ21" i="24"/>
  <c r="EJ37" i="16" s="1"/>
  <c r="EI21" i="24"/>
  <c r="EI37" i="16" s="1"/>
  <c r="EH21" i="24"/>
  <c r="EH37" i="16" s="1"/>
  <c r="EG21" i="24"/>
  <c r="EG37" i="16" s="1"/>
  <c r="EF21" i="24"/>
  <c r="EF37" i="16" s="1"/>
  <c r="EE21" i="24"/>
  <c r="EE37" i="16" s="1"/>
  <c r="ED21" i="24"/>
  <c r="ED37" i="16" s="1"/>
  <c r="EC21" i="24"/>
  <c r="EC37" i="16" s="1"/>
  <c r="EB21" i="24"/>
  <c r="EB37" i="16" s="1"/>
  <c r="EA21" i="24"/>
  <c r="EA37" i="16" s="1"/>
  <c r="DZ21" i="24"/>
  <c r="DC21" i="24"/>
  <c r="DC37" i="16" s="1"/>
  <c r="DB21" i="24"/>
  <c r="DB37" i="16" s="1"/>
  <c r="DA21" i="24"/>
  <c r="DA37" i="16" s="1"/>
  <c r="CZ21" i="24"/>
  <c r="CZ37" i="16" s="1"/>
  <c r="CY21" i="24"/>
  <c r="CY37" i="16" s="1"/>
  <c r="CX21" i="24"/>
  <c r="CX37" i="16" s="1"/>
  <c r="CW21" i="24"/>
  <c r="CW37" i="16" s="1"/>
  <c r="CV21" i="24"/>
  <c r="CV37" i="16" s="1"/>
  <c r="CU21" i="24"/>
  <c r="CU37" i="16" s="1"/>
  <c r="CT21" i="24"/>
  <c r="CT37" i="16" s="1"/>
  <c r="CS21" i="24"/>
  <c r="CS37" i="16" s="1"/>
  <c r="CR21" i="24"/>
  <c r="CR37" i="16" s="1"/>
  <c r="CQ21" i="24"/>
  <c r="CQ37" i="16" s="1"/>
  <c r="CP21" i="24"/>
  <c r="CP37" i="16" s="1"/>
  <c r="CO21" i="24"/>
  <c r="CO37" i="16" s="1"/>
  <c r="CN21" i="24"/>
  <c r="CN37" i="16" s="1"/>
  <c r="CM21" i="24"/>
  <c r="CM37" i="16" s="1"/>
  <c r="CL21" i="24"/>
  <c r="CL37" i="16" s="1"/>
  <c r="CK21" i="24"/>
  <c r="CK37" i="16" s="1"/>
  <c r="CJ21" i="24"/>
  <c r="CJ37" i="16" s="1"/>
  <c r="CI21" i="24"/>
  <c r="CI37" i="16" s="1"/>
  <c r="CH21" i="24"/>
  <c r="CH37" i="16" s="1"/>
  <c r="CG21" i="24"/>
  <c r="CG37" i="16" s="1"/>
  <c r="CF21" i="24"/>
  <c r="CF37" i="16" s="1"/>
  <c r="CE21" i="24"/>
  <c r="CE37" i="16" s="1"/>
  <c r="CD21" i="24"/>
  <c r="CD37" i="16" s="1"/>
  <c r="CC21" i="24"/>
  <c r="CC37" i="16" s="1"/>
  <c r="CB21" i="24"/>
  <c r="CB37" i="16" s="1"/>
  <c r="CA21" i="24"/>
  <c r="BZ21" i="24"/>
  <c r="BZ37" i="16" s="1"/>
  <c r="BY21" i="24"/>
  <c r="BY37" i="16" s="1"/>
  <c r="BX21" i="24"/>
  <c r="BX37" i="16" s="1"/>
  <c r="BW21" i="24"/>
  <c r="BV21" i="24"/>
  <c r="BV37" i="16" s="1"/>
  <c r="BU21" i="24"/>
  <c r="BU37" i="16" s="1"/>
  <c r="BT21" i="24"/>
  <c r="BT37" i="16" s="1"/>
  <c r="BS21" i="24"/>
  <c r="BS37" i="16" s="1"/>
  <c r="BR21" i="24"/>
  <c r="BR37" i="16" s="1"/>
  <c r="BQ21" i="24"/>
  <c r="BQ37" i="16" s="1"/>
  <c r="BP21" i="24"/>
  <c r="BP37" i="16" s="1"/>
  <c r="BO21" i="24"/>
  <c r="BO37" i="16" s="1"/>
  <c r="BN21" i="24"/>
  <c r="BN37" i="16" s="1"/>
  <c r="BM21" i="24"/>
  <c r="BM37" i="16" s="1"/>
  <c r="BL21" i="24"/>
  <c r="BL37" i="16" s="1"/>
  <c r="BK21" i="24"/>
  <c r="BK37" i="16" s="1"/>
  <c r="BJ21" i="24"/>
  <c r="BJ37" i="16" s="1"/>
  <c r="BI21" i="24"/>
  <c r="BI37" i="16" s="1"/>
  <c r="BH21" i="24"/>
  <c r="BH37" i="16" s="1"/>
  <c r="BG21" i="24"/>
  <c r="BF21" i="24"/>
  <c r="BF37" i="16" s="1"/>
  <c r="BE21" i="24"/>
  <c r="BE37" i="16" s="1"/>
  <c r="BD21" i="24"/>
  <c r="BD37" i="16" s="1"/>
  <c r="BC21" i="24"/>
  <c r="BC37" i="16" s="1"/>
  <c r="BB21" i="24"/>
  <c r="BB37" i="16" s="1"/>
  <c r="BA21" i="24"/>
  <c r="BA37" i="16" s="1"/>
  <c r="AZ21" i="24"/>
  <c r="AZ37" i="16" s="1"/>
  <c r="AY21" i="24"/>
  <c r="AY37" i="16" s="1"/>
  <c r="AX21" i="24"/>
  <c r="AX37" i="16" s="1"/>
  <c r="AW21" i="24"/>
  <c r="AW37" i="16" s="1"/>
  <c r="AV21" i="24"/>
  <c r="AV37" i="16" s="1"/>
  <c r="AT21" i="24"/>
  <c r="AT37" i="16" s="1"/>
  <c r="AS21" i="24"/>
  <c r="AS37" i="16" s="1"/>
  <c r="AR21" i="24"/>
  <c r="AQ21" i="24"/>
  <c r="AQ37" i="16" s="1"/>
  <c r="AP21" i="24"/>
  <c r="AP37" i="16" s="1"/>
  <c r="AO21" i="24"/>
  <c r="AO37" i="16" s="1"/>
  <c r="AN21" i="24"/>
  <c r="AN37" i="16" s="1"/>
  <c r="AM21" i="24"/>
  <c r="I13" i="2" s="1"/>
  <c r="AK21" i="24"/>
  <c r="AK37" i="16" s="1"/>
  <c r="AJ37" i="16"/>
  <c r="AI21" i="24"/>
  <c r="AI37" i="16" s="1"/>
  <c r="AH21" i="24"/>
  <c r="AH37" i="16" s="1"/>
  <c r="AG21" i="24"/>
  <c r="AG37" i="16" s="1"/>
  <c r="AF21" i="24"/>
  <c r="AF37" i="16" s="1"/>
  <c r="AE21" i="24"/>
  <c r="AE37" i="16" s="1"/>
  <c r="AD21" i="24"/>
  <c r="AD37" i="16" s="1"/>
  <c r="AC21" i="24"/>
  <c r="AC37" i="16" s="1"/>
  <c r="AB21" i="24"/>
  <c r="AB37" i="16" s="1"/>
  <c r="AA21" i="24"/>
  <c r="AA37" i="16" s="1"/>
  <c r="Z21" i="24"/>
  <c r="Y21" i="24"/>
  <c r="Y37" i="16" s="1"/>
  <c r="X21" i="24"/>
  <c r="X37" i="16" s="1"/>
  <c r="W21" i="24"/>
  <c r="W37" i="16" s="1"/>
  <c r="V21" i="24"/>
  <c r="U21" i="24"/>
  <c r="U37" i="16" s="1"/>
  <c r="T21" i="24"/>
  <c r="T37" i="16" s="1"/>
  <c r="S21" i="24"/>
  <c r="S37" i="16" s="1"/>
  <c r="R21" i="24"/>
  <c r="R37" i="16" s="1"/>
  <c r="Q21" i="24"/>
  <c r="Q37" i="16" s="1"/>
  <c r="P21" i="24"/>
  <c r="P37" i="16" s="1"/>
  <c r="O21" i="24"/>
  <c r="O37" i="16" s="1"/>
  <c r="N21" i="24"/>
  <c r="M21" i="24"/>
  <c r="M37" i="16" s="1"/>
  <c r="L21" i="24"/>
  <c r="L37" i="16" s="1"/>
  <c r="J21" i="24"/>
  <c r="J37" i="16" s="1"/>
  <c r="I21" i="24"/>
  <c r="I37" i="16" s="1"/>
  <c r="H21" i="24"/>
  <c r="H37" i="16" s="1"/>
  <c r="G21" i="24"/>
  <c r="G37" i="16" s="1"/>
  <c r="F21" i="24"/>
  <c r="E21" i="24"/>
  <c r="D21" i="24"/>
  <c r="D37" i="16" s="1"/>
  <c r="C21" i="24"/>
  <c r="C37" i="16" s="1"/>
  <c r="B21" i="24"/>
  <c r="GV20" i="24"/>
  <c r="FP20" i="24"/>
  <c r="FO20" i="24"/>
  <c r="FN20" i="24"/>
  <c r="FM20" i="24"/>
  <c r="FL20" i="24"/>
  <c r="FK20" i="24"/>
  <c r="FJ20" i="24"/>
  <c r="FI20" i="24"/>
  <c r="FH20" i="24"/>
  <c r="FG20" i="24"/>
  <c r="FF20" i="24"/>
  <c r="FE20" i="24"/>
  <c r="FD20" i="24"/>
  <c r="FC20" i="24"/>
  <c r="FB20" i="24"/>
  <c r="EY20" i="24"/>
  <c r="EX20" i="24"/>
  <c r="EW20" i="24"/>
  <c r="EV20" i="24"/>
  <c r="EU20" i="24"/>
  <c r="ET20" i="24"/>
  <c r="ES20" i="24"/>
  <c r="ER20" i="24"/>
  <c r="EQ20" i="24"/>
  <c r="EP20" i="24"/>
  <c r="EO20" i="24"/>
  <c r="EN20" i="24"/>
  <c r="EM20" i="24"/>
  <c r="EL20" i="24"/>
  <c r="EK20" i="24"/>
  <c r="EJ20" i="24"/>
  <c r="EI20" i="24"/>
  <c r="EH20" i="24"/>
  <c r="EG20" i="24"/>
  <c r="EF20" i="24"/>
  <c r="EE20" i="24"/>
  <c r="ED20" i="24"/>
  <c r="EC20" i="24"/>
  <c r="EB20" i="24"/>
  <c r="EA20" i="24"/>
  <c r="DZ20" i="24"/>
  <c r="DC20" i="24"/>
  <c r="DB20" i="24"/>
  <c r="DA20" i="24"/>
  <c r="CZ20" i="24"/>
  <c r="CY20" i="24"/>
  <c r="CX20" i="24"/>
  <c r="CW20" i="24"/>
  <c r="CV20" i="24"/>
  <c r="CU20" i="24"/>
  <c r="CT20" i="24"/>
  <c r="CS20" i="24"/>
  <c r="CR20" i="24"/>
  <c r="CQ20" i="24"/>
  <c r="CP20" i="24"/>
  <c r="CO20" i="24"/>
  <c r="CN20" i="24"/>
  <c r="CM20" i="24"/>
  <c r="CL20" i="24"/>
  <c r="CK20" i="24"/>
  <c r="CJ20" i="24"/>
  <c r="CI20" i="24"/>
  <c r="CH20" i="24"/>
  <c r="CG20" i="24"/>
  <c r="CF20" i="24"/>
  <c r="CE20" i="24"/>
  <c r="CD20" i="24"/>
  <c r="CC20" i="24"/>
  <c r="CB20" i="24"/>
  <c r="CA20" i="24"/>
  <c r="BZ20" i="24"/>
  <c r="BY20" i="24"/>
  <c r="BX20" i="24"/>
  <c r="BW20" i="24"/>
  <c r="J12" i="2" s="1"/>
  <c r="BV20" i="24"/>
  <c r="BU20" i="24"/>
  <c r="BT20" i="24"/>
  <c r="BS20" i="24"/>
  <c r="BR20" i="24"/>
  <c r="BQ20" i="24"/>
  <c r="BP20" i="24"/>
  <c r="BO20" i="24"/>
  <c r="BN20" i="24"/>
  <c r="BM20" i="24"/>
  <c r="BL20" i="24"/>
  <c r="BK20" i="24"/>
  <c r="BJ20" i="24"/>
  <c r="BI20" i="24"/>
  <c r="BH20" i="24"/>
  <c r="BG20" i="24"/>
  <c r="BF20" i="24"/>
  <c r="BE20" i="24"/>
  <c r="BD20" i="24"/>
  <c r="BC20" i="24"/>
  <c r="BB20" i="24"/>
  <c r="BA20" i="24"/>
  <c r="AZ20" i="24"/>
  <c r="AY20" i="24"/>
  <c r="AX20" i="24"/>
  <c r="AW20" i="24"/>
  <c r="AT20" i="24"/>
  <c r="AS20" i="24"/>
  <c r="AR20" i="24"/>
  <c r="AQ20" i="24"/>
  <c r="AP20" i="24"/>
  <c r="AO20" i="24"/>
  <c r="AN20" i="24"/>
  <c r="AL20" i="24"/>
  <c r="I12" i="2" s="1"/>
  <c r="AK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J20" i="24"/>
  <c r="I20" i="24"/>
  <c r="H20" i="24"/>
  <c r="G20" i="24"/>
  <c r="F20" i="24"/>
  <c r="E20" i="24"/>
  <c r="D20" i="24"/>
  <c r="C20" i="24"/>
  <c r="B20" i="24"/>
  <c r="FP19" i="24"/>
  <c r="FO19" i="24"/>
  <c r="FN19" i="24"/>
  <c r="FM19" i="24"/>
  <c r="FL19" i="24"/>
  <c r="FK19" i="24"/>
  <c r="FJ19" i="24"/>
  <c r="FI19" i="24"/>
  <c r="FH19" i="24"/>
  <c r="FG19" i="24"/>
  <c r="FF19" i="24"/>
  <c r="FE19" i="24"/>
  <c r="FD19" i="24"/>
  <c r="FC19" i="24"/>
  <c r="FB19" i="24"/>
  <c r="EY19" i="24"/>
  <c r="EX19" i="24"/>
  <c r="EW19" i="24"/>
  <c r="EV19" i="24"/>
  <c r="EU19" i="24"/>
  <c r="ET19" i="24"/>
  <c r="ES19" i="24"/>
  <c r="ER19" i="24"/>
  <c r="EQ19" i="24"/>
  <c r="EP19" i="24"/>
  <c r="EO19" i="24"/>
  <c r="EN19" i="24"/>
  <c r="EM19" i="24"/>
  <c r="EL19" i="24"/>
  <c r="EK19" i="24"/>
  <c r="EJ19" i="24"/>
  <c r="EI19" i="24"/>
  <c r="EH19" i="24"/>
  <c r="EG19" i="24"/>
  <c r="EF19" i="24"/>
  <c r="EE19" i="24"/>
  <c r="ED19" i="24"/>
  <c r="EC19" i="24"/>
  <c r="EB19" i="24"/>
  <c r="EA19" i="24"/>
  <c r="DZ19" i="24"/>
  <c r="DC19" i="24"/>
  <c r="DB19" i="24"/>
  <c r="DA19" i="24"/>
  <c r="CZ19" i="24"/>
  <c r="CY19" i="24"/>
  <c r="CX19" i="24"/>
  <c r="CW19" i="24"/>
  <c r="CV19" i="24"/>
  <c r="CU19" i="24"/>
  <c r="CT19" i="24"/>
  <c r="CS19" i="24"/>
  <c r="CR19" i="24"/>
  <c r="CQ19" i="24"/>
  <c r="CP19" i="24"/>
  <c r="CO19" i="24"/>
  <c r="CN19" i="24"/>
  <c r="CM19" i="24"/>
  <c r="CL19" i="24"/>
  <c r="CK19" i="24"/>
  <c r="CJ19" i="24"/>
  <c r="CI19" i="24"/>
  <c r="CH19" i="24"/>
  <c r="CG19" i="24"/>
  <c r="CF19" i="24"/>
  <c r="CE19" i="24"/>
  <c r="CD19" i="24"/>
  <c r="CC19" i="24"/>
  <c r="CB19" i="24"/>
  <c r="CA19" i="24"/>
  <c r="BZ19" i="24"/>
  <c r="BY19" i="24"/>
  <c r="BX19" i="24"/>
  <c r="BW19" i="24"/>
  <c r="J11" i="2" s="1"/>
  <c r="BV19" i="24"/>
  <c r="BU19" i="24"/>
  <c r="BT19" i="24"/>
  <c r="BS19" i="24"/>
  <c r="BR19" i="24"/>
  <c r="BQ19" i="24"/>
  <c r="BP19" i="24"/>
  <c r="BO19" i="24"/>
  <c r="BN19" i="24"/>
  <c r="BM19" i="24"/>
  <c r="BL19" i="24"/>
  <c r="BK19" i="24"/>
  <c r="BJ19" i="24"/>
  <c r="BI19" i="24"/>
  <c r="BH19" i="24"/>
  <c r="BG19" i="24"/>
  <c r="BF19" i="24"/>
  <c r="BE19" i="24"/>
  <c r="BD19" i="24"/>
  <c r="BC19" i="24"/>
  <c r="BB19" i="24"/>
  <c r="BA19" i="24"/>
  <c r="AZ19" i="24"/>
  <c r="AY19" i="24"/>
  <c r="AX19" i="24"/>
  <c r="AW19" i="24"/>
  <c r="AT19" i="24"/>
  <c r="AS19" i="24"/>
  <c r="AR19" i="24"/>
  <c r="AQ19" i="24"/>
  <c r="AP19" i="24"/>
  <c r="AO19" i="24"/>
  <c r="AN19" i="24"/>
  <c r="AK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V19" i="24"/>
  <c r="U19" i="24"/>
  <c r="T19" i="24"/>
  <c r="S19" i="24"/>
  <c r="R19" i="24"/>
  <c r="Q19" i="24"/>
  <c r="P19" i="24"/>
  <c r="O19" i="24"/>
  <c r="N19" i="24"/>
  <c r="M19" i="24"/>
  <c r="L19" i="24"/>
  <c r="J19" i="24"/>
  <c r="I19" i="24"/>
  <c r="H19" i="24"/>
  <c r="G19" i="24"/>
  <c r="F19" i="24"/>
  <c r="E19" i="24"/>
  <c r="D19" i="24"/>
  <c r="C19" i="24"/>
  <c r="B19" i="24"/>
  <c r="GV18" i="24"/>
  <c r="FP18" i="24"/>
  <c r="FO18" i="24"/>
  <c r="FN18" i="24"/>
  <c r="FM18" i="24"/>
  <c r="FL18" i="24"/>
  <c r="FK18" i="24"/>
  <c r="FJ18" i="24"/>
  <c r="FI18" i="24"/>
  <c r="FH18" i="24"/>
  <c r="FG18" i="24"/>
  <c r="FF18" i="24"/>
  <c r="FE18" i="24"/>
  <c r="FD18" i="24"/>
  <c r="FC18" i="24"/>
  <c r="FB18" i="24"/>
  <c r="EY18" i="24"/>
  <c r="EX18" i="24"/>
  <c r="EW18" i="24"/>
  <c r="EV18" i="24"/>
  <c r="EU18" i="24"/>
  <c r="ET18" i="24"/>
  <c r="ES18" i="24"/>
  <c r="ER18" i="24"/>
  <c r="EQ18" i="24"/>
  <c r="EP18" i="24"/>
  <c r="EO18" i="24"/>
  <c r="EN18" i="24"/>
  <c r="EM18" i="24"/>
  <c r="EL18" i="24"/>
  <c r="EK18" i="24"/>
  <c r="EJ18" i="24"/>
  <c r="EI18" i="24"/>
  <c r="EH18" i="24"/>
  <c r="EG18" i="24"/>
  <c r="EF18" i="24"/>
  <c r="EE18" i="24"/>
  <c r="ED18" i="24"/>
  <c r="EC18" i="24"/>
  <c r="EB18" i="24"/>
  <c r="EA18" i="24"/>
  <c r="DZ18" i="24"/>
  <c r="DC18" i="24"/>
  <c r="DB18" i="24"/>
  <c r="DA18" i="24"/>
  <c r="CZ18" i="24"/>
  <c r="CY18" i="24"/>
  <c r="CX18" i="24"/>
  <c r="CW18" i="24"/>
  <c r="CV18" i="24"/>
  <c r="CU18" i="24"/>
  <c r="CT18" i="24"/>
  <c r="CS18" i="24"/>
  <c r="CR18" i="24"/>
  <c r="CQ18" i="24"/>
  <c r="CP18" i="24"/>
  <c r="CO18" i="24"/>
  <c r="CN18" i="24"/>
  <c r="CM18" i="24"/>
  <c r="CL18" i="24"/>
  <c r="CK18" i="24"/>
  <c r="CJ18" i="24"/>
  <c r="CI18" i="24"/>
  <c r="CH18" i="24"/>
  <c r="CG18" i="24"/>
  <c r="CF18" i="24"/>
  <c r="CE18" i="24"/>
  <c r="CD18" i="24"/>
  <c r="CC18" i="24"/>
  <c r="CB18" i="24"/>
  <c r="CA18" i="24"/>
  <c r="BZ18" i="24"/>
  <c r="BY18" i="24"/>
  <c r="BX18" i="24"/>
  <c r="BW18" i="24"/>
  <c r="J10" i="2" s="1"/>
  <c r="BV18" i="24"/>
  <c r="BU18" i="24"/>
  <c r="BT18" i="24"/>
  <c r="BS18" i="24"/>
  <c r="BR18" i="24"/>
  <c r="BQ18" i="24"/>
  <c r="BP18" i="24"/>
  <c r="BO18" i="24"/>
  <c r="BN18" i="24"/>
  <c r="BM18" i="24"/>
  <c r="BL18" i="24"/>
  <c r="BK18" i="24"/>
  <c r="BJ18" i="24"/>
  <c r="BI18" i="24"/>
  <c r="BH18" i="24"/>
  <c r="BG18" i="24"/>
  <c r="BF18" i="24"/>
  <c r="BE18" i="24"/>
  <c r="BD18" i="24"/>
  <c r="BC18" i="24"/>
  <c r="BB18" i="24"/>
  <c r="BA18" i="24"/>
  <c r="AZ18" i="24"/>
  <c r="AY18" i="24"/>
  <c r="AX18" i="24"/>
  <c r="AW18" i="24"/>
  <c r="AT18" i="24"/>
  <c r="AS18" i="24"/>
  <c r="AR18" i="24"/>
  <c r="AQ18" i="24"/>
  <c r="AP18" i="24"/>
  <c r="AO18" i="24"/>
  <c r="AN18" i="24"/>
  <c r="AL18" i="24"/>
  <c r="I10" i="2" s="1"/>
  <c r="AK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V18" i="24"/>
  <c r="U18" i="24"/>
  <c r="T18" i="24"/>
  <c r="S18" i="24"/>
  <c r="R18" i="24"/>
  <c r="Q18" i="24"/>
  <c r="P18" i="24"/>
  <c r="O18" i="24"/>
  <c r="N18" i="24"/>
  <c r="M18" i="24"/>
  <c r="L18" i="24"/>
  <c r="J18" i="24"/>
  <c r="I18" i="24"/>
  <c r="H18" i="24"/>
  <c r="G18" i="24"/>
  <c r="F18" i="24"/>
  <c r="E18" i="24"/>
  <c r="D18" i="24"/>
  <c r="B18" i="24"/>
  <c r="GV17" i="24"/>
  <c r="FP17" i="24"/>
  <c r="FO17" i="24"/>
  <c r="FN17" i="24"/>
  <c r="FM17" i="24"/>
  <c r="FL17" i="24"/>
  <c r="FK17" i="24"/>
  <c r="FJ17" i="24"/>
  <c r="FI17" i="24"/>
  <c r="FH17" i="24"/>
  <c r="FG17" i="24"/>
  <c r="FF17" i="24"/>
  <c r="FE17" i="24"/>
  <c r="FD17" i="24"/>
  <c r="FC17" i="24"/>
  <c r="FB17" i="24"/>
  <c r="EY17" i="24"/>
  <c r="EX17" i="24"/>
  <c r="EW17" i="24"/>
  <c r="EV17" i="24"/>
  <c r="EU17" i="24"/>
  <c r="ET17" i="24"/>
  <c r="ES17" i="24"/>
  <c r="ER17" i="24"/>
  <c r="EQ17" i="24"/>
  <c r="EP17" i="24"/>
  <c r="EO17" i="24"/>
  <c r="EN17" i="24"/>
  <c r="EM17" i="24"/>
  <c r="EL17" i="24"/>
  <c r="EK17" i="24"/>
  <c r="EJ17" i="24"/>
  <c r="EI17" i="24"/>
  <c r="EH17" i="24"/>
  <c r="EG17" i="24"/>
  <c r="EF17" i="24"/>
  <c r="EE17" i="24"/>
  <c r="ED17" i="24"/>
  <c r="EC17" i="24"/>
  <c r="EB17" i="24"/>
  <c r="EA17" i="24"/>
  <c r="DZ17" i="24"/>
  <c r="DC17" i="24"/>
  <c r="DB17" i="24"/>
  <c r="DA17" i="24"/>
  <c r="CZ17" i="24"/>
  <c r="CY17" i="24"/>
  <c r="CX17" i="24"/>
  <c r="CW17" i="24"/>
  <c r="CV17" i="24"/>
  <c r="CU17" i="24"/>
  <c r="CT17" i="24"/>
  <c r="CS17" i="24"/>
  <c r="CR17" i="24"/>
  <c r="CQ17" i="24"/>
  <c r="CP17" i="24"/>
  <c r="CO17" i="24"/>
  <c r="CN17" i="24"/>
  <c r="CM17" i="24"/>
  <c r="CL17" i="24"/>
  <c r="CK17" i="24"/>
  <c r="CJ17" i="24"/>
  <c r="CI17" i="24"/>
  <c r="CH17" i="24"/>
  <c r="CG17" i="24"/>
  <c r="CF17" i="24"/>
  <c r="CE17" i="24"/>
  <c r="CD17" i="24"/>
  <c r="CC17" i="24"/>
  <c r="CB17" i="24"/>
  <c r="CA17" i="24"/>
  <c r="BZ17" i="24"/>
  <c r="BY17" i="24"/>
  <c r="BX17" i="24"/>
  <c r="BW17" i="24"/>
  <c r="J9" i="2" s="1"/>
  <c r="BV17" i="24"/>
  <c r="BU17" i="24"/>
  <c r="BT17" i="24"/>
  <c r="BS17" i="24"/>
  <c r="BR17" i="24"/>
  <c r="BQ17" i="24"/>
  <c r="BP17" i="24"/>
  <c r="BO17" i="24"/>
  <c r="BN17" i="24"/>
  <c r="BM17" i="24"/>
  <c r="BL17" i="24"/>
  <c r="BK17" i="24"/>
  <c r="BJ17" i="24"/>
  <c r="BI17" i="24"/>
  <c r="BH17" i="24"/>
  <c r="BG17" i="24"/>
  <c r="BF17" i="24"/>
  <c r="BE17" i="24"/>
  <c r="BD17" i="24"/>
  <c r="BC17" i="24"/>
  <c r="BB17" i="24"/>
  <c r="BA17" i="24"/>
  <c r="AZ17" i="24"/>
  <c r="AY17" i="24"/>
  <c r="AX17" i="24"/>
  <c r="AT17" i="24"/>
  <c r="AS17" i="24"/>
  <c r="AR17" i="24"/>
  <c r="AQ17" i="24"/>
  <c r="AP17" i="24"/>
  <c r="AO17" i="24"/>
  <c r="AN17" i="24"/>
  <c r="AL17" i="24"/>
  <c r="I9" i="2" s="1"/>
  <c r="AK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V17" i="24"/>
  <c r="U17" i="24"/>
  <c r="T17" i="24"/>
  <c r="S17" i="24"/>
  <c r="R17" i="24"/>
  <c r="Q17" i="24"/>
  <c r="P17" i="24"/>
  <c r="O17" i="24"/>
  <c r="N17" i="24"/>
  <c r="M17" i="24"/>
  <c r="L17" i="24"/>
  <c r="J17" i="24"/>
  <c r="I17" i="24"/>
  <c r="H17" i="24"/>
  <c r="G17" i="24"/>
  <c r="F17" i="24"/>
  <c r="E17" i="24"/>
  <c r="D17" i="24"/>
  <c r="C17" i="24"/>
  <c r="B17" i="24"/>
  <c r="GV16" i="24"/>
  <c r="FP16" i="24"/>
  <c r="FO16" i="24"/>
  <c r="FN16" i="24"/>
  <c r="FM16" i="24"/>
  <c r="FL16" i="24"/>
  <c r="FK16" i="24"/>
  <c r="FJ16" i="24"/>
  <c r="FI16" i="24"/>
  <c r="FH16" i="24"/>
  <c r="FG16" i="24"/>
  <c r="FF16" i="24"/>
  <c r="FE16" i="24"/>
  <c r="FD16" i="24"/>
  <c r="FC16" i="24"/>
  <c r="FB16" i="24"/>
  <c r="EY16" i="24"/>
  <c r="EX16" i="24"/>
  <c r="EW16" i="24"/>
  <c r="EV16" i="24"/>
  <c r="EU16" i="24"/>
  <c r="ET16" i="24"/>
  <c r="ES16" i="24"/>
  <c r="ER16" i="24"/>
  <c r="EQ16" i="24"/>
  <c r="EP16" i="24"/>
  <c r="EO16" i="24"/>
  <c r="EN16" i="24"/>
  <c r="EM16" i="24"/>
  <c r="EL16" i="24"/>
  <c r="EK16" i="24"/>
  <c r="EJ16" i="24"/>
  <c r="EI16" i="24"/>
  <c r="EH16" i="24"/>
  <c r="EG16" i="24"/>
  <c r="EF16" i="24"/>
  <c r="EE16" i="24"/>
  <c r="ED16" i="24"/>
  <c r="EC16" i="24"/>
  <c r="EB16" i="24"/>
  <c r="EA16" i="24"/>
  <c r="DZ16" i="24"/>
  <c r="DC16" i="24"/>
  <c r="DB16" i="24"/>
  <c r="DA16" i="24"/>
  <c r="CZ16" i="24"/>
  <c r="CY16" i="24"/>
  <c r="CX16" i="24"/>
  <c r="CW16" i="24"/>
  <c r="CV16" i="24"/>
  <c r="CU16" i="24"/>
  <c r="CT16" i="24"/>
  <c r="CS16" i="24"/>
  <c r="CR16" i="24"/>
  <c r="CQ16" i="24"/>
  <c r="CP16" i="24"/>
  <c r="CO16" i="24"/>
  <c r="CN16" i="24"/>
  <c r="CM16" i="24"/>
  <c r="CL16" i="24"/>
  <c r="CK16" i="24"/>
  <c r="CJ16" i="24"/>
  <c r="CI16" i="24"/>
  <c r="CH16" i="24"/>
  <c r="CG16" i="24"/>
  <c r="CF16" i="24"/>
  <c r="CE16" i="24"/>
  <c r="CD16" i="24"/>
  <c r="CC16" i="24"/>
  <c r="CB16" i="24"/>
  <c r="CA16" i="24"/>
  <c r="BZ16" i="24"/>
  <c r="BY16" i="24"/>
  <c r="BX16" i="24"/>
  <c r="BW16" i="24"/>
  <c r="J8" i="2" s="1"/>
  <c r="BV16" i="24"/>
  <c r="BU16" i="24"/>
  <c r="BT16" i="24"/>
  <c r="BS16" i="24"/>
  <c r="BR16" i="24"/>
  <c r="BQ16" i="24"/>
  <c r="BP16" i="24"/>
  <c r="BO16" i="24"/>
  <c r="BN16" i="24"/>
  <c r="BM16" i="24"/>
  <c r="BL16" i="24"/>
  <c r="BK16" i="24"/>
  <c r="BJ16" i="24"/>
  <c r="BI16" i="24"/>
  <c r="BH16" i="24"/>
  <c r="BG16" i="24"/>
  <c r="BF16" i="24"/>
  <c r="BE16" i="24"/>
  <c r="BD16" i="24"/>
  <c r="BC16" i="24"/>
  <c r="BB16" i="24"/>
  <c r="BA16" i="24"/>
  <c r="AZ16" i="24"/>
  <c r="AY16" i="24"/>
  <c r="AX16" i="24"/>
  <c r="AW16" i="24"/>
  <c r="AV16" i="24"/>
  <c r="AT16" i="24"/>
  <c r="AS16" i="24"/>
  <c r="AR16" i="24"/>
  <c r="AQ16" i="24"/>
  <c r="AP16" i="24"/>
  <c r="AO16" i="24"/>
  <c r="AN16" i="24"/>
  <c r="AM16" i="24"/>
  <c r="AL16" i="24"/>
  <c r="AK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J16" i="24"/>
  <c r="I16" i="24"/>
  <c r="H16" i="24"/>
  <c r="G16" i="24"/>
  <c r="F16" i="24"/>
  <c r="E16" i="24"/>
  <c r="D16" i="24"/>
  <c r="C16" i="24"/>
  <c r="B16" i="24"/>
  <c r="GV15" i="24"/>
  <c r="FP15" i="24"/>
  <c r="FO15" i="24"/>
  <c r="FN15" i="24"/>
  <c r="FM15" i="24"/>
  <c r="FL15" i="24"/>
  <c r="FK15" i="24"/>
  <c r="FJ15" i="24"/>
  <c r="FI15" i="24"/>
  <c r="FH15" i="24"/>
  <c r="FG15" i="24"/>
  <c r="FF15" i="24"/>
  <c r="FE15" i="24"/>
  <c r="FD15" i="24"/>
  <c r="FC15" i="24"/>
  <c r="FB15" i="24"/>
  <c r="EY15" i="24"/>
  <c r="EX15" i="24"/>
  <c r="EW15" i="24"/>
  <c r="EV15" i="24"/>
  <c r="EU15" i="24"/>
  <c r="ET15" i="24"/>
  <c r="ES15" i="24"/>
  <c r="ER15" i="24"/>
  <c r="EQ15" i="24"/>
  <c r="EP15" i="24"/>
  <c r="EO15" i="24"/>
  <c r="EN15" i="24"/>
  <c r="EM15" i="24"/>
  <c r="EL15" i="24"/>
  <c r="EK15" i="24"/>
  <c r="EJ15" i="24"/>
  <c r="EI15" i="24"/>
  <c r="EH15" i="24"/>
  <c r="EG15" i="24"/>
  <c r="EF15" i="24"/>
  <c r="EE15" i="24"/>
  <c r="ED15" i="24"/>
  <c r="EC15" i="24"/>
  <c r="EB15" i="24"/>
  <c r="EA15" i="24"/>
  <c r="DZ15" i="24"/>
  <c r="DC15" i="24"/>
  <c r="DB15" i="24"/>
  <c r="DA15" i="24"/>
  <c r="CZ15" i="24"/>
  <c r="CY15" i="24"/>
  <c r="CX15" i="24"/>
  <c r="CW15" i="24"/>
  <c r="CV15" i="24"/>
  <c r="CU15" i="24"/>
  <c r="CT15" i="24"/>
  <c r="CS15" i="24"/>
  <c r="CR15" i="24"/>
  <c r="CQ15" i="24"/>
  <c r="CP15" i="24"/>
  <c r="CO15" i="24"/>
  <c r="CN15" i="24"/>
  <c r="CM15" i="24"/>
  <c r="CL15" i="24"/>
  <c r="CK15" i="24"/>
  <c r="CJ15" i="24"/>
  <c r="CI15" i="24"/>
  <c r="CH15" i="24"/>
  <c r="CG15" i="24"/>
  <c r="CF15" i="24"/>
  <c r="CE15" i="24"/>
  <c r="CD15" i="24"/>
  <c r="CC15" i="24"/>
  <c r="CB15" i="24"/>
  <c r="CA15" i="24"/>
  <c r="BZ15" i="24"/>
  <c r="BY15" i="24"/>
  <c r="BX15" i="24"/>
  <c r="BW15" i="24"/>
  <c r="J7" i="2" s="1"/>
  <c r="BV15" i="24"/>
  <c r="BU15" i="24"/>
  <c r="BT15" i="24"/>
  <c r="BS15" i="24"/>
  <c r="BR15" i="24"/>
  <c r="BQ15" i="24"/>
  <c r="BP15" i="24"/>
  <c r="BO15" i="24"/>
  <c r="BN15" i="24"/>
  <c r="BM15" i="24"/>
  <c r="BL15" i="24"/>
  <c r="BK15" i="24"/>
  <c r="BJ15" i="24"/>
  <c r="BI15" i="24"/>
  <c r="BH15" i="24"/>
  <c r="BG15" i="24"/>
  <c r="BF15" i="24"/>
  <c r="BE15" i="24"/>
  <c r="BD15" i="24"/>
  <c r="BC15" i="24"/>
  <c r="BB15" i="24"/>
  <c r="BA15" i="24"/>
  <c r="AZ15" i="24"/>
  <c r="AY15" i="24"/>
  <c r="AX15" i="24"/>
  <c r="AW15" i="24"/>
  <c r="AV15" i="24"/>
  <c r="AT15" i="24"/>
  <c r="AS15" i="24"/>
  <c r="AR15" i="24"/>
  <c r="AQ15" i="24"/>
  <c r="AP15" i="24"/>
  <c r="AO15" i="24"/>
  <c r="AN15" i="24"/>
  <c r="AM15" i="24"/>
  <c r="AL15" i="24"/>
  <c r="AK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P15" i="24"/>
  <c r="O15" i="24"/>
  <c r="N15" i="24"/>
  <c r="M15" i="24"/>
  <c r="L15" i="24"/>
  <c r="J15" i="24"/>
  <c r="I15" i="24"/>
  <c r="H15" i="24"/>
  <c r="G15" i="24"/>
  <c r="F15" i="24"/>
  <c r="E15" i="24"/>
  <c r="D15" i="24"/>
  <c r="C15" i="24"/>
  <c r="B15" i="24"/>
  <c r="GV14" i="24"/>
  <c r="FP14" i="24"/>
  <c r="FO14" i="24"/>
  <c r="FN14" i="24"/>
  <c r="FM14" i="24"/>
  <c r="FL14" i="24"/>
  <c r="FK14" i="24"/>
  <c r="FJ14" i="24"/>
  <c r="FI14" i="24"/>
  <c r="FH14" i="24"/>
  <c r="FG14" i="24"/>
  <c r="FF14" i="24"/>
  <c r="FE14" i="24"/>
  <c r="FD14" i="24"/>
  <c r="FC14" i="24"/>
  <c r="FB14" i="24"/>
  <c r="EY14" i="24"/>
  <c r="EX14" i="24"/>
  <c r="EW14" i="24"/>
  <c r="EV14" i="24"/>
  <c r="EU14" i="24"/>
  <c r="ET14" i="24"/>
  <c r="ES14" i="24"/>
  <c r="ER14" i="24"/>
  <c r="EQ14" i="24"/>
  <c r="EP14" i="24"/>
  <c r="EO14" i="24"/>
  <c r="EN14" i="24"/>
  <c r="EM14" i="24"/>
  <c r="EL14" i="24"/>
  <c r="EK14" i="24"/>
  <c r="EJ14" i="24"/>
  <c r="EI14" i="24"/>
  <c r="EH14" i="24"/>
  <c r="EG14" i="24"/>
  <c r="EF14" i="24"/>
  <c r="EE14" i="24"/>
  <c r="ED14" i="24"/>
  <c r="EC14" i="24"/>
  <c r="EB14" i="24"/>
  <c r="EA14" i="24"/>
  <c r="DZ14" i="24"/>
  <c r="DC14" i="24"/>
  <c r="DB14" i="24"/>
  <c r="DA14" i="24"/>
  <c r="CZ14" i="24"/>
  <c r="CY14" i="24"/>
  <c r="CX14" i="24"/>
  <c r="CW14" i="24"/>
  <c r="CV14" i="24"/>
  <c r="CU14" i="24"/>
  <c r="CT14" i="24"/>
  <c r="CS14" i="24"/>
  <c r="CR14" i="24"/>
  <c r="CQ14" i="24"/>
  <c r="CP14" i="24"/>
  <c r="CO14" i="24"/>
  <c r="CN14" i="24"/>
  <c r="CM14" i="24"/>
  <c r="CL14" i="24"/>
  <c r="CK14" i="24"/>
  <c r="CJ14" i="24"/>
  <c r="CI14" i="24"/>
  <c r="CH14" i="24"/>
  <c r="CG14" i="24"/>
  <c r="CF14" i="24"/>
  <c r="CE14" i="24"/>
  <c r="CD14" i="24"/>
  <c r="CC14" i="24"/>
  <c r="CB14" i="24"/>
  <c r="CA14" i="24"/>
  <c r="BZ14" i="24"/>
  <c r="BY14" i="24"/>
  <c r="BX14" i="24"/>
  <c r="BW14" i="24"/>
  <c r="J6" i="2" s="1"/>
  <c r="BV14" i="24"/>
  <c r="BU14" i="24"/>
  <c r="BT14" i="24"/>
  <c r="BS14" i="24"/>
  <c r="BR14" i="24"/>
  <c r="BQ14" i="24"/>
  <c r="BP14" i="24"/>
  <c r="BO14" i="24"/>
  <c r="BN14" i="24"/>
  <c r="BM14" i="24"/>
  <c r="BL14" i="24"/>
  <c r="BK14" i="24"/>
  <c r="BJ14" i="24"/>
  <c r="BI14" i="24"/>
  <c r="BH14" i="24"/>
  <c r="BG14" i="24"/>
  <c r="BF14" i="24"/>
  <c r="BE14" i="24"/>
  <c r="BD14" i="24"/>
  <c r="BC14" i="24"/>
  <c r="BB14" i="24"/>
  <c r="BA14" i="24"/>
  <c r="AZ14" i="24"/>
  <c r="AY14" i="24"/>
  <c r="AX14" i="24"/>
  <c r="AW14" i="24"/>
  <c r="AV14" i="24"/>
  <c r="AT14" i="24"/>
  <c r="AS14" i="24"/>
  <c r="AR14" i="24"/>
  <c r="AQ14" i="24"/>
  <c r="AP14" i="24"/>
  <c r="AO14" i="24"/>
  <c r="AN14" i="24"/>
  <c r="AM14" i="24"/>
  <c r="AL14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V14" i="24"/>
  <c r="U14" i="24"/>
  <c r="T14" i="24"/>
  <c r="S14" i="24"/>
  <c r="R14" i="24"/>
  <c r="Q14" i="24"/>
  <c r="P14" i="24"/>
  <c r="O14" i="24"/>
  <c r="M14" i="24"/>
  <c r="L14" i="24"/>
  <c r="J14" i="24"/>
  <c r="I14" i="24"/>
  <c r="H14" i="24"/>
  <c r="G14" i="24"/>
  <c r="F14" i="24"/>
  <c r="E14" i="24"/>
  <c r="D14" i="24"/>
  <c r="C14" i="24"/>
  <c r="B14" i="24"/>
  <c r="FF7" i="24"/>
  <c r="FE7" i="24"/>
  <c r="FC7" i="24"/>
  <c r="FB7" i="24"/>
  <c r="EP7" i="24"/>
  <c r="EO7" i="24"/>
  <c r="EN7" i="24"/>
  <c r="EK7" i="24"/>
  <c r="CO7" i="24"/>
  <c r="CL7" i="24"/>
  <c r="CH7" i="24"/>
  <c r="CB7" i="24"/>
  <c r="CA7" i="24"/>
  <c r="BX7" i="24"/>
  <c r="BK7" i="24"/>
  <c r="BH7" i="24"/>
  <c r="BF7" i="24"/>
  <c r="AX7" i="24"/>
  <c r="AT7" i="24"/>
  <c r="GZ7" i="24" s="1"/>
  <c r="AS7" i="24"/>
  <c r="AO7" i="24"/>
  <c r="AN7" i="24"/>
  <c r="AM7" i="24"/>
  <c r="AL7" i="24"/>
  <c r="AK7" i="24"/>
  <c r="T7" i="24"/>
  <c r="H26" i="4" s="1"/>
  <c r="S7" i="24"/>
  <c r="P7" i="24"/>
  <c r="M7" i="24"/>
  <c r="J7" i="24"/>
  <c r="I7" i="24"/>
  <c r="E7" i="24"/>
  <c r="D7" i="24"/>
  <c r="A2" i="24"/>
  <c r="L22" i="21"/>
  <c r="L21" i="21"/>
  <c r="B18" i="21" s="1"/>
  <c r="C19" i="21"/>
  <c r="C5" i="21"/>
  <c r="A32" i="19"/>
  <c r="A30" i="19"/>
  <c r="A28" i="19"/>
  <c r="A27" i="19"/>
  <c r="A26" i="19"/>
  <c r="GY7" i="24" l="1"/>
  <c r="O6" i="2"/>
  <c r="Q6" i="2" s="1"/>
  <c r="I4" i="25"/>
  <c r="GK16" i="24"/>
  <c r="GK18" i="24"/>
  <c r="D6" i="25"/>
  <c r="E37" i="16"/>
  <c r="GK21" i="24"/>
  <c r="GR14" i="24"/>
  <c r="GK15" i="24"/>
  <c r="I6" i="25"/>
  <c r="C9" i="2"/>
  <c r="D7" i="25"/>
  <c r="GK20" i="24"/>
  <c r="GK14" i="24"/>
  <c r="C6" i="2"/>
  <c r="D5" i="25"/>
  <c r="I7" i="25"/>
  <c r="D8" i="25"/>
  <c r="I5" i="25"/>
  <c r="C8" i="2"/>
  <c r="GK17" i="24"/>
  <c r="C10" i="2"/>
  <c r="I8" i="25"/>
  <c r="C11" i="2"/>
  <c r="D9" i="25"/>
  <c r="D11" i="25"/>
  <c r="BG37" i="16"/>
  <c r="I11" i="25"/>
  <c r="D4" i="25"/>
  <c r="I9" i="25"/>
  <c r="D10" i="25"/>
  <c r="C7" i="2"/>
  <c r="GK19" i="24"/>
  <c r="C12" i="2"/>
  <c r="I10" i="25"/>
  <c r="C13" i="2"/>
  <c r="E6" i="2"/>
  <c r="E9" i="2"/>
  <c r="GR17" i="24"/>
  <c r="E8" i="2"/>
  <c r="GR16" i="24"/>
  <c r="E10" i="2"/>
  <c r="E11" i="2"/>
  <c r="GR18" i="24"/>
  <c r="Z37" i="16"/>
  <c r="E13" i="2"/>
  <c r="E7" i="2"/>
  <c r="GR15" i="24"/>
  <c r="GR19" i="24"/>
  <c r="E12" i="2"/>
  <c r="AR37" i="16"/>
  <c r="GR21" i="24"/>
  <c r="GR20" i="24"/>
  <c r="F37" i="16"/>
  <c r="N37" i="16"/>
  <c r="H9" i="25"/>
  <c r="H10" i="25"/>
  <c r="H7" i="25"/>
  <c r="H5" i="25"/>
  <c r="H8" i="25"/>
  <c r="FB37" i="16"/>
  <c r="H11" i="25"/>
  <c r="H4" i="25"/>
  <c r="H6" i="25"/>
  <c r="V37" i="16"/>
  <c r="D13" i="2"/>
  <c r="GO21" i="24"/>
  <c r="DZ37" i="16"/>
  <c r="CA37" i="16"/>
  <c r="GU21" i="24"/>
  <c r="H13" i="2"/>
  <c r="GU20" i="24"/>
  <c r="H12" i="2"/>
  <c r="GU14" i="24"/>
  <c r="H6" i="2"/>
  <c r="H8" i="2"/>
  <c r="GU16" i="24"/>
  <c r="K8" i="2"/>
  <c r="GU17" i="24"/>
  <c r="H9" i="2"/>
  <c r="K10" i="2"/>
  <c r="GU19" i="24"/>
  <c r="H11" i="2"/>
  <c r="GU15" i="24"/>
  <c r="H7" i="2"/>
  <c r="H10" i="2"/>
  <c r="GU18" i="24"/>
  <c r="B8" i="25"/>
  <c r="B4" i="25"/>
  <c r="B11" i="25"/>
  <c r="B37" i="16"/>
  <c r="B5" i="25"/>
  <c r="B7" i="25"/>
  <c r="B10" i="25"/>
  <c r="AM37" i="16"/>
  <c r="J13" i="2"/>
  <c r="BW37" i="16"/>
  <c r="B6" i="25"/>
  <c r="B9" i="25"/>
  <c r="GN15" i="24"/>
  <c r="GN17" i="24"/>
  <c r="GS18" i="24"/>
  <c r="GN14" i="24"/>
  <c r="GN16" i="24"/>
  <c r="GN18" i="24"/>
  <c r="GN19" i="24"/>
  <c r="GN21" i="24"/>
  <c r="GS16" i="24"/>
  <c r="GM15" i="24"/>
  <c r="GS14" i="24"/>
  <c r="GN20" i="24"/>
  <c r="GS17" i="24"/>
  <c r="GS15" i="24"/>
  <c r="GS20" i="24"/>
  <c r="GM21" i="24"/>
  <c r="GS21" i="24"/>
  <c r="GM17" i="24"/>
  <c r="GM20" i="24"/>
  <c r="GM14" i="24"/>
  <c r="GM16" i="24"/>
  <c r="GM18" i="24"/>
  <c r="GM19" i="24"/>
  <c r="GS19" i="24"/>
  <c r="O8" i="2"/>
  <c r="Q8" i="2" s="1"/>
  <c r="O9" i="2"/>
  <c r="Q9" i="2" s="1"/>
  <c r="O11" i="2"/>
  <c r="Q11" i="2" s="1"/>
  <c r="O10" i="2"/>
  <c r="Q10" i="2" s="1"/>
  <c r="O7" i="2"/>
  <c r="Q7" i="2" s="1"/>
  <c r="O12" i="2"/>
  <c r="Q12" i="2" s="1"/>
  <c r="O13" i="2"/>
  <c r="Q13" i="2" s="1"/>
  <c r="G10" i="25"/>
  <c r="G4" i="25"/>
  <c r="G7" i="25"/>
  <c r="G5" i="25"/>
  <c r="G9" i="25"/>
  <c r="G11" i="25"/>
  <c r="G6" i="25"/>
  <c r="G8" i="25"/>
  <c r="G10" i="2"/>
  <c r="E4" i="25"/>
  <c r="E6" i="25"/>
  <c r="E10" i="25"/>
  <c r="E7" i="25"/>
  <c r="E11" i="25"/>
  <c r="E5" i="25"/>
  <c r="E8" i="25"/>
  <c r="E9" i="25"/>
  <c r="F11" i="25"/>
  <c r="J6" i="25"/>
  <c r="J7" i="25"/>
  <c r="J8" i="25"/>
  <c r="J5" i="25"/>
  <c r="J9" i="25"/>
  <c r="F9" i="25"/>
  <c r="J11" i="25"/>
  <c r="K11" i="2"/>
  <c r="K12" i="2"/>
  <c r="K9" i="2"/>
  <c r="J4" i="25"/>
  <c r="F5" i="25"/>
  <c r="C11" i="25"/>
  <c r="J10" i="25"/>
  <c r="K7" i="2"/>
  <c r="F4" i="25"/>
  <c r="F10" i="25"/>
  <c r="K6" i="2"/>
  <c r="F6" i="25"/>
  <c r="F7" i="25"/>
  <c r="F8" i="25"/>
  <c r="F146" i="8"/>
  <c r="H146" i="4"/>
  <c r="I7" i="2"/>
  <c r="I6" i="2"/>
  <c r="G6" i="2"/>
  <c r="G8" i="2"/>
  <c r="G9" i="2"/>
  <c r="G7" i="2"/>
  <c r="I8" i="2"/>
  <c r="G11" i="2"/>
  <c r="B16" i="21"/>
  <c r="B14" i="21"/>
  <c r="B12" i="21"/>
  <c r="G12" i="2"/>
  <c r="G13" i="2"/>
  <c r="GL21" i="24"/>
  <c r="K13" i="2"/>
  <c r="GL18" i="24"/>
  <c r="GT14" i="24"/>
  <c r="GP21" i="24"/>
  <c r="GP20" i="24"/>
  <c r="GP14" i="24"/>
  <c r="GP15" i="24"/>
  <c r="GP16" i="24"/>
  <c r="GP17" i="24"/>
  <c r="GP18" i="24"/>
  <c r="GP19" i="24"/>
  <c r="F2" i="24"/>
  <c r="B13" i="21"/>
  <c r="B17" i="21"/>
  <c r="D17" i="21" s="1"/>
  <c r="B11" i="21"/>
  <c r="B15" i="21"/>
  <c r="GL14" i="24"/>
  <c r="GL15" i="24"/>
  <c r="GQ15" i="24"/>
  <c r="GL16" i="24"/>
  <c r="GQ16" i="24"/>
  <c r="GL17" i="24"/>
  <c r="GQ17" i="24"/>
  <c r="GQ18" i="24"/>
  <c r="GL19" i="24"/>
  <c r="GQ19" i="24"/>
  <c r="GI19" i="24"/>
  <c r="GQ20" i="24"/>
  <c r="GI20" i="24"/>
  <c r="GQ14" i="24"/>
  <c r="GI15" i="24"/>
  <c r="GI16" i="24"/>
  <c r="GI17" i="24"/>
  <c r="GI14" i="24"/>
  <c r="GT18" i="24"/>
  <c r="GH21" i="24"/>
  <c r="GT20" i="24"/>
  <c r="GT21" i="24"/>
  <c r="GT19" i="24"/>
  <c r="GI18" i="24"/>
  <c r="GL20" i="24"/>
  <c r="GQ21" i="24"/>
  <c r="GT15" i="24"/>
  <c r="GT16" i="24"/>
  <c r="GT17" i="24"/>
  <c r="GI21" i="24"/>
  <c r="A25" i="19"/>
  <c r="A24" i="19"/>
  <c r="A23" i="19"/>
  <c r="A22" i="19"/>
  <c r="A21" i="19"/>
  <c r="A20" i="19"/>
  <c r="A19" i="19"/>
  <c r="A18" i="19"/>
  <c r="D18" i="19" s="1"/>
  <c r="A17" i="19"/>
  <c r="D17" i="19" s="1"/>
  <c r="A16" i="19"/>
  <c r="K11" i="25" l="1"/>
  <c r="F13" i="2"/>
  <c r="L13" i="2" s="1"/>
  <c r="GJ21" i="24"/>
  <c r="A15" i="19"/>
  <c r="A14" i="19"/>
  <c r="A13" i="19"/>
  <c r="A12" i="19" l="1"/>
  <c r="D12" i="19" s="1"/>
  <c r="A11" i="19" l="1"/>
  <c r="D11" i="19" s="1"/>
  <c r="A10" i="19"/>
  <c r="A9" i="19"/>
  <c r="D9" i="19" s="1"/>
  <c r="A8" i="19"/>
  <c r="A7" i="19"/>
  <c r="A6" i="19"/>
  <c r="A5" i="19"/>
  <c r="A4" i="19"/>
  <c r="A3" i="19" l="1"/>
  <c r="A2" i="19"/>
  <c r="K54" i="18"/>
  <c r="D54" i="18"/>
  <c r="C54" i="18"/>
  <c r="B54" i="18"/>
  <c r="T53" i="18"/>
  <c r="K52" i="18"/>
  <c r="D52" i="18"/>
  <c r="C52" i="18"/>
  <c r="B52" i="18"/>
  <c r="D50" i="18"/>
  <c r="C50" i="18"/>
  <c r="B50" i="18"/>
  <c r="D48" i="18"/>
  <c r="C48" i="18"/>
  <c r="B48" i="18"/>
  <c r="L53" i="18" l="1"/>
  <c r="K53" i="18"/>
  <c r="K51" i="18"/>
  <c r="J51" i="18" s="1"/>
  <c r="F51" i="18"/>
  <c r="B51" i="18"/>
  <c r="G51" i="18"/>
  <c r="D53" i="18"/>
  <c r="B49" i="18"/>
  <c r="G49" i="18"/>
  <c r="L49" i="18"/>
  <c r="C53" i="18"/>
  <c r="B53" i="18" s="1"/>
  <c r="D49" i="18"/>
  <c r="C49" i="18" s="1"/>
  <c r="J49" i="18"/>
  <c r="J53" i="18"/>
  <c r="H53" i="18" s="1"/>
  <c r="G53" i="18" s="1"/>
  <c r="F53" i="18" s="1"/>
  <c r="H49" i="18"/>
  <c r="L51" i="18"/>
  <c r="D51" i="18"/>
  <c r="C51" i="18" s="1"/>
  <c r="F49" i="18"/>
  <c r="L47" i="18"/>
  <c r="K46" i="18"/>
  <c r="K47" i="18" s="1"/>
  <c r="J47" i="18"/>
  <c r="G47" i="18"/>
  <c r="F47" i="18"/>
  <c r="D46" i="18"/>
  <c r="D47" i="18" s="1"/>
  <c r="C46" i="18"/>
  <c r="B46" i="18"/>
  <c r="B47" i="18" s="1"/>
  <c r="K45" i="18"/>
  <c r="D45" i="18"/>
  <c r="C45" i="18"/>
  <c r="B45" i="18"/>
  <c r="K44" i="18"/>
  <c r="D44" i="18"/>
  <c r="C44" i="18"/>
  <c r="B44" i="18"/>
  <c r="K42" i="18"/>
  <c r="D42" i="18"/>
  <c r="C42" i="18"/>
  <c r="B42" i="18"/>
  <c r="K40" i="18"/>
  <c r="K39" i="18" s="1"/>
  <c r="D40" i="18"/>
  <c r="C40" i="18"/>
  <c r="B40" i="18"/>
  <c r="D38" i="18"/>
  <c r="C38" i="18"/>
  <c r="B38" i="18"/>
  <c r="K36" i="18"/>
  <c r="D36" i="18"/>
  <c r="C36" i="18"/>
  <c r="B36" i="18"/>
  <c r="D34" i="18"/>
  <c r="C34" i="18"/>
  <c r="B34" i="18"/>
  <c r="D32" i="18"/>
  <c r="C32" i="18"/>
  <c r="B32" i="18"/>
  <c r="D30" i="18"/>
  <c r="C30" i="18"/>
  <c r="B30" i="18"/>
  <c r="K28" i="18"/>
  <c r="D28" i="18"/>
  <c r="C28" i="18"/>
  <c r="B28" i="18"/>
  <c r="K26" i="18"/>
  <c r="D26" i="18"/>
  <c r="C26" i="18"/>
  <c r="B26" i="18"/>
  <c r="K24" i="18"/>
  <c r="D24" i="18"/>
  <c r="C24" i="18"/>
  <c r="B24" i="18"/>
  <c r="K22" i="18"/>
  <c r="D22" i="18"/>
  <c r="C22" i="18"/>
  <c r="B22" i="18"/>
  <c r="K20" i="18"/>
  <c r="D20" i="18"/>
  <c r="C20" i="18"/>
  <c r="B20" i="18"/>
  <c r="K35" i="18" l="1"/>
  <c r="K37" i="18"/>
  <c r="F33" i="18"/>
  <c r="H37" i="18"/>
  <c r="C35" i="18"/>
  <c r="B37" i="18"/>
  <c r="G37" i="18"/>
  <c r="L37" i="18"/>
  <c r="F39" i="18"/>
  <c r="H35" i="18"/>
  <c r="C39" i="18"/>
  <c r="H39" i="18"/>
  <c r="J33" i="18"/>
  <c r="B21" i="18"/>
  <c r="D25" i="18"/>
  <c r="J25" i="18"/>
  <c r="L21" i="18"/>
  <c r="F21" i="18"/>
  <c r="J23" i="18"/>
  <c r="D31" i="18"/>
  <c r="D39" i="18"/>
  <c r="G21" i="18"/>
  <c r="K21" i="18"/>
  <c r="D23" i="18"/>
  <c r="G27" i="18"/>
  <c r="F29" i="18"/>
  <c r="K29" i="18"/>
  <c r="C33" i="18"/>
  <c r="H33" i="18"/>
  <c r="F37" i="18"/>
  <c r="G23" i="18"/>
  <c r="C23" i="18"/>
  <c r="B25" i="18"/>
  <c r="L25" i="18"/>
  <c r="C31" i="18"/>
  <c r="H31" i="18"/>
  <c r="B33" i="18"/>
  <c r="G33" i="18"/>
  <c r="L33" i="18"/>
  <c r="F35" i="18"/>
  <c r="H23" i="18"/>
  <c r="J39" i="18"/>
  <c r="K41" i="18"/>
  <c r="J21" i="18"/>
  <c r="B35" i="18"/>
  <c r="G35" i="18"/>
  <c r="L35" i="18"/>
  <c r="C37" i="18"/>
  <c r="C41" i="18"/>
  <c r="H41" i="18"/>
  <c r="F41" i="18"/>
  <c r="D27" i="18"/>
  <c r="J27" i="18"/>
  <c r="D21" i="18"/>
  <c r="F25" i="18"/>
  <c r="K25" i="18"/>
  <c r="C27" i="18"/>
  <c r="H27" i="18"/>
  <c r="B29" i="18"/>
  <c r="G29" i="18"/>
  <c r="L29" i="18"/>
  <c r="D33" i="18"/>
  <c r="D41" i="18"/>
  <c r="J41" i="18"/>
  <c r="B23" i="18"/>
  <c r="G25" i="18"/>
  <c r="L27" i="18"/>
  <c r="J37" i="18"/>
  <c r="B41" i="18"/>
  <c r="L41" i="18"/>
  <c r="D29" i="18"/>
  <c r="C29" i="18" s="1"/>
  <c r="J29" i="18"/>
  <c r="B31" i="18"/>
  <c r="G31" i="18"/>
  <c r="F31" i="18" s="1"/>
  <c r="L31" i="18"/>
  <c r="D35" i="18"/>
  <c r="J35" i="18"/>
  <c r="G39" i="18"/>
  <c r="L39" i="18"/>
  <c r="L23" i="18"/>
  <c r="B27" i="18"/>
  <c r="D37" i="18"/>
  <c r="G41" i="18"/>
  <c r="C21" i="18"/>
  <c r="H21" i="18"/>
  <c r="F23" i="18"/>
  <c r="K23" i="18"/>
  <c r="C25" i="18"/>
  <c r="H25" i="18"/>
  <c r="F27" i="18"/>
  <c r="K27" i="18"/>
  <c r="H29" i="18"/>
  <c r="C47" i="18"/>
  <c r="L43" i="18"/>
  <c r="K43" i="18" s="1"/>
  <c r="J43" i="18" s="1"/>
  <c r="H43" i="18" s="1"/>
  <c r="G43" i="18" s="1"/>
  <c r="F43" i="18" s="1"/>
  <c r="D43" i="18" s="1"/>
  <c r="C43" i="18" s="1"/>
  <c r="B43" i="18" s="1"/>
  <c r="H47" i="18"/>
  <c r="L19" i="18"/>
  <c r="K18" i="18"/>
  <c r="K19" i="18" s="1"/>
  <c r="J19" i="18"/>
  <c r="H19" i="18"/>
  <c r="G19" i="18"/>
  <c r="F19" i="18"/>
  <c r="D18" i="18"/>
  <c r="D19" i="18" s="1"/>
  <c r="C18" i="18"/>
  <c r="C19" i="18" s="1"/>
  <c r="B18" i="18"/>
  <c r="B19" i="18" s="1"/>
  <c r="K16" i="18"/>
  <c r="D16" i="18"/>
  <c r="C16" i="18"/>
  <c r="B16" i="18"/>
  <c r="K14" i="18"/>
  <c r="D14" i="18"/>
  <c r="C14" i="18"/>
  <c r="B14" i="18"/>
  <c r="K12" i="18"/>
  <c r="D12" i="18"/>
  <c r="C12" i="18"/>
  <c r="B12" i="18"/>
  <c r="K10" i="18"/>
  <c r="D10" i="18"/>
  <c r="C10" i="18"/>
  <c r="B10" i="18"/>
  <c r="K8" i="18"/>
  <c r="D8" i="18"/>
  <c r="C8" i="18"/>
  <c r="B8" i="18"/>
  <c r="K6" i="18"/>
  <c r="D6" i="18"/>
  <c r="C6" i="18"/>
  <c r="B6" i="18"/>
  <c r="F3" i="18"/>
  <c r="AD9" i="18" s="1"/>
  <c r="AD11" i="18" s="1"/>
  <c r="B3" i="18"/>
  <c r="R4" i="18" s="1"/>
  <c r="C52" i="17"/>
  <c r="D50" i="17"/>
  <c r="C50" i="17"/>
  <c r="D48" i="17"/>
  <c r="C48" i="17"/>
  <c r="D46" i="17"/>
  <c r="C46" i="17"/>
  <c r="D44" i="17"/>
  <c r="C44" i="17"/>
  <c r="D43" i="17"/>
  <c r="C43" i="17"/>
  <c r="D42" i="17"/>
  <c r="C42" i="17"/>
  <c r="D40" i="17"/>
  <c r="C40" i="17"/>
  <c r="D38" i="17"/>
  <c r="C38" i="17"/>
  <c r="D36" i="17"/>
  <c r="C36" i="17"/>
  <c r="B11" i="18" l="1"/>
  <c r="G11" i="18"/>
  <c r="L11" i="18"/>
  <c r="D11" i="18"/>
  <c r="J11" i="18"/>
  <c r="K17" i="18"/>
  <c r="E36" i="17"/>
  <c r="H7" i="18"/>
  <c r="C45" i="17"/>
  <c r="C17" i="18"/>
  <c r="H17" i="18"/>
  <c r="C11" i="18"/>
  <c r="H11" i="18"/>
  <c r="C37" i="17"/>
  <c r="E43" i="17"/>
  <c r="D7" i="18"/>
  <c r="J7" i="18"/>
  <c r="S7" i="18"/>
  <c r="C3" i="15" s="1"/>
  <c r="D41" i="17"/>
  <c r="E44" i="17"/>
  <c r="F7" i="18"/>
  <c r="K7" i="18"/>
  <c r="D13" i="18"/>
  <c r="C13" i="18" s="1"/>
  <c r="J13" i="18"/>
  <c r="C15" i="18"/>
  <c r="H15" i="18"/>
  <c r="D49" i="17"/>
  <c r="H13" i="18"/>
  <c r="F17" i="18"/>
  <c r="D37" i="17"/>
  <c r="E40" i="17"/>
  <c r="D45" i="17"/>
  <c r="E48" i="17"/>
  <c r="C7" i="18"/>
  <c r="B7" i="18" s="1"/>
  <c r="B13" i="18"/>
  <c r="G13" i="18"/>
  <c r="L13" i="18"/>
  <c r="F15" i="18"/>
  <c r="K15" i="18"/>
  <c r="B17" i="18"/>
  <c r="G17" i="18"/>
  <c r="L17" i="18"/>
  <c r="D51" i="17"/>
  <c r="E52" i="17"/>
  <c r="L7" i="18"/>
  <c r="F11" i="18"/>
  <c r="K11" i="18"/>
  <c r="D15" i="18"/>
  <c r="J15" i="18"/>
  <c r="D39" i="17"/>
  <c r="C51" i="17"/>
  <c r="F13" i="18"/>
  <c r="K13" i="18"/>
  <c r="C39" i="17"/>
  <c r="B15" i="18"/>
  <c r="G15" i="18"/>
  <c r="L15" i="18"/>
  <c r="D17" i="18"/>
  <c r="J17" i="18"/>
  <c r="C49" i="17"/>
  <c r="E50" i="17"/>
  <c r="D47" i="17"/>
  <c r="G7" i="18"/>
  <c r="C47" i="17"/>
  <c r="E38" i="17"/>
  <c r="C41" i="17"/>
  <c r="E42" i="17"/>
  <c r="E46" i="17"/>
  <c r="L9" i="18"/>
  <c r="K9" i="18" s="1"/>
  <c r="J9" i="18" s="1"/>
  <c r="H9" i="18" s="1"/>
  <c r="G9" i="18" s="1"/>
  <c r="F9" i="18" s="1"/>
  <c r="D9" i="18" s="1"/>
  <c r="C9" i="18" s="1"/>
  <c r="B9" i="18" s="1"/>
  <c r="D34" i="17"/>
  <c r="D35" i="17" s="1"/>
  <c r="C34" i="17"/>
  <c r="D32" i="17"/>
  <c r="C32" i="17"/>
  <c r="D30" i="17"/>
  <c r="C30" i="17"/>
  <c r="D28" i="17"/>
  <c r="C28" i="17"/>
  <c r="D26" i="17"/>
  <c r="C26" i="17"/>
  <c r="D24" i="17"/>
  <c r="C24" i="17"/>
  <c r="D22" i="17"/>
  <c r="C22" i="17"/>
  <c r="D20" i="17"/>
  <c r="C20" i="17"/>
  <c r="D18" i="17"/>
  <c r="C18" i="17"/>
  <c r="E37" i="17" l="1"/>
  <c r="E51" i="17"/>
  <c r="E49" i="17"/>
  <c r="E45" i="17"/>
  <c r="E41" i="17"/>
  <c r="C25" i="17"/>
  <c r="E22" i="17"/>
  <c r="D19" i="17"/>
  <c r="D33" i="17"/>
  <c r="D21" i="17"/>
  <c r="E24" i="17"/>
  <c r="D27" i="17"/>
  <c r="D23" i="17"/>
  <c r="D29" i="17"/>
  <c r="E39" i="17"/>
  <c r="D31" i="17"/>
  <c r="E47" i="17"/>
  <c r="E18" i="17"/>
  <c r="E26" i="17"/>
  <c r="E32" i="17"/>
  <c r="C29" i="17"/>
  <c r="E20" i="17"/>
  <c r="C23" i="17"/>
  <c r="E28" i="17"/>
  <c r="C31" i="17"/>
  <c r="C35" i="17"/>
  <c r="C21" i="17"/>
  <c r="C19" i="17"/>
  <c r="C27" i="17"/>
  <c r="E30" i="17"/>
  <c r="C33" i="17"/>
  <c r="E34" i="17"/>
  <c r="D16" i="17"/>
  <c r="D17" i="17" s="1"/>
  <c r="C16" i="17"/>
  <c r="D14" i="17"/>
  <c r="C14" i="17"/>
  <c r="E33" i="17" l="1"/>
  <c r="E19" i="17"/>
  <c r="E21" i="17"/>
  <c r="E29" i="17"/>
  <c r="E23" i="17"/>
  <c r="C15" i="17"/>
  <c r="E35" i="17"/>
  <c r="E27" i="17"/>
  <c r="E31" i="17"/>
  <c r="C17" i="17"/>
  <c r="E17" i="17" s="1"/>
  <c r="E16" i="17"/>
  <c r="T12" i="17"/>
  <c r="D12" i="17"/>
  <c r="D13" i="17" s="1"/>
  <c r="C12" i="17"/>
  <c r="T11" i="17"/>
  <c r="T10" i="17"/>
  <c r="D10" i="17"/>
  <c r="C10" i="17"/>
  <c r="T9" i="17"/>
  <c r="D8" i="17"/>
  <c r="C8" i="17"/>
  <c r="D9" i="17" l="1"/>
  <c r="C11" i="17"/>
  <c r="E12" i="17"/>
  <c r="C13" i="17"/>
  <c r="E13" i="17" s="1"/>
  <c r="C9" i="17"/>
  <c r="E8" i="17"/>
  <c r="E10" i="17"/>
  <c r="D6" i="17"/>
  <c r="C6" i="17"/>
  <c r="E9" i="17" l="1"/>
  <c r="C7" i="17"/>
  <c r="E6" i="17"/>
  <c r="C4" i="17"/>
  <c r="B1" i="17"/>
  <c r="I5" i="17" s="1"/>
  <c r="E44" i="16"/>
  <c r="D44" i="16" s="1"/>
  <c r="D43" i="16"/>
  <c r="D40" i="16"/>
  <c r="E40" i="16" s="1"/>
  <c r="E39" i="16"/>
  <c r="T14" i="17" l="1"/>
  <c r="E14" i="17" s="1"/>
  <c r="E43" i="16"/>
  <c r="E4" i="17"/>
  <c r="C5" i="17"/>
  <c r="T13" i="17"/>
  <c r="D45" i="16"/>
  <c r="G210" i="4" s="1"/>
  <c r="C5" i="14" l="1"/>
  <c r="B233" i="13"/>
  <c r="J176" i="13" l="1"/>
  <c r="I176" i="13"/>
  <c r="H176" i="13"/>
  <c r="G176" i="13"/>
  <c r="F176" i="13"/>
  <c r="E176" i="13"/>
  <c r="C176" i="13"/>
  <c r="J175" i="13"/>
  <c r="I175" i="13"/>
  <c r="H175" i="13"/>
  <c r="G175" i="13"/>
  <c r="F175" i="13"/>
  <c r="E175" i="13"/>
  <c r="C175" i="13"/>
  <c r="J174" i="13"/>
  <c r="I174" i="13"/>
  <c r="H174" i="13"/>
  <c r="G174" i="13"/>
  <c r="F174" i="13"/>
  <c r="E174" i="13"/>
  <c r="C174" i="13"/>
  <c r="G182" i="13" l="1"/>
  <c r="I182" i="13"/>
  <c r="H182" i="13"/>
  <c r="J167" i="13"/>
  <c r="I167" i="13"/>
  <c r="H167" i="13"/>
  <c r="G167" i="13"/>
  <c r="F167" i="13"/>
  <c r="E167" i="13"/>
  <c r="C167" i="13"/>
  <c r="J166" i="13"/>
  <c r="I166" i="13"/>
  <c r="H166" i="13"/>
  <c r="G166" i="13"/>
  <c r="F166" i="13"/>
  <c r="E166" i="13"/>
  <c r="C166" i="13"/>
  <c r="J165" i="13"/>
  <c r="I165" i="13"/>
  <c r="H165" i="13"/>
  <c r="G165" i="13"/>
  <c r="F165" i="13"/>
  <c r="E165" i="13"/>
  <c r="C165" i="13"/>
  <c r="J164" i="13"/>
  <c r="I164" i="13"/>
  <c r="H164" i="13"/>
  <c r="G164" i="13"/>
  <c r="F164" i="13"/>
  <c r="E164" i="13"/>
  <c r="C164" i="13"/>
  <c r="J163" i="13"/>
  <c r="I163" i="13"/>
  <c r="H163" i="13"/>
  <c r="G163" i="13"/>
  <c r="F163" i="13"/>
  <c r="E163" i="13"/>
  <c r="C163" i="13"/>
  <c r="J162" i="13"/>
  <c r="I162" i="13"/>
  <c r="G162" i="13"/>
  <c r="F162" i="13"/>
  <c r="E162" i="13"/>
  <c r="C162" i="13"/>
  <c r="J161" i="13"/>
  <c r="I161" i="13"/>
  <c r="G161" i="13"/>
  <c r="F161" i="13"/>
  <c r="E161" i="13"/>
  <c r="H160" i="13"/>
  <c r="G160" i="13"/>
  <c r="F160" i="13"/>
  <c r="E160" i="13"/>
  <c r="J159" i="13"/>
  <c r="I159" i="13"/>
  <c r="H159" i="13"/>
  <c r="G159" i="13"/>
  <c r="F159" i="13"/>
  <c r="E159" i="13"/>
  <c r="J158" i="13"/>
  <c r="I158" i="13"/>
  <c r="H158" i="13"/>
  <c r="G158" i="13"/>
  <c r="F158" i="13"/>
  <c r="E158" i="13"/>
  <c r="C158" i="13"/>
  <c r="J157" i="13"/>
  <c r="I157" i="13"/>
  <c r="H157" i="13"/>
  <c r="G157" i="13"/>
  <c r="F157" i="13"/>
  <c r="E157" i="13"/>
  <c r="C157" i="13"/>
  <c r="J156" i="13"/>
  <c r="I156" i="13"/>
  <c r="H156" i="13"/>
  <c r="G156" i="13"/>
  <c r="F156" i="13"/>
  <c r="E156" i="13"/>
  <c r="C156" i="13"/>
  <c r="J155" i="13"/>
  <c r="I155" i="13"/>
  <c r="H155" i="13"/>
  <c r="G155" i="13"/>
  <c r="F155" i="13"/>
  <c r="E155" i="13"/>
  <c r="C155" i="13"/>
  <c r="J154" i="13"/>
  <c r="I154" i="13"/>
  <c r="H154" i="13"/>
  <c r="G154" i="13"/>
  <c r="F154" i="13"/>
  <c r="E154" i="13"/>
  <c r="C154" i="13"/>
  <c r="J153" i="13"/>
  <c r="I153" i="13"/>
  <c r="H153" i="13"/>
  <c r="G153" i="13"/>
  <c r="F153" i="13"/>
  <c r="E153" i="13"/>
  <c r="C153" i="13"/>
  <c r="J152" i="13"/>
  <c r="I152" i="13"/>
  <c r="H152" i="13"/>
  <c r="G152" i="13"/>
  <c r="F152" i="13"/>
  <c r="E152" i="13"/>
  <c r="C152" i="13"/>
  <c r="J146" i="13"/>
  <c r="I146" i="13"/>
  <c r="H146" i="13"/>
  <c r="G146" i="13"/>
  <c r="F146" i="13"/>
  <c r="E146" i="13"/>
  <c r="C146" i="13"/>
  <c r="J145" i="13"/>
  <c r="I145" i="13"/>
  <c r="H145" i="13"/>
  <c r="G145" i="13"/>
  <c r="F145" i="13"/>
  <c r="E145" i="13"/>
  <c r="C145" i="13"/>
  <c r="J144" i="13"/>
  <c r="I144" i="13"/>
  <c r="H144" i="13"/>
  <c r="G144" i="13"/>
  <c r="F144" i="13"/>
  <c r="E144" i="13"/>
  <c r="C144" i="13"/>
  <c r="I173" i="13" l="1"/>
  <c r="I151" i="13"/>
  <c r="G151" i="13"/>
  <c r="H151" i="13"/>
  <c r="G173" i="13"/>
  <c r="H173" i="13"/>
  <c r="J136" i="13"/>
  <c r="I136" i="13"/>
  <c r="H136" i="13"/>
  <c r="G136" i="13"/>
  <c r="F136" i="13"/>
  <c r="E136" i="13"/>
  <c r="C136" i="13"/>
  <c r="J135" i="13"/>
  <c r="I135" i="13"/>
  <c r="H135" i="13"/>
  <c r="G135" i="13"/>
  <c r="F135" i="13"/>
  <c r="E135" i="13"/>
  <c r="C135" i="13"/>
  <c r="J134" i="13"/>
  <c r="I134" i="13"/>
  <c r="H134" i="13"/>
  <c r="G134" i="13"/>
  <c r="F134" i="13"/>
  <c r="E134" i="13"/>
  <c r="C134" i="13"/>
  <c r="J133" i="13"/>
  <c r="I133" i="13"/>
  <c r="H133" i="13"/>
  <c r="G133" i="13"/>
  <c r="F133" i="13"/>
  <c r="E133" i="13"/>
  <c r="C133" i="13"/>
  <c r="J132" i="13"/>
  <c r="I132" i="13"/>
  <c r="H132" i="13"/>
  <c r="G132" i="13"/>
  <c r="F132" i="13"/>
  <c r="E132" i="13"/>
  <c r="C132" i="13"/>
  <c r="J131" i="13"/>
  <c r="I131" i="13"/>
  <c r="H131" i="13"/>
  <c r="G131" i="13"/>
  <c r="F131" i="13"/>
  <c r="E131" i="13"/>
  <c r="C131" i="13"/>
  <c r="J130" i="13"/>
  <c r="I130" i="13"/>
  <c r="H130" i="13"/>
  <c r="G130" i="13"/>
  <c r="F130" i="13"/>
  <c r="E130" i="13"/>
  <c r="C130" i="13"/>
  <c r="J124" i="13"/>
  <c r="I124" i="13"/>
  <c r="H124" i="13"/>
  <c r="G124" i="13"/>
  <c r="F124" i="13"/>
  <c r="E124" i="13"/>
  <c r="C124" i="13"/>
  <c r="J123" i="13"/>
  <c r="I123" i="13"/>
  <c r="H123" i="13"/>
  <c r="G123" i="13"/>
  <c r="F123" i="13"/>
  <c r="E123" i="13"/>
  <c r="C123" i="13"/>
  <c r="J122" i="13"/>
  <c r="I122" i="13"/>
  <c r="H122" i="13"/>
  <c r="G122" i="13"/>
  <c r="F122" i="13"/>
  <c r="E122" i="13"/>
  <c r="C122" i="13"/>
  <c r="J121" i="13"/>
  <c r="I121" i="13"/>
  <c r="H121" i="13"/>
  <c r="G121" i="13"/>
  <c r="F121" i="13"/>
  <c r="E121" i="13"/>
  <c r="C121" i="13"/>
  <c r="J119" i="13"/>
  <c r="I119" i="13"/>
  <c r="H119" i="13"/>
  <c r="G119" i="13"/>
  <c r="F119" i="13"/>
  <c r="E119" i="13"/>
  <c r="C119" i="13"/>
  <c r="J118" i="13"/>
  <c r="I118" i="13"/>
  <c r="H118" i="13"/>
  <c r="G118" i="13"/>
  <c r="F118" i="13"/>
  <c r="E118" i="13"/>
  <c r="C118" i="13"/>
  <c r="J117" i="13"/>
  <c r="I117" i="13"/>
  <c r="H117" i="13"/>
  <c r="G117" i="13"/>
  <c r="F117" i="13"/>
  <c r="E117" i="13"/>
  <c r="C117" i="13"/>
  <c r="J116" i="13"/>
  <c r="I116" i="13"/>
  <c r="H116" i="13"/>
  <c r="G116" i="13"/>
  <c r="F116" i="13"/>
  <c r="E116" i="13"/>
  <c r="C116" i="13"/>
  <c r="J115" i="13"/>
  <c r="I115" i="13"/>
  <c r="H115" i="13"/>
  <c r="G115" i="13"/>
  <c r="F115" i="13"/>
  <c r="E115" i="13"/>
  <c r="C115" i="13"/>
  <c r="J114" i="13"/>
  <c r="I114" i="13"/>
  <c r="H114" i="13"/>
  <c r="G114" i="13"/>
  <c r="F114" i="13"/>
  <c r="E114" i="13"/>
  <c r="C114" i="13"/>
  <c r="J113" i="13"/>
  <c r="I113" i="13"/>
  <c r="H113" i="13"/>
  <c r="G113" i="13"/>
  <c r="F113" i="13"/>
  <c r="E113" i="13"/>
  <c r="C113" i="13"/>
  <c r="J112" i="13"/>
  <c r="I112" i="13"/>
  <c r="H112" i="13"/>
  <c r="G112" i="13"/>
  <c r="F112" i="13"/>
  <c r="E112" i="13"/>
  <c r="C112" i="13"/>
  <c r="J111" i="13"/>
  <c r="I111" i="13"/>
  <c r="H111" i="13"/>
  <c r="G111" i="13"/>
  <c r="F111" i="13"/>
  <c r="E111" i="13"/>
  <c r="C111" i="13"/>
  <c r="G143" i="13" l="1"/>
  <c r="H143" i="13"/>
  <c r="I143" i="13"/>
  <c r="I129" i="13"/>
  <c r="G129" i="13"/>
  <c r="H129" i="13"/>
  <c r="I105" i="13"/>
  <c r="H105" i="13"/>
  <c r="G105" i="13"/>
  <c r="F105" i="13"/>
  <c r="E105" i="13"/>
  <c r="C105" i="13"/>
  <c r="I104" i="13"/>
  <c r="H104" i="13"/>
  <c r="G104" i="13"/>
  <c r="F104" i="13"/>
  <c r="E104" i="13"/>
  <c r="C104" i="13"/>
  <c r="J103" i="13"/>
  <c r="I103" i="13"/>
  <c r="H103" i="13"/>
  <c r="G103" i="13"/>
  <c r="F103" i="13"/>
  <c r="E103" i="13"/>
  <c r="C103" i="13"/>
  <c r="J102" i="13"/>
  <c r="I102" i="13"/>
  <c r="H102" i="13"/>
  <c r="G102" i="13"/>
  <c r="F102" i="13"/>
  <c r="E102" i="13"/>
  <c r="C102" i="13"/>
  <c r="J101" i="13"/>
  <c r="J95" i="13"/>
  <c r="I95" i="13"/>
  <c r="H95" i="13"/>
  <c r="G95" i="13"/>
  <c r="F95" i="13"/>
  <c r="E95" i="13"/>
  <c r="C95" i="13"/>
  <c r="J94" i="13"/>
  <c r="I94" i="13"/>
  <c r="H94" i="13"/>
  <c r="G94" i="13"/>
  <c r="F94" i="13"/>
  <c r="E94" i="13"/>
  <c r="C94" i="13"/>
  <c r="J93" i="13"/>
  <c r="I93" i="13"/>
  <c r="H93" i="13"/>
  <c r="G93" i="13"/>
  <c r="F93" i="13"/>
  <c r="E93" i="13"/>
  <c r="C93" i="13"/>
  <c r="J92" i="13"/>
  <c r="I92" i="13"/>
  <c r="H92" i="13"/>
  <c r="G92" i="13"/>
  <c r="F92" i="13"/>
  <c r="E92" i="13"/>
  <c r="C92" i="13"/>
  <c r="J91" i="13"/>
  <c r="I91" i="13"/>
  <c r="H91" i="13"/>
  <c r="G91" i="13"/>
  <c r="F91" i="13"/>
  <c r="E91" i="13"/>
  <c r="C91" i="13"/>
  <c r="J90" i="13"/>
  <c r="I90" i="13"/>
  <c r="H90" i="13"/>
  <c r="G90" i="13"/>
  <c r="F90" i="13"/>
  <c r="E90" i="13"/>
  <c r="C90" i="13"/>
  <c r="J89" i="13"/>
  <c r="I89" i="13"/>
  <c r="H89" i="13"/>
  <c r="G89" i="13"/>
  <c r="F89" i="13"/>
  <c r="E89" i="13"/>
  <c r="C89" i="13"/>
  <c r="J88" i="13"/>
  <c r="I88" i="13"/>
  <c r="H88" i="13"/>
  <c r="G88" i="13"/>
  <c r="F88" i="13"/>
  <c r="E88" i="13"/>
  <c r="C88" i="13"/>
  <c r="J87" i="13"/>
  <c r="I87" i="13"/>
  <c r="H87" i="13"/>
  <c r="G87" i="13"/>
  <c r="F87" i="13"/>
  <c r="E87" i="13"/>
  <c r="C87" i="13"/>
  <c r="J86" i="13"/>
  <c r="I86" i="13"/>
  <c r="H86" i="13"/>
  <c r="G86" i="13"/>
  <c r="F86" i="13"/>
  <c r="E86" i="13"/>
  <c r="C86" i="13"/>
  <c r="J85" i="13"/>
  <c r="I85" i="13"/>
  <c r="H85" i="13"/>
  <c r="G85" i="13"/>
  <c r="F85" i="13"/>
  <c r="E85" i="13"/>
  <c r="J84" i="13"/>
  <c r="I84" i="13"/>
  <c r="H84" i="13"/>
  <c r="G84" i="13"/>
  <c r="F84" i="13"/>
  <c r="E84" i="13"/>
  <c r="C84" i="13"/>
  <c r="J83" i="13"/>
  <c r="I83" i="13"/>
  <c r="H83" i="13"/>
  <c r="G83" i="13"/>
  <c r="F83" i="13"/>
  <c r="E83" i="13"/>
  <c r="C83" i="13"/>
  <c r="J82" i="13"/>
  <c r="I82" i="13"/>
  <c r="H82" i="13"/>
  <c r="G82" i="13"/>
  <c r="F82" i="13"/>
  <c r="E82" i="13"/>
  <c r="C82" i="13"/>
  <c r="J80" i="13"/>
  <c r="I80" i="13"/>
  <c r="H80" i="13"/>
  <c r="G80" i="13"/>
  <c r="F80" i="13"/>
  <c r="E80" i="13"/>
  <c r="C80" i="13"/>
  <c r="J79" i="13"/>
  <c r="I79" i="13"/>
  <c r="H79" i="13"/>
  <c r="G79" i="13"/>
  <c r="F79" i="13"/>
  <c r="E79" i="13"/>
  <c r="C79" i="13"/>
  <c r="J78" i="13"/>
  <c r="H78" i="13"/>
  <c r="G78" i="13"/>
  <c r="F78" i="13"/>
  <c r="E78" i="13"/>
  <c r="C78" i="13"/>
  <c r="J77" i="13"/>
  <c r="I77" i="13"/>
  <c r="H77" i="13"/>
  <c r="G77" i="13"/>
  <c r="F77" i="13"/>
  <c r="E77" i="13"/>
  <c r="C77" i="13"/>
  <c r="J76" i="13"/>
  <c r="I76" i="13"/>
  <c r="H76" i="13"/>
  <c r="G76" i="13"/>
  <c r="F76" i="13"/>
  <c r="E76" i="13"/>
  <c r="C76" i="13"/>
  <c r="J75" i="13"/>
  <c r="I75" i="13"/>
  <c r="H75" i="13"/>
  <c r="G75" i="13"/>
  <c r="F75" i="13"/>
  <c r="E75" i="13"/>
  <c r="C75" i="13"/>
  <c r="I110" i="13" l="1"/>
  <c r="I101" i="13"/>
  <c r="H101" i="13"/>
  <c r="G101" i="13"/>
  <c r="G110" i="13"/>
  <c r="H110" i="13"/>
  <c r="J67" i="13"/>
  <c r="I67" i="13"/>
  <c r="H67" i="13"/>
  <c r="G67" i="13"/>
  <c r="F67" i="13"/>
  <c r="E67" i="13"/>
  <c r="C67" i="13"/>
  <c r="J66" i="13"/>
  <c r="I66" i="13"/>
  <c r="H66" i="13"/>
  <c r="G66" i="13"/>
  <c r="F66" i="13"/>
  <c r="C66" i="13"/>
  <c r="J65" i="13"/>
  <c r="I65" i="13"/>
  <c r="H65" i="13"/>
  <c r="G65" i="13"/>
  <c r="F65" i="13"/>
  <c r="E65" i="13"/>
  <c r="C65" i="13"/>
  <c r="J64" i="13"/>
  <c r="I64" i="13"/>
  <c r="H64" i="13"/>
  <c r="G64" i="13"/>
  <c r="F64" i="13"/>
  <c r="E64" i="13"/>
  <c r="C64" i="13"/>
  <c r="J63" i="13"/>
  <c r="I63" i="13"/>
  <c r="H63" i="13"/>
  <c r="G63" i="13"/>
  <c r="F63" i="13"/>
  <c r="E63" i="13"/>
  <c r="C63" i="13"/>
  <c r="J62" i="13"/>
  <c r="I62" i="13"/>
  <c r="H62" i="13"/>
  <c r="G62" i="13"/>
  <c r="F62" i="13"/>
  <c r="E62" i="13"/>
  <c r="C62" i="13"/>
  <c r="J61" i="13"/>
  <c r="I61" i="13"/>
  <c r="H61" i="13"/>
  <c r="G61" i="13"/>
  <c r="F61" i="13"/>
  <c r="E61" i="13"/>
  <c r="C61" i="13"/>
  <c r="J59" i="13"/>
  <c r="I59" i="13"/>
  <c r="H59" i="13"/>
  <c r="G59" i="13"/>
  <c r="F59" i="13"/>
  <c r="E59" i="13"/>
  <c r="J58" i="13"/>
  <c r="I58" i="13"/>
  <c r="H58" i="13"/>
  <c r="G58" i="13"/>
  <c r="F58" i="13"/>
  <c r="E58" i="13"/>
  <c r="J57" i="13"/>
  <c r="I57" i="13"/>
  <c r="H57" i="13"/>
  <c r="G57" i="13"/>
  <c r="E57" i="13"/>
  <c r="J56" i="13"/>
  <c r="I56" i="13"/>
  <c r="H56" i="13"/>
  <c r="G56" i="13"/>
  <c r="F56" i="13"/>
  <c r="E56" i="13"/>
  <c r="C56" i="13"/>
  <c r="J55" i="13"/>
  <c r="I55" i="13"/>
  <c r="H55" i="13"/>
  <c r="G55" i="13"/>
  <c r="F55" i="13" l="1"/>
  <c r="E55" i="13"/>
  <c r="C55" i="13"/>
  <c r="J54" i="13"/>
  <c r="I54" i="13"/>
  <c r="H54" i="13"/>
  <c r="G54" i="13"/>
  <c r="F54" i="13"/>
  <c r="E54" i="13"/>
  <c r="C54" i="13"/>
  <c r="J53" i="13"/>
  <c r="I53" i="13"/>
  <c r="H53" i="13"/>
  <c r="G53" i="13"/>
  <c r="F53" i="13"/>
  <c r="E53" i="13"/>
  <c r="C53" i="13"/>
  <c r="J52" i="13"/>
  <c r="I52" i="13"/>
  <c r="H52" i="13"/>
  <c r="G52" i="13"/>
  <c r="F52" i="13"/>
  <c r="E52" i="13"/>
  <c r="C52" i="13"/>
  <c r="J43" i="13"/>
  <c r="I43" i="13"/>
  <c r="H43" i="13"/>
  <c r="G43" i="13"/>
  <c r="F43" i="13"/>
  <c r="E43" i="13"/>
  <c r="C43" i="13"/>
  <c r="J42" i="13"/>
  <c r="I42" i="13"/>
  <c r="H42" i="13"/>
  <c r="F42" i="13"/>
  <c r="E42" i="13"/>
  <c r="C42" i="13"/>
  <c r="J41" i="13"/>
  <c r="I41" i="13"/>
  <c r="H41" i="13"/>
  <c r="G41" i="13"/>
  <c r="F41" i="13"/>
  <c r="E41" i="13"/>
  <c r="C41" i="13"/>
  <c r="J40" i="13"/>
  <c r="I40" i="13"/>
  <c r="H40" i="13"/>
  <c r="G40" i="13"/>
  <c r="F40" i="13"/>
  <c r="E40" i="13"/>
  <c r="C40" i="13"/>
  <c r="J39" i="13"/>
  <c r="I39" i="13"/>
  <c r="H39" i="13"/>
  <c r="G39" i="13"/>
  <c r="F39" i="13"/>
  <c r="E39" i="13"/>
  <c r="C39" i="13"/>
  <c r="J38" i="13"/>
  <c r="I38" i="13"/>
  <c r="H38" i="13"/>
  <c r="G38" i="13"/>
  <c r="F38" i="13"/>
  <c r="E38" i="13"/>
  <c r="C38" i="13"/>
  <c r="J37" i="13"/>
  <c r="I37" i="13"/>
  <c r="H37" i="13"/>
  <c r="G37" i="13"/>
  <c r="F37" i="13"/>
  <c r="E37" i="13"/>
  <c r="C37" i="13"/>
  <c r="J36" i="13"/>
  <c r="I36" i="13"/>
  <c r="H36" i="13"/>
  <c r="G36" i="13"/>
  <c r="F36" i="13"/>
  <c r="E36" i="13"/>
  <c r="J35" i="13"/>
  <c r="I35" i="13"/>
  <c r="H35" i="13"/>
  <c r="G35" i="13"/>
  <c r="F35" i="13"/>
  <c r="E35" i="13"/>
  <c r="C35" i="13"/>
  <c r="J34" i="13"/>
  <c r="I34" i="13"/>
  <c r="H34" i="13"/>
  <c r="G34" i="13"/>
  <c r="F34" i="13"/>
  <c r="E34" i="13"/>
  <c r="C34" i="13"/>
  <c r="J33" i="13"/>
  <c r="I33" i="13"/>
  <c r="H33" i="13"/>
  <c r="G33" i="13"/>
  <c r="F33" i="13"/>
  <c r="E33" i="13"/>
  <c r="C33" i="13"/>
  <c r="J32" i="13"/>
  <c r="I32" i="13"/>
  <c r="H32" i="13"/>
  <c r="G32" i="13"/>
  <c r="F32" i="13"/>
  <c r="E32" i="13"/>
  <c r="C32" i="13"/>
  <c r="J31" i="13"/>
  <c r="I31" i="13"/>
  <c r="H31" i="13"/>
  <c r="G31" i="13"/>
  <c r="F31" i="13"/>
  <c r="E31" i="13"/>
  <c r="C31" i="13"/>
  <c r="I30" i="13"/>
  <c r="H30" i="13"/>
  <c r="G30" i="13"/>
  <c r="F30" i="13"/>
  <c r="E30" i="13"/>
  <c r="C30" i="13"/>
  <c r="J29" i="13"/>
  <c r="I29" i="13"/>
  <c r="H29" i="13"/>
  <c r="G29" i="13"/>
  <c r="F29" i="13"/>
  <c r="E29" i="13"/>
  <c r="C29" i="13"/>
  <c r="J28" i="13"/>
  <c r="I28" i="13"/>
  <c r="H28" i="13"/>
  <c r="G28" i="13"/>
  <c r="F28" i="13"/>
  <c r="E28" i="13"/>
  <c r="C28" i="13"/>
  <c r="J27" i="13"/>
  <c r="I27" i="13"/>
  <c r="H27" i="13"/>
  <c r="G27" i="13"/>
  <c r="F27" i="13"/>
  <c r="E27" i="13"/>
  <c r="J26" i="13"/>
  <c r="I26" i="13"/>
  <c r="H26" i="13"/>
  <c r="G26" i="13"/>
  <c r="F26" i="13"/>
  <c r="E26" i="13"/>
  <c r="C26" i="13"/>
  <c r="J25" i="13"/>
  <c r="I25" i="13"/>
  <c r="H25" i="13"/>
  <c r="G25" i="13"/>
  <c r="F25" i="13"/>
  <c r="E25" i="13"/>
  <c r="C25" i="13"/>
  <c r="J24" i="13"/>
  <c r="I24" i="13"/>
  <c r="H24" i="13"/>
  <c r="G24" i="13"/>
  <c r="F24" i="13"/>
  <c r="E24" i="13"/>
  <c r="C24" i="13"/>
  <c r="J23" i="13"/>
  <c r="I23" i="13"/>
  <c r="H23" i="13"/>
  <c r="G23" i="13"/>
  <c r="F23" i="13"/>
  <c r="E23" i="13"/>
  <c r="C23" i="13"/>
  <c r="J22" i="13"/>
  <c r="I22" i="13"/>
  <c r="H22" i="13"/>
  <c r="G22" i="13"/>
  <c r="F22" i="13"/>
  <c r="E22" i="13"/>
  <c r="C22" i="13"/>
  <c r="J21" i="13"/>
  <c r="I21" i="13"/>
  <c r="H21" i="13"/>
  <c r="G21" i="13"/>
  <c r="F21" i="13"/>
  <c r="E21" i="13"/>
  <c r="C21" i="13"/>
  <c r="I20" i="13"/>
  <c r="H20" i="13"/>
  <c r="G20" i="13"/>
  <c r="F20" i="13"/>
  <c r="E20" i="13"/>
  <c r="C20" i="13"/>
  <c r="I19" i="13"/>
  <c r="H19" i="13"/>
  <c r="G19" i="13"/>
  <c r="F19" i="13"/>
  <c r="E19" i="13"/>
  <c r="C19" i="13"/>
  <c r="I18" i="13"/>
  <c r="H18" i="13"/>
  <c r="G18" i="13"/>
  <c r="F18" i="13"/>
  <c r="E18" i="13"/>
  <c r="C18" i="13"/>
  <c r="I17" i="13"/>
  <c r="H17" i="13"/>
  <c r="G17" i="13"/>
  <c r="F17" i="13"/>
  <c r="E17" i="13"/>
  <c r="C17" i="13"/>
  <c r="I16" i="13"/>
  <c r="H16" i="13"/>
  <c r="G16" i="13"/>
  <c r="F16" i="13"/>
  <c r="E16" i="13"/>
  <c r="C16" i="13"/>
  <c r="I15" i="13"/>
  <c r="H15" i="13"/>
  <c r="G15" i="13"/>
  <c r="F15" i="13"/>
  <c r="E15" i="13"/>
  <c r="C15" i="13"/>
  <c r="I14" i="13"/>
  <c r="H14" i="13"/>
  <c r="G14" i="13"/>
  <c r="F14" i="13"/>
  <c r="E14" i="13"/>
  <c r="C14" i="13"/>
  <c r="I13" i="13"/>
  <c r="H13" i="13"/>
  <c r="G13" i="13"/>
  <c r="F13" i="13"/>
  <c r="E13" i="13"/>
  <c r="C13" i="13"/>
  <c r="I12" i="13"/>
  <c r="H12" i="13"/>
  <c r="G12" i="13"/>
  <c r="F12" i="13"/>
  <c r="E12" i="13"/>
  <c r="C12" i="13"/>
  <c r="F9" i="10"/>
  <c r="I11" i="13"/>
  <c r="H11" i="13"/>
  <c r="G11" i="13"/>
  <c r="F11" i="13"/>
  <c r="E11" i="13"/>
  <c r="C11" i="13"/>
  <c r="F8" i="10"/>
  <c r="I10" i="13"/>
  <c r="H10" i="13"/>
  <c r="G10" i="13"/>
  <c r="F10" i="13"/>
  <c r="E10" i="13"/>
  <c r="C10" i="13"/>
  <c r="F7" i="10"/>
  <c r="I9" i="13"/>
  <c r="H9" i="13"/>
  <c r="G9" i="13"/>
  <c r="F9" i="13"/>
  <c r="E9" i="13"/>
  <c r="C9" i="13"/>
  <c r="D4" i="13"/>
  <c r="C18" i="12"/>
  <c r="E10" i="12"/>
  <c r="C10" i="12" s="1"/>
  <c r="H9" i="12"/>
  <c r="I51" i="13" l="1"/>
  <c r="I74" i="13"/>
  <c r="H51" i="13"/>
  <c r="G51" i="13"/>
  <c r="G74" i="13"/>
  <c r="H74" i="13"/>
  <c r="E8" i="12"/>
  <c r="E9" i="12" s="1"/>
  <c r="C8" i="12"/>
  <c r="E7" i="12"/>
  <c r="C7" i="12"/>
  <c r="C6" i="12"/>
  <c r="H4" i="12"/>
  <c r="I183" i="13" l="1"/>
  <c r="G183" i="13"/>
  <c r="H185" i="13"/>
  <c r="G185" i="13"/>
  <c r="H183" i="13"/>
  <c r="I185" i="13"/>
  <c r="F35" i="11"/>
  <c r="E35" i="11"/>
  <c r="D35" i="11"/>
  <c r="C35" i="11"/>
  <c r="F34" i="11"/>
  <c r="E34" i="11"/>
  <c r="D34" i="11"/>
  <c r="C34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C38" i="11" l="1"/>
  <c r="C32" i="11"/>
  <c r="B52" i="17" s="1"/>
  <c r="C30" i="11"/>
  <c r="B48" i="17" s="1"/>
  <c r="C27" i="11"/>
  <c r="B43" i="17" s="1"/>
  <c r="C29" i="11"/>
  <c r="B46" i="17" s="1"/>
  <c r="C28" i="11"/>
  <c r="B44" i="17" s="1"/>
  <c r="C31" i="11"/>
  <c r="B50" i="17" s="1"/>
  <c r="E38" i="11"/>
  <c r="C26" i="11"/>
  <c r="B42" i="17" s="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F12" i="11"/>
  <c r="E12" i="11"/>
  <c r="F11" i="11"/>
  <c r="E11" i="11"/>
  <c r="F10" i="11"/>
  <c r="E10" i="11"/>
  <c r="C13" i="11" l="1"/>
  <c r="B18" i="17" s="1"/>
  <c r="C14" i="11"/>
  <c r="B20" i="17" s="1"/>
  <c r="C37" i="11"/>
  <c r="C24" i="11"/>
  <c r="B40" i="17" s="1"/>
  <c r="B41" i="17" s="1"/>
  <c r="B47" i="17"/>
  <c r="B51" i="17"/>
  <c r="C12" i="11"/>
  <c r="B16" i="17" s="1"/>
  <c r="C25" i="11"/>
  <c r="C19" i="11"/>
  <c r="B30" i="17" s="1"/>
  <c r="B45" i="17"/>
  <c r="C17" i="11"/>
  <c r="B26" i="17" s="1"/>
  <c r="C16" i="11"/>
  <c r="B24" i="17" s="1"/>
  <c r="C20" i="11"/>
  <c r="B32" i="17" s="1"/>
  <c r="C22" i="11"/>
  <c r="B36" i="17" s="1"/>
  <c r="B49" i="17"/>
  <c r="C18" i="11"/>
  <c r="B28" i="17" s="1"/>
  <c r="C21" i="11"/>
  <c r="B34" i="17" s="1"/>
  <c r="C23" i="11"/>
  <c r="B38" i="17" s="1"/>
  <c r="C11" i="11"/>
  <c r="B14" i="17" s="1"/>
  <c r="C15" i="11"/>
  <c r="B22" i="17" s="1"/>
  <c r="C10" i="11"/>
  <c r="B12" i="17" s="1"/>
  <c r="F9" i="11"/>
  <c r="E9" i="11"/>
  <c r="F8" i="11"/>
  <c r="E8" i="11"/>
  <c r="F7" i="11"/>
  <c r="E7" i="11"/>
  <c r="F6" i="11"/>
  <c r="E6" i="11" s="1"/>
  <c r="C6" i="11" s="1"/>
  <c r="B4" i="17" s="1"/>
  <c r="B39" i="17" l="1"/>
  <c r="B29" i="17"/>
  <c r="C7" i="11"/>
  <c r="C8" i="11"/>
  <c r="B8" i="17" s="1"/>
  <c r="B27" i="17"/>
  <c r="B15" i="17"/>
  <c r="B25" i="17"/>
  <c r="B17" i="17"/>
  <c r="B31" i="17"/>
  <c r="B37" i="17"/>
  <c r="B21" i="17"/>
  <c r="B35" i="17"/>
  <c r="C9" i="11"/>
  <c r="B10" i="17" s="1"/>
  <c r="B19" i="17"/>
  <c r="B33" i="17"/>
  <c r="B23" i="17"/>
  <c r="B13" i="17"/>
  <c r="I9" i="9"/>
  <c r="I8" i="9"/>
  <c r="G14" i="11" l="1"/>
  <c r="G15" i="11" s="1"/>
  <c r="B9" i="17"/>
  <c r="B11" i="17"/>
  <c r="B6" i="17"/>
  <c r="B7" i="17" s="1"/>
  <c r="I4" i="9"/>
  <c r="EL213" i="8"/>
  <c r="C22" i="9"/>
  <c r="O200" i="8"/>
  <c r="O199" i="8"/>
  <c r="C20" i="9"/>
  <c r="O198" i="8"/>
  <c r="C19" i="9"/>
  <c r="O197" i="8"/>
  <c r="C18" i="9"/>
  <c r="O196" i="8"/>
  <c r="C17" i="9"/>
  <c r="O195" i="8"/>
  <c r="O194" i="8"/>
  <c r="C15" i="9"/>
  <c r="O193" i="8"/>
  <c r="B5" i="17" l="1"/>
  <c r="O192" i="8"/>
  <c r="I178" i="8" l="1"/>
  <c r="G178" i="8"/>
  <c r="F178" i="8" s="1"/>
  <c r="E178" i="8"/>
  <c r="D178" i="8"/>
  <c r="C178" i="8"/>
  <c r="I177" i="8"/>
  <c r="G177" i="8"/>
  <c r="F177" i="8"/>
  <c r="E177" i="8"/>
  <c r="D177" i="8"/>
  <c r="C177" i="8"/>
  <c r="I176" i="8"/>
  <c r="G176" i="8"/>
  <c r="F176" i="8"/>
  <c r="E176" i="8"/>
  <c r="D176" i="8"/>
  <c r="C176" i="8"/>
  <c r="I175" i="8"/>
  <c r="G175" i="8"/>
  <c r="F175" i="8"/>
  <c r="E175" i="8"/>
  <c r="D175" i="8"/>
  <c r="C175" i="8"/>
  <c r="I174" i="8"/>
  <c r="G174" i="8"/>
  <c r="F174" i="8"/>
  <c r="E174" i="8"/>
  <c r="I164" i="8"/>
  <c r="G164" i="8"/>
  <c r="F164" i="8"/>
  <c r="E164" i="8"/>
  <c r="D164" i="8"/>
  <c r="C164" i="8"/>
  <c r="I163" i="8"/>
  <c r="G163" i="8"/>
  <c r="F163" i="8"/>
  <c r="E163" i="8"/>
  <c r="D163" i="8"/>
  <c r="C163" i="8"/>
  <c r="G182" i="8" l="1"/>
  <c r="F182" i="8"/>
  <c r="I182" i="8"/>
  <c r="G162" i="8"/>
  <c r="F162" i="8"/>
  <c r="E162" i="8"/>
  <c r="C162" i="8"/>
  <c r="G161" i="8"/>
  <c r="F161" i="8"/>
  <c r="E161" i="8"/>
  <c r="I160" i="8"/>
  <c r="G160" i="8"/>
  <c r="F160" i="8"/>
  <c r="E160" i="8"/>
  <c r="I159" i="8"/>
  <c r="G159" i="8" l="1"/>
  <c r="F159" i="8"/>
  <c r="E159" i="8"/>
  <c r="I158" i="8"/>
  <c r="G158" i="8"/>
  <c r="F158" i="8"/>
  <c r="E158" i="8"/>
  <c r="D158" i="8"/>
  <c r="C158" i="8"/>
  <c r="I157" i="8"/>
  <c r="G157" i="8"/>
  <c r="F157" i="8"/>
  <c r="E157" i="8"/>
  <c r="D157" i="8"/>
  <c r="C157" i="8"/>
  <c r="I156" i="8"/>
  <c r="G156" i="8"/>
  <c r="F156" i="8"/>
  <c r="E156" i="8"/>
  <c r="D156" i="8"/>
  <c r="C156" i="8"/>
  <c r="I155" i="8"/>
  <c r="G155" i="8"/>
  <c r="F155" i="8"/>
  <c r="E155" i="8"/>
  <c r="D155" i="8"/>
  <c r="C155" i="8"/>
  <c r="I154" i="8"/>
  <c r="G154" i="8"/>
  <c r="F154" i="8"/>
  <c r="E154" i="8"/>
  <c r="D154" i="8"/>
  <c r="C154" i="8"/>
  <c r="I153" i="8" l="1"/>
  <c r="G153" i="8" l="1"/>
  <c r="F153" i="8"/>
  <c r="E153" i="8"/>
  <c r="D153" i="8"/>
  <c r="C153" i="8"/>
  <c r="I152" i="8"/>
  <c r="I173" i="8" s="1"/>
  <c r="G152" i="8"/>
  <c r="F152" i="8"/>
  <c r="E152" i="8"/>
  <c r="D152" i="8"/>
  <c r="C152" i="8"/>
  <c r="G173" i="8" l="1"/>
  <c r="F173" i="8"/>
  <c r="I145" i="8"/>
  <c r="G145" i="8"/>
  <c r="F145" i="8"/>
  <c r="E145" i="8"/>
  <c r="D145" i="8"/>
  <c r="C145" i="8"/>
  <c r="I144" i="8"/>
  <c r="G144" i="8"/>
  <c r="G151" i="8" s="1"/>
  <c r="F144" i="8"/>
  <c r="E144" i="8"/>
  <c r="D144" i="8"/>
  <c r="C144" i="8"/>
  <c r="I151" i="8" l="1"/>
  <c r="F151" i="8"/>
  <c r="I139" i="8"/>
  <c r="G139" i="8"/>
  <c r="F139" i="8"/>
  <c r="E139" i="8"/>
  <c r="D139" i="8"/>
  <c r="C139" i="8"/>
  <c r="I138" i="8" l="1"/>
  <c r="G138" i="8" l="1"/>
  <c r="F138" i="8"/>
  <c r="E138" i="8"/>
  <c r="D138" i="8"/>
  <c r="I137" i="8"/>
  <c r="G137" i="8"/>
  <c r="F137" i="8"/>
  <c r="E137" i="8"/>
  <c r="D137" i="8"/>
  <c r="C137" i="8"/>
  <c r="I136" i="8"/>
  <c r="G136" i="8"/>
  <c r="F136" i="8"/>
  <c r="E136" i="8"/>
  <c r="D136" i="8"/>
  <c r="C136" i="8"/>
  <c r="I135" i="8"/>
  <c r="G135" i="8"/>
  <c r="F135" i="8"/>
  <c r="E135" i="8"/>
  <c r="D135" i="8"/>
  <c r="C135" i="8"/>
  <c r="I134" i="8"/>
  <c r="G134" i="8"/>
  <c r="F134" i="8"/>
  <c r="E134" i="8"/>
  <c r="D134" i="8"/>
  <c r="C134" i="8"/>
  <c r="I133" i="8"/>
  <c r="G133" i="8"/>
  <c r="F133" i="8"/>
  <c r="E133" i="8"/>
  <c r="D133" i="8"/>
  <c r="C133" i="8"/>
  <c r="G132" i="8"/>
  <c r="F132" i="8"/>
  <c r="E132" i="8"/>
  <c r="D132" i="8"/>
  <c r="C132" i="8"/>
  <c r="I131" i="8"/>
  <c r="G131" i="8"/>
  <c r="F131" i="8"/>
  <c r="E131" i="8"/>
  <c r="D131" i="8"/>
  <c r="C131" i="8"/>
  <c r="I130" i="8"/>
  <c r="E130" i="8"/>
  <c r="D130" i="8"/>
  <c r="C130" i="8"/>
  <c r="G143" i="8" l="1"/>
  <c r="F143" i="8"/>
  <c r="I143" i="8"/>
  <c r="I127" i="8"/>
  <c r="G127" i="8"/>
  <c r="F127" i="8"/>
  <c r="E127" i="8"/>
  <c r="D127" i="8"/>
  <c r="C127" i="8"/>
  <c r="I126" i="8"/>
  <c r="G126" i="8"/>
  <c r="F126" i="8"/>
  <c r="E126" i="8"/>
  <c r="D126" i="8"/>
  <c r="C126" i="8"/>
  <c r="I125" i="8"/>
  <c r="G125" i="8"/>
  <c r="F125" i="8"/>
  <c r="E125" i="8"/>
  <c r="D125" i="8"/>
  <c r="C125" i="8"/>
  <c r="I124" i="8"/>
  <c r="G124" i="8"/>
  <c r="F124" i="8"/>
  <c r="E124" i="8"/>
  <c r="D124" i="8"/>
  <c r="C124" i="8"/>
  <c r="I123" i="8"/>
  <c r="E123" i="8"/>
  <c r="D123" i="8"/>
  <c r="C123" i="8"/>
  <c r="I122" i="8" l="1"/>
  <c r="G122" i="8"/>
  <c r="F122" i="8"/>
  <c r="E122" i="8"/>
  <c r="D122" i="8"/>
  <c r="C122" i="8"/>
  <c r="I121" i="8"/>
  <c r="E121" i="8"/>
  <c r="D121" i="8"/>
  <c r="C121" i="8"/>
  <c r="I119" i="8"/>
  <c r="G119" i="8"/>
  <c r="F119" i="8"/>
  <c r="E119" i="8"/>
  <c r="D119" i="8"/>
  <c r="C119" i="8"/>
  <c r="I118" i="8"/>
  <c r="G118" i="8"/>
  <c r="F118" i="8"/>
  <c r="E118" i="8"/>
  <c r="D118" i="8"/>
  <c r="C118" i="8"/>
  <c r="I117" i="8"/>
  <c r="G117" i="8"/>
  <c r="F117" i="8"/>
  <c r="E117" i="8"/>
  <c r="D117" i="8"/>
  <c r="C117" i="8"/>
  <c r="I116" i="8"/>
  <c r="G116" i="8"/>
  <c r="F116" i="8"/>
  <c r="E116" i="8"/>
  <c r="D116" i="8"/>
  <c r="C116" i="8"/>
  <c r="I115" i="8"/>
  <c r="G115" i="8"/>
  <c r="F115" i="8"/>
  <c r="E115" i="8"/>
  <c r="D115" i="8"/>
  <c r="C115" i="8"/>
  <c r="I114" i="8"/>
  <c r="G114" i="8"/>
  <c r="F114" i="8"/>
  <c r="E114" i="8"/>
  <c r="D114" i="8"/>
  <c r="C114" i="8"/>
  <c r="I113" i="8"/>
  <c r="G113" i="8"/>
  <c r="F113" i="8"/>
  <c r="E113" i="8"/>
  <c r="D113" i="8"/>
  <c r="C113" i="8"/>
  <c r="I112" i="8"/>
  <c r="G112" i="8"/>
  <c r="F112" i="8"/>
  <c r="E112" i="8"/>
  <c r="D112" i="8"/>
  <c r="C112" i="8"/>
  <c r="I111" i="8" l="1"/>
  <c r="I129" i="8" s="1"/>
  <c r="G111" i="8"/>
  <c r="G129" i="8" s="1"/>
  <c r="F111" i="8"/>
  <c r="F129" i="8" s="1"/>
  <c r="E111" i="8"/>
  <c r="D111" i="8"/>
  <c r="C111" i="8"/>
  <c r="I105" i="8" l="1"/>
  <c r="G105" i="8"/>
  <c r="F105" i="8"/>
  <c r="E105" i="8"/>
  <c r="D105" i="8"/>
  <c r="C105" i="8"/>
  <c r="I104" i="8"/>
  <c r="G104" i="8"/>
  <c r="F104" i="8"/>
  <c r="E104" i="8"/>
  <c r="D104" i="8"/>
  <c r="C104" i="8"/>
  <c r="I103" i="8"/>
  <c r="G103" i="8"/>
  <c r="F103" i="8"/>
  <c r="E103" i="8"/>
  <c r="D103" i="8"/>
  <c r="C103" i="8"/>
  <c r="I102" i="8"/>
  <c r="G102" i="8"/>
  <c r="F102" i="8"/>
  <c r="E102" i="8"/>
  <c r="D102" i="8"/>
  <c r="I96" i="8"/>
  <c r="G96" i="8"/>
  <c r="F96" i="8"/>
  <c r="E96" i="8"/>
  <c r="D96" i="8"/>
  <c r="C96" i="8"/>
  <c r="I95" i="8"/>
  <c r="G95" i="8"/>
  <c r="F95" i="8"/>
  <c r="E95" i="8"/>
  <c r="D95" i="8"/>
  <c r="C95" i="8"/>
  <c r="I94" i="8"/>
  <c r="G94" i="8"/>
  <c r="F94" i="8"/>
  <c r="E94" i="8"/>
  <c r="D94" i="8"/>
  <c r="C94" i="8"/>
  <c r="I93" i="8"/>
  <c r="G93" i="8"/>
  <c r="F93" i="8"/>
  <c r="E93" i="8"/>
  <c r="D93" i="8"/>
  <c r="C93" i="8"/>
  <c r="I92" i="8"/>
  <c r="G92" i="8"/>
  <c r="F92" i="8"/>
  <c r="E92" i="8"/>
  <c r="D92" i="8"/>
  <c r="C92" i="8"/>
  <c r="I91" i="8"/>
  <c r="G91" i="8"/>
  <c r="F91" i="8"/>
  <c r="E91" i="8"/>
  <c r="D91" i="8"/>
  <c r="C91" i="8"/>
  <c r="I90" i="8"/>
  <c r="G90" i="8"/>
  <c r="F90" i="8"/>
  <c r="E90" i="8"/>
  <c r="D90" i="8"/>
  <c r="C90" i="8"/>
  <c r="F110" i="8" l="1"/>
  <c r="I110" i="8"/>
  <c r="G110" i="8"/>
  <c r="I89" i="8"/>
  <c r="G89" i="8"/>
  <c r="F89" i="8"/>
  <c r="E89" i="8"/>
  <c r="D89" i="8"/>
  <c r="C89" i="8"/>
  <c r="I88" i="8"/>
  <c r="G88" i="8"/>
  <c r="F88" i="8"/>
  <c r="E88" i="8"/>
  <c r="D88" i="8"/>
  <c r="C88" i="8"/>
  <c r="I87" i="8"/>
  <c r="G87" i="8"/>
  <c r="F87" i="8"/>
  <c r="E87" i="8"/>
  <c r="D87" i="8"/>
  <c r="C87" i="8"/>
  <c r="I86" i="8" l="1"/>
  <c r="G86" i="8"/>
  <c r="F86" i="8"/>
  <c r="E86" i="8"/>
  <c r="D86" i="8"/>
  <c r="C86" i="8"/>
  <c r="I85" i="8"/>
  <c r="G85" i="8"/>
  <c r="F85" i="8"/>
  <c r="E85" i="8"/>
  <c r="D85" i="8"/>
  <c r="C85" i="8"/>
  <c r="I84" i="8"/>
  <c r="G84" i="8"/>
  <c r="F84" i="8"/>
  <c r="E84" i="8"/>
  <c r="D84" i="8"/>
  <c r="C84" i="8"/>
  <c r="I83" i="8" l="1"/>
  <c r="G83" i="8"/>
  <c r="F83" i="8"/>
  <c r="E83" i="8"/>
  <c r="D83" i="8"/>
  <c r="C83" i="8"/>
  <c r="I82" i="8"/>
  <c r="G82" i="8"/>
  <c r="F82" i="8"/>
  <c r="E82" i="8"/>
  <c r="D82" i="8"/>
  <c r="C82" i="8"/>
  <c r="I80" i="8"/>
  <c r="G80" i="8"/>
  <c r="F80" i="8"/>
  <c r="E80" i="8"/>
  <c r="D80" i="8"/>
  <c r="C80" i="8"/>
  <c r="I79" i="8"/>
  <c r="G79" i="8"/>
  <c r="F79" i="8"/>
  <c r="E79" i="8"/>
  <c r="D79" i="8"/>
  <c r="C79" i="8"/>
  <c r="I78" i="8" l="1"/>
  <c r="G78" i="8"/>
  <c r="F78" i="8"/>
  <c r="E78" i="8"/>
  <c r="D78" i="8"/>
  <c r="C78" i="8"/>
  <c r="I77" i="8"/>
  <c r="G77" i="8"/>
  <c r="F77" i="8"/>
  <c r="E77" i="8"/>
  <c r="D77" i="8"/>
  <c r="C77" i="8"/>
  <c r="I76" i="8"/>
  <c r="G76" i="8"/>
  <c r="F76" i="8"/>
  <c r="E76" i="8"/>
  <c r="D76" i="8"/>
  <c r="C76" i="8"/>
  <c r="I75" i="8"/>
  <c r="G75" i="8"/>
  <c r="G101" i="8" l="1"/>
  <c r="I101" i="8"/>
  <c r="F75" i="8"/>
  <c r="F101" i="8" s="1"/>
  <c r="E75" i="8"/>
  <c r="D75" i="8"/>
  <c r="C75" i="8"/>
  <c r="I67" i="8"/>
  <c r="G67" i="8" l="1"/>
  <c r="F67" i="8"/>
  <c r="E67" i="8"/>
  <c r="D67" i="8"/>
  <c r="C67" i="8"/>
  <c r="I66" i="8"/>
  <c r="D66" i="8"/>
  <c r="C66" i="8"/>
  <c r="I65" i="8"/>
  <c r="G65" i="8"/>
  <c r="F65" i="8"/>
  <c r="E65" i="8"/>
  <c r="D65" i="8"/>
  <c r="C65" i="8"/>
  <c r="I64" i="8"/>
  <c r="G64" i="8"/>
  <c r="F64" i="8"/>
  <c r="E64" i="8"/>
  <c r="D64" i="8"/>
  <c r="C64" i="8"/>
  <c r="I63" i="8"/>
  <c r="G63" i="8"/>
  <c r="F63" i="8"/>
  <c r="E63" i="8"/>
  <c r="D63" i="8"/>
  <c r="C63" i="8"/>
  <c r="I62" i="8"/>
  <c r="G62" i="8"/>
  <c r="F62" i="8"/>
  <c r="E62" i="8"/>
  <c r="D62" i="8"/>
  <c r="C62" i="8"/>
  <c r="I61" i="8"/>
  <c r="G61" i="8"/>
  <c r="F61" i="8"/>
  <c r="E61" i="8"/>
  <c r="D61" i="8"/>
  <c r="C61" i="8"/>
  <c r="I59" i="8"/>
  <c r="G59" i="8"/>
  <c r="F59" i="8"/>
  <c r="E59" i="8"/>
  <c r="I58" i="8"/>
  <c r="G58" i="8"/>
  <c r="F58" i="8"/>
  <c r="E58" i="8"/>
  <c r="I57" i="8"/>
  <c r="G57" i="8"/>
  <c r="F57" i="8"/>
  <c r="E57" i="8"/>
  <c r="D57" i="8"/>
  <c r="I56" i="8"/>
  <c r="G56" i="8"/>
  <c r="F56" i="8"/>
  <c r="E56" i="8"/>
  <c r="D56" i="8"/>
  <c r="C56" i="8"/>
  <c r="I55" i="8" l="1"/>
  <c r="G55" i="8"/>
  <c r="F55" i="8"/>
  <c r="E55" i="8"/>
  <c r="D55" i="8"/>
  <c r="C55" i="8"/>
  <c r="I54" i="8"/>
  <c r="G54" i="8"/>
  <c r="F54" i="8"/>
  <c r="E54" i="8"/>
  <c r="D54" i="8"/>
  <c r="C54" i="8"/>
  <c r="I53" i="8"/>
  <c r="G53" i="8"/>
  <c r="F53" i="8"/>
  <c r="E53" i="8"/>
  <c r="D53" i="8"/>
  <c r="C53" i="8"/>
  <c r="I52" i="8"/>
  <c r="G52" i="8"/>
  <c r="I74" i="8" l="1"/>
  <c r="G74" i="8"/>
  <c r="F52" i="8"/>
  <c r="F74" i="8" s="1"/>
  <c r="E52" i="8"/>
  <c r="D52" i="8"/>
  <c r="C52" i="8"/>
  <c r="I45" i="8" l="1"/>
  <c r="G45" i="8" l="1"/>
  <c r="F45" i="8"/>
  <c r="E45" i="8"/>
  <c r="C45" i="8"/>
  <c r="I44" i="8" l="1"/>
  <c r="G44" i="8"/>
  <c r="F44" i="8"/>
  <c r="E44" i="8"/>
  <c r="D44" i="8"/>
  <c r="C44" i="8"/>
  <c r="I43" i="8" l="1"/>
  <c r="G43" i="8"/>
  <c r="F43" i="8" l="1"/>
  <c r="E43" i="8"/>
  <c r="D43" i="8"/>
  <c r="C43" i="8"/>
  <c r="I42" i="8"/>
  <c r="E42" i="8"/>
  <c r="D42" i="8"/>
  <c r="I41" i="8" l="1"/>
  <c r="G41" i="8"/>
  <c r="F41" i="8"/>
  <c r="E41" i="8"/>
  <c r="D41" i="8"/>
  <c r="C41" i="8"/>
  <c r="I40" i="8"/>
  <c r="G40" i="8"/>
  <c r="F40" i="8"/>
  <c r="E40" i="8"/>
  <c r="D40" i="8"/>
  <c r="C40" i="8"/>
  <c r="I39" i="8"/>
  <c r="G39" i="8"/>
  <c r="F39" i="8"/>
  <c r="E39" i="8"/>
  <c r="D39" i="8"/>
  <c r="C39" i="8"/>
  <c r="I38" i="8"/>
  <c r="G38" i="8"/>
  <c r="F38" i="8"/>
  <c r="E38" i="8"/>
  <c r="D38" i="8"/>
  <c r="C38" i="8"/>
  <c r="I37" i="8"/>
  <c r="G37" i="8"/>
  <c r="F37" i="8"/>
  <c r="E37" i="8"/>
  <c r="D37" i="8"/>
  <c r="C37" i="8"/>
  <c r="I36" i="8"/>
  <c r="G36" i="8"/>
  <c r="F36" i="8"/>
  <c r="E36" i="8"/>
  <c r="I35" i="8"/>
  <c r="G35" i="8"/>
  <c r="F35" i="8"/>
  <c r="E35" i="8"/>
  <c r="D35" i="8"/>
  <c r="C35" i="8"/>
  <c r="I34" i="8"/>
  <c r="G34" i="8"/>
  <c r="F34" i="8"/>
  <c r="E34" i="8"/>
  <c r="D34" i="8"/>
  <c r="C34" i="8"/>
  <c r="I33" i="8"/>
  <c r="G33" i="8"/>
  <c r="F33" i="8"/>
  <c r="E33" i="8"/>
  <c r="D33" i="8"/>
  <c r="C33" i="8"/>
  <c r="I32" i="8"/>
  <c r="G32" i="8"/>
  <c r="F32" i="8"/>
  <c r="E32" i="8"/>
  <c r="D32" i="8"/>
  <c r="C32" i="8"/>
  <c r="I31" i="8"/>
  <c r="G31" i="8"/>
  <c r="F31" i="8"/>
  <c r="E31" i="8"/>
  <c r="D31" i="8"/>
  <c r="C31" i="8"/>
  <c r="I30" i="8"/>
  <c r="G30" i="8"/>
  <c r="F30" i="8"/>
  <c r="E30" i="8"/>
  <c r="D30" i="8"/>
  <c r="C30" i="8"/>
  <c r="I29" i="8"/>
  <c r="G29" i="8"/>
  <c r="F29" i="8"/>
  <c r="E29" i="8"/>
  <c r="D29" i="8"/>
  <c r="C29" i="8"/>
  <c r="I28" i="8"/>
  <c r="G28" i="8"/>
  <c r="F28" i="8"/>
  <c r="E28" i="8"/>
  <c r="D28" i="8"/>
  <c r="C28" i="8"/>
  <c r="I27" i="8"/>
  <c r="G27" i="8"/>
  <c r="F27" i="8"/>
  <c r="E27" i="8"/>
  <c r="D27" i="8"/>
  <c r="C27" i="8"/>
  <c r="I26" i="8"/>
  <c r="G26" i="8"/>
  <c r="F26" i="8"/>
  <c r="E26" i="8"/>
  <c r="D26" i="8"/>
  <c r="C26" i="8"/>
  <c r="I25" i="8"/>
  <c r="G25" i="8"/>
  <c r="F25" i="8"/>
  <c r="E25" i="8"/>
  <c r="D25" i="8"/>
  <c r="C25" i="8"/>
  <c r="I24" i="8"/>
  <c r="G24" i="8"/>
  <c r="F24" i="8"/>
  <c r="E24" i="8"/>
  <c r="D24" i="8"/>
  <c r="C24" i="8"/>
  <c r="I23" i="8"/>
  <c r="G23" i="8"/>
  <c r="F23" i="8"/>
  <c r="E23" i="8"/>
  <c r="D23" i="8"/>
  <c r="C23" i="8"/>
  <c r="I22" i="8"/>
  <c r="F22" i="8"/>
  <c r="E22" i="8"/>
  <c r="D22" i="8"/>
  <c r="C22" i="8"/>
  <c r="I21" i="8"/>
  <c r="G21" i="8"/>
  <c r="F21" i="8"/>
  <c r="D21" i="8"/>
  <c r="C21" i="8"/>
  <c r="I20" i="8"/>
  <c r="G20" i="8"/>
  <c r="F20" i="8"/>
  <c r="E20" i="8"/>
  <c r="D20" i="8"/>
  <c r="C20" i="8"/>
  <c r="I19" i="8"/>
  <c r="G19" i="8"/>
  <c r="F19" i="8"/>
  <c r="E19" i="8"/>
  <c r="D19" i="8"/>
  <c r="C19" i="8"/>
  <c r="I18" i="8"/>
  <c r="G18" i="8"/>
  <c r="F18" i="8"/>
  <c r="E18" i="8"/>
  <c r="D18" i="8"/>
  <c r="I17" i="8"/>
  <c r="G17" i="8"/>
  <c r="F17" i="8"/>
  <c r="D17" i="8"/>
  <c r="C17" i="8"/>
  <c r="I16" i="8"/>
  <c r="G16" i="8"/>
  <c r="F16" i="8"/>
  <c r="E16" i="8"/>
  <c r="D16" i="8"/>
  <c r="C16" i="8"/>
  <c r="I15" i="8"/>
  <c r="E15" i="8"/>
  <c r="D15" i="8"/>
  <c r="C15" i="8"/>
  <c r="I14" i="8"/>
  <c r="G14" i="8"/>
  <c r="F14" i="8"/>
  <c r="E14" i="8"/>
  <c r="D14" i="8"/>
  <c r="C14" i="8"/>
  <c r="I13" i="8"/>
  <c r="G13" i="8" l="1"/>
  <c r="F13" i="8"/>
  <c r="E13" i="8"/>
  <c r="D13" i="8"/>
  <c r="C13" i="8"/>
  <c r="I12" i="8"/>
  <c r="G12" i="8"/>
  <c r="F12" i="8"/>
  <c r="E12" i="8"/>
  <c r="D12" i="8"/>
  <c r="C12" i="8"/>
  <c r="I11" i="8"/>
  <c r="G11" i="8"/>
  <c r="F11" i="8"/>
  <c r="E11" i="8"/>
  <c r="D11" i="8"/>
  <c r="C11" i="8"/>
  <c r="I10" i="8"/>
  <c r="G10" i="8"/>
  <c r="F10" i="8"/>
  <c r="E10" i="8"/>
  <c r="D10" i="8"/>
  <c r="C10" i="8"/>
  <c r="G9" i="8"/>
  <c r="F9" i="8"/>
  <c r="E9" i="8"/>
  <c r="D9" i="8"/>
  <c r="L6" i="8"/>
  <c r="AF62" i="7"/>
  <c r="F51" i="8" l="1"/>
  <c r="I51" i="8"/>
  <c r="G51" i="8"/>
  <c r="G19" i="11"/>
  <c r="G18" i="11" s="1"/>
  <c r="C4" i="9"/>
  <c r="F16" i="6"/>
  <c r="E16" i="6"/>
  <c r="D16" i="6"/>
  <c r="E15" i="6"/>
  <c r="F14" i="6"/>
  <c r="E14" i="6"/>
  <c r="D14" i="6"/>
  <c r="F13" i="6"/>
  <c r="E13" i="6"/>
  <c r="D13" i="6"/>
  <c r="F12" i="6"/>
  <c r="E12" i="6"/>
  <c r="D12" i="6"/>
  <c r="F11" i="6"/>
  <c r="E11" i="6"/>
  <c r="D11" i="6"/>
  <c r="F9" i="6"/>
  <c r="E9" i="6"/>
  <c r="D9" i="6"/>
  <c r="G5" i="6"/>
  <c r="B4" i="6"/>
  <c r="C3" i="10"/>
  <c r="I28" i="5"/>
  <c r="E28" i="5"/>
  <c r="G22" i="5" l="1"/>
  <c r="E22" i="5"/>
  <c r="C22" i="5"/>
  <c r="E21" i="5"/>
  <c r="G20" i="5"/>
  <c r="E20" i="5"/>
  <c r="C20" i="5"/>
  <c r="G19" i="5"/>
  <c r="E19" i="5"/>
  <c r="C19" i="5"/>
  <c r="G18" i="5"/>
  <c r="E18" i="5"/>
  <c r="C18" i="5"/>
  <c r="G17" i="5"/>
  <c r="E17" i="5"/>
  <c r="C17" i="5"/>
  <c r="G15" i="5"/>
  <c r="E15" i="5"/>
  <c r="C15" i="5"/>
  <c r="G7" i="5"/>
  <c r="I6" i="5"/>
  <c r="E16" i="12"/>
  <c r="K216" i="4"/>
  <c r="N214" i="4"/>
  <c r="L214" i="4"/>
  <c r="L213" i="4"/>
  <c r="N202" i="4"/>
  <c r="B38" i="12" s="1"/>
  <c r="L202" i="4"/>
  <c r="K202" i="4"/>
  <c r="H202" i="4" s="1"/>
  <c r="B16" i="12" l="1"/>
  <c r="D15" i="12" s="1"/>
  <c r="L19" i="5"/>
  <c r="I19" i="5" s="1"/>
  <c r="L15" i="5"/>
  <c r="I15" i="5" s="1"/>
  <c r="L20" i="5"/>
  <c r="I20" i="5" s="1"/>
  <c r="L22" i="5"/>
  <c r="I22" i="5" s="1"/>
  <c r="F13" i="12"/>
  <c r="L17" i="5"/>
  <c r="I17" i="5" s="1"/>
  <c r="L18" i="5"/>
  <c r="I18" i="5" s="1"/>
  <c r="F202" i="4"/>
  <c r="V201" i="4"/>
  <c r="U201" i="4"/>
  <c r="L201" i="4"/>
  <c r="H201" i="4"/>
  <c r="F201" i="4" s="1"/>
  <c r="N200" i="4"/>
  <c r="B36" i="12" s="1"/>
  <c r="L200" i="4"/>
  <c r="D12" i="14" s="1"/>
  <c r="K200" i="4"/>
  <c r="H200" i="4" s="1"/>
  <c r="N199" i="4"/>
  <c r="B35" i="12" s="1"/>
  <c r="L199" i="4"/>
  <c r="D11" i="14" s="1"/>
  <c r="K199" i="4"/>
  <c r="N198" i="4"/>
  <c r="B34" i="12" s="1"/>
  <c r="L198" i="4"/>
  <c r="D10" i="14" s="1"/>
  <c r="K198" i="4"/>
  <c r="D13" i="12" l="1"/>
  <c r="F198" i="4"/>
  <c r="I199" i="4" s="1"/>
  <c r="H23" i="12" s="1"/>
  <c r="F23" i="12" s="1"/>
  <c r="D23" i="12" s="1"/>
  <c r="D22" i="12" s="1"/>
  <c r="N197" i="4" l="1"/>
  <c r="B33" i="12" s="1"/>
  <c r="L197" i="4"/>
  <c r="K197" i="4"/>
  <c r="N195" i="4" l="1"/>
  <c r="B31" i="12" s="1"/>
  <c r="L195" i="4"/>
  <c r="D9" i="14" s="1"/>
  <c r="K195" i="4"/>
  <c r="E191" i="4" l="1"/>
  <c r="AF190" i="4"/>
  <c r="H190" i="4"/>
  <c r="N213" i="4" s="1"/>
  <c r="F190" i="4"/>
  <c r="H189" i="4"/>
  <c r="F189" i="4"/>
  <c r="V188" i="4"/>
  <c r="H188" i="4"/>
  <c r="F188" i="4"/>
  <c r="P187" i="4"/>
  <c r="H187" i="4"/>
  <c r="F187" i="4"/>
  <c r="W199" i="4" l="1"/>
  <c r="W195" i="4"/>
  <c r="W200" i="4"/>
  <c r="W196" i="4"/>
  <c r="W192" i="4"/>
  <c r="W197" i="4"/>
  <c r="W193" i="4"/>
  <c r="W198" i="4"/>
  <c r="W194" i="4"/>
  <c r="AG190" i="4"/>
  <c r="M178" i="4"/>
  <c r="L178" i="4"/>
  <c r="K178" i="4"/>
  <c r="J178" i="4"/>
  <c r="I178" i="4"/>
  <c r="H178" i="4"/>
  <c r="G178" i="4"/>
  <c r="F178" i="4"/>
  <c r="E178" i="4"/>
  <c r="C178" i="4"/>
  <c r="M177" i="4"/>
  <c r="L177" i="4"/>
  <c r="K177" i="4"/>
  <c r="J177" i="4"/>
  <c r="I177" i="4"/>
  <c r="G177" i="4"/>
  <c r="F177" i="4"/>
  <c r="E177" i="4"/>
  <c r="C177" i="4"/>
  <c r="M176" i="4"/>
  <c r="L176" i="4"/>
  <c r="K176" i="4"/>
  <c r="J176" i="4"/>
  <c r="I176" i="4"/>
  <c r="H176" i="4"/>
  <c r="G176" i="4"/>
  <c r="F176" i="4"/>
  <c r="E176" i="4"/>
  <c r="C176" i="4"/>
  <c r="M175" i="4"/>
  <c r="H175" i="8" s="1"/>
  <c r="L175" i="4"/>
  <c r="K175" i="4"/>
  <c r="J175" i="4"/>
  <c r="I175" i="4"/>
  <c r="O175" i="4" s="1"/>
  <c r="G175" i="4"/>
  <c r="F175" i="4"/>
  <c r="E175" i="4"/>
  <c r="C175" i="4"/>
  <c r="M174" i="4"/>
  <c r="L174" i="4"/>
  <c r="K174" i="4"/>
  <c r="J174" i="4"/>
  <c r="I174" i="4"/>
  <c r="H174" i="4"/>
  <c r="G174" i="4"/>
  <c r="F174" i="4"/>
  <c r="E174" i="4"/>
  <c r="C174" i="4"/>
  <c r="M168" i="4"/>
  <c r="L168" i="4"/>
  <c r="K168" i="4"/>
  <c r="J168" i="4"/>
  <c r="I168" i="4"/>
  <c r="H168" i="4"/>
  <c r="F168" i="4"/>
  <c r="E168" i="4"/>
  <c r="C168" i="4"/>
  <c r="L167" i="4"/>
  <c r="K167" i="4"/>
  <c r="J167" i="4"/>
  <c r="I167" i="4"/>
  <c r="H167" i="4"/>
  <c r="F167" i="4"/>
  <c r="E167" i="4"/>
  <c r="C167" i="4"/>
  <c r="M166" i="4"/>
  <c r="L166" i="4"/>
  <c r="K166" i="4"/>
  <c r="J166" i="4"/>
  <c r="I166" i="4"/>
  <c r="H166" i="4"/>
  <c r="G166" i="4"/>
  <c r="F166" i="4"/>
  <c r="E166" i="4"/>
  <c r="C166" i="4"/>
  <c r="M164" i="4"/>
  <c r="K164" i="4"/>
  <c r="J164" i="4"/>
  <c r="I164" i="4"/>
  <c r="H164" i="4"/>
  <c r="G164" i="4"/>
  <c r="F164" i="4"/>
  <c r="E164" i="4"/>
  <c r="C164" i="4"/>
  <c r="M163" i="4"/>
  <c r="L163" i="4"/>
  <c r="K163" i="4"/>
  <c r="J163" i="4"/>
  <c r="I163" i="4"/>
  <c r="H163" i="4"/>
  <c r="G163" i="4"/>
  <c r="F163" i="4"/>
  <c r="E163" i="4"/>
  <c r="C163" i="4"/>
  <c r="H162" i="8"/>
  <c r="K162" i="8" s="1"/>
  <c r="I162" i="4"/>
  <c r="N162" i="4" s="1"/>
  <c r="H162" i="4"/>
  <c r="G162" i="4"/>
  <c r="F162" i="4"/>
  <c r="M161" i="4"/>
  <c r="N161" i="4" s="1"/>
  <c r="L161" i="4"/>
  <c r="K161" i="4"/>
  <c r="J161" i="4"/>
  <c r="I161" i="4"/>
  <c r="H161" i="4"/>
  <c r="G161" i="4"/>
  <c r="F161" i="4"/>
  <c r="M160" i="4"/>
  <c r="L160" i="4"/>
  <c r="K160" i="4"/>
  <c r="J160" i="4"/>
  <c r="I160" i="4"/>
  <c r="H160" i="4"/>
  <c r="G160" i="4"/>
  <c r="F160" i="4"/>
  <c r="M159" i="4"/>
  <c r="N159" i="4" s="1"/>
  <c r="L159" i="4"/>
  <c r="K159" i="4"/>
  <c r="J159" i="4"/>
  <c r="H159" i="4"/>
  <c r="G159" i="4"/>
  <c r="F159" i="4"/>
  <c r="M158" i="4"/>
  <c r="L158" i="4"/>
  <c r="K158" i="4"/>
  <c r="J158" i="4"/>
  <c r="I158" i="4"/>
  <c r="H158" i="4"/>
  <c r="G158" i="4"/>
  <c r="F158" i="4"/>
  <c r="E158" i="4"/>
  <c r="C158" i="4"/>
  <c r="M157" i="4"/>
  <c r="L157" i="4"/>
  <c r="K157" i="4"/>
  <c r="J157" i="4"/>
  <c r="I157" i="4"/>
  <c r="H157" i="4"/>
  <c r="G157" i="4"/>
  <c r="F157" i="4"/>
  <c r="E157" i="4"/>
  <c r="C157" i="4"/>
  <c r="M156" i="4"/>
  <c r="L156" i="4"/>
  <c r="K156" i="4"/>
  <c r="J156" i="4"/>
  <c r="I156" i="4"/>
  <c r="H156" i="4"/>
  <c r="G156" i="4"/>
  <c r="F156" i="4"/>
  <c r="E156" i="4"/>
  <c r="C156" i="4"/>
  <c r="M155" i="4"/>
  <c r="L155" i="4"/>
  <c r="K155" i="4"/>
  <c r="J155" i="4"/>
  <c r="I155" i="4"/>
  <c r="H155" i="4"/>
  <c r="G155" i="4"/>
  <c r="F155" i="4"/>
  <c r="E155" i="4"/>
  <c r="C155" i="4"/>
  <c r="M154" i="4"/>
  <c r="L154" i="4"/>
  <c r="K154" i="4"/>
  <c r="J154" i="4"/>
  <c r="I154" i="4"/>
  <c r="H154" i="4"/>
  <c r="G154" i="4"/>
  <c r="F154" i="4"/>
  <c r="E154" i="4"/>
  <c r="C154" i="4"/>
  <c r="M153" i="4"/>
  <c r="L153" i="4"/>
  <c r="K153" i="4"/>
  <c r="J153" i="4"/>
  <c r="I153" i="4"/>
  <c r="G153" i="4"/>
  <c r="F153" i="4"/>
  <c r="E153" i="4"/>
  <c r="C153" i="4"/>
  <c r="M152" i="4"/>
  <c r="L152" i="4"/>
  <c r="K152" i="4"/>
  <c r="J152" i="4"/>
  <c r="I152" i="4"/>
  <c r="H152" i="4"/>
  <c r="G152" i="4"/>
  <c r="F152" i="4"/>
  <c r="E152" i="4"/>
  <c r="C152" i="4"/>
  <c r="M145" i="4"/>
  <c r="L145" i="4"/>
  <c r="K145" i="4"/>
  <c r="J145" i="4"/>
  <c r="I145" i="4"/>
  <c r="H145" i="4"/>
  <c r="G145" i="4"/>
  <c r="F145" i="4"/>
  <c r="E145" i="4"/>
  <c r="C145" i="4"/>
  <c r="M144" i="4"/>
  <c r="L144" i="4"/>
  <c r="K144" i="4"/>
  <c r="J144" i="4"/>
  <c r="I144" i="4"/>
  <c r="H144" i="4"/>
  <c r="G144" i="4"/>
  <c r="F144" i="4"/>
  <c r="E144" i="4"/>
  <c r="C144" i="4"/>
  <c r="M139" i="4"/>
  <c r="L139" i="4"/>
  <c r="K139" i="4"/>
  <c r="J139" i="4"/>
  <c r="I139" i="4"/>
  <c r="H139" i="4"/>
  <c r="G139" i="4"/>
  <c r="F139" i="4"/>
  <c r="E139" i="4"/>
  <c r="C139" i="4"/>
  <c r="M138" i="4"/>
  <c r="L138" i="4"/>
  <c r="K138" i="4"/>
  <c r="J138" i="4"/>
  <c r="I138" i="4"/>
  <c r="H138" i="4"/>
  <c r="G138" i="4"/>
  <c r="F138" i="4"/>
  <c r="E138" i="4"/>
  <c r="C138" i="4"/>
  <c r="H137" i="8"/>
  <c r="M136" i="4"/>
  <c r="N136" i="4" s="1"/>
  <c r="L136" i="4"/>
  <c r="K136" i="4"/>
  <c r="J136" i="4"/>
  <c r="H136" i="4"/>
  <c r="G136" i="4"/>
  <c r="F136" i="4"/>
  <c r="E136" i="4"/>
  <c r="C136" i="4"/>
  <c r="M135" i="4"/>
  <c r="H135" i="8" s="1"/>
  <c r="L135" i="4"/>
  <c r="K135" i="4"/>
  <c r="J135" i="4"/>
  <c r="I135" i="4"/>
  <c r="H135" i="4"/>
  <c r="G135" i="4"/>
  <c r="F135" i="4"/>
  <c r="E135" i="4"/>
  <c r="C135" i="4"/>
  <c r="M134" i="4"/>
  <c r="L134" i="4"/>
  <c r="K134" i="4"/>
  <c r="J134" i="4"/>
  <c r="I134" i="4"/>
  <c r="H134" i="4"/>
  <c r="G134" i="4"/>
  <c r="F134" i="4"/>
  <c r="E134" i="4"/>
  <c r="C134" i="4"/>
  <c r="M133" i="4"/>
  <c r="L133" i="4"/>
  <c r="K133" i="4"/>
  <c r="J133" i="4"/>
  <c r="I133" i="4"/>
  <c r="H133" i="4"/>
  <c r="G133" i="4"/>
  <c r="F133" i="4"/>
  <c r="E133" i="4"/>
  <c r="C133" i="4"/>
  <c r="M132" i="4"/>
  <c r="L132" i="4"/>
  <c r="K132" i="4"/>
  <c r="J132" i="4"/>
  <c r="I132" i="4"/>
  <c r="H132" i="4"/>
  <c r="G132" i="4"/>
  <c r="F132" i="4"/>
  <c r="E132" i="4"/>
  <c r="M131" i="4"/>
  <c r="L131" i="4"/>
  <c r="K131" i="4"/>
  <c r="J131" i="4"/>
  <c r="I131" i="4"/>
  <c r="H131" i="4"/>
  <c r="G131" i="4"/>
  <c r="F131" i="4"/>
  <c r="E131" i="4"/>
  <c r="C131" i="4"/>
  <c r="L130" i="4"/>
  <c r="K130" i="4"/>
  <c r="J130" i="4"/>
  <c r="I130" i="4"/>
  <c r="H130" i="4"/>
  <c r="G130" i="4"/>
  <c r="F130" i="4"/>
  <c r="E130" i="4"/>
  <c r="C130" i="4"/>
  <c r="M127" i="4"/>
  <c r="L127" i="4"/>
  <c r="K127" i="4"/>
  <c r="J127" i="4"/>
  <c r="I127" i="4"/>
  <c r="H127" i="4"/>
  <c r="G127" i="4"/>
  <c r="F127" i="4"/>
  <c r="E127" i="4"/>
  <c r="C127" i="4"/>
  <c r="M126" i="4"/>
  <c r="L126" i="4"/>
  <c r="K126" i="4"/>
  <c r="J126" i="4"/>
  <c r="I126" i="4"/>
  <c r="H126" i="4"/>
  <c r="G126" i="4"/>
  <c r="F126" i="4"/>
  <c r="E126" i="4"/>
  <c r="M125" i="4"/>
  <c r="L125" i="4"/>
  <c r="K125" i="4"/>
  <c r="J125" i="4"/>
  <c r="I125" i="4"/>
  <c r="H125" i="4"/>
  <c r="G125" i="4"/>
  <c r="F125" i="4"/>
  <c r="E125" i="4"/>
  <c r="C125" i="4"/>
  <c r="M124" i="4"/>
  <c r="L124" i="4"/>
  <c r="K124" i="4"/>
  <c r="J124" i="4"/>
  <c r="I124" i="4"/>
  <c r="H124" i="4"/>
  <c r="G124" i="4"/>
  <c r="F124" i="4"/>
  <c r="E124" i="4"/>
  <c r="C124" i="4"/>
  <c r="M123" i="4"/>
  <c r="L123" i="4"/>
  <c r="K123" i="4"/>
  <c r="J123" i="4"/>
  <c r="I123" i="4"/>
  <c r="H123" i="4"/>
  <c r="G123" i="4"/>
  <c r="F123" i="4"/>
  <c r="E123" i="4"/>
  <c r="C123" i="4"/>
  <c r="M122" i="4"/>
  <c r="H122" i="8" s="1"/>
  <c r="K122" i="8" s="1"/>
  <c r="J122" i="8" s="1"/>
  <c r="L122" i="4"/>
  <c r="K122" i="4"/>
  <c r="J122" i="4"/>
  <c r="I122" i="4"/>
  <c r="H122" i="4"/>
  <c r="G122" i="4"/>
  <c r="F122" i="4"/>
  <c r="E122" i="4"/>
  <c r="C122" i="4"/>
  <c r="M121" i="4"/>
  <c r="L121" i="4"/>
  <c r="K121" i="4"/>
  <c r="J121" i="4"/>
  <c r="G121" i="4"/>
  <c r="F121" i="4"/>
  <c r="E121" i="4"/>
  <c r="C121" i="4"/>
  <c r="L119" i="4"/>
  <c r="K119" i="4"/>
  <c r="J119" i="4"/>
  <c r="I119" i="4"/>
  <c r="H119" i="4"/>
  <c r="G119" i="4"/>
  <c r="F119" i="4"/>
  <c r="E119" i="4"/>
  <c r="C119" i="4"/>
  <c r="M118" i="4"/>
  <c r="L118" i="4"/>
  <c r="K118" i="4"/>
  <c r="J118" i="4"/>
  <c r="I118" i="4"/>
  <c r="H118" i="4"/>
  <c r="G118" i="4"/>
  <c r="F118" i="4"/>
  <c r="E118" i="4"/>
  <c r="M117" i="4"/>
  <c r="L117" i="4"/>
  <c r="K117" i="4"/>
  <c r="J117" i="4"/>
  <c r="I117" i="4"/>
  <c r="H117" i="4"/>
  <c r="G117" i="4"/>
  <c r="F117" i="4"/>
  <c r="E117" i="4"/>
  <c r="C117" i="4"/>
  <c r="M116" i="4"/>
  <c r="L116" i="4"/>
  <c r="K116" i="4"/>
  <c r="J116" i="4"/>
  <c r="I116" i="4"/>
  <c r="H116" i="4"/>
  <c r="G116" i="4"/>
  <c r="F116" i="4"/>
  <c r="E116" i="4"/>
  <c r="C116" i="4"/>
  <c r="M115" i="4"/>
  <c r="L115" i="4"/>
  <c r="K115" i="4"/>
  <c r="J115" i="4"/>
  <c r="I115" i="4"/>
  <c r="H115" i="4"/>
  <c r="G115" i="4"/>
  <c r="F115" i="4"/>
  <c r="E115" i="4"/>
  <c r="C115" i="4"/>
  <c r="M114" i="4"/>
  <c r="L114" i="4"/>
  <c r="K114" i="4"/>
  <c r="J114" i="4"/>
  <c r="I114" i="4"/>
  <c r="H114" i="4"/>
  <c r="G114" i="4"/>
  <c r="F114" i="4"/>
  <c r="E114" i="4"/>
  <c r="C114" i="4"/>
  <c r="M113" i="4"/>
  <c r="L113" i="4"/>
  <c r="K113" i="4"/>
  <c r="J113" i="4"/>
  <c r="I113" i="4"/>
  <c r="O113" i="4" s="1"/>
  <c r="H113" i="4"/>
  <c r="G113" i="4"/>
  <c r="F113" i="4"/>
  <c r="E113" i="4"/>
  <c r="C113" i="4"/>
  <c r="M112" i="4"/>
  <c r="L112" i="4"/>
  <c r="K112" i="4"/>
  <c r="J112" i="4"/>
  <c r="I112" i="4"/>
  <c r="H112" i="4"/>
  <c r="F112" i="4"/>
  <c r="E112" i="4"/>
  <c r="C112" i="4"/>
  <c r="M111" i="4"/>
  <c r="L111" i="4"/>
  <c r="K111" i="4"/>
  <c r="J111" i="4"/>
  <c r="I111" i="4"/>
  <c r="H111" i="4"/>
  <c r="G111" i="4"/>
  <c r="F111" i="4"/>
  <c r="E111" i="4"/>
  <c r="C111" i="4"/>
  <c r="M106" i="4"/>
  <c r="L106" i="4"/>
  <c r="K106" i="4"/>
  <c r="J106" i="4"/>
  <c r="I106" i="4"/>
  <c r="H106" i="4"/>
  <c r="G106" i="4"/>
  <c r="F106" i="4"/>
  <c r="E106" i="4"/>
  <c r="C106" i="4"/>
  <c r="M105" i="4"/>
  <c r="H105" i="8" s="1"/>
  <c r="L105" i="4"/>
  <c r="K105" i="4"/>
  <c r="J105" i="4"/>
  <c r="I105" i="4"/>
  <c r="H105" i="4"/>
  <c r="F105" i="4"/>
  <c r="E105" i="4"/>
  <c r="C105" i="4"/>
  <c r="M104" i="4"/>
  <c r="L104" i="4"/>
  <c r="K104" i="4"/>
  <c r="J104" i="4"/>
  <c r="I104" i="4"/>
  <c r="H104" i="4"/>
  <c r="G104" i="4"/>
  <c r="F104" i="4"/>
  <c r="E104" i="4"/>
  <c r="C104" i="4"/>
  <c r="M103" i="4"/>
  <c r="L103" i="4"/>
  <c r="K103" i="4"/>
  <c r="J103" i="4"/>
  <c r="I103" i="4"/>
  <c r="H103" i="4"/>
  <c r="G103" i="4"/>
  <c r="F103" i="4"/>
  <c r="E103" i="4"/>
  <c r="C103" i="4"/>
  <c r="M102" i="4"/>
  <c r="L102" i="4"/>
  <c r="K102" i="4"/>
  <c r="J102" i="4"/>
  <c r="I102" i="4"/>
  <c r="H102" i="4"/>
  <c r="G102" i="4"/>
  <c r="F102" i="4"/>
  <c r="E102" i="4"/>
  <c r="O106" i="4" l="1"/>
  <c r="N152" i="4"/>
  <c r="N123" i="4"/>
  <c r="N177" i="4"/>
  <c r="I143" i="4"/>
  <c r="N130" i="4"/>
  <c r="N134" i="4"/>
  <c r="O145" i="4"/>
  <c r="O151" i="4" s="1"/>
  <c r="N160" i="4"/>
  <c r="N102" i="4"/>
  <c r="H143" i="4"/>
  <c r="O157" i="4"/>
  <c r="N124" i="4"/>
  <c r="N132" i="4"/>
  <c r="N139" i="4"/>
  <c r="X201" i="4"/>
  <c r="Z199" i="4"/>
  <c r="H178" i="8"/>
  <c r="K178" i="8" s="1"/>
  <c r="N178" i="4"/>
  <c r="H138" i="8"/>
  <c r="K138" i="8" s="1"/>
  <c r="J138" i="8" s="1"/>
  <c r="N138" i="4"/>
  <c r="N129" i="4"/>
  <c r="O110" i="4"/>
  <c r="L143" i="4"/>
  <c r="K143" i="4"/>
  <c r="J143" i="4"/>
  <c r="M143" i="4"/>
  <c r="O168" i="4"/>
  <c r="I151" i="4"/>
  <c r="O114" i="4"/>
  <c r="I182" i="4"/>
  <c r="N176" i="4"/>
  <c r="O135" i="4"/>
  <c r="L151" i="4"/>
  <c r="O182" i="4"/>
  <c r="H116" i="8"/>
  <c r="J116" i="8" s="1"/>
  <c r="H151" i="4"/>
  <c r="H166" i="8"/>
  <c r="K166" i="8" s="1"/>
  <c r="H117" i="8"/>
  <c r="J117" i="8" s="1"/>
  <c r="O154" i="4"/>
  <c r="K182" i="4"/>
  <c r="M151" i="4"/>
  <c r="L182" i="4"/>
  <c r="M182" i="4"/>
  <c r="J182" i="4"/>
  <c r="J151" i="4"/>
  <c r="K151" i="4"/>
  <c r="O112" i="4"/>
  <c r="H115" i="8"/>
  <c r="K115" i="8" s="1"/>
  <c r="H125" i="8"/>
  <c r="K125" i="8" s="1"/>
  <c r="H154" i="8"/>
  <c r="K154" i="8" s="1"/>
  <c r="J154" i="8" s="1"/>
  <c r="H157" i="8"/>
  <c r="J157" i="8" s="1"/>
  <c r="I173" i="4"/>
  <c r="H110" i="4"/>
  <c r="H163" i="8"/>
  <c r="K163" i="8" s="1"/>
  <c r="O163" i="4"/>
  <c r="H155" i="8"/>
  <c r="J155" i="8" s="1"/>
  <c r="O155" i="4"/>
  <c r="L173" i="4"/>
  <c r="J173" i="4"/>
  <c r="M173" i="4"/>
  <c r="K173" i="4"/>
  <c r="O158" i="4"/>
  <c r="H127" i="8"/>
  <c r="J127" i="8" s="1"/>
  <c r="O111" i="4"/>
  <c r="H113" i="8"/>
  <c r="K113" i="8" s="1"/>
  <c r="J113" i="8" s="1"/>
  <c r="H133" i="8"/>
  <c r="K133" i="8" s="1"/>
  <c r="J133" i="8" s="1"/>
  <c r="O133" i="4"/>
  <c r="M110" i="4"/>
  <c r="H176" i="8"/>
  <c r="K176" i="8" s="1"/>
  <c r="H145" i="8"/>
  <c r="K145" i="8" s="1"/>
  <c r="J110" i="4"/>
  <c r="L110" i="4"/>
  <c r="I110" i="4"/>
  <c r="K110" i="4"/>
  <c r="H124" i="8"/>
  <c r="K124" i="8" s="1"/>
  <c r="I129" i="4"/>
  <c r="H131" i="8"/>
  <c r="H177" i="4"/>
  <c r="H175" i="4"/>
  <c r="H103" i="8"/>
  <c r="J103" i="8" s="1"/>
  <c r="H161" i="8"/>
  <c r="K161" i="8" s="1"/>
  <c r="J161" i="8" s="1"/>
  <c r="K129" i="4"/>
  <c r="M129" i="4"/>
  <c r="H129" i="4"/>
  <c r="L129" i="4"/>
  <c r="J129" i="4"/>
  <c r="H132" i="8"/>
  <c r="J132" i="8" s="1"/>
  <c r="H118" i="8"/>
  <c r="J118" i="8" s="1"/>
  <c r="H164" i="8"/>
  <c r="K164" i="8" s="1"/>
  <c r="H106" i="8"/>
  <c r="J106" i="8" s="1"/>
  <c r="H165" i="8"/>
  <c r="K165" i="8" s="1"/>
  <c r="H144" i="8"/>
  <c r="H153" i="4"/>
  <c r="H173" i="4" s="1"/>
  <c r="H126" i="8"/>
  <c r="J126" i="8" s="1"/>
  <c r="H119" i="8"/>
  <c r="K119" i="8" s="1"/>
  <c r="H177" i="8"/>
  <c r="J177" i="8" s="1"/>
  <c r="H168" i="8"/>
  <c r="K168" i="8" s="1"/>
  <c r="H139" i="8"/>
  <c r="K139" i="8" s="1"/>
  <c r="H167" i="8"/>
  <c r="K167" i="8" s="1"/>
  <c r="H160" i="8"/>
  <c r="K160" i="8" s="1"/>
  <c r="J160" i="8" s="1"/>
  <c r="H136" i="8"/>
  <c r="K136" i="8" s="1"/>
  <c r="J136" i="8" s="1"/>
  <c r="J130" i="8"/>
  <c r="H112" i="8"/>
  <c r="K112" i="8" s="1"/>
  <c r="J175" i="8"/>
  <c r="K175" i="8"/>
  <c r="H121" i="8"/>
  <c r="H134" i="8"/>
  <c r="J134" i="8" s="1"/>
  <c r="H159" i="8"/>
  <c r="J159" i="8" s="1"/>
  <c r="H104" i="8"/>
  <c r="K104" i="8" s="1"/>
  <c r="J104" i="8" s="1"/>
  <c r="H111" i="8"/>
  <c r="H158" i="8"/>
  <c r="J158" i="8" s="1"/>
  <c r="H152" i="8"/>
  <c r="H156" i="8"/>
  <c r="K156" i="8" s="1"/>
  <c r="J156" i="8" s="1"/>
  <c r="H123" i="8"/>
  <c r="H114" i="8"/>
  <c r="K114" i="8" s="1"/>
  <c r="J114" i="8" s="1"/>
  <c r="H153" i="8"/>
  <c r="J153" i="8" s="1"/>
  <c r="H102" i="8"/>
  <c r="K105" i="8"/>
  <c r="J105" i="8"/>
  <c r="K135" i="8"/>
  <c r="J135" i="8"/>
  <c r="K137" i="8"/>
  <c r="J137" i="8"/>
  <c r="H174" i="8"/>
  <c r="J178" i="8"/>
  <c r="J162" i="8"/>
  <c r="N143" i="4" l="1"/>
  <c r="O143" i="4"/>
  <c r="H143" i="8"/>
  <c r="N182" i="4"/>
  <c r="H182" i="4"/>
  <c r="K117" i="8"/>
  <c r="K116" i="8"/>
  <c r="J166" i="8"/>
  <c r="H182" i="8"/>
  <c r="H151" i="8"/>
  <c r="J115" i="8"/>
  <c r="J125" i="8"/>
  <c r="K157" i="8"/>
  <c r="J163" i="8"/>
  <c r="N173" i="4"/>
  <c r="O173" i="4"/>
  <c r="K155" i="8"/>
  <c r="H173" i="8"/>
  <c r="J176" i="8"/>
  <c r="K127" i="8"/>
  <c r="H110" i="8"/>
  <c r="J145" i="8"/>
  <c r="J124" i="8"/>
  <c r="K103" i="8"/>
  <c r="K132" i="8"/>
  <c r="K111" i="8"/>
  <c r="H129" i="8"/>
  <c r="O129" i="4"/>
  <c r="K118" i="8"/>
  <c r="J164" i="8"/>
  <c r="K106" i="8"/>
  <c r="J165" i="8"/>
  <c r="K144" i="8"/>
  <c r="K151" i="8" s="1"/>
  <c r="J144" i="8"/>
  <c r="K131" i="8"/>
  <c r="J131" i="8"/>
  <c r="K126" i="8"/>
  <c r="J119" i="8"/>
  <c r="J152" i="8"/>
  <c r="K177" i="8"/>
  <c r="J168" i="8"/>
  <c r="J123" i="8"/>
  <c r="K123" i="8"/>
  <c r="J121" i="8"/>
  <c r="K121" i="8"/>
  <c r="J139" i="8"/>
  <c r="K174" i="8"/>
  <c r="J167" i="8"/>
  <c r="K130" i="8"/>
  <c r="J112" i="8"/>
  <c r="K134" i="8"/>
  <c r="K158" i="8"/>
  <c r="J111" i="8"/>
  <c r="K152" i="8"/>
  <c r="J102" i="8"/>
  <c r="J110" i="8" s="1"/>
  <c r="K153" i="8"/>
  <c r="K102" i="8"/>
  <c r="J174" i="8"/>
  <c r="K182" i="8" l="1"/>
  <c r="K173" i="8"/>
  <c r="J143" i="8"/>
  <c r="K143" i="8"/>
  <c r="J182" i="8"/>
  <c r="J151" i="8"/>
  <c r="J173" i="8"/>
  <c r="K110" i="8"/>
  <c r="J129" i="8"/>
  <c r="K129" i="8"/>
  <c r="I183" i="8"/>
  <c r="M96" i="4"/>
  <c r="L96" i="4"/>
  <c r="K96" i="4"/>
  <c r="J96" i="4"/>
  <c r="I96" i="4"/>
  <c r="H96" i="4"/>
  <c r="G96" i="4"/>
  <c r="F96" i="4"/>
  <c r="E96" i="4"/>
  <c r="C96" i="4"/>
  <c r="M95" i="4"/>
  <c r="L95" i="4"/>
  <c r="K95" i="4"/>
  <c r="J95" i="4"/>
  <c r="I95" i="4"/>
  <c r="H95" i="4"/>
  <c r="G95" i="4"/>
  <c r="F95" i="4"/>
  <c r="E95" i="4"/>
  <c r="C95" i="4"/>
  <c r="M94" i="4"/>
  <c r="L94" i="4"/>
  <c r="K94" i="4"/>
  <c r="J94" i="4"/>
  <c r="I94" i="4"/>
  <c r="H94" i="4"/>
  <c r="G94" i="4"/>
  <c r="F94" i="4"/>
  <c r="E94" i="4"/>
  <c r="C94" i="4"/>
  <c r="M93" i="4"/>
  <c r="L93" i="4"/>
  <c r="K93" i="4"/>
  <c r="J93" i="4"/>
  <c r="I93" i="4"/>
  <c r="H93" i="4"/>
  <c r="G93" i="4"/>
  <c r="F93" i="4"/>
  <c r="E93" i="4"/>
  <c r="C93" i="4"/>
  <c r="M92" i="4"/>
  <c r="H92" i="8" s="1"/>
  <c r="L92" i="4"/>
  <c r="K92" i="4"/>
  <c r="J92" i="4"/>
  <c r="I92" i="4"/>
  <c r="H92" i="4"/>
  <c r="G92" i="4"/>
  <c r="F92" i="4"/>
  <c r="C92" i="4"/>
  <c r="M91" i="4"/>
  <c r="L91" i="4"/>
  <c r="K91" i="4"/>
  <c r="J91" i="4"/>
  <c r="I91" i="4"/>
  <c r="H91" i="4"/>
  <c r="G91" i="4"/>
  <c r="F91" i="4"/>
  <c r="E91" i="4"/>
  <c r="C91" i="4"/>
  <c r="M90" i="4"/>
  <c r="L90" i="4"/>
  <c r="K90" i="4"/>
  <c r="J90" i="4"/>
  <c r="I90" i="4"/>
  <c r="H90" i="4"/>
  <c r="G90" i="4"/>
  <c r="F90" i="4"/>
  <c r="E90" i="4"/>
  <c r="C90" i="4"/>
  <c r="M89" i="4"/>
  <c r="L89" i="4"/>
  <c r="K89" i="4"/>
  <c r="J89" i="4"/>
  <c r="I89" i="4"/>
  <c r="H89" i="4"/>
  <c r="G89" i="4"/>
  <c r="F89" i="4"/>
  <c r="E89" i="4"/>
  <c r="C89" i="4"/>
  <c r="M88" i="4"/>
  <c r="L88" i="4"/>
  <c r="K88" i="4"/>
  <c r="J88" i="4"/>
  <c r="I88" i="4"/>
  <c r="H88" i="4"/>
  <c r="G88" i="4"/>
  <c r="F88" i="4"/>
  <c r="E88" i="4"/>
  <c r="C88" i="4"/>
  <c r="M87" i="4"/>
  <c r="L87" i="4"/>
  <c r="K87" i="4"/>
  <c r="J87" i="4"/>
  <c r="I87" i="4"/>
  <c r="O87" i="4" s="1"/>
  <c r="H87" i="4"/>
  <c r="G87" i="4"/>
  <c r="F87" i="4"/>
  <c r="E87" i="4"/>
  <c r="C87" i="4"/>
  <c r="M86" i="4"/>
  <c r="L86" i="4"/>
  <c r="K86" i="4"/>
  <c r="J86" i="4"/>
  <c r="I86" i="4"/>
  <c r="H86" i="4"/>
  <c r="G86" i="4"/>
  <c r="F86" i="4"/>
  <c r="E86" i="4"/>
  <c r="C86" i="4"/>
  <c r="M85" i="4"/>
  <c r="L85" i="4"/>
  <c r="K85" i="4"/>
  <c r="J85" i="4"/>
  <c r="I85" i="4"/>
  <c r="H85" i="4"/>
  <c r="G85" i="4"/>
  <c r="F85" i="4"/>
  <c r="E85" i="4"/>
  <c r="C85" i="4"/>
  <c r="M84" i="4"/>
  <c r="L84" i="4"/>
  <c r="K84" i="4"/>
  <c r="J84" i="4"/>
  <c r="I84" i="4"/>
  <c r="H84" i="4"/>
  <c r="G84" i="4"/>
  <c r="F84" i="4"/>
  <c r="E84" i="4"/>
  <c r="C84" i="4"/>
  <c r="M83" i="4"/>
  <c r="L83" i="4"/>
  <c r="K83" i="4"/>
  <c r="J83" i="4"/>
  <c r="I83" i="4"/>
  <c r="H83" i="4"/>
  <c r="G83" i="4"/>
  <c r="F83" i="4"/>
  <c r="E83" i="4"/>
  <c r="C83" i="4"/>
  <c r="M82" i="4"/>
  <c r="O82" i="4" s="1"/>
  <c r="L82" i="4"/>
  <c r="K82" i="4"/>
  <c r="J82" i="4"/>
  <c r="H82" i="4"/>
  <c r="G82" i="4"/>
  <c r="F82" i="4"/>
  <c r="E82" i="4"/>
  <c r="C82" i="4"/>
  <c r="L80" i="4"/>
  <c r="K80" i="4"/>
  <c r="J80" i="4"/>
  <c r="I80" i="4"/>
  <c r="N80" i="4" s="1"/>
  <c r="G80" i="4"/>
  <c r="F80" i="4"/>
  <c r="E80" i="4"/>
  <c r="C80" i="4"/>
  <c r="L79" i="4"/>
  <c r="K79" i="4"/>
  <c r="J79" i="4"/>
  <c r="I79" i="4"/>
  <c r="N79" i="4" s="1"/>
  <c r="H79" i="4"/>
  <c r="G79" i="4"/>
  <c r="F79" i="4"/>
  <c r="E79" i="4"/>
  <c r="C79" i="4"/>
  <c r="M78" i="4"/>
  <c r="L78" i="4"/>
  <c r="K78" i="4"/>
  <c r="J78" i="4"/>
  <c r="I78" i="4"/>
  <c r="H78" i="4"/>
  <c r="G78" i="4"/>
  <c r="F78" i="4"/>
  <c r="E78" i="4"/>
  <c r="C78" i="4"/>
  <c r="M77" i="4"/>
  <c r="L77" i="4"/>
  <c r="K77" i="4"/>
  <c r="J77" i="4"/>
  <c r="I77" i="4"/>
  <c r="H77" i="4"/>
  <c r="G77" i="4"/>
  <c r="F77" i="4"/>
  <c r="E77" i="4"/>
  <c r="C77" i="4"/>
  <c r="M76" i="4"/>
  <c r="L76" i="4"/>
  <c r="K76" i="4"/>
  <c r="J76" i="4"/>
  <c r="I76" i="4"/>
  <c r="H76" i="4"/>
  <c r="G76" i="4"/>
  <c r="F76" i="4"/>
  <c r="E76" i="4"/>
  <c r="C76" i="4"/>
  <c r="M75" i="4"/>
  <c r="L75" i="4"/>
  <c r="K75" i="4"/>
  <c r="J75" i="4"/>
  <c r="I75" i="4"/>
  <c r="H75" i="4"/>
  <c r="G75" i="4"/>
  <c r="F75" i="4"/>
  <c r="E75" i="4"/>
  <c r="C75" i="4"/>
  <c r="N94" i="4" l="1"/>
  <c r="O88" i="4"/>
  <c r="O86" i="4"/>
  <c r="N84" i="4"/>
  <c r="N96" i="4"/>
  <c r="O95" i="4"/>
  <c r="H96" i="8"/>
  <c r="K96" i="8" s="1"/>
  <c r="H91" i="8"/>
  <c r="K91" i="8" s="1"/>
  <c r="N77" i="4"/>
  <c r="H87" i="8"/>
  <c r="J87" i="8" s="1"/>
  <c r="K101" i="4"/>
  <c r="M101" i="4"/>
  <c r="L101" i="4"/>
  <c r="J101" i="4"/>
  <c r="I101" i="4"/>
  <c r="H93" i="8"/>
  <c r="J93" i="8" s="1"/>
  <c r="H80" i="4"/>
  <c r="H101" i="4" s="1"/>
  <c r="H86" i="8"/>
  <c r="J86" i="8" s="1"/>
  <c r="H94" i="8"/>
  <c r="J94" i="8" s="1"/>
  <c r="H90" i="8"/>
  <c r="K90" i="8" s="1"/>
  <c r="H95" i="8"/>
  <c r="K95" i="8" s="1"/>
  <c r="J95" i="8" s="1"/>
  <c r="H89" i="8"/>
  <c r="J89" i="8" s="1"/>
  <c r="H80" i="8"/>
  <c r="J80" i="8" s="1"/>
  <c r="H88" i="8"/>
  <c r="J88" i="8" s="1"/>
  <c r="I186" i="8"/>
  <c r="H79" i="8"/>
  <c r="K79" i="8" s="1"/>
  <c r="J79" i="8" s="1"/>
  <c r="H82" i="8"/>
  <c r="J82" i="8" s="1"/>
  <c r="H84" i="8"/>
  <c r="K84" i="8" s="1"/>
  <c r="J84" i="8" s="1"/>
  <c r="H78" i="8"/>
  <c r="K78" i="8" s="1"/>
  <c r="H83" i="8"/>
  <c r="K83" i="8" s="1"/>
  <c r="J83" i="8" s="1"/>
  <c r="H76" i="8"/>
  <c r="K76" i="8" s="1"/>
  <c r="J76" i="8" s="1"/>
  <c r="H77" i="8"/>
  <c r="K77" i="8" s="1"/>
  <c r="J77" i="8" s="1"/>
  <c r="H85" i="8"/>
  <c r="K85" i="8" s="1"/>
  <c r="J85" i="8" s="1"/>
  <c r="H75" i="8"/>
  <c r="K92" i="8"/>
  <c r="J92" i="8"/>
  <c r="L67" i="4"/>
  <c r="K67" i="4"/>
  <c r="J67" i="4"/>
  <c r="I67" i="4"/>
  <c r="O67" i="4" s="1"/>
  <c r="H67" i="4"/>
  <c r="G67" i="4"/>
  <c r="F67" i="4"/>
  <c r="E67" i="4"/>
  <c r="C67" i="4"/>
  <c r="M66" i="4"/>
  <c r="H66" i="8" s="1"/>
  <c r="L66" i="4"/>
  <c r="K66" i="4"/>
  <c r="J66" i="4"/>
  <c r="I66" i="4"/>
  <c r="G66" i="4"/>
  <c r="E66" i="4"/>
  <c r="M65" i="4"/>
  <c r="L65" i="4"/>
  <c r="K65" i="4"/>
  <c r="J65" i="4"/>
  <c r="I65" i="4"/>
  <c r="O65" i="4" s="1"/>
  <c r="H65" i="4"/>
  <c r="G65" i="4"/>
  <c r="F65" i="4"/>
  <c r="E65" i="4"/>
  <c r="M64" i="4"/>
  <c r="L64" i="4"/>
  <c r="K64" i="4"/>
  <c r="J64" i="4"/>
  <c r="I64" i="4"/>
  <c r="O64" i="4" s="1"/>
  <c r="H64" i="4"/>
  <c r="G64" i="4"/>
  <c r="F64" i="4"/>
  <c r="E64" i="4"/>
  <c r="C64" i="4"/>
  <c r="M63" i="4"/>
  <c r="L63" i="4"/>
  <c r="K63" i="4"/>
  <c r="J63" i="4"/>
  <c r="I63" i="4"/>
  <c r="H63" i="4"/>
  <c r="G63" i="4"/>
  <c r="F63" i="4"/>
  <c r="E63" i="4"/>
  <c r="C63" i="4"/>
  <c r="M62" i="4"/>
  <c r="N62" i="4" s="1"/>
  <c r="L62" i="4"/>
  <c r="K62" i="4"/>
  <c r="J62" i="4"/>
  <c r="I62" i="4"/>
  <c r="H62" i="4"/>
  <c r="G62" i="4"/>
  <c r="F62" i="4"/>
  <c r="E62" i="4"/>
  <c r="C62" i="4"/>
  <c r="M61" i="4"/>
  <c r="L61" i="4"/>
  <c r="K61" i="4"/>
  <c r="J61" i="4"/>
  <c r="I61" i="4"/>
  <c r="H61" i="4"/>
  <c r="G61" i="4"/>
  <c r="F61" i="4"/>
  <c r="E61" i="4"/>
  <c r="C61" i="4"/>
  <c r="M59" i="4"/>
  <c r="L59" i="4"/>
  <c r="K59" i="4"/>
  <c r="J59" i="4"/>
  <c r="I59" i="4"/>
  <c r="H59" i="4"/>
  <c r="G59" i="4"/>
  <c r="F59" i="4"/>
  <c r="L58" i="4"/>
  <c r="K58" i="4"/>
  <c r="J58" i="4"/>
  <c r="I58" i="4"/>
  <c r="H58" i="4"/>
  <c r="G58" i="4"/>
  <c r="F58" i="4"/>
  <c r="M57" i="4"/>
  <c r="L57" i="4"/>
  <c r="K57" i="4"/>
  <c r="J57" i="4"/>
  <c r="I57" i="4"/>
  <c r="H57" i="4"/>
  <c r="F57" i="4"/>
  <c r="E57" i="4"/>
  <c r="M56" i="4"/>
  <c r="L56" i="4"/>
  <c r="K56" i="4"/>
  <c r="J56" i="4"/>
  <c r="I56" i="4"/>
  <c r="H56" i="4"/>
  <c r="G56" i="4"/>
  <c r="F56" i="4"/>
  <c r="E56" i="4"/>
  <c r="C56" i="4"/>
  <c r="M55" i="4"/>
  <c r="H55" i="8" s="1"/>
  <c r="L55" i="4"/>
  <c r="K55" i="4"/>
  <c r="J55" i="4"/>
  <c r="I55" i="4"/>
  <c r="H55" i="4"/>
  <c r="G55" i="4"/>
  <c r="F55" i="4"/>
  <c r="E55" i="4"/>
  <c r="C55" i="4"/>
  <c r="M54" i="4"/>
  <c r="L54" i="4"/>
  <c r="K54" i="4"/>
  <c r="J54" i="4"/>
  <c r="I54" i="4"/>
  <c r="H54" i="4"/>
  <c r="G54" i="4"/>
  <c r="F54" i="4"/>
  <c r="E54" i="4"/>
  <c r="C54" i="4"/>
  <c r="M53" i="4"/>
  <c r="L53" i="4"/>
  <c r="K53" i="4"/>
  <c r="J53" i="4"/>
  <c r="I53" i="4"/>
  <c r="H53" i="4"/>
  <c r="G53" i="4"/>
  <c r="F53" i="4"/>
  <c r="E53" i="4"/>
  <c r="C53" i="4"/>
  <c r="M52" i="4"/>
  <c r="L52" i="4"/>
  <c r="K52" i="4"/>
  <c r="J52" i="4"/>
  <c r="I52" i="4"/>
  <c r="H52" i="4"/>
  <c r="G52" i="4"/>
  <c r="F52" i="4"/>
  <c r="E52" i="4"/>
  <c r="N63" i="4" l="1"/>
  <c r="N61" i="4"/>
  <c r="O101" i="4"/>
  <c r="O56" i="4"/>
  <c r="K87" i="8"/>
  <c r="N53" i="4"/>
  <c r="N52" i="4"/>
  <c r="J96" i="8"/>
  <c r="K93" i="8"/>
  <c r="J91" i="8"/>
  <c r="O57" i="4"/>
  <c r="N101" i="4"/>
  <c r="H101" i="8"/>
  <c r="O59" i="4"/>
  <c r="H62" i="8"/>
  <c r="K62" i="8" s="1"/>
  <c r="H74" i="4"/>
  <c r="K86" i="8"/>
  <c r="I74" i="4"/>
  <c r="L74" i="4"/>
  <c r="K74" i="4"/>
  <c r="J74" i="4"/>
  <c r="M74" i="4"/>
  <c r="K94" i="8"/>
  <c r="J90" i="8"/>
  <c r="H53" i="8"/>
  <c r="K53" i="8" s="1"/>
  <c r="J53" i="8" s="1"/>
  <c r="K89" i="8"/>
  <c r="K80" i="8"/>
  <c r="K88" i="8"/>
  <c r="H65" i="8"/>
  <c r="K65" i="8" s="1"/>
  <c r="H57" i="8"/>
  <c r="K82" i="8"/>
  <c r="H56" i="8"/>
  <c r="J56" i="8" s="1"/>
  <c r="H67" i="8"/>
  <c r="K67" i="8" s="1"/>
  <c r="J67" i="8" s="1"/>
  <c r="J78" i="8"/>
  <c r="H52" i="8"/>
  <c r="H54" i="8"/>
  <c r="K54" i="8" s="1"/>
  <c r="H61" i="8"/>
  <c r="K61" i="8" s="1"/>
  <c r="H59" i="8"/>
  <c r="H64" i="8"/>
  <c r="K64" i="8" s="1"/>
  <c r="H58" i="8"/>
  <c r="H63" i="8"/>
  <c r="J63" i="8" s="1"/>
  <c r="K75" i="8"/>
  <c r="J75" i="8"/>
  <c r="J66" i="8"/>
  <c r="K66" i="8"/>
  <c r="K55" i="8"/>
  <c r="J55" i="8"/>
  <c r="M45" i="4"/>
  <c r="L45" i="4"/>
  <c r="K45" i="4"/>
  <c r="E45" i="10" s="1"/>
  <c r="J45" i="4"/>
  <c r="D45" i="10" s="1"/>
  <c r="I45" i="4"/>
  <c r="H45" i="4"/>
  <c r="G45" i="4"/>
  <c r="F45" i="4"/>
  <c r="E45" i="4"/>
  <c r="C45" i="4"/>
  <c r="M44" i="4"/>
  <c r="L44" i="4"/>
  <c r="K44" i="4"/>
  <c r="E44" i="10" s="1"/>
  <c r="J44" i="4"/>
  <c r="D44" i="10" s="1"/>
  <c r="I44" i="4"/>
  <c r="H44" i="4"/>
  <c r="G44" i="4"/>
  <c r="F44" i="4"/>
  <c r="E44" i="4"/>
  <c r="M43" i="4"/>
  <c r="L43" i="4"/>
  <c r="K43" i="4"/>
  <c r="E43" i="10" s="1"/>
  <c r="J43" i="4"/>
  <c r="D43" i="10" s="1"/>
  <c r="I43" i="4"/>
  <c r="H43" i="4"/>
  <c r="G43" i="4"/>
  <c r="F43" i="4"/>
  <c r="E43" i="4"/>
  <c r="M42" i="4"/>
  <c r="L42" i="4"/>
  <c r="K42" i="4"/>
  <c r="E42" i="10" s="1"/>
  <c r="J42" i="4"/>
  <c r="D42" i="10" s="1"/>
  <c r="G42" i="4"/>
  <c r="F42" i="4"/>
  <c r="E42" i="4"/>
  <c r="C42" i="4"/>
  <c r="M41" i="4"/>
  <c r="L41" i="4"/>
  <c r="K41" i="4"/>
  <c r="E41" i="10" s="1"/>
  <c r="J41" i="4"/>
  <c r="D41" i="10" s="1"/>
  <c r="I41" i="4"/>
  <c r="H41" i="4"/>
  <c r="G41" i="4"/>
  <c r="F41" i="4"/>
  <c r="E41" i="4"/>
  <c r="C41" i="4"/>
  <c r="M40" i="4"/>
  <c r="L40" i="4"/>
  <c r="K40" i="4"/>
  <c r="E40" i="10" s="1"/>
  <c r="J40" i="4"/>
  <c r="D40" i="10" s="1"/>
  <c r="I40" i="4"/>
  <c r="H40" i="4"/>
  <c r="G40" i="4"/>
  <c r="F40" i="4"/>
  <c r="E40" i="4"/>
  <c r="C40" i="4"/>
  <c r="M39" i="4"/>
  <c r="L39" i="4"/>
  <c r="K39" i="4"/>
  <c r="E39" i="10" s="1"/>
  <c r="J39" i="4"/>
  <c r="D39" i="10" s="1"/>
  <c r="I39" i="4"/>
  <c r="H39" i="4"/>
  <c r="G39" i="4"/>
  <c r="F39" i="4"/>
  <c r="E39" i="4"/>
  <c r="C39" i="4"/>
  <c r="M38" i="4"/>
  <c r="L38" i="4"/>
  <c r="K38" i="4"/>
  <c r="E38" i="10" s="1"/>
  <c r="J38" i="4"/>
  <c r="D38" i="10" s="1"/>
  <c r="I38" i="4"/>
  <c r="H38" i="4"/>
  <c r="G38" i="4"/>
  <c r="F38" i="4"/>
  <c r="E38" i="4"/>
  <c r="C38" i="4"/>
  <c r="M37" i="4"/>
  <c r="L37" i="4"/>
  <c r="K37" i="4"/>
  <c r="E37" i="10" s="1"/>
  <c r="J37" i="4"/>
  <c r="D37" i="10" s="1"/>
  <c r="I37" i="4"/>
  <c r="H37" i="4"/>
  <c r="G37" i="4"/>
  <c r="F37" i="4"/>
  <c r="E37" i="4"/>
  <c r="C37" i="4"/>
  <c r="N43" i="4" l="1"/>
  <c r="N44" i="4"/>
  <c r="O41" i="4"/>
  <c r="H42" i="8"/>
  <c r="K42" i="8" s="1"/>
  <c r="N42" i="4"/>
  <c r="H44" i="8"/>
  <c r="J44" i="8" s="1"/>
  <c r="H43" i="8"/>
  <c r="J43" i="8" s="1"/>
  <c r="K101" i="8"/>
  <c r="J101" i="8"/>
  <c r="J62" i="8"/>
  <c r="H41" i="8"/>
  <c r="K41" i="8" s="1"/>
  <c r="O74" i="4"/>
  <c r="N74" i="4"/>
  <c r="J57" i="8"/>
  <c r="H74" i="8"/>
  <c r="H37" i="8"/>
  <c r="J37" i="8" s="1"/>
  <c r="H45" i="8"/>
  <c r="K45" i="8" s="1"/>
  <c r="H38" i="8"/>
  <c r="J38" i="8" s="1"/>
  <c r="K59" i="8"/>
  <c r="J65" i="8"/>
  <c r="H39" i="8"/>
  <c r="K39" i="8" s="1"/>
  <c r="J39" i="8" s="1"/>
  <c r="K57" i="8"/>
  <c r="J52" i="8"/>
  <c r="K56" i="8"/>
  <c r="K52" i="8"/>
  <c r="J54" i="8"/>
  <c r="H40" i="8"/>
  <c r="J40" i="8" s="1"/>
  <c r="J61" i="8"/>
  <c r="J64" i="8"/>
  <c r="J59" i="8"/>
  <c r="K63" i="8"/>
  <c r="J58" i="8"/>
  <c r="K58" i="8"/>
  <c r="M36" i="4"/>
  <c r="H36" i="8" s="1"/>
  <c r="L36" i="4"/>
  <c r="K36" i="4"/>
  <c r="E36" i="10" s="1"/>
  <c r="J36" i="4"/>
  <c r="D36" i="10" s="1"/>
  <c r="I36" i="4"/>
  <c r="H36" i="4"/>
  <c r="G36" i="4"/>
  <c r="F36" i="4"/>
  <c r="E36" i="4"/>
  <c r="M35" i="4"/>
  <c r="L35" i="4"/>
  <c r="K35" i="4"/>
  <c r="J35" i="4"/>
  <c r="D35" i="10" s="1"/>
  <c r="I35" i="4"/>
  <c r="H35" i="4"/>
  <c r="G35" i="4"/>
  <c r="F35" i="4"/>
  <c r="E35" i="4"/>
  <c r="C35" i="4"/>
  <c r="M34" i="4"/>
  <c r="L34" i="4"/>
  <c r="K34" i="4"/>
  <c r="E34" i="10" s="1"/>
  <c r="J34" i="4"/>
  <c r="D34" i="10" s="1"/>
  <c r="I34" i="4"/>
  <c r="H34" i="4"/>
  <c r="G34" i="4"/>
  <c r="F34" i="4"/>
  <c r="E34" i="4"/>
  <c r="C34" i="4"/>
  <c r="M33" i="4"/>
  <c r="L33" i="4"/>
  <c r="K33" i="4"/>
  <c r="E33" i="10" s="1"/>
  <c r="J33" i="4"/>
  <c r="D33" i="10" s="1"/>
  <c r="I33" i="4"/>
  <c r="H33" i="4"/>
  <c r="G33" i="4"/>
  <c r="F33" i="4"/>
  <c r="E33" i="4"/>
  <c r="C33" i="4"/>
  <c r="M32" i="4"/>
  <c r="L32" i="4"/>
  <c r="K32" i="4"/>
  <c r="E32" i="10" s="1"/>
  <c r="J32" i="4"/>
  <c r="D32" i="10" s="1"/>
  <c r="I32" i="4"/>
  <c r="O32" i="4" s="1"/>
  <c r="H32" i="4"/>
  <c r="G32" i="4"/>
  <c r="F32" i="4"/>
  <c r="E32" i="4"/>
  <c r="C32" i="4"/>
  <c r="M31" i="4"/>
  <c r="L31" i="4"/>
  <c r="K31" i="4"/>
  <c r="E31" i="10" s="1"/>
  <c r="J31" i="4"/>
  <c r="D31" i="10" s="1"/>
  <c r="I31" i="4"/>
  <c r="H31" i="4"/>
  <c r="G31" i="4"/>
  <c r="F31" i="4"/>
  <c r="E31" i="4"/>
  <c r="C31" i="4"/>
  <c r="M30" i="4"/>
  <c r="L30" i="4"/>
  <c r="K30" i="4"/>
  <c r="E30" i="10" s="1"/>
  <c r="J30" i="4"/>
  <c r="D30" i="10" s="1"/>
  <c r="I30" i="4"/>
  <c r="H30" i="4"/>
  <c r="G30" i="4"/>
  <c r="F30" i="4"/>
  <c r="E30" i="4"/>
  <c r="C30" i="4"/>
  <c r="M29" i="4"/>
  <c r="L29" i="4"/>
  <c r="K29" i="4"/>
  <c r="E29" i="10" s="1"/>
  <c r="J29" i="4"/>
  <c r="D29" i="10" s="1"/>
  <c r="I29" i="4"/>
  <c r="H29" i="4"/>
  <c r="G29" i="4"/>
  <c r="F29" i="4"/>
  <c r="E29" i="4"/>
  <c r="C29" i="4"/>
  <c r="M28" i="4"/>
  <c r="L28" i="4"/>
  <c r="K28" i="4"/>
  <c r="E27" i="10" s="1"/>
  <c r="J28" i="4"/>
  <c r="D27" i="10" s="1"/>
  <c r="I28" i="4"/>
  <c r="H28" i="4"/>
  <c r="F28" i="4"/>
  <c r="E28" i="4"/>
  <c r="C28" i="4"/>
  <c r="M27" i="4"/>
  <c r="L27" i="4"/>
  <c r="K27" i="4"/>
  <c r="E26" i="10" s="1"/>
  <c r="J27" i="4"/>
  <c r="D26" i="10" s="1"/>
  <c r="I27" i="4"/>
  <c r="H27" i="4"/>
  <c r="G27" i="4"/>
  <c r="F27" i="4"/>
  <c r="E27" i="4"/>
  <c r="C27" i="4"/>
  <c r="M26" i="4"/>
  <c r="L26" i="4"/>
  <c r="K26" i="4"/>
  <c r="E24" i="10" s="1"/>
  <c r="J26" i="4"/>
  <c r="D24" i="10" s="1"/>
  <c r="I26" i="4"/>
  <c r="G26" i="4"/>
  <c r="F26" i="4"/>
  <c r="E26" i="4"/>
  <c r="C26" i="4"/>
  <c r="M25" i="4"/>
  <c r="L25" i="4"/>
  <c r="K25" i="4"/>
  <c r="E23" i="10" s="1"/>
  <c r="J25" i="4"/>
  <c r="D23" i="10" s="1"/>
  <c r="I25" i="4"/>
  <c r="H25" i="4"/>
  <c r="G25" i="4"/>
  <c r="F25" i="4"/>
  <c r="E25" i="4"/>
  <c r="C25" i="4"/>
  <c r="M24" i="4"/>
  <c r="L24" i="4"/>
  <c r="K24" i="4"/>
  <c r="E22" i="10" s="1"/>
  <c r="J24" i="4"/>
  <c r="D22" i="10" s="1"/>
  <c r="I24" i="4"/>
  <c r="H24" i="4"/>
  <c r="G24" i="4"/>
  <c r="F24" i="4"/>
  <c r="E24" i="4"/>
  <c r="C24" i="4"/>
  <c r="M23" i="4"/>
  <c r="L23" i="4"/>
  <c r="K23" i="4"/>
  <c r="E21" i="10" s="1"/>
  <c r="J23" i="4"/>
  <c r="D21" i="10" s="1"/>
  <c r="I23" i="4"/>
  <c r="H23" i="4"/>
  <c r="G23" i="4"/>
  <c r="F23" i="4"/>
  <c r="E23" i="4"/>
  <c r="C23" i="4"/>
  <c r="M22" i="4"/>
  <c r="L22" i="4"/>
  <c r="K22" i="4"/>
  <c r="E20" i="10" s="1"/>
  <c r="J22" i="4"/>
  <c r="D20" i="10" s="1"/>
  <c r="I22" i="4"/>
  <c r="H22" i="4"/>
  <c r="G22" i="4"/>
  <c r="F22" i="4"/>
  <c r="E22" i="4"/>
  <c r="C22" i="4"/>
  <c r="M21" i="4"/>
  <c r="L21" i="4"/>
  <c r="K21" i="4"/>
  <c r="E19" i="10" s="1"/>
  <c r="J21" i="4"/>
  <c r="D19" i="10" s="1"/>
  <c r="I21" i="4"/>
  <c r="H21" i="4"/>
  <c r="G21" i="4"/>
  <c r="F21" i="4"/>
  <c r="E21" i="4"/>
  <c r="C21" i="4"/>
  <c r="M20" i="4"/>
  <c r="L20" i="4"/>
  <c r="K20" i="4"/>
  <c r="E18" i="10" s="1"/>
  <c r="J20" i="4"/>
  <c r="D18" i="10" s="1"/>
  <c r="I20" i="4"/>
  <c r="H20" i="4"/>
  <c r="G20" i="4"/>
  <c r="F20" i="4"/>
  <c r="E20" i="4"/>
  <c r="C20" i="4"/>
  <c r="M19" i="4"/>
  <c r="N19" i="4" s="1"/>
  <c r="L19" i="4"/>
  <c r="K19" i="4"/>
  <c r="E17" i="10" s="1"/>
  <c r="J19" i="4"/>
  <c r="D17" i="10" s="1"/>
  <c r="I19" i="4"/>
  <c r="G19" i="4"/>
  <c r="F19" i="4"/>
  <c r="E19" i="4"/>
  <c r="C19" i="4"/>
  <c r="M18" i="4"/>
  <c r="L18" i="4"/>
  <c r="K18" i="4"/>
  <c r="E16" i="10" s="1"/>
  <c r="J18" i="4"/>
  <c r="D16" i="10" s="1"/>
  <c r="I18" i="4"/>
  <c r="H18" i="4"/>
  <c r="G18" i="4"/>
  <c r="F18" i="4"/>
  <c r="E18" i="4"/>
  <c r="C18" i="4"/>
  <c r="M17" i="4"/>
  <c r="L17" i="4"/>
  <c r="K17" i="4"/>
  <c r="E15" i="10" s="1"/>
  <c r="J17" i="4"/>
  <c r="D15" i="10" s="1"/>
  <c r="I17" i="4"/>
  <c r="H17" i="4"/>
  <c r="G17" i="4"/>
  <c r="F17" i="4"/>
  <c r="E17" i="4"/>
  <c r="C17" i="4"/>
  <c r="H16" i="8"/>
  <c r="K16" i="8" s="1"/>
  <c r="J16" i="8" s="1"/>
  <c r="L16" i="4"/>
  <c r="K16" i="4"/>
  <c r="J16" i="4"/>
  <c r="I16" i="4"/>
  <c r="H16" i="4"/>
  <c r="G16" i="4"/>
  <c r="F16" i="4"/>
  <c r="E16" i="4"/>
  <c r="C16" i="4"/>
  <c r="M15" i="4"/>
  <c r="O15" i="4" s="1"/>
  <c r="L15" i="4"/>
  <c r="K15" i="4"/>
  <c r="E13" i="10" s="1"/>
  <c r="J15" i="4"/>
  <c r="D13" i="10" s="1"/>
  <c r="G15" i="4"/>
  <c r="F15" i="4"/>
  <c r="E15" i="4"/>
  <c r="C15" i="4"/>
  <c r="M14" i="4"/>
  <c r="L14" i="4"/>
  <c r="K14" i="4"/>
  <c r="E12" i="10" s="1"/>
  <c r="J14" i="4"/>
  <c r="D12" i="10" s="1"/>
  <c r="I14" i="4"/>
  <c r="H14" i="4"/>
  <c r="G14" i="4"/>
  <c r="F14" i="4"/>
  <c r="E14" i="4"/>
  <c r="M13" i="4"/>
  <c r="L13" i="4"/>
  <c r="K13" i="4"/>
  <c r="E11" i="10" s="1"/>
  <c r="J13" i="4"/>
  <c r="D11" i="10" s="1"/>
  <c r="I13" i="4"/>
  <c r="H13" i="4"/>
  <c r="G13" i="4"/>
  <c r="F13" i="4"/>
  <c r="E13" i="4"/>
  <c r="C13" i="4"/>
  <c r="M12" i="4"/>
  <c r="L12" i="4"/>
  <c r="K12" i="4"/>
  <c r="J12" i="4"/>
  <c r="I12" i="4"/>
  <c r="H12" i="4"/>
  <c r="G12" i="4"/>
  <c r="F12" i="4"/>
  <c r="E12" i="4"/>
  <c r="C12" i="4"/>
  <c r="M11" i="4"/>
  <c r="L11" i="4"/>
  <c r="K11" i="4"/>
  <c r="E9" i="10" s="1"/>
  <c r="J11" i="4"/>
  <c r="D9" i="10" s="1"/>
  <c r="I11" i="4"/>
  <c r="H11" i="4"/>
  <c r="G11" i="4"/>
  <c r="F11" i="4"/>
  <c r="E11" i="4"/>
  <c r="C11" i="4"/>
  <c r="L10" i="4"/>
  <c r="K10" i="4"/>
  <c r="J10" i="4"/>
  <c r="I10" i="4"/>
  <c r="H10" i="4"/>
  <c r="G10" i="4"/>
  <c r="F10" i="4"/>
  <c r="E10" i="4"/>
  <c r="C10" i="4"/>
  <c r="M9" i="4"/>
  <c r="L9" i="4"/>
  <c r="K9" i="4"/>
  <c r="J9" i="4"/>
  <c r="I9" i="4"/>
  <c r="H9" i="4"/>
  <c r="G9" i="4"/>
  <c r="F9" i="4"/>
  <c r="E9" i="4"/>
  <c r="C9" i="4"/>
  <c r="L6" i="4"/>
  <c r="K6" i="4"/>
  <c r="D186" i="4" s="1"/>
  <c r="L2" i="4"/>
  <c r="N28" i="4" l="1"/>
  <c r="O22" i="4"/>
  <c r="N17" i="4"/>
  <c r="N27" i="4"/>
  <c r="N29" i="4"/>
  <c r="J42" i="8"/>
  <c r="N20" i="4"/>
  <c r="K43" i="8"/>
  <c r="K44" i="8"/>
  <c r="O14" i="4"/>
  <c r="O12" i="4"/>
  <c r="H51" i="4"/>
  <c r="I51" i="4"/>
  <c r="I183" i="4" s="1"/>
  <c r="M51" i="4"/>
  <c r="L51" i="4"/>
  <c r="L183" i="4" s="1"/>
  <c r="E14" i="10"/>
  <c r="K51" i="4"/>
  <c r="K183" i="4" s="1"/>
  <c r="D14" i="10"/>
  <c r="J51" i="4"/>
  <c r="J183" i="4" s="1"/>
  <c r="N26" i="4"/>
  <c r="H22" i="8"/>
  <c r="J22" i="8" s="1"/>
  <c r="O9" i="4"/>
  <c r="J41" i="8"/>
  <c r="H32" i="8"/>
  <c r="J32" i="8" s="1"/>
  <c r="H24" i="8"/>
  <c r="J24" i="8" s="1"/>
  <c r="H34" i="8"/>
  <c r="J34" i="8" s="1"/>
  <c r="H33" i="8"/>
  <c r="H17" i="8"/>
  <c r="J17" i="8" s="1"/>
  <c r="K37" i="8"/>
  <c r="K74" i="8"/>
  <c r="J74" i="8"/>
  <c r="E8" i="10"/>
  <c r="D8" i="10"/>
  <c r="H23" i="8"/>
  <c r="K23" i="8" s="1"/>
  <c r="J45" i="8"/>
  <c r="H29" i="8"/>
  <c r="K29" i="8" s="1"/>
  <c r="H27" i="8"/>
  <c r="K27" i="8" s="1"/>
  <c r="E10" i="10"/>
  <c r="D10" i="10"/>
  <c r="K38" i="8"/>
  <c r="H35" i="8"/>
  <c r="K35" i="8" s="1"/>
  <c r="E35" i="10"/>
  <c r="H9" i="8"/>
  <c r="H18" i="8"/>
  <c r="J18" i="8" s="1"/>
  <c r="H15" i="8"/>
  <c r="K15" i="8" s="1"/>
  <c r="J15" i="8" s="1"/>
  <c r="O25" i="4"/>
  <c r="H10" i="8"/>
  <c r="K10" i="8" s="1"/>
  <c r="H31" i="8"/>
  <c r="K31" i="8" s="1"/>
  <c r="D7" i="10"/>
  <c r="E7" i="10"/>
  <c r="H12" i="8"/>
  <c r="K12" i="8" s="1"/>
  <c r="H19" i="8"/>
  <c r="H21" i="8"/>
  <c r="J21" i="8" s="1"/>
  <c r="H25" i="8"/>
  <c r="J25" i="8" s="1"/>
  <c r="K40" i="8"/>
  <c r="H26" i="8"/>
  <c r="O36" i="4"/>
  <c r="H11" i="8"/>
  <c r="K11" i="8" s="1"/>
  <c r="H13" i="8"/>
  <c r="K13" i="8" s="1"/>
  <c r="J13" i="8" s="1"/>
  <c r="H14" i="8"/>
  <c r="J14" i="8" s="1"/>
  <c r="H20" i="8"/>
  <c r="J20" i="8" s="1"/>
  <c r="H28" i="8"/>
  <c r="J28" i="8" s="1"/>
  <c r="H30" i="8"/>
  <c r="J36" i="8"/>
  <c r="K36" i="8"/>
  <c r="J19" i="8" l="1"/>
  <c r="K19" i="8"/>
  <c r="N51" i="4"/>
  <c r="O51" i="4"/>
  <c r="K9" i="8"/>
  <c r="H51" i="8"/>
  <c r="K22" i="8"/>
  <c r="K32" i="8"/>
  <c r="K24" i="8"/>
  <c r="K34" i="8"/>
  <c r="J33" i="8"/>
  <c r="K33" i="8"/>
  <c r="K17" i="8"/>
  <c r="J26" i="8"/>
  <c r="J23" i="8"/>
  <c r="J27" i="8"/>
  <c r="J29" i="8"/>
  <c r="J9" i="8"/>
  <c r="J35" i="8"/>
  <c r="K18" i="8"/>
  <c r="J10" i="8"/>
  <c r="J31" i="8"/>
  <c r="D46" i="10"/>
  <c r="E46" i="10"/>
  <c r="J12" i="8"/>
  <c r="K25" i="8"/>
  <c r="K26" i="8"/>
  <c r="J11" i="8"/>
  <c r="K14" i="8"/>
  <c r="K28" i="8"/>
  <c r="K20" i="8"/>
  <c r="J30" i="8"/>
  <c r="H183" i="4"/>
  <c r="C25" i="19"/>
  <c r="K51" i="8" l="1"/>
  <c r="K183" i="8" s="1"/>
  <c r="J51" i="8"/>
  <c r="J183" i="8" s="1"/>
  <c r="D27" i="19"/>
  <c r="D26" i="19"/>
  <c r="B26" i="19" l="1"/>
  <c r="B27" i="19"/>
  <c r="H183" i="8"/>
  <c r="D185" i="8"/>
  <c r="C17" i="6"/>
  <c r="F6" i="8" l="1"/>
  <c r="G183" i="8"/>
  <c r="F183" i="8" s="1"/>
  <c r="C18" i="19"/>
  <c r="C20" i="19"/>
  <c r="C6" i="9"/>
  <c r="E8" i="5"/>
  <c r="C14" i="19"/>
  <c r="B20" i="19" l="1"/>
  <c r="C8" i="19" l="1"/>
  <c r="B12" i="19" l="1"/>
  <c r="C17" i="19"/>
  <c r="C9" i="19" l="1"/>
  <c r="B9" i="19" l="1"/>
  <c r="F9" i="19" s="1"/>
  <c r="C7" i="19"/>
  <c r="C27" i="19"/>
  <c r="C26" i="19"/>
  <c r="F27" i="19"/>
  <c r="C23" i="19"/>
  <c r="F26" i="19"/>
  <c r="C16" i="19"/>
  <c r="C15" i="19"/>
  <c r="F18" i="19"/>
  <c r="C21" i="19"/>
  <c r="F17" i="19"/>
  <c r="C12" i="19"/>
  <c r="C13" i="19"/>
  <c r="C11" i="19"/>
  <c r="B11" i="19" s="1"/>
  <c r="F11" i="19" s="1"/>
  <c r="C10" i="19"/>
  <c r="F12" i="19"/>
  <c r="C2" i="19"/>
  <c r="C22" i="19"/>
  <c r="C24" i="19"/>
  <c r="M183" i="4"/>
  <c r="C31" i="12"/>
  <c r="D11" i="21"/>
  <c r="AF191" i="4"/>
  <c r="AG191" i="4" s="1"/>
  <c r="J186" i="4" s="1"/>
  <c r="H4" i="4"/>
  <c r="G3" i="4"/>
  <c r="O201" i="8"/>
  <c r="I186" i="13"/>
  <c r="I187" i="13" s="1"/>
  <c r="H186" i="13"/>
  <c r="H187" i="13" s="1"/>
  <c r="G186" i="13"/>
  <c r="G187" i="13" s="1"/>
  <c r="C35" i="12"/>
  <c r="C34" i="12"/>
  <c r="E11" i="12"/>
  <c r="C11" i="12"/>
  <c r="D5" i="17"/>
  <c r="E5" i="17" s="1"/>
  <c r="D7" i="17"/>
  <c r="E7" i="17" s="1"/>
  <c r="D11" i="17"/>
  <c r="E11" i="17" s="1"/>
  <c r="D15" i="17"/>
  <c r="E15" i="17" s="1"/>
  <c r="D25" i="17"/>
  <c r="E25" i="17" s="1"/>
  <c r="D15" i="21"/>
  <c r="C38" i="12"/>
  <c r="D18" i="21"/>
  <c r="G207" i="4" l="1"/>
  <c r="V202" i="4" s="1"/>
  <c r="N4" i="4"/>
  <c r="I204" i="4"/>
  <c r="D204" i="4" s="1"/>
  <c r="M2" i="4"/>
  <c r="G209" i="4" l="1"/>
  <c r="H10" i="12" s="1"/>
  <c r="C3" i="19"/>
  <c r="H8" i="12"/>
  <c r="E29" i="5"/>
  <c r="H9" i="14" l="1"/>
  <c r="H10" i="14"/>
  <c r="H11" i="14"/>
  <c r="O183" i="4" l="1"/>
  <c r="H195" i="4" s="1"/>
  <c r="B10" i="21"/>
  <c r="D10" i="21" s="1"/>
  <c r="V26" i="24"/>
  <c r="B19" i="21" l="1"/>
  <c r="V27" i="24"/>
  <c r="B17" i="25" l="1"/>
  <c r="DH22" i="24"/>
  <c r="D14" i="2" s="1"/>
  <c r="F14" i="2" s="1"/>
  <c r="GO22" i="24" l="1"/>
  <c r="C12" i="25"/>
  <c r="K12" i="25" s="1"/>
  <c r="GH22" i="24"/>
  <c r="GJ22" i="24" s="1"/>
  <c r="L14" i="2" l="1"/>
  <c r="D10" i="19" s="1"/>
  <c r="AU51" i="24"/>
  <c r="K51" i="24"/>
  <c r="B10" i="19" l="1"/>
  <c r="F10" i="19" s="1"/>
  <c r="C6" i="19"/>
  <c r="C5" i="19"/>
  <c r="C4" i="19"/>
  <c r="DA25" i="24" l="1"/>
  <c r="I15" i="25" l="1"/>
  <c r="K15" i="25" s="1"/>
  <c r="D17" i="2"/>
  <c r="F17" i="2" s="1"/>
  <c r="L17" i="2" s="1"/>
  <c r="GO25" i="24"/>
  <c r="GH25" i="24"/>
  <c r="GJ25" i="24" s="1"/>
  <c r="D46" i="24" s="1"/>
  <c r="E46" i="24" s="1"/>
  <c r="GE42" i="24" l="1"/>
  <c r="GF42" i="24"/>
  <c r="GD42" i="24"/>
  <c r="DX42" i="24"/>
  <c r="DW42" i="24"/>
  <c r="GC42" i="24"/>
  <c r="GB42" i="24"/>
  <c r="DV42" i="24"/>
  <c r="D13" i="19"/>
  <c r="DT42" i="24"/>
  <c r="DU42" i="24"/>
  <c r="DR42" i="24"/>
  <c r="DS42" i="24"/>
  <c r="DQ42" i="24"/>
  <c r="GA42" i="24"/>
  <c r="DO42" i="24"/>
  <c r="FY42" i="24"/>
  <c r="DP42" i="24"/>
  <c r="FZ42" i="24"/>
  <c r="DM42" i="24"/>
  <c r="DN42" i="24"/>
  <c r="DL42" i="24"/>
  <c r="FX42" i="24"/>
  <c r="FW42" i="24"/>
  <c r="DK42" i="24"/>
  <c r="DI42" i="24"/>
  <c r="DJ42" i="24"/>
  <c r="FP42" i="24"/>
  <c r="FV42" i="24"/>
  <c r="BG42" i="24"/>
  <c r="BG51" i="24" s="1"/>
  <c r="D42" i="24"/>
  <c r="D51" i="24" s="1"/>
  <c r="AH42" i="24"/>
  <c r="AH51" i="24" s="1"/>
  <c r="BF42" i="24"/>
  <c r="BF51" i="24" s="1"/>
  <c r="O42" i="24"/>
  <c r="O51" i="24" s="1"/>
  <c r="B42" i="24"/>
  <c r="B51" i="24" s="1"/>
  <c r="T42" i="24"/>
  <c r="T51" i="24" s="1"/>
  <c r="CZ42" i="24"/>
  <c r="CN42" i="24"/>
  <c r="CN51" i="24" s="1"/>
  <c r="DB42" i="24"/>
  <c r="BT42" i="24"/>
  <c r="BT51" i="24" s="1"/>
  <c r="BQ42" i="24"/>
  <c r="BQ51" i="24" s="1"/>
  <c r="AG42" i="24"/>
  <c r="AG51" i="24" s="1"/>
  <c r="BJ42" i="24"/>
  <c r="BJ51" i="24" s="1"/>
  <c r="BU42" i="24"/>
  <c r="BU51" i="24" s="1"/>
  <c r="AY42" i="24"/>
  <c r="AY51" i="24" s="1"/>
  <c r="E42" i="24"/>
  <c r="E51" i="24" s="1"/>
  <c r="BC42" i="24"/>
  <c r="BC51" i="24" s="1"/>
  <c r="BE42" i="24"/>
  <c r="BE51" i="24" s="1"/>
  <c r="EX42" i="24"/>
  <c r="EX51" i="24" s="1"/>
  <c r="BW42" i="24"/>
  <c r="BW51" i="24" s="1"/>
  <c r="FN42" i="24"/>
  <c r="EF42" i="24"/>
  <c r="EF51" i="24" s="1"/>
  <c r="CS42" i="24"/>
  <c r="FJ42" i="24"/>
  <c r="FJ51" i="24" s="1"/>
  <c r="Z42" i="24"/>
  <c r="Z51" i="24" s="1"/>
  <c r="AI42" i="24"/>
  <c r="AI51" i="24" s="1"/>
  <c r="FA42" i="24"/>
  <c r="FA51" i="24" s="1"/>
  <c r="V42" i="24"/>
  <c r="V51" i="24" s="1"/>
  <c r="CD42" i="24"/>
  <c r="CD51" i="24" s="1"/>
  <c r="FK42" i="24"/>
  <c r="FK51" i="24" s="1"/>
  <c r="CX42" i="24"/>
  <c r="CQ42" i="24"/>
  <c r="CQ51" i="24" s="1"/>
  <c r="AJ42" i="24"/>
  <c r="AJ51" i="24" s="1"/>
  <c r="AF42" i="24"/>
  <c r="AF51" i="24" s="1"/>
  <c r="N42" i="24"/>
  <c r="N51" i="24" s="1"/>
  <c r="AS42" i="24"/>
  <c r="AS51" i="24" s="1"/>
  <c r="FE42" i="24"/>
  <c r="FE51" i="24" s="1"/>
  <c r="FC42" i="24"/>
  <c r="FC51" i="24" s="1"/>
  <c r="AA42" i="24"/>
  <c r="AA51" i="24" s="1"/>
  <c r="CI42" i="24"/>
  <c r="CI51" i="24" s="1"/>
  <c r="EN42" i="24"/>
  <c r="EN51" i="24" s="1"/>
  <c r="P42" i="24"/>
  <c r="P51" i="24" s="1"/>
  <c r="BY42" i="24"/>
  <c r="BY51" i="24" s="1"/>
  <c r="DH42" i="24"/>
  <c r="CK42" i="24"/>
  <c r="CK51" i="24" s="1"/>
  <c r="CY42" i="24"/>
  <c r="DC42" i="24"/>
  <c r="FB42" i="24"/>
  <c r="FB51" i="24" s="1"/>
  <c r="S42" i="24"/>
  <c r="S51" i="24" s="1"/>
  <c r="EY42" i="24"/>
  <c r="EY51" i="24" s="1"/>
  <c r="CJ42" i="24"/>
  <c r="CJ51" i="24" s="1"/>
  <c r="U42" i="24"/>
  <c r="U51" i="24" s="1"/>
  <c r="FI42" i="24"/>
  <c r="FI51" i="24" s="1"/>
  <c r="I42" i="24"/>
  <c r="I51" i="24" s="1"/>
  <c r="BM42" i="24"/>
  <c r="BM51" i="24" s="1"/>
  <c r="FF42" i="24"/>
  <c r="FF51" i="24" s="1"/>
  <c r="CG42" i="24"/>
  <c r="CG51" i="24" s="1"/>
  <c r="AP42" i="24"/>
  <c r="AP51" i="24" s="1"/>
  <c r="CC42" i="24"/>
  <c r="CC51" i="24" s="1"/>
  <c r="CO42" i="24"/>
  <c r="CO51" i="24" s="1"/>
  <c r="AC42" i="24"/>
  <c r="AC51" i="24" s="1"/>
  <c r="M42" i="24"/>
  <c r="M51" i="24" s="1"/>
  <c r="EL42" i="24"/>
  <c r="EL51" i="24" s="1"/>
  <c r="CW42" i="24"/>
  <c r="FS42" i="24"/>
  <c r="EP42" i="24"/>
  <c r="EP51" i="24" s="1"/>
  <c r="BL42" i="24"/>
  <c r="BL51" i="24" s="1"/>
  <c r="FD42" i="24"/>
  <c r="FD51" i="24" s="1"/>
  <c r="DA42" i="24"/>
  <c r="EM42" i="24"/>
  <c r="EM51" i="24" s="1"/>
  <c r="ER42" i="24"/>
  <c r="ER51" i="24" s="1"/>
  <c r="AR42" i="24"/>
  <c r="AR51" i="24" s="1"/>
  <c r="BK42" i="24"/>
  <c r="BK51" i="24" s="1"/>
  <c r="BB42" i="24"/>
  <c r="BB51" i="24" s="1"/>
  <c r="H42" i="24"/>
  <c r="H51" i="24" s="1"/>
  <c r="FQ42" i="24"/>
  <c r="X42" i="24"/>
  <c r="X51" i="24" s="1"/>
  <c r="FM42" i="24"/>
  <c r="CL42" i="24"/>
  <c r="CL51" i="24" s="1"/>
  <c r="W42" i="24"/>
  <c r="W51" i="24" s="1"/>
  <c r="C42" i="24"/>
  <c r="C51" i="24" s="1"/>
  <c r="FH42" i="24"/>
  <c r="FH51" i="24" s="1"/>
  <c r="BO42" i="24"/>
  <c r="BO51" i="24" s="1"/>
  <c r="BP42" i="24"/>
  <c r="BP51" i="24" s="1"/>
  <c r="FG42" i="24"/>
  <c r="FG51" i="24" s="1"/>
  <c r="BI42" i="24"/>
  <c r="BI51" i="24" s="1"/>
  <c r="BD42" i="24"/>
  <c r="BD51" i="24" s="1"/>
  <c r="FR42" i="24"/>
  <c r="AL42" i="24"/>
  <c r="AL51" i="24" s="1"/>
  <c r="G42" i="24"/>
  <c r="G51" i="24" s="1"/>
  <c r="BZ42" i="24"/>
  <c r="BZ51" i="24" s="1"/>
  <c r="EJ42" i="24"/>
  <c r="EJ51" i="24" s="1"/>
  <c r="FL42" i="24"/>
  <c r="EA42" i="24"/>
  <c r="EA51" i="24" s="1"/>
  <c r="AZ42" i="24"/>
  <c r="AZ51" i="24" s="1"/>
  <c r="AQ42" i="24"/>
  <c r="AQ51" i="24" s="1"/>
  <c r="CT42" i="24"/>
  <c r="DG42" i="24"/>
  <c r="DZ42" i="24"/>
  <c r="DZ51" i="24" s="1"/>
  <c r="CE42" i="24"/>
  <c r="CE51" i="24" s="1"/>
  <c r="EI42" i="24"/>
  <c r="EI51" i="24" s="1"/>
  <c r="ET42" i="24"/>
  <c r="ET51" i="24" s="1"/>
  <c r="BS42" i="24"/>
  <c r="BS51" i="24" s="1"/>
  <c r="EZ42" i="24"/>
  <c r="EZ51" i="24" s="1"/>
  <c r="BV42" i="24"/>
  <c r="BV51" i="24" s="1"/>
  <c r="AX42" i="24"/>
  <c r="AX51" i="24" s="1"/>
  <c r="BX42" i="24"/>
  <c r="BX51" i="24" s="1"/>
  <c r="DD42" i="24"/>
  <c r="DF42" i="24"/>
  <c r="EW42" i="24"/>
  <c r="EW51" i="24" s="1"/>
  <c r="BA42" i="24"/>
  <c r="BA51" i="24" s="1"/>
  <c r="CB42" i="24"/>
  <c r="CB51" i="24" s="1"/>
  <c r="AB42" i="24"/>
  <c r="AB51" i="24" s="1"/>
  <c r="EO42" i="24"/>
  <c r="EO51" i="24" s="1"/>
  <c r="CP42" i="24"/>
  <c r="CP51" i="24" s="1"/>
  <c r="AV42" i="24"/>
  <c r="AV51" i="24" s="1"/>
  <c r="CM42" i="24"/>
  <c r="CM51" i="24" s="1"/>
  <c r="CV42" i="24"/>
  <c r="EQ42" i="24"/>
  <c r="EQ51" i="24" s="1"/>
  <c r="CU42" i="24"/>
  <c r="BN42" i="24"/>
  <c r="BN51" i="24" s="1"/>
  <c r="EE42" i="24"/>
  <c r="EE51" i="24" s="1"/>
  <c r="EH42" i="24"/>
  <c r="EH51" i="24" s="1"/>
  <c r="AT42" i="24"/>
  <c r="AT51" i="24" s="1"/>
  <c r="EG42" i="24"/>
  <c r="EG51" i="24" s="1"/>
  <c r="J42" i="24"/>
  <c r="J51" i="24" s="1"/>
  <c r="AW42" i="24"/>
  <c r="AW51" i="24" s="1"/>
  <c r="ES42" i="24"/>
  <c r="ES51" i="24" s="1"/>
  <c r="F42" i="24"/>
  <c r="F51" i="24" s="1"/>
  <c r="DE42" i="24"/>
  <c r="FU42" i="24"/>
  <c r="AM42" i="24"/>
  <c r="AM51" i="24" s="1"/>
  <c r="ED42" i="24"/>
  <c r="ED51" i="24" s="1"/>
  <c r="EU42" i="24"/>
  <c r="EU51" i="24" s="1"/>
  <c r="AN42" i="24"/>
  <c r="AN51" i="24" s="1"/>
  <c r="BH42" i="24"/>
  <c r="BH51" i="24" s="1"/>
  <c r="EK42" i="24"/>
  <c r="EK51" i="24" s="1"/>
  <c r="CA42" i="24"/>
  <c r="CA51" i="24" s="1"/>
  <c r="CH42" i="24"/>
  <c r="CH51" i="24" s="1"/>
  <c r="AK42" i="24"/>
  <c r="AK51" i="24" s="1"/>
  <c r="FT42" i="24"/>
  <c r="CR42" i="24"/>
  <c r="EV42" i="24"/>
  <c r="EV51" i="24" s="1"/>
  <c r="EC42" i="24"/>
  <c r="EC51" i="24" s="1"/>
  <c r="Q42" i="24"/>
  <c r="Q51" i="24" s="1"/>
  <c r="BR42" i="24"/>
  <c r="BR51" i="24" s="1"/>
  <c r="AE42" i="24"/>
  <c r="AE51" i="24" s="1"/>
  <c r="CF42" i="24"/>
  <c r="CF51" i="24" s="1"/>
  <c r="Y42" i="24"/>
  <c r="Y51" i="24" s="1"/>
  <c r="EB42" i="24"/>
  <c r="EB51" i="24" s="1"/>
  <c r="AO42" i="24"/>
  <c r="AO51" i="24" s="1"/>
  <c r="L42" i="24"/>
  <c r="L51" i="24" s="1"/>
  <c r="R42" i="24"/>
  <c r="R51" i="24" s="1"/>
  <c r="AD42" i="24"/>
  <c r="AD51" i="24" s="1"/>
  <c r="FO42" i="24"/>
  <c r="N17" i="2" l="1"/>
  <c r="GH42" i="24"/>
  <c r="GL35" i="24"/>
  <c r="J35" i="24"/>
  <c r="C27" i="2" s="1"/>
  <c r="L27" i="2" s="1"/>
  <c r="J34" i="24"/>
  <c r="C26" i="2" s="1"/>
  <c r="L26" i="2" s="1"/>
  <c r="J33" i="24"/>
  <c r="C25" i="2" s="1"/>
  <c r="B24" i="25" l="1"/>
  <c r="K24" i="25" s="1"/>
  <c r="B25" i="25"/>
  <c r="K25" i="25" s="1"/>
  <c r="GM33" i="24"/>
  <c r="B23" i="25"/>
  <c r="GM34" i="24"/>
  <c r="GM35" i="24"/>
  <c r="I6" i="9"/>
  <c r="I7" i="9" s="1"/>
  <c r="B33" i="19"/>
  <c r="B13" i="19"/>
  <c r="F13" i="19" s="1"/>
  <c r="GH34" i="24"/>
  <c r="GJ34" i="24" s="1"/>
  <c r="GH35" i="24"/>
  <c r="GJ35" i="24" s="1"/>
  <c r="D23" i="19" l="1"/>
  <c r="B22" i="19"/>
  <c r="D22" i="19" s="1"/>
  <c r="B23" i="19" l="1"/>
  <c r="F23" i="19" s="1"/>
  <c r="CH28" i="24"/>
  <c r="C20" i="2" s="1"/>
  <c r="L20" i="2" s="1"/>
  <c r="GK28" i="24" l="1"/>
  <c r="F18" i="25"/>
  <c r="K18" i="25" s="1"/>
  <c r="GH28" i="24"/>
  <c r="GJ28" i="24" s="1"/>
  <c r="B16" i="19" l="1"/>
  <c r="F16" i="19" s="1"/>
  <c r="D16" i="19" l="1"/>
  <c r="DH31" i="24"/>
  <c r="DH16" i="24" l="1"/>
  <c r="DH20" i="24"/>
  <c r="DH15" i="24"/>
  <c r="DH14" i="24"/>
  <c r="DH17" i="24"/>
  <c r="DH19" i="24"/>
  <c r="DH18" i="24"/>
  <c r="GO18" i="24" l="1"/>
  <c r="D10" i="2"/>
  <c r="F10" i="2" s="1"/>
  <c r="L10" i="2" s="1"/>
  <c r="D8" i="2"/>
  <c r="F8" i="2" s="1"/>
  <c r="GO16" i="24"/>
  <c r="GO20" i="24"/>
  <c r="D12" i="2"/>
  <c r="GO15" i="24"/>
  <c r="D7" i="2"/>
  <c r="F7" i="2" s="1"/>
  <c r="L7" i="2" s="1"/>
  <c r="D6" i="2"/>
  <c r="F6" i="2" s="1"/>
  <c r="L6" i="2" s="1"/>
  <c r="GO14" i="24"/>
  <c r="D9" i="2"/>
  <c r="F9" i="2" s="1"/>
  <c r="L9" i="2" s="1"/>
  <c r="GO17" i="24"/>
  <c r="D11" i="2"/>
  <c r="F11" i="2" s="1"/>
  <c r="L11" i="2" s="1"/>
  <c r="GO19" i="24"/>
  <c r="C10" i="25"/>
  <c r="K10" i="25" s="1"/>
  <c r="C8" i="25"/>
  <c r="K8" i="25" s="1"/>
  <c r="C6" i="25"/>
  <c r="K6" i="25" s="1"/>
  <c r="C5" i="25"/>
  <c r="K5" i="25" s="1"/>
  <c r="C4" i="25"/>
  <c r="K4" i="25" s="1"/>
  <c r="C7" i="25"/>
  <c r="K7" i="25" s="1"/>
  <c r="C9" i="25"/>
  <c r="K9" i="25" s="1"/>
  <c r="GH17" i="24"/>
  <c r="GJ17" i="24" s="1"/>
  <c r="GH19" i="24"/>
  <c r="GJ19" i="24" s="1"/>
  <c r="GH16" i="24"/>
  <c r="GJ16" i="24" s="1"/>
  <c r="GH14" i="24"/>
  <c r="GJ14" i="24" s="1"/>
  <c r="GH20" i="24"/>
  <c r="GJ20" i="24" s="1"/>
  <c r="GH18" i="24"/>
  <c r="GJ18" i="24" s="1"/>
  <c r="GH15" i="24"/>
  <c r="GJ15" i="24" s="1"/>
  <c r="L8" i="2" l="1"/>
  <c r="B4" i="19" s="1"/>
  <c r="F4" i="19" s="1"/>
  <c r="D6" i="19"/>
  <c r="D7" i="19"/>
  <c r="B5" i="19"/>
  <c r="F5" i="19" s="1"/>
  <c r="F12" i="2"/>
  <c r="L12" i="2" s="1"/>
  <c r="GV19" i="24"/>
  <c r="D2" i="19"/>
  <c r="D48" i="24"/>
  <c r="H7" i="12" s="1"/>
  <c r="B3" i="19"/>
  <c r="F3" i="19" s="1"/>
  <c r="D3" i="19"/>
  <c r="D4" i="19" l="1"/>
  <c r="B6" i="19"/>
  <c r="F6" i="19" s="1"/>
  <c r="D5" i="19"/>
  <c r="B2" i="19"/>
  <c r="F2" i="19" s="1"/>
  <c r="B7" i="19"/>
  <c r="F7" i="19" s="1"/>
  <c r="G211" i="4"/>
  <c r="E48" i="24"/>
  <c r="G7" i="12" s="1"/>
  <c r="B8" i="19" l="1"/>
  <c r="F8" i="19" s="1"/>
  <c r="D8" i="19"/>
  <c r="N11" i="2"/>
  <c r="I211" i="4"/>
  <c r="N110" i="4"/>
  <c r="DF31" i="24"/>
  <c r="D23" i="2" s="1"/>
  <c r="GO31" i="24" l="1"/>
  <c r="B31" i="19"/>
  <c r="C21" i="25"/>
  <c r="DH27" i="24"/>
  <c r="D19" i="2" l="1"/>
  <c r="F19" i="2" s="1"/>
  <c r="L19" i="2" s="1"/>
  <c r="GO27" i="24"/>
  <c r="C17" i="25"/>
  <c r="K17" i="25" s="1"/>
  <c r="GH27" i="24"/>
  <c r="GJ27" i="24" s="1"/>
  <c r="FD26" i="24"/>
  <c r="P26" i="24"/>
  <c r="D18" i="2" s="1"/>
  <c r="F18" i="2" s="1"/>
  <c r="EP26" i="24"/>
  <c r="C18" i="2" s="1"/>
  <c r="GK26" i="24" l="1"/>
  <c r="D15" i="19"/>
  <c r="G18" i="2"/>
  <c r="H16" i="25"/>
  <c r="B16" i="25"/>
  <c r="GO26" i="24"/>
  <c r="G16" i="25"/>
  <c r="GP26" i="24"/>
  <c r="GH26" i="24"/>
  <c r="GI26" i="24"/>
  <c r="L18" i="2" l="1"/>
  <c r="K16" i="25"/>
  <c r="B15" i="19"/>
  <c r="F15" i="19" s="1"/>
  <c r="GJ26" i="24"/>
  <c r="D14" i="19" l="1"/>
  <c r="B14" i="19"/>
  <c r="F14" i="19" s="1"/>
  <c r="DH36" i="24"/>
  <c r="D28" i="2" s="1"/>
  <c r="F28" i="2" s="1"/>
  <c r="L28" i="2" s="1"/>
  <c r="GO36" i="24" l="1"/>
  <c r="C26" i="25"/>
  <c r="K26" i="25" s="1"/>
  <c r="GH36" i="24"/>
  <c r="GJ36" i="24" s="1"/>
  <c r="AB37" i="24" l="1"/>
  <c r="D29" i="2" s="1"/>
  <c r="F29" i="2" s="1"/>
  <c r="L29" i="2" s="1"/>
  <c r="GO37" i="24" l="1"/>
  <c r="B27" i="25"/>
  <c r="K27" i="25" s="1"/>
  <c r="B24" i="19"/>
  <c r="F24" i="19" s="1"/>
  <c r="GH37" i="24"/>
  <c r="GJ37" i="24" s="1"/>
  <c r="D24" i="19" l="1"/>
  <c r="D25" i="19"/>
  <c r="B25" i="19"/>
  <c r="F25" i="19" s="1"/>
  <c r="Z31" i="24" l="1"/>
  <c r="E23" i="2" s="1"/>
  <c r="F23" i="2" s="1"/>
  <c r="L23" i="2" s="1"/>
  <c r="B21" i="25" l="1"/>
  <c r="K21" i="25" s="1"/>
  <c r="O23" i="2"/>
  <c r="GN31" i="24"/>
  <c r="GH31" i="24"/>
  <c r="GJ31" i="24" s="1"/>
  <c r="C19" i="19" l="1"/>
  <c r="Q23" i="2"/>
  <c r="DM33" i="24"/>
  <c r="D25" i="2" s="1"/>
  <c r="F25" i="2" s="1"/>
  <c r="L25" i="2" s="1"/>
  <c r="GO33" i="24" l="1"/>
  <c r="D19" i="19"/>
  <c r="C23" i="25"/>
  <c r="K23" i="25" s="1"/>
  <c r="B19" i="19"/>
  <c r="F19" i="19" s="1"/>
  <c r="GH33" i="24"/>
  <c r="GJ33" i="24" s="1"/>
  <c r="D47" i="24" s="1"/>
  <c r="T32" i="2" l="1"/>
  <c r="E47" i="24"/>
  <c r="GE43" i="24" l="1"/>
  <c r="GF43" i="24"/>
  <c r="GD43" i="24"/>
  <c r="DX43" i="24"/>
  <c r="B21" i="19"/>
  <c r="F21" i="19" s="1"/>
  <c r="N28" i="2"/>
  <c r="B29" i="19" s="1"/>
  <c r="D29" i="19" s="1"/>
  <c r="DW43" i="24"/>
  <c r="GC43" i="24"/>
  <c r="DR43" i="24"/>
  <c r="DV43" i="24"/>
  <c r="DS43" i="24"/>
  <c r="GB43" i="24"/>
  <c r="DZ43" i="24"/>
  <c r="C43" i="24"/>
  <c r="EC43" i="24"/>
  <c r="EK43" i="24"/>
  <c r="FM43" i="24"/>
  <c r="AR43" i="24"/>
  <c r="BL43" i="24"/>
  <c r="FC43" i="24"/>
  <c r="AK43" i="24"/>
  <c r="BW43" i="24"/>
  <c r="CE43" i="24"/>
  <c r="CZ43" i="24"/>
  <c r="BK43" i="24"/>
  <c r="F43" i="24"/>
  <c r="BN43" i="24"/>
  <c r="AE43" i="24"/>
  <c r="FB43" i="24"/>
  <c r="FS43" i="24"/>
  <c r="CU43" i="24"/>
  <c r="CV43" i="24"/>
  <c r="AH43" i="24"/>
  <c r="BH43" i="24"/>
  <c r="DE43" i="24"/>
  <c r="AG43" i="24"/>
  <c r="CQ43" i="24"/>
  <c r="AO43" i="24"/>
  <c r="AA43" i="24"/>
  <c r="EG43" i="24"/>
  <c r="M43" i="24"/>
  <c r="FQ43" i="24"/>
  <c r="CY43" i="24"/>
  <c r="EX43" i="24"/>
  <c r="CJ43" i="24"/>
  <c r="EH43" i="24"/>
  <c r="J43" i="24"/>
  <c r="FT43" i="24"/>
  <c r="I43" i="24"/>
  <c r="CH43" i="24"/>
  <c r="P43" i="24"/>
  <c r="DO43" i="24"/>
  <c r="GA43" i="24"/>
  <c r="DT43" i="24"/>
  <c r="CI43" i="24"/>
  <c r="S43" i="24"/>
  <c r="ER43" i="24"/>
  <c r="EU43" i="24"/>
  <c r="CM43" i="24"/>
  <c r="EO43" i="24"/>
  <c r="B43" i="24"/>
  <c r="BO43" i="24"/>
  <c r="BS43" i="24"/>
  <c r="AW43" i="24"/>
  <c r="CG43" i="24"/>
  <c r="CO43" i="24"/>
  <c r="CF43" i="24"/>
  <c r="DQ43" i="24"/>
  <c r="AV43" i="24"/>
  <c r="FP43" i="24"/>
  <c r="CL43" i="24"/>
  <c r="FJ43" i="24"/>
  <c r="EJ43" i="24"/>
  <c r="BZ43" i="24"/>
  <c r="DB43" i="24"/>
  <c r="AX43" i="24"/>
  <c r="FI43" i="24"/>
  <c r="AP43" i="24"/>
  <c r="BC43" i="24"/>
  <c r="CN43" i="24"/>
  <c r="EF43" i="24"/>
  <c r="T43" i="24"/>
  <c r="FZ43" i="24"/>
  <c r="DU43" i="24"/>
  <c r="D43" i="24"/>
  <c r="CW43" i="24"/>
  <c r="Q43" i="24"/>
  <c r="EA43" i="24"/>
  <c r="BF43" i="24"/>
  <c r="AZ43" i="24"/>
  <c r="EY43" i="24"/>
  <c r="BR43" i="24"/>
  <c r="BJ43" i="24"/>
  <c r="FX43" i="24"/>
  <c r="FW43" i="24"/>
  <c r="Z43" i="24"/>
  <c r="FE43" i="24"/>
  <c r="AB43" i="24"/>
  <c r="DN43" i="24"/>
  <c r="BE43" i="24"/>
  <c r="BP43" i="24"/>
  <c r="ED43" i="24"/>
  <c r="DC43" i="24"/>
  <c r="BT43" i="24"/>
  <c r="N43" i="24"/>
  <c r="EM43" i="24"/>
  <c r="CP43" i="24"/>
  <c r="BD43" i="24"/>
  <c r="CA43" i="24"/>
  <c r="EZ43" i="24"/>
  <c r="EL43" i="24"/>
  <c r="DM43" i="24"/>
  <c r="FG43" i="24"/>
  <c r="DG43" i="24"/>
  <c r="FR43" i="24"/>
  <c r="AC43" i="24"/>
  <c r="AN43" i="24"/>
  <c r="ET43" i="24"/>
  <c r="E43" i="24"/>
  <c r="R43" i="24"/>
  <c r="FH43" i="24"/>
  <c r="L43" i="24"/>
  <c r="FF43" i="24"/>
  <c r="BG43" i="24"/>
  <c r="CC43" i="24"/>
  <c r="EV43" i="24"/>
  <c r="CT43" i="24"/>
  <c r="DH43" i="24"/>
  <c r="BY43" i="24"/>
  <c r="BI43" i="24"/>
  <c r="H43" i="24"/>
  <c r="FN43" i="24"/>
  <c r="DP43" i="24"/>
  <c r="ES43" i="24"/>
  <c r="AT43" i="24"/>
  <c r="CR43" i="24"/>
  <c r="AL43" i="24"/>
  <c r="G43" i="24"/>
  <c r="AJ43" i="24"/>
  <c r="BV43" i="24"/>
  <c r="AS43" i="24"/>
  <c r="K43" i="24"/>
  <c r="EW43" i="24"/>
  <c r="EQ43" i="24"/>
  <c r="CD43" i="24"/>
  <c r="DA43" i="24"/>
  <c r="AF43" i="24"/>
  <c r="AI43" i="24"/>
  <c r="AM43" i="24"/>
  <c r="DF43" i="24"/>
  <c r="Y43" i="24"/>
  <c r="FD43" i="24"/>
  <c r="AD43" i="24"/>
  <c r="DD43" i="24"/>
  <c r="DI43" i="24"/>
  <c r="DJ43" i="24"/>
  <c r="FO43" i="24"/>
  <c r="EE43" i="24"/>
  <c r="O43" i="24"/>
  <c r="FU43" i="24"/>
  <c r="CB43" i="24"/>
  <c r="EI43" i="24"/>
  <c r="W43" i="24"/>
  <c r="V43" i="24"/>
  <c r="CX43" i="24"/>
  <c r="EP43" i="24"/>
  <c r="CS43" i="24"/>
  <c r="EB43" i="24"/>
  <c r="BU43" i="24"/>
  <c r="AY43" i="24"/>
  <c r="U43" i="24"/>
  <c r="FV43" i="24"/>
  <c r="BA43" i="24"/>
  <c r="FK43" i="24"/>
  <c r="AU43" i="24"/>
  <c r="FL43" i="24"/>
  <c r="DK43" i="24"/>
  <c r="FA43" i="24"/>
  <c r="X43" i="24"/>
  <c r="BX43" i="24"/>
  <c r="BQ43" i="24"/>
  <c r="DL43" i="24"/>
  <c r="BM43" i="24"/>
  <c r="CK43" i="24"/>
  <c r="BB43" i="24"/>
  <c r="AQ43" i="24"/>
  <c r="EN43" i="24"/>
  <c r="FY43" i="24"/>
  <c r="D21" i="19"/>
  <c r="N183" i="4"/>
  <c r="H194" i="4" s="1"/>
  <c r="H196" i="4" s="1"/>
  <c r="GH43" i="24" l="1"/>
  <c r="D14" i="21" l="1"/>
  <c r="D16" i="21"/>
  <c r="D13" i="21"/>
  <c r="D12" i="21"/>
  <c r="C33" i="12"/>
  <c r="C36" i="12"/>
  <c r="D10" i="6"/>
  <c r="C16" i="5" l="1"/>
  <c r="K196" i="4"/>
  <c r="E10" i="6" l="1"/>
  <c r="L196" i="4"/>
  <c r="B16" i="9"/>
  <c r="E16" i="5"/>
  <c r="C16" i="9" l="1"/>
  <c r="F10" i="6"/>
  <c r="N196" i="4"/>
  <c r="B32" i="12" s="1"/>
  <c r="G16" i="5"/>
  <c r="H8" i="14"/>
  <c r="H7" i="14" s="1"/>
  <c r="L16" i="5"/>
  <c r="I16" i="5" l="1"/>
  <c r="C32" i="12"/>
  <c r="E8" i="6" l="1"/>
  <c r="E17" i="6" s="1"/>
  <c r="E14" i="5"/>
  <c r="E23" i="5" s="1"/>
  <c r="B23" i="9"/>
  <c r="C9" i="9" s="1"/>
  <c r="I189" i="8"/>
  <c r="I187" i="8" s="1"/>
  <c r="P185" i="8"/>
  <c r="L194" i="4"/>
  <c r="B14" i="9"/>
  <c r="M23" i="5" l="1"/>
  <c r="L24" i="5" s="1"/>
  <c r="D8" i="14"/>
  <c r="D7" i="14" s="1"/>
  <c r="E13" i="14" s="1"/>
  <c r="L203" i="4"/>
  <c r="D14" i="9" l="1"/>
  <c r="C14" i="5"/>
  <c r="L14" i="5" s="1"/>
  <c r="D8" i="6"/>
  <c r="G14" i="5"/>
  <c r="K194" i="4"/>
  <c r="I14" i="5" l="1"/>
  <c r="F8" i="6"/>
  <c r="C14" i="9"/>
  <c r="N194" i="4"/>
  <c r="B30" i="12" s="1"/>
  <c r="C30" i="12" l="1"/>
  <c r="C21" i="9" l="1"/>
  <c r="C8" i="9"/>
  <c r="N201" i="4"/>
  <c r="G21" i="5"/>
  <c r="G23" i="5" s="1"/>
  <c r="E9" i="5" s="1"/>
  <c r="E10" i="5" s="1"/>
  <c r="F15" i="6"/>
  <c r="F17" i="6" s="1"/>
  <c r="H200" i="8"/>
  <c r="H202" i="8" s="1"/>
  <c r="C37" i="12" l="1"/>
  <c r="B37" i="12"/>
  <c r="B39" i="12" s="1"/>
  <c r="D23" i="9"/>
  <c r="K185" i="8"/>
  <c r="N203" i="4"/>
  <c r="P190" i="4" s="1"/>
  <c r="C23" i="9"/>
  <c r="C21" i="5"/>
  <c r="D15" i="6"/>
  <c r="D17" i="6" s="1"/>
  <c r="D21" i="9"/>
  <c r="K201" i="4"/>
  <c r="K203" i="4" s="1"/>
  <c r="P189" i="4" s="1"/>
  <c r="X186" i="4" s="1"/>
  <c r="K234" i="4" l="1"/>
  <c r="C37" i="5"/>
  <c r="C39" i="5"/>
  <c r="C41" i="5"/>
  <c r="C43" i="5"/>
  <c r="C36" i="5"/>
  <c r="C38" i="5"/>
  <c r="C40" i="5"/>
  <c r="C42" i="5"/>
  <c r="G42" i="5" s="1"/>
  <c r="C35" i="5"/>
  <c r="P200" i="8"/>
  <c r="Q200" i="8" s="1"/>
  <c r="P188" i="4"/>
  <c r="C9" i="12" s="1"/>
  <c r="P193" i="8"/>
  <c r="Q193" i="8" s="1"/>
  <c r="P199" i="8"/>
  <c r="Q199" i="8" s="1"/>
  <c r="P196" i="8"/>
  <c r="Q196" i="8" s="1"/>
  <c r="C5" i="9"/>
  <c r="C7" i="9" s="1"/>
  <c r="P194" i="8"/>
  <c r="Q194" i="8" s="1"/>
  <c r="E7" i="5"/>
  <c r="P197" i="8"/>
  <c r="Q197" i="8" s="1"/>
  <c r="P192" i="8"/>
  <c r="P198" i="8"/>
  <c r="Q198" i="8" s="1"/>
  <c r="K184" i="8"/>
  <c r="P195" i="8"/>
  <c r="Q195" i="8" s="1"/>
  <c r="L21" i="5"/>
  <c r="C23" i="5"/>
  <c r="Y200" i="4" l="1"/>
  <c r="R211" i="4" s="1"/>
  <c r="C44" i="5"/>
  <c r="P201" i="8"/>
  <c r="Q192" i="8"/>
  <c r="D32" i="12"/>
  <c r="E12" i="21"/>
  <c r="Y194" i="4"/>
  <c r="L211" i="4" s="1"/>
  <c r="D17" i="22"/>
  <c r="I21" i="5"/>
  <c r="L23" i="5"/>
  <c r="D37" i="12"/>
  <c r="E17" i="21"/>
  <c r="D22" i="22"/>
  <c r="D21" i="22"/>
  <c r="Y198" i="4"/>
  <c r="P211" i="4" s="1"/>
  <c r="E16" i="21"/>
  <c r="D36" i="12"/>
  <c r="D19" i="22"/>
  <c r="Y196" i="4"/>
  <c r="N211" i="4" s="1"/>
  <c r="E14" i="21"/>
  <c r="D34" i="12"/>
  <c r="W201" i="4"/>
  <c r="D15" i="22"/>
  <c r="D30" i="12"/>
  <c r="E10" i="21"/>
  <c r="Y192" i="4"/>
  <c r="J211" i="4" s="1"/>
  <c r="D20" i="22"/>
  <c r="E15" i="21"/>
  <c r="Y197" i="4"/>
  <c r="O211" i="4" s="1"/>
  <c r="D35" i="12"/>
  <c r="D16" i="22"/>
  <c r="E11" i="21"/>
  <c r="D31" i="12"/>
  <c r="Y193" i="4"/>
  <c r="K211" i="4" s="1"/>
  <c r="D18" i="22"/>
  <c r="D33" i="12"/>
  <c r="Y195" i="4"/>
  <c r="M211" i="4" s="1"/>
  <c r="E13" i="21"/>
  <c r="D23" i="22"/>
  <c r="E18" i="21"/>
  <c r="D38" i="12"/>
  <c r="Z196" i="4" l="1"/>
  <c r="E39" i="5"/>
  <c r="G39" i="5" s="1"/>
  <c r="Z194" i="4"/>
  <c r="E37" i="5"/>
  <c r="G37" i="5" s="1"/>
  <c r="Z195" i="4"/>
  <c r="E38" i="5"/>
  <c r="G38" i="5" s="1"/>
  <c r="Z198" i="4"/>
  <c r="E41" i="5"/>
  <c r="G41" i="5" s="1"/>
  <c r="Z197" i="4"/>
  <c r="E40" i="5"/>
  <c r="G40" i="5" s="1"/>
  <c r="Z200" i="4"/>
  <c r="E43" i="5"/>
  <c r="G43" i="5" s="1"/>
  <c r="Z192" i="4"/>
  <c r="E35" i="5"/>
  <c r="L35" i="5" s="1"/>
  <c r="Z193" i="4"/>
  <c r="E36" i="5"/>
  <c r="G36" i="5" s="1"/>
  <c r="G11" i="21"/>
  <c r="F11" i="21" s="1"/>
  <c r="E16" i="22"/>
  <c r="E17" i="22"/>
  <c r="G12" i="21"/>
  <c r="F12" i="21" s="1"/>
  <c r="G16" i="21"/>
  <c r="F16" i="21" s="1"/>
  <c r="E21" i="22"/>
  <c r="D24" i="22"/>
  <c r="G10" i="21"/>
  <c r="E15" i="22"/>
  <c r="Y201" i="4"/>
  <c r="D39" i="12"/>
  <c r="G14" i="21"/>
  <c r="F14" i="21" s="1"/>
  <c r="E19" i="22"/>
  <c r="G18" i="21"/>
  <c r="F18" i="21" s="1"/>
  <c r="E23" i="22"/>
  <c r="G38" i="12"/>
  <c r="E20" i="22"/>
  <c r="G15" i="21"/>
  <c r="F15" i="21" s="1"/>
  <c r="G13" i="21"/>
  <c r="F13" i="21" s="1"/>
  <c r="L38" i="5"/>
  <c r="E18" i="22"/>
  <c r="G33" i="12"/>
  <c r="E22" i="22"/>
  <c r="G17" i="21"/>
  <c r="F17" i="21" s="1"/>
  <c r="L42" i="5"/>
  <c r="G37" i="12"/>
  <c r="E19" i="21"/>
  <c r="L37" i="5" l="1"/>
  <c r="L40" i="5"/>
  <c r="L36" i="5"/>
  <c r="L43" i="5"/>
  <c r="G35" i="12"/>
  <c r="L39" i="5"/>
  <c r="G36" i="12"/>
  <c r="L41" i="5"/>
  <c r="E44" i="5"/>
  <c r="G35" i="5"/>
  <c r="G34" i="12"/>
  <c r="G32" i="12"/>
  <c r="G31" i="12"/>
  <c r="H32" i="12"/>
  <c r="H35" i="12"/>
  <c r="H33" i="12"/>
  <c r="H38" i="12"/>
  <c r="H37" i="12"/>
  <c r="H34" i="12"/>
  <c r="H31" i="12"/>
  <c r="H30" i="12"/>
  <c r="H36" i="12"/>
  <c r="C17" i="22"/>
  <c r="F17" i="22" s="1"/>
  <c r="C22" i="22"/>
  <c r="F22" i="22" s="1"/>
  <c r="E24" i="22"/>
  <c r="C15" i="22"/>
  <c r="C16" i="22"/>
  <c r="F16" i="22" s="1"/>
  <c r="Z201" i="4"/>
  <c r="Y202" i="4"/>
  <c r="C21" i="22"/>
  <c r="F21" i="22" s="1"/>
  <c r="G30" i="12"/>
  <c r="O206" i="4"/>
  <c r="C23" i="22"/>
  <c r="F23" i="22" s="1"/>
  <c r="C19" i="22"/>
  <c r="F19" i="22" s="1"/>
  <c r="C20" i="22"/>
  <c r="F20" i="22" s="1"/>
  <c r="C18" i="22"/>
  <c r="F18" i="22" s="1"/>
  <c r="F10" i="21"/>
  <c r="F19" i="21" s="1"/>
  <c r="G19" i="21"/>
  <c r="G39" i="12" l="1"/>
  <c r="L44" i="5"/>
  <c r="C24" i="22"/>
  <c r="H11" i="12"/>
  <c r="E30" i="5"/>
  <c r="F15" i="22"/>
</calcChain>
</file>

<file path=xl/sharedStrings.xml><?xml version="1.0" encoding="utf-8"?>
<sst xmlns="http://schemas.openxmlformats.org/spreadsheetml/2006/main" count="5143" uniqueCount="1955">
  <si>
    <t>HOUR</t>
  </si>
  <si>
    <t>Kaptai</t>
  </si>
  <si>
    <t>Siddhirganj</t>
  </si>
  <si>
    <t>RPCL</t>
  </si>
  <si>
    <t>Sylhet</t>
  </si>
  <si>
    <t>Khulna</t>
  </si>
  <si>
    <t>Rangpur</t>
  </si>
  <si>
    <t xml:space="preserve">Total </t>
  </si>
  <si>
    <t>EGCB</t>
  </si>
  <si>
    <t>Comilla</t>
  </si>
  <si>
    <t>Dhaka</t>
  </si>
  <si>
    <t>RPP</t>
  </si>
  <si>
    <t>Total</t>
  </si>
  <si>
    <t>QRPP</t>
  </si>
  <si>
    <t>Generation</t>
  </si>
  <si>
    <t>KWH</t>
  </si>
  <si>
    <t>Chittagong</t>
  </si>
  <si>
    <t>NWPGCL</t>
  </si>
  <si>
    <t xml:space="preserve"> </t>
  </si>
  <si>
    <t>Date</t>
  </si>
  <si>
    <t>Time (hour)</t>
  </si>
  <si>
    <t>HFO</t>
  </si>
  <si>
    <t>HSD</t>
  </si>
  <si>
    <t>HSD+HFO</t>
  </si>
  <si>
    <t>24:00</t>
  </si>
  <si>
    <t>FCR</t>
  </si>
  <si>
    <t>Shortage</t>
  </si>
  <si>
    <t>Gas</t>
  </si>
  <si>
    <t>IPP</t>
  </si>
  <si>
    <t>QF-LDC-05</t>
  </si>
  <si>
    <t>Hour:</t>
  </si>
  <si>
    <t xml:space="preserve"> Name of the Power Station</t>
  </si>
  <si>
    <t>Fuel</t>
  </si>
  <si>
    <t>Producer</t>
  </si>
  <si>
    <t>Increase</t>
  </si>
  <si>
    <t>Decrease</t>
  </si>
  <si>
    <t>MW</t>
  </si>
  <si>
    <t>PDB</t>
  </si>
  <si>
    <t xml:space="preserve">Tongi GT </t>
  </si>
  <si>
    <t>Dhaka Area Total</t>
  </si>
  <si>
    <t>APSCL</t>
  </si>
  <si>
    <t>Sylhet Area Total</t>
  </si>
  <si>
    <t>Khulna Area Total</t>
  </si>
  <si>
    <t>Barisal Area Total</t>
  </si>
  <si>
    <t>Rajshahi Area Total</t>
  </si>
  <si>
    <t>Coal</t>
  </si>
  <si>
    <t>Rangpur Area Total</t>
  </si>
  <si>
    <t xml:space="preserve"> Total</t>
  </si>
  <si>
    <t>Demand (Gen. end)</t>
  </si>
  <si>
    <t>Shortage:</t>
  </si>
  <si>
    <t>Load shed:</t>
  </si>
  <si>
    <t>A.   Generation                                               :</t>
  </si>
  <si>
    <t>Area</t>
  </si>
  <si>
    <t>Demand  ( S/S end)</t>
  </si>
  <si>
    <t>Load shed (S/S end)</t>
  </si>
  <si>
    <t>Rajshahi</t>
  </si>
  <si>
    <t>Barisal</t>
  </si>
  <si>
    <t xml:space="preserve">      Executive Engineer (Shift)</t>
  </si>
  <si>
    <t xml:space="preserve">                  NOD, PGCB.</t>
  </si>
  <si>
    <t xml:space="preserve">         mgMÖ †`‡ki Pvwn`v, mieivn Ges †jvW †k‡Wi wPÎ</t>
  </si>
  <si>
    <t xml:space="preserve">mvÜ¨ wcK mgq                          t                          </t>
  </si>
  <si>
    <t xml:space="preserve"> N›Uv</t>
  </si>
  <si>
    <t>w`ev wcK mgq                             t                     †gtIt( Drcv`b cÖv‡š )</t>
  </si>
  <si>
    <t>ZvwiL:</t>
  </si>
  <si>
    <t>K) †gvU Pvwn`v                          t                     †gtIt( Drcv`b cÖv‡š )</t>
  </si>
  <si>
    <t>†gtIt (Drcv`b cÖv‡šZ)</t>
  </si>
  <si>
    <t xml:space="preserve">K) †gvU Pvwn`v                            t </t>
  </si>
  <si>
    <t>L) †gvU Drcv`b                       t                      †gtIt</t>
  </si>
  <si>
    <t>†gtIt</t>
  </si>
  <si>
    <t xml:space="preserve">L) †gvU Drcv`b                          t              </t>
  </si>
  <si>
    <t>M) NvUwZ ( KÑ L )                    t                      †gtIt</t>
  </si>
  <si>
    <t xml:space="preserve">M) NvUwZ ( KÑ L )                       t  </t>
  </si>
  <si>
    <t>N) †gvU †jvW †kW                     t                     †gtIt ( MÖxW Dc‡K›`ª cÖv‡š )</t>
  </si>
  <si>
    <t>†gtIt (MÖxW Dc‡K›`ª cÖv‡šZ)</t>
  </si>
  <si>
    <t>O) MÖxW Dc‡K›`ª cÖv‡šZ cÖvß †jvW t                      †gtIt</t>
  </si>
  <si>
    <t>P) GjvKv wfwËK Pvwn`v , mieivn Ges †jvW †k†Wi weeib tÑ</t>
  </si>
  <si>
    <t xml:space="preserve">GjvKvi bvg </t>
  </si>
  <si>
    <t xml:space="preserve">   MÖxW Dc‡K›`ª  </t>
  </si>
  <si>
    <t xml:space="preserve">  cÖv‡šZ cÖvß †jvW</t>
  </si>
  <si>
    <t xml:space="preserve">  cÖv‡šZ †jvW †kW</t>
  </si>
  <si>
    <t xml:space="preserve">  cÖv‡šZ Pvwn`v</t>
  </si>
  <si>
    <t xml:space="preserve">  (  †gtIt)</t>
  </si>
  <si>
    <t xml:space="preserve">    (  †gtIt)</t>
  </si>
  <si>
    <t>XvKv</t>
  </si>
  <si>
    <t>PUªMÖvg</t>
  </si>
  <si>
    <t>Lyjbv</t>
  </si>
  <si>
    <t>ivRkvnx</t>
  </si>
  <si>
    <t>gqgbwmsn</t>
  </si>
  <si>
    <t>wm‡jU</t>
  </si>
  <si>
    <t>ewikvj</t>
  </si>
  <si>
    <t>iscyi</t>
  </si>
  <si>
    <t>†gvU</t>
  </si>
  <si>
    <t>Abywjwct</t>
  </si>
  <si>
    <t>„„„</t>
  </si>
  <si>
    <t xml:space="preserve">                                                                    </t>
  </si>
  <si>
    <t>2| gvbbxq cÖwZgš¿xi GKvš— mwPe, we`y¨r wefvM                  (d¨v· bsÑ 9559577 )</t>
  </si>
  <si>
    <t xml:space="preserve">3| mwPe g‡nv`‡qi GKvšZ mwPe, we`y¨r wefvM                 (d¨v· bsÑ 7173316 )          </t>
  </si>
  <si>
    <t>wcwRwmwe, XvKv|</t>
  </si>
  <si>
    <t xml:space="preserve">4| ‡Rbv‡ij ÷vd Awdmvi # 2 XvKv kvLv, wWwRGdAvB      (d¨v· bsÑ 8711055 )          </t>
  </si>
  <si>
    <t>Hr.</t>
  </si>
  <si>
    <t>Energy (Ghorasal end)</t>
  </si>
  <si>
    <t>Yesterday</t>
  </si>
  <si>
    <t>KWHr.</t>
  </si>
  <si>
    <t>Ishurdi</t>
  </si>
  <si>
    <t>Serajganj</t>
  </si>
  <si>
    <t>Demand</t>
  </si>
  <si>
    <t>Mymensingh</t>
  </si>
  <si>
    <t>Dhaka 33KV</t>
  </si>
  <si>
    <t xml:space="preserve"> Generation</t>
  </si>
  <si>
    <t>Hydro</t>
  </si>
  <si>
    <t xml:space="preserve">RPP </t>
  </si>
  <si>
    <t xml:space="preserve">QRPP </t>
  </si>
  <si>
    <t>Ghorashal (Regent)</t>
  </si>
  <si>
    <t>Meghnaghat (IEL)</t>
  </si>
  <si>
    <t>Gazipur (RPCL)</t>
  </si>
  <si>
    <t>Sikalbaha Peaking GT</t>
  </si>
  <si>
    <t>Meghnaghat CCPP(Summit)</t>
  </si>
  <si>
    <t>Under maint.</t>
  </si>
  <si>
    <t>Evening Peak</t>
  </si>
  <si>
    <t>Day Peak</t>
  </si>
  <si>
    <t>Gagnagar (Orion)</t>
  </si>
  <si>
    <t>Siddhirganj (Dutch Bangla)</t>
  </si>
  <si>
    <t>Mymensingh Area Total</t>
  </si>
  <si>
    <t>SIPP, REB</t>
  </si>
  <si>
    <t>SBU, PDB</t>
  </si>
  <si>
    <t>SIPP, PDB</t>
  </si>
  <si>
    <t>Engine problem</t>
  </si>
  <si>
    <t>Jamalpur</t>
  </si>
  <si>
    <t>Katpotti 51 MW</t>
  </si>
  <si>
    <t>Tripura</t>
  </si>
  <si>
    <t>HVDC</t>
  </si>
  <si>
    <t>Minimum</t>
  </si>
  <si>
    <r>
      <rPr>
        <b/>
        <sz val="11"/>
        <color indexed="8"/>
        <rFont val="Calibri"/>
        <family val="2"/>
      </rPr>
      <t>Hourly SMS</t>
    </r>
    <r>
      <rPr>
        <sz val="11"/>
        <color theme="1"/>
        <rFont val="Calibri"/>
        <family val="2"/>
        <scheme val="minor"/>
      </rPr>
      <t xml:space="preserve"> (Check date before sending)</t>
    </r>
  </si>
  <si>
    <t xml:space="preserve">O) MÖxW Dc‡K›`ª cÖv‡šZ cÖvß †jvW    t </t>
  </si>
  <si>
    <t xml:space="preserve">N) †gvU †jvW †kW                        t   </t>
  </si>
  <si>
    <t>BPDB-RPCL</t>
  </si>
  <si>
    <t>Madanganj-55 MW</t>
  </si>
  <si>
    <t>eeeeeeeeeeeeeeeeeeeeeeeee</t>
  </si>
  <si>
    <t xml:space="preserve">                                     </t>
  </si>
  <si>
    <t>C.   Total power usable at Grid S/S  ( A -B  )  :</t>
  </si>
  <si>
    <t>B.   Auxiliary use of  P/S and transmission loss</t>
  </si>
  <si>
    <t>Imported power</t>
  </si>
  <si>
    <t>**</t>
  </si>
  <si>
    <t>*</t>
  </si>
  <si>
    <t>Actual
Generation</t>
  </si>
  <si>
    <t>Forecasted
Generation</t>
  </si>
  <si>
    <t xml:space="preserve">Derated/
Present </t>
  </si>
  <si>
    <t>Installed
Capacity</t>
  </si>
  <si>
    <t>Sl. No.</t>
  </si>
  <si>
    <t>Date:</t>
  </si>
  <si>
    <t>Today's Generation of different power stations at evening peak hour</t>
  </si>
  <si>
    <t xml:space="preserve">          Power Grid Company of Bangladesh Ltd.</t>
  </si>
  <si>
    <t>ENERGY METER READING</t>
  </si>
  <si>
    <t>-</t>
  </si>
  <si>
    <t>Summit Power,(Madhabdi+Ashulia)</t>
  </si>
  <si>
    <t>SIPP,REB</t>
  </si>
  <si>
    <t>Haripur  412 MW CCPP</t>
  </si>
  <si>
    <t>Narshingdi  (Doreen)</t>
  </si>
  <si>
    <t>Pagla (DPA )</t>
  </si>
  <si>
    <t>Kaptai Hydro: Unit-1,2,3,4, 5</t>
  </si>
  <si>
    <t>Malancha, Ctg. EPZ (United)</t>
  </si>
  <si>
    <t>wbev©nx cÖ‡KŠkjx (wkdU)</t>
  </si>
  <si>
    <t xml:space="preserve">GbIwW,GjwWwm  </t>
  </si>
  <si>
    <t>Remarks/Shut down</t>
  </si>
  <si>
    <t>Northern 55 MW</t>
  </si>
  <si>
    <t/>
  </si>
  <si>
    <t>gšZe¨</t>
  </si>
  <si>
    <t>Siddhirganj CCPP-335 MW</t>
  </si>
  <si>
    <t xml:space="preserve">  </t>
  </si>
  <si>
    <t>Sikalbaha 225MW</t>
  </si>
  <si>
    <t>Haripur GT: Unit-1, 2</t>
  </si>
  <si>
    <t>FGMO</t>
  </si>
  <si>
    <t>Check Date</t>
  </si>
  <si>
    <t>Gas shortage</t>
  </si>
  <si>
    <t>Solar</t>
  </si>
  <si>
    <t>Banco Energy  54MW</t>
  </si>
  <si>
    <t>Owner</t>
  </si>
  <si>
    <t>Installed Capacity</t>
  </si>
  <si>
    <t>Present Capacity</t>
  </si>
  <si>
    <t>Ghorasal ST: Unit-5</t>
  </si>
  <si>
    <t>Ghorasal ST: Unit-7</t>
  </si>
  <si>
    <t>Keraniganj (Powerpac) 100MW</t>
  </si>
  <si>
    <t>2*55</t>
  </si>
  <si>
    <t>1*210</t>
  </si>
  <si>
    <t>34*3.35</t>
  </si>
  <si>
    <t>2*32</t>
  </si>
  <si>
    <t>1*273+1*139</t>
  </si>
  <si>
    <t>2*150+1*150</t>
  </si>
  <si>
    <t>12*8.9</t>
  </si>
  <si>
    <t>2*110+1*110</t>
  </si>
  <si>
    <t>6*17</t>
  </si>
  <si>
    <t>8*13.45</t>
  </si>
  <si>
    <t>8*2.90</t>
  </si>
  <si>
    <t xml:space="preserve"> 1*210</t>
  </si>
  <si>
    <t xml:space="preserve"> 2*105</t>
  </si>
  <si>
    <t>100*0.5</t>
  </si>
  <si>
    <t>12*8.924</t>
  </si>
  <si>
    <t>7*7.9</t>
  </si>
  <si>
    <t>9*17.06</t>
  </si>
  <si>
    <t>3*19.3</t>
  </si>
  <si>
    <t>4*8.73</t>
  </si>
  <si>
    <t>6*8.9</t>
  </si>
  <si>
    <t>1* 105</t>
  </si>
  <si>
    <t>3*8.9</t>
  </si>
  <si>
    <t xml:space="preserve">1*150 </t>
  </si>
  <si>
    <t>11*8.9</t>
  </si>
  <si>
    <t>5*8.73+3*9.34</t>
  </si>
  <si>
    <t>1*150</t>
  </si>
  <si>
    <t>1*142+1*75</t>
  </si>
  <si>
    <t>1*360</t>
  </si>
  <si>
    <t>14*3.968</t>
  </si>
  <si>
    <t>15*4</t>
  </si>
  <si>
    <t>96*1.10</t>
  </si>
  <si>
    <t>14*4</t>
  </si>
  <si>
    <t>6*9.34</t>
  </si>
  <si>
    <t>86*1.10</t>
  </si>
  <si>
    <t>6*8.92</t>
  </si>
  <si>
    <t>1*106+1*57</t>
  </si>
  <si>
    <t>4*2.90</t>
  </si>
  <si>
    <t>4*35+1*70</t>
  </si>
  <si>
    <t>1*3</t>
  </si>
  <si>
    <t>2*32+1*33</t>
  </si>
  <si>
    <t>2*35+1*35</t>
  </si>
  <si>
    <t>19*2.90</t>
  </si>
  <si>
    <t>12*3.3+5*2</t>
  </si>
  <si>
    <t>2*35</t>
  </si>
  <si>
    <t>32*2.90</t>
  </si>
  <si>
    <t>27*2.0</t>
  </si>
  <si>
    <t>1*20</t>
  </si>
  <si>
    <t>27*2</t>
  </si>
  <si>
    <t>3*9.34</t>
  </si>
  <si>
    <t>1*222+1*119</t>
  </si>
  <si>
    <t>6*1.95</t>
  </si>
  <si>
    <t>19*6.5</t>
  </si>
  <si>
    <t>7*17</t>
  </si>
  <si>
    <t>8*6.89</t>
  </si>
  <si>
    <t>16*6.98</t>
  </si>
  <si>
    <t>5*8.5</t>
  </si>
  <si>
    <t>71*0.85</t>
  </si>
  <si>
    <t>7*17.076</t>
  </si>
  <si>
    <t>2*20</t>
  </si>
  <si>
    <t>1*34.50</t>
  </si>
  <si>
    <t>2*63+1*68</t>
  </si>
  <si>
    <t>1*71</t>
  </si>
  <si>
    <t>1*100</t>
  </si>
  <si>
    <t>9*8.29</t>
  </si>
  <si>
    <t>7*7.79</t>
  </si>
  <si>
    <t>6*8.7</t>
  </si>
  <si>
    <t>1*150+1*75</t>
  </si>
  <si>
    <t>6*4</t>
  </si>
  <si>
    <t>5*3.3+5*2</t>
  </si>
  <si>
    <t>1*125</t>
  </si>
  <si>
    <t>3*18</t>
  </si>
  <si>
    <t>8*6.98</t>
  </si>
  <si>
    <t>Siddhirgonj ST 210MW</t>
  </si>
  <si>
    <t xml:space="preserve">Siddhirgonj GT Unit-1&amp; 2 </t>
  </si>
  <si>
    <t>Meghnaghat CCPP 450MW</t>
  </si>
  <si>
    <t>Haripur Power CCPP 360MW</t>
  </si>
  <si>
    <t>Southern 55MW</t>
  </si>
  <si>
    <t>Summit Ashulia</t>
  </si>
  <si>
    <t>Summit Madhabdi</t>
  </si>
  <si>
    <t>Summit Maona</t>
  </si>
  <si>
    <t>Madanganj 102MW</t>
  </si>
  <si>
    <t>Bosila 108MW</t>
  </si>
  <si>
    <t>Khulna 60MW</t>
  </si>
  <si>
    <t>Bheramara (HVDC )</t>
  </si>
  <si>
    <t>Plant Name</t>
  </si>
  <si>
    <t>Date of Commision</t>
  </si>
  <si>
    <t>Fuel Cost</t>
  </si>
  <si>
    <t>Power Grid Company of Bangladesh Ltd.</t>
  </si>
  <si>
    <t>QF-LDC-07</t>
  </si>
  <si>
    <t>Date (day):</t>
  </si>
  <si>
    <t xml:space="preserve">        Probable Maximum </t>
  </si>
  <si>
    <t>Generation   :</t>
  </si>
  <si>
    <t>(a) At Day Peak Hour :</t>
  </si>
  <si>
    <t>(b) At Evening Peak Hour :</t>
  </si>
  <si>
    <t>Oil</t>
  </si>
  <si>
    <t>Name of the
 Power Stations</t>
  </si>
  <si>
    <t xml:space="preserve">Producer </t>
  </si>
  <si>
    <t xml:space="preserve">     Installed Capacity</t>
  </si>
  <si>
    <t xml:space="preserve">     Actual Generation</t>
  </si>
  <si>
    <t>Forecasted Available Gen. on</t>
  </si>
  <si>
    <t xml:space="preserve"> Ev. Peak Gen.Shortage</t>
  </si>
  <si>
    <t xml:space="preserve">Plants under
</t>
  </si>
  <si>
    <t xml:space="preserve">Probable 
</t>
  </si>
  <si>
    <t>Ev.  Peak</t>
  </si>
  <si>
    <t>Day  Peak</t>
  </si>
  <si>
    <t>On</t>
  </si>
  <si>
    <t>during</t>
  </si>
  <si>
    <t xml:space="preserve">for Fuel
</t>
  </si>
  <si>
    <t>for plant. S/D</t>
  </si>
  <si>
    <t>Shut down (date)/</t>
  </si>
  <si>
    <t>Start up</t>
  </si>
  <si>
    <t>Limitation</t>
  </si>
  <si>
    <t>M/C Problem</t>
  </si>
  <si>
    <t>Remarks</t>
  </si>
  <si>
    <t>IP=299431</t>
  </si>
  <si>
    <t>1*235+1*125</t>
  </si>
  <si>
    <t>IP-26004</t>
  </si>
  <si>
    <t>IP=25503</t>
  </si>
  <si>
    <t>IP=299210,</t>
  </si>
  <si>
    <t>Sunday</t>
  </si>
  <si>
    <t>Monday</t>
  </si>
  <si>
    <t>Tuesday</t>
  </si>
  <si>
    <t>Thursday</t>
  </si>
  <si>
    <t>Friday</t>
  </si>
  <si>
    <t>Saturday</t>
  </si>
  <si>
    <t xml:space="preserve">     </t>
  </si>
  <si>
    <t>A.</t>
  </si>
  <si>
    <t>(Yesterday)</t>
  </si>
  <si>
    <t xml:space="preserve">          </t>
  </si>
  <si>
    <t>Highest Generation             :</t>
  </si>
  <si>
    <t>MW  at</t>
  </si>
  <si>
    <t>hrs</t>
  </si>
  <si>
    <t>hrs.</t>
  </si>
  <si>
    <t>Minimum Generation          :</t>
  </si>
  <si>
    <t>12  Max. Demand  (Generation end) at evening peak hour   :</t>
  </si>
  <si>
    <t xml:space="preserve">MW </t>
  </si>
  <si>
    <t xml:space="preserve">MKWHr   </t>
  </si>
  <si>
    <t xml:space="preserve">15. Area wise Demand (S/S end), Supply (S/S end)  &amp; </t>
  </si>
  <si>
    <t xml:space="preserve">MKWHr         </t>
  </si>
  <si>
    <t>By Oil:</t>
  </si>
  <si>
    <t xml:space="preserve"> MKWHr</t>
  </si>
  <si>
    <t xml:space="preserve">     Load Shed (S/S end) at Evening peak hour in MW :</t>
  </si>
  <si>
    <t xml:space="preserve">      Evening  Peak hours :</t>
  </si>
  <si>
    <t xml:space="preserve">MKWHr     </t>
  </si>
  <si>
    <t>By Hydro:</t>
  </si>
  <si>
    <t>Supply</t>
  </si>
  <si>
    <t>Loadshed</t>
  </si>
  <si>
    <t xml:space="preserve">   Time</t>
  </si>
  <si>
    <t xml:space="preserve">Chittagong </t>
  </si>
  <si>
    <t xml:space="preserve">Khulna </t>
  </si>
  <si>
    <t>Total Gas Supplied :</t>
  </si>
  <si>
    <t>MMCFD</t>
  </si>
  <si>
    <t xml:space="preserve">Rajshahi </t>
  </si>
  <si>
    <t>Fuel Cost :</t>
  </si>
  <si>
    <t xml:space="preserve">     i) Gas    : </t>
  </si>
  <si>
    <t>Taka</t>
  </si>
  <si>
    <t xml:space="preserve">ii) Oil      :  </t>
  </si>
  <si>
    <t>iii) Coal :</t>
  </si>
  <si>
    <t>i) Energy</t>
  </si>
  <si>
    <t>MKWHr.</t>
  </si>
  <si>
    <t xml:space="preserve">Sylhet </t>
  </si>
  <si>
    <t>Mymensing</t>
  </si>
  <si>
    <t xml:space="preserve">         ii) During Peak Demand :</t>
  </si>
  <si>
    <t>MW   at</t>
  </si>
  <si>
    <t xml:space="preserve">Barisal </t>
  </si>
  <si>
    <t xml:space="preserve">         iii) Maximum :</t>
  </si>
  <si>
    <t xml:space="preserve">Rangpur </t>
  </si>
  <si>
    <t>Maximum Temperature in Dhaka was</t>
  </si>
  <si>
    <t xml:space="preserve">B. </t>
  </si>
  <si>
    <t>(Today)</t>
  </si>
  <si>
    <t>Probable max. temperature in Dhaka</t>
  </si>
  <si>
    <t xml:space="preserve">      Forecast</t>
  </si>
  <si>
    <t xml:space="preserve">         </t>
  </si>
  <si>
    <t>Maximum Demand* Evening (Generation end)</t>
  </si>
  <si>
    <t xml:space="preserve"> 6  Total Load Shed forecast (Substation end) :</t>
  </si>
  <si>
    <t>Maximum Generation (Generation end)</t>
  </si>
  <si>
    <t xml:space="preserve">MW     </t>
  </si>
  <si>
    <t xml:space="preserve"> 7  Area wise Load Shed forecast (Substation end) :</t>
  </si>
  <si>
    <t>Maximum Demand* Day (Generation end)</t>
  </si>
  <si>
    <t>Reserve(Generation end)</t>
  </si>
  <si>
    <t xml:space="preserve">Total Energy Generation </t>
  </si>
  <si>
    <t>MKWHr</t>
  </si>
  <si>
    <t>Actual Minimum Generation up to 8:00 hrs.</t>
  </si>
  <si>
    <t xml:space="preserve">             </t>
  </si>
  <si>
    <t>* Import Through HVDC C/B Interconnector  :</t>
  </si>
  <si>
    <t>MW      at</t>
  </si>
  <si>
    <t>* Import Through Comilla C/B Interconnector  :</t>
  </si>
  <si>
    <t>Water Level of Kaptai Lake at 06:00  hr  (ft):</t>
  </si>
  <si>
    <t>(b) Today:</t>
  </si>
  <si>
    <t>(c) Rule Curve:</t>
  </si>
  <si>
    <t>.</t>
  </si>
  <si>
    <t xml:space="preserve">    </t>
  </si>
  <si>
    <t xml:space="preserve">       Sub Divisional Engineer</t>
  </si>
  <si>
    <t xml:space="preserve">     Executive Engineer </t>
  </si>
  <si>
    <t xml:space="preserve">    Network Operation Division</t>
  </si>
  <si>
    <t>Network Operation Division</t>
  </si>
  <si>
    <t xml:space="preserve">                                                NATIONAL LOAD  DESPATCH  CENTER</t>
  </si>
  <si>
    <t xml:space="preserve">             ACTUAL LOAD SHEDDING</t>
  </si>
  <si>
    <t>Date :</t>
  </si>
  <si>
    <t>DEMAND (Gen.) :-</t>
  </si>
  <si>
    <t>at</t>
  </si>
  <si>
    <t>GENERATION    :-</t>
  </si>
  <si>
    <t>"</t>
  </si>
  <si>
    <t>LOAD SHED       :-</t>
  </si>
  <si>
    <t>RATE                 :-</t>
  </si>
  <si>
    <t>Demand (s/s)</t>
  </si>
  <si>
    <t>Supply(s/s)</t>
  </si>
  <si>
    <t>Load Shed (s/s)</t>
  </si>
  <si>
    <t>Rate %</t>
  </si>
  <si>
    <t xml:space="preserve">        LOAD - SHEDDING  PLANNING</t>
  </si>
  <si>
    <t>DEMAND(Gen.end)                  :-</t>
  </si>
  <si>
    <t>AVAILABLE GENERATION  :-</t>
  </si>
  <si>
    <t>(Subject to availibility of gas)</t>
  </si>
  <si>
    <t>LOAD SHED                              :-</t>
  </si>
  <si>
    <t>Demand(s/s)</t>
  </si>
  <si>
    <t xml:space="preserve">     Load Shed (s/s)</t>
  </si>
  <si>
    <t xml:space="preserve">Rate </t>
  </si>
  <si>
    <t xml:space="preserve">  Remarks</t>
  </si>
  <si>
    <t>N.B:</t>
  </si>
  <si>
    <t xml:space="preserve">                                              </t>
  </si>
  <si>
    <t xml:space="preserve">                       </t>
  </si>
  <si>
    <t xml:space="preserve">            </t>
  </si>
  <si>
    <t xml:space="preserve">     Sub Divisional Engineer</t>
  </si>
  <si>
    <t>d) Feni-Chowmuhoni 132 kV Ckt-1 &amp; 2 tripped at 12:07 from Feni end showing dist.relay at Ckt-1 &amp; E/F relay at Ckt-2 and were</t>
  </si>
  <si>
    <t xml:space="preserve">About 70 MW power interruption occurred under Chowmuhoni S/S area </t>
  </si>
  <si>
    <t xml:space="preserve">    switched on at 12:20.</t>
  </si>
  <si>
    <t>from 12:07 to 12:20.</t>
  </si>
  <si>
    <t xml:space="preserve">e) Ashuganj-B.Baria 132 kV Ckt-2 tripped at 12:22 showing dist.relay at Ashuganj end &amp; E/F relay at B.Baria end and was </t>
  </si>
  <si>
    <t xml:space="preserve">    switched on at 18:55. </t>
  </si>
  <si>
    <t xml:space="preserve">f) Shyampur-Hasnabad 132 kV Ckt tripped at 21:18 showing main protection trip relay and was switched on at 21:44. </t>
  </si>
  <si>
    <t xml:space="preserve">g) Haripur-Rahim Steel 132 kV Ckt tripped at 21:17 from both ends showing main protection trip relay and is still under shut down. </t>
  </si>
  <si>
    <t>h) Barapukuria Unit-2 was forced shut down at 21:58 due to boiler tube leakage.</t>
  </si>
  <si>
    <t>i) Bheramara-Faridpur 132 kV Ckt-1 was shut down at 06:10 (26/08/2016) for Bheramara 360 MW P/S project work.</t>
  </si>
  <si>
    <t>j) Bheramara-Kustia 132 kV Ckt-1 was shut down at 06:10 (26/08/2016) for Bheramara 360 MW P/S project work.</t>
  </si>
  <si>
    <t xml:space="preserve">k) Jamalpur 132/33 kV S/S  33 kV Bus was under shut down from 00:24 to 01:38 (26/08/2016) due to red hot maintenance </t>
  </si>
  <si>
    <t xml:space="preserve">About 20 MW power interruption occurred under Jamalpur S/S area </t>
  </si>
  <si>
    <t xml:space="preserve">    at Sharisabari PDB feeder.</t>
  </si>
  <si>
    <t>from 00:24 to 01:38 (26/08/2016).</t>
  </si>
  <si>
    <t>Sl no.</t>
  </si>
  <si>
    <t>Name of the P/S</t>
  </si>
  <si>
    <t>Day pk. Gen.</t>
  </si>
  <si>
    <t>Evn. pk. Gen.</t>
  </si>
  <si>
    <t xml:space="preserve">Executive Engineer </t>
  </si>
  <si>
    <t>NOD, LDC,</t>
  </si>
  <si>
    <t>PGCB, Dhaka.</t>
  </si>
  <si>
    <t xml:space="preserve">                    NATIONAL LOAD  DESPATCH  CENTER</t>
  </si>
  <si>
    <t xml:space="preserve">   </t>
  </si>
  <si>
    <t xml:space="preserve">                            Area wise Power supply, Load shed &amp; Demand</t>
  </si>
  <si>
    <t>Time:</t>
  </si>
  <si>
    <t>Load Shed</t>
  </si>
  <si>
    <t xml:space="preserve">    Sub Divisional Engineer</t>
  </si>
  <si>
    <t xml:space="preserve"> NATIONAL LOAD  DESPATCH  CENTER</t>
  </si>
  <si>
    <t>QF-LDC-08</t>
  </si>
  <si>
    <t xml:space="preserve">Page -1 </t>
  </si>
  <si>
    <t>Reporting Date :</t>
  </si>
  <si>
    <t xml:space="preserve">Till  now  the  maximum  generation is : -     </t>
  </si>
  <si>
    <t>Hrs          on</t>
  </si>
  <si>
    <t>The  Summary  of  Yesterday's</t>
  </si>
  <si>
    <t xml:space="preserve">Generation &amp; Demand </t>
  </si>
  <si>
    <t>Today's Actual Min Gen. &amp; Probable Gen. &amp; Demand</t>
  </si>
  <si>
    <t xml:space="preserve">Day Peak Generation         : </t>
  </si>
  <si>
    <t>Min. Gen.   at</t>
  </si>
  <si>
    <t>Evening Peak Generation   :</t>
  </si>
  <si>
    <t>E.P. Demand (at gen end)  :</t>
  </si>
  <si>
    <t>Max Demand (Evening)  :</t>
  </si>
  <si>
    <t>Maximum  Generation        :</t>
  </si>
  <si>
    <t>Total Gen. (MKWH)           :</t>
  </si>
  <si>
    <t>Load Shed                     :</t>
  </si>
  <si>
    <t>EXPORT / IMPORT  THROUGH  EAST-WEST  INTERCONNECTOR</t>
  </si>
  <si>
    <t xml:space="preserve">Export from East grid to West grid :-  Maximum </t>
  </si>
  <si>
    <t>MW         at</t>
  </si>
  <si>
    <t>Energy</t>
  </si>
  <si>
    <t>MKWHR.</t>
  </si>
  <si>
    <t xml:space="preserve">Import from West grid to East grid :-  Maximum </t>
  </si>
  <si>
    <t xml:space="preserve">                       -</t>
  </si>
  <si>
    <t xml:space="preserve">  -</t>
  </si>
  <si>
    <t xml:space="preserve">               -</t>
  </si>
  <si>
    <t>Actual  :</t>
  </si>
  <si>
    <t xml:space="preserve">  Ft.(MSL) ,</t>
  </si>
  <si>
    <t xml:space="preserve"> Rule  curve  :</t>
  </si>
  <si>
    <t xml:space="preserve">   Ft.( MSL ) </t>
  </si>
  <si>
    <t>Gas Consumed :</t>
  </si>
  <si>
    <t>MMCFD.</t>
  </si>
  <si>
    <t>Oil Consumed  (PDB) :</t>
  </si>
  <si>
    <t>HSD    :</t>
  </si>
  <si>
    <t>Liter</t>
  </si>
  <si>
    <t>FO      :</t>
  </si>
  <si>
    <t xml:space="preserve">Cost of the Consumed Fuel (PDB+Pvt) :         </t>
  </si>
  <si>
    <t>Gas     :</t>
  </si>
  <si>
    <t xml:space="preserve"> Oil        :</t>
  </si>
  <si>
    <t>Total   :</t>
  </si>
  <si>
    <t>Load Shedding &amp; Other Information</t>
  </si>
  <si>
    <t xml:space="preserve"> Area</t>
  </si>
  <si>
    <t xml:space="preserve">             Yesterday</t>
  </si>
  <si>
    <t>Today</t>
  </si>
  <si>
    <t xml:space="preserve">   Estimated Demand (S/S end)</t>
  </si>
  <si>
    <t>Estimated Shedding (S/S end)</t>
  </si>
  <si>
    <t xml:space="preserve">  Rates of Shedding</t>
  </si>
  <si>
    <t>(On Estimated Demand)</t>
  </si>
  <si>
    <t>Chittagong Area</t>
  </si>
  <si>
    <t>Khulna Area</t>
  </si>
  <si>
    <t>Rajshahi Area</t>
  </si>
  <si>
    <t>Mymensingh Area</t>
  </si>
  <si>
    <t>Sylhet Area</t>
  </si>
  <si>
    <t>Barisal Area</t>
  </si>
  <si>
    <t>Rangpur Area</t>
  </si>
  <si>
    <t xml:space="preserve">Total    </t>
  </si>
  <si>
    <t xml:space="preserve">         Information of the Generating Units under shut down.</t>
  </si>
  <si>
    <t xml:space="preserve">                               </t>
  </si>
  <si>
    <t xml:space="preserve"> Planned Shut- Down</t>
  </si>
  <si>
    <t xml:space="preserve">                                 </t>
  </si>
  <si>
    <t>Forced  Shut- Down</t>
  </si>
  <si>
    <t>Additional Information of Machines, lines, Interruption / Forced Load shed etc.</t>
  </si>
  <si>
    <t xml:space="preserve">   Page -2</t>
  </si>
  <si>
    <t>Amnura</t>
  </si>
  <si>
    <t xml:space="preserve">        </t>
  </si>
  <si>
    <t>Eastern Grid Total</t>
  </si>
  <si>
    <t>Western Grid  Total</t>
  </si>
  <si>
    <t>National  Grid  Total</t>
  </si>
  <si>
    <t xml:space="preserve">*Data collected from respective power station over telephone. </t>
  </si>
  <si>
    <t>(a) ENTIRE EASTERN  GRID      :</t>
  </si>
  <si>
    <t>(b) ENTIRE WESTERN  GRID    :</t>
  </si>
  <si>
    <t xml:space="preserve"> i) Dhaka area</t>
  </si>
  <si>
    <t xml:space="preserve"> i)  Khulna area</t>
  </si>
  <si>
    <t xml:space="preserve"> ii) Chittagong area</t>
  </si>
  <si>
    <t xml:space="preserve"> ii) Rajshahi area</t>
  </si>
  <si>
    <t xml:space="preserve"> iii) Comilla area</t>
  </si>
  <si>
    <t>iii) Barisal area</t>
  </si>
  <si>
    <t xml:space="preserve"> iv) Mymensingh area</t>
  </si>
  <si>
    <t>iv) Rangpur area</t>
  </si>
  <si>
    <t xml:space="preserve"> v) Sylhet area</t>
  </si>
  <si>
    <t>SYSTEM TOTAL DEMAND ( a + b ) =</t>
  </si>
  <si>
    <t xml:space="preserve">             MAXIMUM  LOAD SERVED BY DIFFERENT SUB-STATIONS</t>
  </si>
  <si>
    <t>Sub-station</t>
  </si>
  <si>
    <t>Load (MW)</t>
  </si>
  <si>
    <t>Hour</t>
  </si>
  <si>
    <t>Shyampur</t>
  </si>
  <si>
    <t>Sherpur</t>
  </si>
  <si>
    <t>Bhulta</t>
  </si>
  <si>
    <t>Faridpur</t>
  </si>
  <si>
    <t>Madanganj</t>
  </si>
  <si>
    <t>Shahjibazar</t>
  </si>
  <si>
    <t>Madaripur</t>
  </si>
  <si>
    <t>Shitalakhya</t>
  </si>
  <si>
    <t>Fenchuganj</t>
  </si>
  <si>
    <t>Gopalganj</t>
  </si>
  <si>
    <t>Bagerhat</t>
  </si>
  <si>
    <t>Matuail</t>
  </si>
  <si>
    <t>Mongla</t>
  </si>
  <si>
    <t>Ghorasal</t>
  </si>
  <si>
    <t>Satkhira</t>
  </si>
  <si>
    <t>Comilla(N)</t>
  </si>
  <si>
    <t>Magura</t>
  </si>
  <si>
    <t>Chandpur</t>
  </si>
  <si>
    <t>Chuadanga</t>
  </si>
  <si>
    <t>Hasnabad</t>
  </si>
  <si>
    <t>Feni</t>
  </si>
  <si>
    <t>Chowmuhani</t>
  </si>
  <si>
    <t>Patuakhali</t>
  </si>
  <si>
    <t>Maniknagar</t>
  </si>
  <si>
    <t>Ashuganj</t>
  </si>
  <si>
    <t>Bhandaria</t>
  </si>
  <si>
    <t>Bangabhaban</t>
  </si>
  <si>
    <t>Daudkandi</t>
  </si>
  <si>
    <t>Narinda</t>
  </si>
  <si>
    <t>Natore</t>
  </si>
  <si>
    <t>Dhanmondi</t>
  </si>
  <si>
    <t>Bogra</t>
  </si>
  <si>
    <t>Lalbag</t>
  </si>
  <si>
    <t>Hathazari</t>
  </si>
  <si>
    <t>Madartek</t>
  </si>
  <si>
    <t>Khulshi</t>
  </si>
  <si>
    <t>Mirpur</t>
  </si>
  <si>
    <t>Halishahar</t>
  </si>
  <si>
    <t>Gulshan</t>
  </si>
  <si>
    <t>Pabna</t>
  </si>
  <si>
    <t>Uttara</t>
  </si>
  <si>
    <t>Dohazari</t>
  </si>
  <si>
    <t>Shahjadpur</t>
  </si>
  <si>
    <t>Kamrangirchar</t>
  </si>
  <si>
    <t>Savar</t>
  </si>
  <si>
    <t>Chandraghona</t>
  </si>
  <si>
    <t>Joypurhat</t>
  </si>
  <si>
    <t>Agargaon</t>
  </si>
  <si>
    <t>Bakulia</t>
  </si>
  <si>
    <t>Lalmonirhat</t>
  </si>
  <si>
    <t>Tongi</t>
  </si>
  <si>
    <t>Saidpur</t>
  </si>
  <si>
    <t>Kabirpur</t>
  </si>
  <si>
    <t>Purbasadipur</t>
  </si>
  <si>
    <t>Thakurgaon</t>
  </si>
  <si>
    <t>Shahmirpur</t>
  </si>
  <si>
    <t>Palashbari</t>
  </si>
  <si>
    <t>Barapukuria</t>
  </si>
  <si>
    <t>BSRM</t>
  </si>
  <si>
    <t>Tangail</t>
  </si>
  <si>
    <t>Noapara</t>
  </si>
  <si>
    <t xml:space="preserve"> Sub Divisional Engineer</t>
  </si>
  <si>
    <t xml:space="preserve">         Superintendent Engineer </t>
  </si>
  <si>
    <t xml:space="preserve">          Load Despatch Circle</t>
  </si>
  <si>
    <t>(1) Honbl. State Minister</t>
  </si>
  <si>
    <t>(8) Executive Director (O &amp; M) PGCB.</t>
  </si>
  <si>
    <t>(18) C.E. Transmission (1 &amp; 2) PGCB.</t>
  </si>
  <si>
    <t>(9) Member,Generation,PDB.</t>
  </si>
  <si>
    <t>(19) S.E. System Protection,PGCB.</t>
  </si>
  <si>
    <t>(10) Member,Distribution,PDB.</t>
  </si>
  <si>
    <t xml:space="preserve">(2) Secy (Power Divn.)Ministry of   </t>
  </si>
  <si>
    <t xml:space="preserve">(11) Member,Transmission &amp; </t>
  </si>
  <si>
    <t>(21) Director Program, PDB.</t>
  </si>
  <si>
    <t>(22) S.E. Consumer Affairs,PDB.</t>
  </si>
  <si>
    <t>(3) Director General,Power cell</t>
  </si>
  <si>
    <t>(12) Member,P&amp;D,PDB.</t>
  </si>
  <si>
    <t>(23) Director,Project Planning,PDB.</t>
  </si>
  <si>
    <t>(4) Chairman,BERC</t>
  </si>
  <si>
    <t>(13) C.E (P &amp; D), PGCB.</t>
  </si>
  <si>
    <t>(24) Director,System Planning,PDB.</t>
  </si>
  <si>
    <t>(5) Chairman, BPDB.</t>
  </si>
  <si>
    <t xml:space="preserve">(14) G.M. Commercial Operation </t>
  </si>
  <si>
    <t>(25)  Executive Eng.IMD.</t>
  </si>
  <si>
    <t>(6) Managing  Director, PGCB.</t>
  </si>
  <si>
    <t>(7) Member(Power &amp; Industry)</t>
  </si>
  <si>
    <t xml:space="preserve">                                     NLDC, Aftabnagar, Dhaka</t>
  </si>
  <si>
    <t>Forecast of Demand, Supply and Load shed (at Substation end i.e 33 kV level)</t>
  </si>
  <si>
    <t>Allocation percentage of Total Generation against each Zone</t>
  </si>
  <si>
    <t xml:space="preserve">Forecasted for the date of </t>
  </si>
  <si>
    <t>Zones</t>
  </si>
  <si>
    <t>Percentage</t>
  </si>
  <si>
    <t xml:space="preserve">   Day Peak (09:00 - 12:00)</t>
  </si>
  <si>
    <t xml:space="preserve">  Evening Peak (18:00 - 21:00)</t>
  </si>
  <si>
    <t xml:space="preserve">Day Peak </t>
  </si>
  <si>
    <t xml:space="preserve">Evening Peak </t>
  </si>
  <si>
    <t>Demand
(MW)</t>
  </si>
  <si>
    <t>Supply
(MW)</t>
  </si>
  <si>
    <t>L/S
(MW)</t>
  </si>
  <si>
    <t>Total (S/S End)</t>
  </si>
  <si>
    <t>Total Demand</t>
  </si>
  <si>
    <t>Generation End</t>
  </si>
  <si>
    <t>Substation End</t>
  </si>
  <si>
    <t xml:space="preserve">                                                              </t>
  </si>
  <si>
    <t>Executive Engineer</t>
  </si>
  <si>
    <t>NOD, NLDC, PGCB.</t>
  </si>
  <si>
    <t xml:space="preserve">                                                                                                                                                            </t>
  </si>
  <si>
    <t xml:space="preserve"> DAILY  ENERGY  CURVE </t>
  </si>
  <si>
    <t>QF-LDC-11</t>
  </si>
  <si>
    <t>TIME</t>
  </si>
  <si>
    <t>GAS</t>
  </si>
  <si>
    <t xml:space="preserve"> HVDC</t>
  </si>
  <si>
    <t>P.GEN(GAS).</t>
  </si>
  <si>
    <t>COAL</t>
  </si>
  <si>
    <t>HYDRO</t>
  </si>
  <si>
    <t>SHORTAGE</t>
  </si>
  <si>
    <t xml:space="preserve">                                      </t>
  </si>
  <si>
    <t xml:space="preserve">   Max Temp. in Dhaka </t>
  </si>
  <si>
    <t xml:space="preserve">    Executive Engineer </t>
  </si>
  <si>
    <t>Page 5 of 7</t>
  </si>
  <si>
    <t>EAST GRID</t>
  </si>
  <si>
    <t>WEST GRID</t>
  </si>
  <si>
    <t>TOTAL</t>
  </si>
  <si>
    <t xml:space="preserve">DAILY  LOAD  CURVE </t>
  </si>
  <si>
    <t>QF-LDC-12</t>
  </si>
  <si>
    <t xml:space="preserve">                                                                                                                                                                                                    </t>
  </si>
  <si>
    <t>Page 6 of 7</t>
  </si>
  <si>
    <t>Sub-Station</t>
  </si>
  <si>
    <t>Maxm</t>
  </si>
  <si>
    <t>Voltage</t>
  </si>
  <si>
    <t>400 KV</t>
  </si>
  <si>
    <t>KV</t>
  </si>
  <si>
    <t>Bibiyana</t>
  </si>
  <si>
    <t>Kaliakoir</t>
  </si>
  <si>
    <t>Bheramara</t>
  </si>
  <si>
    <t>200 kV Voltage</t>
  </si>
  <si>
    <t>400 kV Voltage</t>
  </si>
  <si>
    <t>230 KV</t>
  </si>
  <si>
    <t>Time/SS</t>
  </si>
  <si>
    <t>Baghabari</t>
  </si>
  <si>
    <t>Khulna(S)</t>
  </si>
  <si>
    <t>Rampura</t>
  </si>
  <si>
    <t>Haripur</t>
  </si>
  <si>
    <t>Aminbazar</t>
  </si>
  <si>
    <t xml:space="preserve"> Hathazari</t>
  </si>
  <si>
    <t>Meghnaghat</t>
  </si>
  <si>
    <t>Old Airport</t>
  </si>
  <si>
    <t>AKSML</t>
  </si>
  <si>
    <t>KALIAKOR</t>
  </si>
  <si>
    <t>Maximum</t>
  </si>
  <si>
    <t>Time</t>
  </si>
  <si>
    <t>230 kV MAX</t>
  </si>
  <si>
    <t>230 kV MIN</t>
  </si>
  <si>
    <t>132 kV MAX</t>
  </si>
  <si>
    <t>132 kV MIN</t>
  </si>
  <si>
    <t xml:space="preserve">   132 kV</t>
  </si>
  <si>
    <t xml:space="preserve">    132 kV</t>
  </si>
  <si>
    <t>Kodda</t>
  </si>
  <si>
    <t xml:space="preserve">    Sub Assistant Engineer</t>
  </si>
  <si>
    <t>Ghorashal 78MW (MAX)</t>
  </si>
  <si>
    <t>3*17.08+1*11.3</t>
  </si>
  <si>
    <t>12*8.775+1*3.5</t>
  </si>
  <si>
    <t>2*40+50</t>
  </si>
  <si>
    <t>2*50</t>
  </si>
  <si>
    <t>16*7</t>
  </si>
  <si>
    <t>Gas/HSD</t>
  </si>
  <si>
    <t>3*3.67+2*6.97</t>
  </si>
  <si>
    <t>B.Baria (Aggreko) 85MW</t>
  </si>
  <si>
    <t>3*110</t>
  </si>
  <si>
    <t>Ghorasal ST: Unit-1,2</t>
  </si>
  <si>
    <t>2*40+3*50</t>
  </si>
  <si>
    <t>Unit No. X Capacity</t>
  </si>
  <si>
    <t>Minimum Generation</t>
  </si>
  <si>
    <t>Highest Generation</t>
  </si>
  <si>
    <t>Day Peak Generation</t>
  </si>
  <si>
    <t>Evening Peak Generation</t>
  </si>
  <si>
    <t>Gas (Public)</t>
  </si>
  <si>
    <t>Gas (Private)</t>
  </si>
  <si>
    <t>TRIPURA</t>
  </si>
  <si>
    <t>Total (MW)</t>
  </si>
  <si>
    <t>Western Grid Total</t>
  </si>
  <si>
    <t>Forecast for Evening</t>
  </si>
  <si>
    <t>Forecast for Day</t>
  </si>
  <si>
    <t>Dhaka  area Total</t>
  </si>
  <si>
    <t>Wednesday</t>
  </si>
  <si>
    <t>Week</t>
  </si>
  <si>
    <t>Total Energy</t>
  </si>
  <si>
    <t>Energy not Served</t>
  </si>
  <si>
    <t>Energy Requirement</t>
  </si>
  <si>
    <t>Supply ( S/S end)</t>
  </si>
  <si>
    <t xml:space="preserve">Allocation as </t>
  </si>
  <si>
    <t>LoasShed %</t>
  </si>
  <si>
    <t>2017 book</t>
  </si>
  <si>
    <t xml:space="preserve">       ‡jvW †Wmc¨vP mv‡K©j, wcwRwmwe, Gb Gj wW wm , XvKv</t>
  </si>
  <si>
    <t>Today's    Transmission Loss</t>
  </si>
  <si>
    <t>Zone</t>
  </si>
  <si>
    <t>Transmission Loss</t>
  </si>
  <si>
    <t xml:space="preserve">Total = </t>
  </si>
  <si>
    <t xml:space="preserve">Load Shed Require at S/S end = </t>
  </si>
  <si>
    <t>11  Evening Peak Hour                                                    :</t>
  </si>
  <si>
    <t>13  Max. Demand (Substation end) at evening peak hour    :</t>
  </si>
  <si>
    <t>14  Load Shed  (Substation end) at evening peak hour        :</t>
  </si>
  <si>
    <t>Gen. at Day Peak</t>
  </si>
  <si>
    <t>Gen. at Eve. Peak</t>
  </si>
  <si>
    <t>*Cost for HVDC, Tripura &amp; Solar energy is not usually included in the total fuel cost.</t>
  </si>
  <si>
    <t xml:space="preserve">Total                                          = </t>
  </si>
  <si>
    <t>Demand at Gen. End</t>
  </si>
  <si>
    <t>Forecast Demand at S/S end (MW)</t>
  </si>
  <si>
    <t>Load Shed Plan at S/S end in %</t>
  </si>
  <si>
    <t>Demand at S/S end</t>
  </si>
  <si>
    <t>iii) Maximum HVDC Flow :</t>
  </si>
  <si>
    <t>ii) HVDC Flow at Peak Time</t>
  </si>
  <si>
    <t>Forecast Plan at S/S end (MW)</t>
  </si>
  <si>
    <t xml:space="preserve">                   Coal    :</t>
  </si>
  <si>
    <t>Load factor L.F</t>
  </si>
  <si>
    <t>EWIC</t>
  </si>
  <si>
    <t>Amp</t>
  </si>
  <si>
    <t>Mvar</t>
  </si>
  <si>
    <t>Energy (Ashuganj end)</t>
  </si>
  <si>
    <t>Line # 1</t>
  </si>
  <si>
    <t>Line # 2</t>
  </si>
  <si>
    <t xml:space="preserve">Status = </t>
  </si>
  <si>
    <t>Western Zone Total</t>
  </si>
  <si>
    <t>Eastern Zone Total</t>
  </si>
  <si>
    <t>Fuel Type</t>
  </si>
  <si>
    <t>Present capacity</t>
  </si>
  <si>
    <t>Eve Peak Flow</t>
  </si>
  <si>
    <t>HVDC EvPeak Flow</t>
  </si>
  <si>
    <t>DayPeak</t>
  </si>
  <si>
    <t>EvPeak</t>
  </si>
  <si>
    <t>Available Max Generation             :</t>
  </si>
  <si>
    <t>System Load Factor          :</t>
  </si>
  <si>
    <t xml:space="preserve"> Total =</t>
  </si>
  <si>
    <t>Origin</t>
  </si>
  <si>
    <t>Private</t>
  </si>
  <si>
    <t>Public</t>
  </si>
  <si>
    <t>Wind</t>
  </si>
  <si>
    <t>Imported Power</t>
  </si>
  <si>
    <t>Nuclear</t>
  </si>
  <si>
    <t>Owner Display</t>
  </si>
  <si>
    <t>Owner to Display</t>
  </si>
  <si>
    <t>Pulic</t>
  </si>
  <si>
    <t>Imported</t>
  </si>
  <si>
    <t>Sl.</t>
  </si>
  <si>
    <t>Name of the Power Station</t>
  </si>
  <si>
    <t xml:space="preserve"> No.</t>
  </si>
  <si>
    <t>Present</t>
  </si>
  <si>
    <t xml:space="preserve"> Capacity</t>
  </si>
  <si>
    <t>No.</t>
  </si>
  <si>
    <t xml:space="preserve">Peak </t>
  </si>
  <si>
    <t xml:space="preserve">Hour </t>
  </si>
  <si>
    <t xml:space="preserve">Energy </t>
  </si>
  <si>
    <t>Generated</t>
  </si>
  <si>
    <t>Yesterday Day Peak</t>
  </si>
  <si>
    <t>Yesterday Evening Peak</t>
  </si>
  <si>
    <t>Update Time</t>
  </si>
  <si>
    <t>Water Level</t>
  </si>
  <si>
    <t>Rule Curve</t>
  </si>
  <si>
    <t>Tail Water</t>
  </si>
  <si>
    <t>Si No</t>
  </si>
  <si>
    <t>Unit</t>
  </si>
  <si>
    <t>Generation at 08:00(Today)</t>
  </si>
  <si>
    <t>Forecast Last Row</t>
  </si>
  <si>
    <t>Forecast Last Column</t>
  </si>
  <si>
    <t>HVDC Max Flow</t>
  </si>
  <si>
    <t>EvReport/Forecast Row No.</t>
  </si>
  <si>
    <t>East-West Interconnector</t>
  </si>
  <si>
    <t>E-W INT.(Export)</t>
  </si>
  <si>
    <t>Remote Address</t>
  </si>
  <si>
    <t>192.168.92.53</t>
  </si>
  <si>
    <t>ShiftActivity Drive</t>
  </si>
  <si>
    <t>By Solar</t>
  </si>
  <si>
    <t>eg: D:, F:, C:</t>
  </si>
  <si>
    <t>SL</t>
  </si>
  <si>
    <t>Siddhirganj ST</t>
  </si>
  <si>
    <t>Siddhirganj GT:Unit-1 &amp; 2</t>
  </si>
  <si>
    <t>Haripur SBU</t>
  </si>
  <si>
    <t>Haripur Power 360 MW</t>
  </si>
  <si>
    <t>Meghnaghat 450 MW</t>
  </si>
  <si>
    <t>Narayangonj 33 MW</t>
  </si>
  <si>
    <t>Madanganj  Summit</t>
  </si>
  <si>
    <t>Meghnaghat  IEL</t>
  </si>
  <si>
    <t>Dutch Bangla</t>
  </si>
  <si>
    <t>Gagnagar</t>
  </si>
  <si>
    <r>
      <t xml:space="preserve">           </t>
    </r>
    <r>
      <rPr>
        <b/>
        <u/>
        <sz val="11"/>
        <color indexed="8"/>
        <rFont val="Bookman Old Style"/>
        <family val="1"/>
      </rPr>
      <t>AREA WISE DEMAND &amp; LOAD - SHEDDING FORECAST</t>
    </r>
  </si>
  <si>
    <t xml:space="preserve">     Load Shed </t>
  </si>
  <si>
    <t>E:</t>
  </si>
  <si>
    <t>Kzwgjøv</t>
  </si>
  <si>
    <t>For Plants S/D or M/C prob       =</t>
  </si>
  <si>
    <t xml:space="preserve">For Fuel Limitation                     = </t>
  </si>
  <si>
    <t>Day peak</t>
  </si>
  <si>
    <t>Evn. peak</t>
  </si>
  <si>
    <t>NSI  Reading</t>
  </si>
  <si>
    <t xml:space="preserve">               EVENING PEAK GENERATION AND DAY LONG ENERGY DATA OF POWER STATIONS</t>
  </si>
  <si>
    <t>Sirajgonj Unit-1 225MW</t>
  </si>
  <si>
    <t>Sirajgonj Unit-2 225MW</t>
  </si>
  <si>
    <t>\\192.168.92.42</t>
  </si>
  <si>
    <t>WesternBlank</t>
  </si>
  <si>
    <t>EasternBlank</t>
  </si>
  <si>
    <t>Last Row</t>
  </si>
  <si>
    <t>APR Energy , Keranigonj</t>
  </si>
  <si>
    <t>Sunamganj</t>
  </si>
  <si>
    <t>1*243+1*122</t>
  </si>
  <si>
    <t>1*150+1*175</t>
  </si>
  <si>
    <t>18*17.076</t>
  </si>
  <si>
    <t>154*1.4</t>
  </si>
  <si>
    <t>1*275</t>
  </si>
  <si>
    <t>70*1.4</t>
  </si>
  <si>
    <t>2*40</t>
  </si>
  <si>
    <t>3*3.67+4*8.73</t>
  </si>
  <si>
    <t>3*3.67+3*8.73</t>
  </si>
  <si>
    <t>Summit Rupganj</t>
  </si>
  <si>
    <t>20*9.73+1*16</t>
  </si>
  <si>
    <t>1*109+1*54</t>
  </si>
  <si>
    <t>1*278+1*132</t>
  </si>
  <si>
    <t xml:space="preserve"> Bramhangoan 100 MW (Aggreko)</t>
  </si>
  <si>
    <t>Sirajgonj Unit-3 225MW</t>
  </si>
  <si>
    <t>Peak hour Max Gen</t>
  </si>
  <si>
    <t>Bheramara HVDC</t>
  </si>
  <si>
    <t>Ramganj</t>
  </si>
  <si>
    <t>Aggreko Aurahati 100MW</t>
  </si>
  <si>
    <t>0.85*23+0.95*91</t>
  </si>
  <si>
    <t>Sonargaon</t>
  </si>
  <si>
    <t>Dhamrai</t>
  </si>
  <si>
    <t>MAXIMUM &amp; MINIMUM VOLTAGES OF DIFFERENT GRID SUB-STATIONS:</t>
  </si>
  <si>
    <t>BIBIYANA</t>
  </si>
  <si>
    <t>Ashuganj(N)</t>
  </si>
  <si>
    <t>Summit Gazipur-1  150MW</t>
  </si>
  <si>
    <t>Matarbari</t>
  </si>
  <si>
    <t>Ashuganj (S)</t>
  </si>
  <si>
    <t>Contract Expired</t>
  </si>
  <si>
    <t>Fuel type (Mandtory)</t>
  </si>
  <si>
    <t>Plant name (Mandatory)</t>
  </si>
  <si>
    <t>Zone (Mandatory)</t>
  </si>
  <si>
    <t>Category (Mandatory)</t>
  </si>
  <si>
    <t xml:space="preserve">Note : Mandatory fields must be fillup correctly. </t>
  </si>
  <si>
    <t>Optional fields can be filledup in the Master after adding machine.</t>
  </si>
  <si>
    <t>SNWPGCL</t>
  </si>
  <si>
    <t>2*500</t>
  </si>
  <si>
    <t>Khulna (Aggreeco) 55MW</t>
  </si>
  <si>
    <t>Rangamati</t>
  </si>
  <si>
    <t>Cumilla</t>
  </si>
  <si>
    <t>Chattogram</t>
  </si>
  <si>
    <t>Cumilla Area Total</t>
  </si>
  <si>
    <t>Chattogram  area Total</t>
  </si>
  <si>
    <t>Chattogram  Area Total</t>
  </si>
  <si>
    <t>1*141</t>
  </si>
  <si>
    <t>6*18.445</t>
  </si>
  <si>
    <t>256*1.4</t>
  </si>
  <si>
    <t>Ghorasal GT: Unit-3</t>
  </si>
  <si>
    <t>Ghorasal GT: Unit-4</t>
  </si>
  <si>
    <t>Kodda 149MW</t>
  </si>
  <si>
    <t>23*7.015</t>
  </si>
  <si>
    <t>Summit Gazipur -2</t>
  </si>
  <si>
    <t>Power flow through E-W Interconnectors  :</t>
  </si>
  <si>
    <t>MW  (E to W) at</t>
  </si>
  <si>
    <t>Generations in Narayanganj, Gazipur,Narsinghdi and Dhaka</t>
  </si>
  <si>
    <t>Page- 3</t>
  </si>
  <si>
    <t>MW                                                    Hour :</t>
  </si>
  <si>
    <t>Month / Day / Year</t>
  </si>
  <si>
    <t>Siddhirganj Desh</t>
  </si>
  <si>
    <t>1*282+1*132</t>
  </si>
  <si>
    <t>HG</t>
  </si>
  <si>
    <t>7.4 MW</t>
  </si>
  <si>
    <t>Max Voltage</t>
  </si>
  <si>
    <t>Min</t>
  </si>
  <si>
    <t>29/5/2019</t>
  </si>
  <si>
    <t>Ghorasal TPP (Unit-1&amp;2)</t>
  </si>
  <si>
    <t>Ghorasal Repowered CCPP Unit-3</t>
  </si>
  <si>
    <t>Ghorasal Repowered CCPP Unit-4</t>
  </si>
  <si>
    <t>Ghorasal TPP Unit-5</t>
  </si>
  <si>
    <t>Ghorasal 365 MW CCPP Unit-7</t>
  </si>
  <si>
    <t>Ghorashal 108MW PP (Regent)</t>
  </si>
  <si>
    <t>Ghorashal 78.5 MW PP(MAX)</t>
  </si>
  <si>
    <t>Haripur 360MW CCPP(HPL)</t>
  </si>
  <si>
    <t>Meghnaghat 450 MW CCPP(MPL)</t>
  </si>
  <si>
    <t>Meghnaghat 100 MW(IEL)</t>
  </si>
  <si>
    <t>Madanganj 102 PP(Summit)</t>
  </si>
  <si>
    <t>Madanganj-55 MW PP(Summit)</t>
  </si>
  <si>
    <t>Siddhirganj 335 MW CCPP</t>
  </si>
  <si>
    <t>210 MW Siddhirgonj TPP</t>
  </si>
  <si>
    <t xml:space="preserve">Siddhirgonj 2*120 MW GTPP </t>
  </si>
  <si>
    <t>Siddhirganj 100 PP(Dutch Bangla)</t>
  </si>
  <si>
    <t>Kodda 150MW PP</t>
  </si>
  <si>
    <t>Bosila 108MW PP(CLC)</t>
  </si>
  <si>
    <t>Manikganj 55 MW PP (Northern)</t>
  </si>
  <si>
    <t>Katpotti 52 MW PP (Sinha)</t>
  </si>
  <si>
    <t>Keraniganj 100 MW PP (Powerpac)</t>
  </si>
  <si>
    <t>Gagnagar 102 MW PP (Digital Power)</t>
  </si>
  <si>
    <t>Nababganj 55 MW PP (Southern power )</t>
  </si>
  <si>
    <t>Narshingdi 22 MW PP  (Doreen)</t>
  </si>
  <si>
    <t>Gazipur 52 MW PP</t>
  </si>
  <si>
    <t>Karnaphuli Hydro PP Unit-1,2,3,4, 5</t>
  </si>
  <si>
    <t>Karnaphuli Hydro PP Unit-1, 2 &amp; 3</t>
  </si>
  <si>
    <t>Karnaphuli Hydro PP Unit-4 &amp; 5</t>
  </si>
  <si>
    <t xml:space="preserve">Chattogram TPP-1 </t>
  </si>
  <si>
    <t>Chattogram TPP-2</t>
  </si>
  <si>
    <t>Raozan 25 MW PP</t>
  </si>
  <si>
    <t>Sikalbaha 225MW CCPP (Gas)</t>
  </si>
  <si>
    <t>Sikalbaha 225MW CCPP(Oil)</t>
  </si>
  <si>
    <t>Sikalbaha 150MW GTPP</t>
  </si>
  <si>
    <t>Sikalbaha 150MW GTPP(Oil)</t>
  </si>
  <si>
    <t>Hathazari 100 MW peaking PP</t>
  </si>
  <si>
    <t>Dohazari -Kalaish 100 MW Peaking</t>
  </si>
  <si>
    <t>Juldah 100 MW Unit-1 (Acorn)</t>
  </si>
  <si>
    <t>Chattogram 108 MW PP (ECPV)</t>
  </si>
  <si>
    <t>Patenga 50MW PP (Baraka)</t>
  </si>
  <si>
    <t>Barabkunda  22 MW PP (Regent)</t>
  </si>
  <si>
    <t>Ashuganj TPP Unit- 3</t>
  </si>
  <si>
    <t>Ashuganj TPP Unit- 4</t>
  </si>
  <si>
    <t>Ashuganj TPP Unit- 5</t>
  </si>
  <si>
    <t>Ashuganj 450 MW CCPP(North)</t>
  </si>
  <si>
    <t>Ashuganj 450 MW CCPP(South)</t>
  </si>
  <si>
    <t xml:space="preserve">Ashuganj 225 MW  CCPP </t>
  </si>
  <si>
    <t xml:space="preserve">Ashuganj 195MW PP (APSCL-United) </t>
  </si>
  <si>
    <t>Chandpur 150 MW CCPP</t>
  </si>
  <si>
    <t xml:space="preserve">Ashuganj 50 MW PP </t>
  </si>
  <si>
    <t xml:space="preserve">Ashuganj 55 MW PP  (Precision) </t>
  </si>
  <si>
    <t>Ashuganj 53MW PP (United)</t>
  </si>
  <si>
    <t>Ashuganj  51 MW PP (Midland)</t>
  </si>
  <si>
    <t>Titas 50 MW Peaking PP</t>
  </si>
  <si>
    <t>Jangalia 52 MW PP (Lakdanavi)</t>
  </si>
  <si>
    <t>Feni  22MW PP (Doreen)</t>
  </si>
  <si>
    <t>Feni 11 MW PP  (Doreen)</t>
  </si>
  <si>
    <t xml:space="preserve">Jangalia 33MW PP (Summit) </t>
  </si>
  <si>
    <t>Cumilla 25 MW PP (Summit)</t>
  </si>
  <si>
    <t>Impoprt (Tripura)</t>
  </si>
  <si>
    <t>RPCL 210MW CCPP</t>
  </si>
  <si>
    <t>Tangail  22 MW PP (Doreen)</t>
  </si>
  <si>
    <t>Sarishabari 3 MW Solar Plant</t>
  </si>
  <si>
    <t>Fenchugonj CCPP Phase-1</t>
  </si>
  <si>
    <t>Fenchugonj CCPP Phase-2</t>
  </si>
  <si>
    <t xml:space="preserve">Fenchugonj 51 MW PP  (Barakatullah) </t>
  </si>
  <si>
    <t>Fenchuganj  44MW (Energyprima)</t>
  </si>
  <si>
    <t>Kushiara 163 MW CCPP (KP)</t>
  </si>
  <si>
    <t>Shajibazar 330 MW CCPP</t>
  </si>
  <si>
    <t xml:space="preserve">Shahjibazar GTPP Unit- 8 &amp; 9 </t>
  </si>
  <si>
    <t>Shahjibazar 86MW PP (Shahjibazar)</t>
  </si>
  <si>
    <t xml:space="preserve">Shahjibazar  50MW PP (EPL)  </t>
  </si>
  <si>
    <t>Sylhet 150 MW CCPP</t>
  </si>
  <si>
    <t>Sylhet  20 MW GTPP</t>
  </si>
  <si>
    <t>Sylhet  50MW PP (EPL)</t>
  </si>
  <si>
    <t xml:space="preserve">Sylhet 10MW PP (Desh)  </t>
  </si>
  <si>
    <t>Bibiana-II 341 MW CCPP (Summit)</t>
  </si>
  <si>
    <t>Shahjahanulla 25 MW PP</t>
  </si>
  <si>
    <t>Hobiganj  11MW PP Cofidence-E</t>
  </si>
  <si>
    <t>Daudkandi 200 MW PP (B.Trac)</t>
  </si>
  <si>
    <t xml:space="preserve">Kodda 300 MW PP Unit-2 (Summit) </t>
  </si>
  <si>
    <t xml:space="preserve"> Keranigonj 300 MW PP (APR)</t>
  </si>
  <si>
    <t xml:space="preserve"> Bramhangoan 100 MW PP (Aggreko)</t>
  </si>
  <si>
    <t>Aurahati 100MW PP (Aggreko)</t>
  </si>
  <si>
    <t xml:space="preserve">Kodda 149 MW PP Unit-1 (Summit) </t>
  </si>
  <si>
    <t>Teknaf  20MW PP (Solartech)</t>
  </si>
  <si>
    <t>Juldah 100 MW PP Unit-3 (Acorn)</t>
  </si>
  <si>
    <t>Chandpur 200MW (Desh energy)</t>
  </si>
  <si>
    <t>Ashuganj 150MW PP (Midland)</t>
  </si>
  <si>
    <t>Jamalpur 115 MW PP (United)</t>
  </si>
  <si>
    <t>Gazipur 100 MW PP</t>
  </si>
  <si>
    <t>Sikalbaha 105 MW PP (Baraka Sikalbaha)</t>
  </si>
  <si>
    <t>Kaptai 7 MW  Solar PP</t>
  </si>
  <si>
    <t>Anwara 300 MW PP (United)</t>
  </si>
  <si>
    <t>Khulna  115 MW PP  (KPCL-1 &amp; 3)</t>
  </si>
  <si>
    <t>Khulna 115 PP MW (KPCL-2)</t>
  </si>
  <si>
    <t>Khulna  225 MW CCPP</t>
  </si>
  <si>
    <t>Faridpur 50 MW Peaking PP</t>
  </si>
  <si>
    <t>Gopalganj 100 MW Peaking PP</t>
  </si>
  <si>
    <t>Bhola 225 MW  CCPP</t>
  </si>
  <si>
    <t>Noapara 40 MW PP (Khanjahan Ali)</t>
  </si>
  <si>
    <t>Barisal 110 MW PP (Summit )</t>
  </si>
  <si>
    <t>Barisal GT PP Unit-1&amp; 2</t>
  </si>
  <si>
    <t>Bhola  33 MW PP (Venture)</t>
  </si>
  <si>
    <t>Baghabari  100 MW GTPP</t>
  </si>
  <si>
    <t>Baghabari 71 MW GTPP</t>
  </si>
  <si>
    <t>Baghabari  50 MW Peaking PP</t>
  </si>
  <si>
    <t>Bera 70 MW Peaking PP</t>
  </si>
  <si>
    <t>Chapainawabganj 100 MW Peaking PP</t>
  </si>
  <si>
    <t>Katakhali 50 MW PP (Northern)</t>
  </si>
  <si>
    <t>Katakhali 50 MW Peaking PP</t>
  </si>
  <si>
    <t xml:space="preserve">Natore 52 MW PP (Rajlanka) </t>
  </si>
  <si>
    <t>Santahar  50 MW Peaking PP</t>
  </si>
  <si>
    <t>Bogra 22 MW PP (GBB)</t>
  </si>
  <si>
    <t>Bogura 20 MW PP (Energyprima)</t>
  </si>
  <si>
    <t>Ullapara 11 MW PP  (Summit)</t>
  </si>
  <si>
    <t xml:space="preserve">Barapukuria TPP Unit-1 </t>
  </si>
  <si>
    <t>Barapukuria TPP  Unit-2</t>
  </si>
  <si>
    <t>Barapukuria 275 MW TPP Unit-3</t>
  </si>
  <si>
    <t>Rangpur 20 MW  GTPP</t>
  </si>
  <si>
    <t>Saidpur 20 MW GTPP</t>
  </si>
  <si>
    <t>Sirajgonj 225MW CCPP Unit-1  (Gas)</t>
  </si>
  <si>
    <t>Sirajgonj  225MW CCPP Unit-1(Oil)</t>
  </si>
  <si>
    <t>Sirajgonj 225 MW CCPP   Unit-2  (Gas)</t>
  </si>
  <si>
    <t>Sirajgonj 225 MW CCPP   Unit-2  (Oil)</t>
  </si>
  <si>
    <t>Bhola 95 MW PP (Aggreko)</t>
  </si>
  <si>
    <t xml:space="preserve"> Noapara 100 MW PP (Bangla Trac)</t>
  </si>
  <si>
    <t>Sirajgonj 225MW CCPP Unit-3  (Gas)</t>
  </si>
  <si>
    <t>Sirajgonj 225MW CCPP Unit-3  (Oil)</t>
  </si>
  <si>
    <t>Rupsha 105 MW PP (Orion rupsha)</t>
  </si>
  <si>
    <t>Baghabari 200 MW PP (Paramount)</t>
  </si>
  <si>
    <t>Madhumati 100 MW PP</t>
  </si>
  <si>
    <t xml:space="preserve">Rangpur 113 MW PP (Confidence)  </t>
  </si>
  <si>
    <t>Plant Removed</t>
  </si>
  <si>
    <t>Kamalaghat 54 MW PP(Banco Energy)</t>
  </si>
  <si>
    <t>Haripur GTPP</t>
  </si>
  <si>
    <t>Tongi 80 MW GTPP</t>
  </si>
  <si>
    <r>
      <t>Kamalaghat 54 MW PP(</t>
    </r>
    <r>
      <rPr>
        <sz val="10"/>
        <color indexed="9"/>
        <rFont val="Arial"/>
        <family val="2"/>
      </rPr>
      <t>Banco Energy</t>
    </r>
    <r>
      <rPr>
        <sz val="14"/>
        <color indexed="9"/>
        <rFont val="Arial"/>
        <family val="2"/>
      </rPr>
      <t>)</t>
    </r>
  </si>
  <si>
    <t>Maona 33 MW PP(Summit)</t>
  </si>
  <si>
    <t xml:space="preserve">Rupganj 33 MW PP(Summit) </t>
  </si>
  <si>
    <t>Sikalbaha 225MW CCPP</t>
  </si>
  <si>
    <t>Sikalbaha 51 MW PP(Energis)</t>
  </si>
  <si>
    <t>Jamalpur 95 MW PP(Powerpac)</t>
  </si>
  <si>
    <t xml:space="preserve"> Mymensingh 200 MW PP (United)</t>
  </si>
  <si>
    <t>Bheramara GTPP Unit-1,2 &amp; 3</t>
  </si>
  <si>
    <t>Amnura 50 MW PP(Sinha)</t>
  </si>
  <si>
    <t>Sirajgonj 225MW CCPP Unit-1</t>
  </si>
  <si>
    <t>Sirajgonj 225MW CCPP Unit-2</t>
  </si>
  <si>
    <t>Sirajgonj 225MW CCPP Unit-3</t>
  </si>
  <si>
    <t>Sirajgonj 400MW CCPP Unit-4 (Oil)</t>
  </si>
  <si>
    <t>414 MW</t>
  </si>
  <si>
    <t>Entry date (Month/Day/Year)</t>
  </si>
  <si>
    <t>Sirajgonj 400 MW CCPP Unit-4</t>
  </si>
  <si>
    <t xml:space="preserve">     Report on Forecasted Generation &amp; Demand of national grid on </t>
  </si>
  <si>
    <t>8 MW</t>
  </si>
  <si>
    <t>Sympa Solar Power 8MW</t>
  </si>
  <si>
    <t>Max Load, Max-Min voltage Collect</t>
  </si>
  <si>
    <t xml:space="preserve">Hourly Generation Update to PGCB Website </t>
  </si>
  <si>
    <t>Forecast &amp; Demand Update to PGCB Website</t>
  </si>
  <si>
    <t xml:space="preserve">Shift </t>
  </si>
  <si>
    <t>A</t>
  </si>
  <si>
    <t>B</t>
  </si>
  <si>
    <t>C</t>
  </si>
  <si>
    <t>Send Demand Sheet via E-mail</t>
  </si>
  <si>
    <t>Send DGFI Report via E-mail</t>
  </si>
  <si>
    <t xml:space="preserve">Forecast Report Create &amp; Send via E-mail  </t>
  </si>
  <si>
    <t xml:space="preserve">Task </t>
  </si>
  <si>
    <t>Evening Report Create &amp; Send via E-mail</t>
  </si>
  <si>
    <t xml:space="preserve">Outage Schedule Send via E-mail </t>
  </si>
  <si>
    <t xml:space="preserve">                                                                                        Network Operation Division, NLDC</t>
  </si>
  <si>
    <t xml:space="preserve">Reporting Desk Task Check List </t>
  </si>
  <si>
    <t>Hourly</t>
  </si>
  <si>
    <t>Target Time</t>
  </si>
  <si>
    <t>A Shift Remarks ( If necessary)</t>
  </si>
  <si>
    <t>B Shift Remarks ( If necessary)</t>
  </si>
  <si>
    <t>C Shift Remarks ( If necessary)</t>
  </si>
  <si>
    <t>Signature  (SAE)</t>
  </si>
  <si>
    <t>Signature  (XEN)</t>
  </si>
  <si>
    <t xml:space="preserve">Daily Report Create, E-mail &amp; upload to PGCB Website </t>
  </si>
  <si>
    <t xml:space="preserve">              Power Grid Company of Bangladesh Ltd.</t>
  </si>
  <si>
    <t>Arrival time</t>
  </si>
  <si>
    <t>Demand Match ( 63 of  )</t>
  </si>
  <si>
    <t>Completion Time</t>
  </si>
  <si>
    <t>Jodiac Power</t>
  </si>
  <si>
    <t>Day peak Generation          :</t>
  </si>
  <si>
    <t>Evening peak Generation          :</t>
  </si>
  <si>
    <t>Total Energy Generation          :</t>
  </si>
  <si>
    <t xml:space="preserve">         By Gas          :</t>
  </si>
  <si>
    <t xml:space="preserve">         By Coal :</t>
  </si>
  <si>
    <t>Generation Shortfall        :</t>
  </si>
  <si>
    <t>Kurigram</t>
  </si>
  <si>
    <t>Karnaphuli Power Ltd.</t>
  </si>
  <si>
    <t>QF-LDC-09</t>
  </si>
  <si>
    <t>3*18.55+1*3.6</t>
  </si>
  <si>
    <t>Load Shed Report Create &amp; Send via E-mail to SE,LDC</t>
  </si>
  <si>
    <t>Prepare tiffin Bill</t>
  </si>
  <si>
    <t xml:space="preserve"> KWH </t>
  </si>
  <si>
    <t>1*217+118</t>
  </si>
  <si>
    <t>400 MW</t>
  </si>
  <si>
    <t>Bibiyana-III     400 MW CCPP</t>
  </si>
  <si>
    <t>6*18.55</t>
  </si>
  <si>
    <t>Confidence Power Bogura Unit-1 113 MW</t>
  </si>
  <si>
    <t>:</t>
  </si>
  <si>
    <t>GPH</t>
  </si>
  <si>
    <t>Bagura 113 MW PP (Confidence)-2</t>
  </si>
  <si>
    <t xml:space="preserve">MW  </t>
  </si>
  <si>
    <t>af) Sunamganj 132/33 kV T-2 transformer was under shut down from 14:35 to 17:16 for A/M.</t>
  </si>
  <si>
    <t>ae) Chapainawabganj 132/33 kV T-1 transformer was under shut down from 16:30 to 19:15 due to TCSR problem.</t>
  </si>
  <si>
    <t>ag) Mymensing 132/33 kV T-3 transformer was under shut down from 21:05 to 21:56 due to 33 kV bus</t>
  </si>
  <si>
    <t xml:space="preserve">    maintenance by PDB.</t>
  </si>
  <si>
    <t xml:space="preserve">About 25 MW power interruption occurred under Mymensing S/S area </t>
  </si>
  <si>
    <t xml:space="preserve">About 22 MW power interruption occurred under Barisal S/S area </t>
  </si>
  <si>
    <t>from 10:30 to 11:11.</t>
  </si>
  <si>
    <t>ah) Feni-Feni Lanka P/S 132 kV Ckt first energised at 20:21.</t>
  </si>
  <si>
    <t>ai) Feni Lanka 114 MW main bus was energised at 20:54.</t>
  </si>
  <si>
    <t>aj) Feni Lanka 114 MW unit tansformer-1 was energised at 20:56.</t>
  </si>
  <si>
    <t>ak) Feni Lanka 114 MW unit tansformer-2 was energised at 21:17.</t>
  </si>
  <si>
    <t>al) Shahajibazar 50 MW(EPL) was shut down at 00:01(13/11/2019) due to contract expired.</t>
  </si>
  <si>
    <t>am) Meghnaghat-Shympur 230 kV Ckt tripped at 00:46(13/11/2019) from Meghnaghat end showing Dist. Z1</t>
  </si>
  <si>
    <t xml:space="preserve">     TCSR relays and was switched on at 01:06(13/11/2019).</t>
  </si>
  <si>
    <t>an) Cox'sbazar-Dohazari 132 kV Ckt-1 was shut down at 06:38(13/11/2019) for C/M.</t>
  </si>
  <si>
    <t>Feni Lanka Power</t>
  </si>
  <si>
    <t>7*18.415+1*9.78</t>
  </si>
  <si>
    <t>Under maint</t>
  </si>
  <si>
    <t xml:space="preserve">    (a) Yesterday  :</t>
  </si>
  <si>
    <t>PHP</t>
  </si>
  <si>
    <t>Chowmuhani 113 MW</t>
  </si>
  <si>
    <t>12*9.78+2*3.1</t>
  </si>
  <si>
    <t xml:space="preserve">Haripur 412 MW </t>
  </si>
  <si>
    <t>Bheramara 410 MW CCPP</t>
  </si>
  <si>
    <t>1| gvbbxq cÖavbgš¿xi GKvšZ mwPe,cÖavbgš¿xi Kvhv©jq ( d¨v· bsÑ 8115900 )</t>
  </si>
  <si>
    <t xml:space="preserve">About 35 MW power interruption has been occurring under Chuadanga S/S </t>
  </si>
  <si>
    <t>area since 07:10(04/01/2020).</t>
  </si>
  <si>
    <t>Payra 1320 MW</t>
  </si>
  <si>
    <t>since 21:05 to 21:56.</t>
  </si>
  <si>
    <t>p) Siddhirganj 335 MW ST tripped at 13:13 due to vacuum pressure fall.</t>
  </si>
  <si>
    <t>q) After maintenance Ishurdi-Bheramara 132 kV Ckt-1 was switched on at 20:32.</t>
  </si>
  <si>
    <t>r) Sylhet 150 MW GT tripped at 14:35 due to gas concentration alarm and was synchronized at 15:40.</t>
  </si>
  <si>
    <t>s) Ashuganj 450 MW CCPP tripped at 20:43 due to problem at GBC and was synchronized at 21:45.</t>
  </si>
  <si>
    <t>t) Shympur(old)-Shympur(new) 132 kV Ckt-1 was under shut down from 18:37 to 19:42 due to red hot</t>
  </si>
  <si>
    <t xml:space="preserve">    maintenance at Shyampur(Old) S/S end.</t>
  </si>
  <si>
    <t>u) Shympur(old)-Shympur(new) 132 kV Ckt-2 was under shut down from 19:47 to 21:34 due to red hot</t>
  </si>
  <si>
    <t xml:space="preserve">v) Barishal(S)-Patuakhali 132 kV single Ckt was shut down at 07:22(16/01/2020) for C/M. </t>
  </si>
  <si>
    <t xml:space="preserve">ac) Kulshi-Baraulia 132 kV Ckt was shut down at 07:54(16/01/2020) for A/M. </t>
  </si>
  <si>
    <t>ab) Goalpara 132/33 kV T5 transformer was shut down at 07:43(16/01/2020) for A/M.</t>
  </si>
  <si>
    <t>aa) Ashuganj(south) 450 MW STG was synchronized at 00:51(16/01/2020).</t>
  </si>
  <si>
    <t>z) Sirajganj 210 MW unit-1 ST was synchronized at 03:28(16/01/2020).</t>
  </si>
  <si>
    <t>y) Sirajganj 210 MW unit-1 GT was synchronized at 00:53(16/01/2020).</t>
  </si>
  <si>
    <t xml:space="preserve">   switched on at 00:08(16/01/2020).</t>
  </si>
  <si>
    <t xml:space="preserve">x) Bagerhat 132/33 kV T1 transformer tripped at 23:33 from both end showing E/F, O/C relays and was </t>
  </si>
  <si>
    <t>w) Bhandaria-Bagerhat 132 kV Ckt was shut down at 07:20(16/01/2020) from Bhandaria shift to Barisal(S).</t>
  </si>
  <si>
    <t>Payra</t>
  </si>
  <si>
    <t>System Total</t>
  </si>
  <si>
    <t>MegaVAR</t>
  </si>
  <si>
    <t>NEPC</t>
  </si>
  <si>
    <t>Ashugonj 1&amp;2</t>
  </si>
  <si>
    <t>Sikalbaha 150MW GTPP (Gas)</t>
  </si>
  <si>
    <t>g</t>
  </si>
  <si>
    <t>Cumilla Area</t>
  </si>
  <si>
    <t>Rajendrapur</t>
  </si>
  <si>
    <t>Bibiyana-III</t>
  </si>
  <si>
    <t>Teknaf  Solartech</t>
  </si>
  <si>
    <t>Kaptai Solar</t>
  </si>
  <si>
    <t>Sarishabari Solar</t>
  </si>
  <si>
    <t>Sympa Solar Power</t>
  </si>
  <si>
    <t>400 MW CCPP</t>
  </si>
  <si>
    <t>20 MW</t>
  </si>
  <si>
    <t xml:space="preserve"> 3 MW</t>
  </si>
  <si>
    <t xml:space="preserve">             25/03/2020</t>
  </si>
  <si>
    <t xml:space="preserve"> -=0oi</t>
  </si>
  <si>
    <t>132 kV =112 Nos</t>
  </si>
  <si>
    <t>230 kV= 26 Nos</t>
  </si>
  <si>
    <t>400 kV =5 Nos</t>
  </si>
  <si>
    <t>PGCB Owned S/S</t>
  </si>
  <si>
    <t>Don't Delete</t>
  </si>
  <si>
    <t>e</t>
  </si>
  <si>
    <t>8*13.6</t>
  </si>
  <si>
    <t>Sylhet 225 MW CCPP</t>
  </si>
  <si>
    <t>1*142+1*89</t>
  </si>
  <si>
    <t>Bheramara GTPP Unit-3</t>
  </si>
  <si>
    <t>BCPCL</t>
  </si>
  <si>
    <t>Juldah unit-2 (Acorn)</t>
  </si>
  <si>
    <t>Bibiyana South 400 MW</t>
  </si>
  <si>
    <t>18.5*6</t>
  </si>
  <si>
    <t>Meghnaghat 104 MW PP (OPCL)</t>
  </si>
  <si>
    <t>Fatullah</t>
  </si>
  <si>
    <t>Madunaghat</t>
  </si>
  <si>
    <t>Goalpara</t>
  </si>
  <si>
    <t>Reserve.</t>
  </si>
  <si>
    <t xml:space="preserve"> katpotti 52 MW</t>
  </si>
  <si>
    <t>SWPGCL</t>
  </si>
  <si>
    <t>Mini Flow</t>
  </si>
  <si>
    <t>Bhola Nutan Biddut BD LTD (GAS)</t>
  </si>
  <si>
    <t>Bhola Nutan Biddut BD LTD (OIL)</t>
  </si>
  <si>
    <t>Brishal</t>
  </si>
  <si>
    <t>Bhola Nutan Biddut BD LTD</t>
  </si>
  <si>
    <t>Don't input value before COD</t>
  </si>
  <si>
    <t>9*18</t>
  </si>
  <si>
    <t>Anlima Energy Ltd.</t>
  </si>
  <si>
    <t>6*21.2</t>
  </si>
  <si>
    <t>8*18.5+1*9.5</t>
  </si>
  <si>
    <t>United Payra Power Ltd.</t>
  </si>
  <si>
    <t>Aftabnagar</t>
  </si>
  <si>
    <t>Manikgonj 162MW PP(MPGL)</t>
  </si>
  <si>
    <t>Sutiakhali 50 MW Solar PP</t>
  </si>
  <si>
    <t>SOLAR</t>
  </si>
  <si>
    <t>Tangail Palli Power Gen 22 MW</t>
  </si>
  <si>
    <t>4*6.7</t>
  </si>
  <si>
    <t>Shahjibazar 100 MW GTPP</t>
  </si>
  <si>
    <t>line-1:</t>
  </si>
  <si>
    <t>line-2:</t>
  </si>
  <si>
    <t>Barishal</t>
  </si>
  <si>
    <t>Zone Wise Generation</t>
  </si>
  <si>
    <t xml:space="preserve">        POWER GRID COMPANY OF BANGLADESH LTD.</t>
  </si>
  <si>
    <t>MAXIMUM  LOAD SERVED BY DIFFERENT GRID SUB-STATIONS</t>
  </si>
  <si>
    <t xml:space="preserve">                                                                POWER GRID COMPANY OF BANGLADESH LTD.</t>
  </si>
  <si>
    <t xml:space="preserve">                                                                 NATIONAL LOAD  DESPATCH  CENTER</t>
  </si>
  <si>
    <t xml:space="preserve">                                                              DAILY   REPORT</t>
  </si>
  <si>
    <t>Ghorasal end (M/F-1650000)</t>
  </si>
  <si>
    <t>2*622</t>
  </si>
  <si>
    <t>Narail</t>
  </si>
  <si>
    <t>Motiur</t>
  </si>
  <si>
    <t>Bhola 225 MW</t>
  </si>
  <si>
    <t>Machine problem</t>
  </si>
  <si>
    <t>Ullon</t>
  </si>
  <si>
    <t>Bhairob 54.5 MW</t>
  </si>
  <si>
    <t>3*18.2</t>
  </si>
  <si>
    <t>Spectra Solar Plant Ltd.</t>
  </si>
  <si>
    <t xml:space="preserve">           Superintendent Engineer </t>
  </si>
  <si>
    <t xml:space="preserve">      Water Level of Kaptai Lake at 6:00 A M on</t>
  </si>
  <si>
    <t>Nawabganj</t>
  </si>
  <si>
    <t>Mithapukur</t>
  </si>
  <si>
    <t>line-1</t>
  </si>
  <si>
    <t>=</t>
  </si>
  <si>
    <t>Ishurdi end (M/F-1672727.3)</t>
  </si>
  <si>
    <t>Meghnaghat CCPP ( Summit)</t>
  </si>
  <si>
    <t xml:space="preserve">HG </t>
  </si>
  <si>
    <t>KWHr</t>
  </si>
  <si>
    <t>Machine problem.</t>
  </si>
  <si>
    <t>% increased or % decreased</t>
  </si>
  <si>
    <t>Date From:</t>
  </si>
  <si>
    <t>mm/dd/yyyy</t>
  </si>
  <si>
    <t>Date To:</t>
  </si>
  <si>
    <t>33 kV feeder fault</t>
  </si>
  <si>
    <t>Bhangura</t>
  </si>
  <si>
    <t>Kazla</t>
  </si>
  <si>
    <t>Ghorasal Repowered CCPP:Unit-3 (GT</t>
  </si>
  <si>
    <t>1*260</t>
  </si>
  <si>
    <t xml:space="preserve"> Sirajgonj 6.55 MW Solar</t>
  </si>
  <si>
    <t>1*6</t>
  </si>
  <si>
    <t>Motijheel</t>
  </si>
  <si>
    <t xml:space="preserve">132 kV </t>
  </si>
  <si>
    <t>230 kV</t>
  </si>
  <si>
    <t>400 kV</t>
  </si>
  <si>
    <t>Substation</t>
  </si>
  <si>
    <t>Updated</t>
  </si>
  <si>
    <t>23/5/21</t>
  </si>
  <si>
    <t>Agrabad</t>
  </si>
  <si>
    <t>Rajbari</t>
  </si>
  <si>
    <t>21/7/2021 Contact exp</t>
  </si>
  <si>
    <t>Kishoreganj</t>
  </si>
  <si>
    <t>Jhenaidah</t>
  </si>
  <si>
    <t>Ashuganj end (2000)</t>
  </si>
  <si>
    <t>Serajganj end (2000)</t>
  </si>
  <si>
    <t>P.GEN(HFO).</t>
  </si>
  <si>
    <t>G.GEN(HSD)</t>
  </si>
  <si>
    <t>G.GEN(HFO)</t>
  </si>
  <si>
    <t>P.GEN(HSD)</t>
  </si>
  <si>
    <t xml:space="preserve">Total Energy Gen  MKWHr 
Energy Not Served    MKWHr 
Energy Requirement      MKWHr </t>
  </si>
  <si>
    <t>p) Siddirganj 132/33 kV T-1 &amp; T-2 transformers tripped at 12:02 showing O/C relay,R-phase and were</t>
  </si>
  <si>
    <t>q) Barishal-Bhola 230 kV Ckt-2 tripped at 13:55 showing dist.Z1 and was switched on at 14:26.</t>
  </si>
  <si>
    <t>s) Natore-Bogura 132 kV Ckt-1 tripped at 15:33 showing dist.Z1,B-phase and was switched on at 15:43.</t>
  </si>
  <si>
    <t>t) Mymensing-Jamalpur 132 kV Ckt-2 tripped at 14:36 showing dist.Z1,A-phase at Mymensing end &amp;</t>
  </si>
  <si>
    <t xml:space="preserve">   E/F relay at Jamalpur end and was switched on at 14:48.</t>
  </si>
  <si>
    <t>u) Haripur S/S-Haripur-360 MW 230 kv Ckt-1 tripped at 15:02 showing dist.relay and was switched on at 16:51.</t>
  </si>
  <si>
    <t>v) Agargaon-Aminbazar 132 kV Ckt-2 was under shut down from 14:53 to 16:22 for C/M.</t>
  </si>
  <si>
    <t>w) Barisal-Patuakhali 132 kV Ckt tripped at 17:33 showing dist.Z1 at Patuakhali end and was switched</t>
  </si>
  <si>
    <t xml:space="preserve">   switched on at 12:24.</t>
  </si>
  <si>
    <t>r) Jhenaidah 230/132 kV T-1 transformer tripped at 14:12 showing differential relay and was switched on at 15:25.</t>
  </si>
  <si>
    <t>Banani</t>
  </si>
  <si>
    <t>QF-LDC-10</t>
  </si>
  <si>
    <t>Page 7 of 7</t>
  </si>
  <si>
    <t>Purbachal</t>
  </si>
  <si>
    <t>b) Siddhirganj 335 MW CCPP GT was synchronize at 17:24.</t>
  </si>
  <si>
    <t>c) Sylhet 225 MW CCPP GT was synchronize at 18:47.</t>
  </si>
  <si>
    <t>d) Dohazari-Sikalbaha 132 kV Ckt-2 was under shut down from 16:49 to 19:33 for trimming 11 kV pole.</t>
  </si>
  <si>
    <t>e) Hasnabad-Keraniganj 230 kV Ckt-1 was switched on at 17:13 .</t>
  </si>
  <si>
    <t>f) Juldah-Sikalbaha 132 kV Ckt was under shut down from 14:22 to 15:11 for tree trimming.</t>
  </si>
  <si>
    <t>g) Kaptai #03 was synchronize at 19:49 .</t>
  </si>
  <si>
    <t>i) Ghorasal 132/33 kV T1 &amp; T2 transformer tripped at 17:17 showing E/F relay due to 33 kV feeder fault.</t>
  </si>
  <si>
    <t>j) Gopalganj old -Gallamari 132 kV Ckt-1 open at 04:09 from both end due to high voltage.</t>
  </si>
  <si>
    <t>k) Gopalganj old - Gopalganj new 132 kV Ckt-1 open at 04:10 from both end due to high voltage.</t>
  </si>
  <si>
    <t>l) Shahjibazar 330 MW CCPP GT-2  tripped at 06:03(18-11-21) .</t>
  </si>
  <si>
    <t>m) Chandpur-Kochua 132 kV Ckt-1 was under shut down from 09:00 to 16:10 for A/M.</t>
  </si>
  <si>
    <t>n) Siddhirganj-Maniknagar 230 kV Ckt-1 was under shut down from 08:36 to 17:22 for A/M.</t>
  </si>
  <si>
    <t>o) Sherpur-UMPL 132 kV Ckt-1 was under shut down from 08:51 to 16:13 for A/M.</t>
  </si>
  <si>
    <t>p) B.Baria 132/33 kV T-3 transformer was under shut down from 08:36 to 16:59 for A/M.</t>
  </si>
  <si>
    <t>q) Mymensing S/S-Mymensing RPCL 132 kV Ckt-2 was under shut down from 08:18 to 16:05 for C/M.</t>
  </si>
  <si>
    <t>r) Bagerhat 132/33 kV T-1 transformer was under shut down from 08:09 to 15:08 for A/M.</t>
  </si>
  <si>
    <t>s) BSRM-Mirsharai 230 kV Ckt-1 was under shut down from 09:57 to 19:55 for D/W.</t>
  </si>
  <si>
    <t>t) Dohazari-Sikalbaha 132 kV Ckt-1 was under shut down from 09:11 to 16:16 for A/M.</t>
  </si>
  <si>
    <t>v) Barishal(N) 132/33 kV T-5 transformer was under shut down from 09:07 to 17:22 for A/M.</t>
  </si>
  <si>
    <t>y) Hathazari-Baroierhat 132 kV Ckt-2 was under shut down since at 09:08  for A/M.</t>
  </si>
  <si>
    <t>z) Hathazari-Rampur 230 kV bay  was under shut down from 09:50 to 19:50 for D/W.</t>
  </si>
  <si>
    <t>ab) Khulna(S)-Jhenaidah 230 kV Ckt-1  was under shut down from 08:44 to 15:17 for A/M.</t>
  </si>
  <si>
    <t>ac) Madanganj-Munshiganj 132 kV Ckt-2 was under shut down from 09:38 to 15:36 for A/M.</t>
  </si>
  <si>
    <t>ad) Mirsharai EPZ 230 kV bus was under shut down from 10:14 to 20:20 for D/W.</t>
  </si>
  <si>
    <t>ae) Mirsharai  230/132 kV T-1 transformers was under shut down from 10:11 to 20:01 for D/W.</t>
  </si>
  <si>
    <t>af) Mirsharai  230/132 kV T-2 transformers was under shut down from 10:11 to 20:01 for D/W.</t>
  </si>
  <si>
    <t>ag) Rajshahi  230/132 kV T-2 transformers was under shut down from 09:24 to 17:02 for D/W.</t>
  </si>
  <si>
    <t>a) Shahjibazar 330 MW CCPP GT-2 &amp; ST  tripped at 17:02 due to gas buster problem and was synchronized at 20:18.</t>
  </si>
  <si>
    <t>h) Satmosjid 132/33 kV T1 transformer was under shut down from 19:58 to 21:51 due to auxiliary cable connection.</t>
  </si>
  <si>
    <t>u) Hasnabad-Brammangaon 132 kV Ckt was under shut down from 10:08 to 11:44 for A/M.</t>
  </si>
  <si>
    <t>w) Beanibazar 132/33 kV T-2 transformer was under shut down from 09:58 to 16:02 for A/M.</t>
  </si>
  <si>
    <t>x) Benapole 132 kV bus coupler was sunder shut down from 08:18 to 15:34 for  A/M.</t>
  </si>
  <si>
    <t>aa) Hathazari-Sikalbaha 230 kV Ckt-1  was under shut down from 10:07 to 19:49 for D/W.</t>
  </si>
  <si>
    <t>Kachua</t>
  </si>
  <si>
    <t xml:space="preserve">a) Ashuganj-Cumilla(N) 230 kV Ckt-2 was under shut down from 11:02 to 17:47 due to red hot maint at Ashuganj end. </t>
  </si>
  <si>
    <t>b) Chapainawabganj 132/33 kV T-2 transformer was under shut down from 08:35 to 09:53 for D/W.</t>
  </si>
  <si>
    <t xml:space="preserve">d) Madanganj-Munshiganj 132 kV Ckt-1,2 tripped at 09:43 showing O/C, E/F relay at Madanganj end &amp; 86A,86B at </t>
  </si>
  <si>
    <t>e) Meghnaghat 230 kV bus-1 was under shut down from 09:10 to 15:55 for A/M.</t>
  </si>
  <si>
    <t>f)  Meghnaghat-Shyampur 230 kV Ckt-1 was under shut down from 08:58 to 15:59 for A/M.</t>
  </si>
  <si>
    <t>g)  Rajshahi-HVDC Bheramara 230 kV Ckt-1 was under shut down from 09:00 to 16:34 for D/W.</t>
  </si>
  <si>
    <t>h) Rangpur -Saidpur 132 KV Ckt-2 was under shut down from 08:37 to 17:30 for A/M.</t>
  </si>
  <si>
    <t>i) Siddhirganj 132/33 kV T-2 transformer was under shut down from 08:56 to 20:37 for D/W.</t>
  </si>
  <si>
    <t xml:space="preserve">    Munshiganj end due to flashing at 33 kV Banco line CT and was switched on at 10:03.</t>
  </si>
  <si>
    <t>j) Siddhirganj 335 MW CCPP GT was under shut down 13:32 for combined cycle operation.</t>
  </si>
  <si>
    <t>k) Rajshahi 132/33KV T-2  transformer with associated 33 kV bus was under shut down from 09:23 to 11:23 for C/M.</t>
  </si>
  <si>
    <t>l) Mymensingh-Jamalpur 132KV Ckt-2 was switched on at 14:38.</t>
  </si>
  <si>
    <t>m) Shahzibazar 100 MW GT was synchronized at 19:19.</t>
  </si>
  <si>
    <t>n) Siddhirganj 335 MW CCPP GT &amp; ST were synchronize at 15:2,19:29 respectively and ST tripped at 21:12.</t>
  </si>
  <si>
    <t>o)  Rajshahi-HVDC Bheramara 230 kV Ckt-2 was under shut down from 16:49 to 21:04 for D/W.</t>
  </si>
  <si>
    <t>p) Mymensingh-Jamalpur 132KV Ckt-1 was shut down since 15:22 for load test of Ckt-2.</t>
  </si>
  <si>
    <t>r) Bibiyana #03 CCPP ST was synchronized at 00:05.</t>
  </si>
  <si>
    <t>c) Hasnabad-Sitalakhya 132KV Ckt  was under shut down from 09:15 to 22:57 for C/M.</t>
  </si>
  <si>
    <t>q) Hasnabad-Keraniganj 230KV Ckt-1 was under shut down from 09:13(18/11/21) to 22:15(19/11/21) for C/M.</t>
  </si>
  <si>
    <t>u) Madunaghat 132/33 kV T-2 transformer with 33 kV bus-2  was shut down from 07:04(20-11-2021) for D/W.</t>
  </si>
  <si>
    <t>v) Bakulia 132/33 kV T-1 transformer was under shut down since 07:09(20-11-21) for A/M.</t>
  </si>
  <si>
    <t>w) Kabirpur-Manikganj 132 KV Ckt-1 was under shut down since 07:35(20-11-21) for A/M.</t>
  </si>
  <si>
    <t>x) Rampura-Bhulta 230 kV Ckt-3 was under shut down since 07:41(20-11-21) for A/M.</t>
  </si>
  <si>
    <t>s) Hasnabad-Brammangaon 132KV Ckt  was under shut down from 09:46(18/11/21) to 23:01(19/11/21) for C/M.</t>
  </si>
  <si>
    <t>t) Lalbagh- Kallyanpur 132 kV Ckt-2 tripped at 06:52 from both end showing dist Z1 at Lalbagh end &amp; dist B-phase at</t>
  </si>
  <si>
    <t xml:space="preserve">    Kallyanpur end and was switched don at 06:59.</t>
  </si>
  <si>
    <t>y) Narshingdi 132/33 kV T-3 transformer was under shut down since 07:42(20-11-21) for A/M.</t>
  </si>
  <si>
    <t xml:space="preserve">Chandpur 115(Doreen) </t>
  </si>
  <si>
    <t>Kanchan Purbachal Power Generation  Ltd.</t>
  </si>
  <si>
    <t>HSD (Private)</t>
  </si>
  <si>
    <t>HSD (Public)</t>
  </si>
  <si>
    <t>HFO (Private)</t>
  </si>
  <si>
    <t>HFO (Public)</t>
  </si>
  <si>
    <t>Mongla Orion 100 MW Solar PP</t>
  </si>
  <si>
    <t>Don't type here</t>
  </si>
  <si>
    <t>al) Manikganj 132/33 kV T-4 transformer was under shut down from 18:36 to 19:22 due to R/H maintenance.</t>
  </si>
  <si>
    <t>am) Keraniganj-Sreenagar 132 kV Ckt-1 was under shut down from 15:34 to 19:29 for D/W.</t>
  </si>
  <si>
    <t>an) Sikalbaha(Old)-Sikalbaha(New) 132 kV Ckt was switched on at 19:51.</t>
  </si>
  <si>
    <t>ao) Ghorashal unit-7 tripped at 17:30 due to 230 kV line problem.</t>
  </si>
  <si>
    <t>ap) Aminbazar-Kallyanpur 132 kV Ckt-1 was under shut down since 07:09(20-12-2021) for A/M.</t>
  </si>
  <si>
    <t>Energypac Power Venture Thakurgaon Ltd.</t>
  </si>
  <si>
    <t>Low water level</t>
  </si>
  <si>
    <t>Faridpur S/S area from 08:14 to 09:12.</t>
  </si>
  <si>
    <t>About 30 MW power interruption occurred under</t>
  </si>
  <si>
    <t>DPDC=16</t>
  </si>
  <si>
    <t>DESCO=7</t>
  </si>
  <si>
    <t>Fuel shortage</t>
  </si>
  <si>
    <t>About 25 MW power interruption occurred under</t>
  </si>
  <si>
    <t>ap) 33 kV side of Purbasadipur 132/33 kV T1 transformer tripped at 23:30 showing O/C due to 33 kV Sadar feeder</t>
  </si>
  <si>
    <t xml:space="preserve">     fault and was switched on at 23:50.</t>
  </si>
  <si>
    <t>Purbasadipur S/S area from 23:30 to 23:50.</t>
  </si>
  <si>
    <t>aq) Payra unit-2 was shutdown at 00:47(30/12/2021).</t>
  </si>
  <si>
    <t>ar) Naogaon 132/33 T-1 &amp; T-2 transformers tripped at 02:25(30/12/2021) due to Joypurhat 33 kV PBS feeder fault</t>
  </si>
  <si>
    <t xml:space="preserve">     and were switched on at 23:50(30/12/2021).</t>
  </si>
  <si>
    <t>About 24 MW power interruption occurred under</t>
  </si>
  <si>
    <t>Naogaon S/S area from 23:30(30/12/2021) to 23:50.</t>
  </si>
  <si>
    <t>as) Ashuganj 132 kV Bus-1 is under shut down since 07:37(30/12/2021) for A/M.</t>
  </si>
  <si>
    <t>at) Polashbari-Mohasthangarh 132 kV Ckt-2 is under shut down since 07:39(30/12/2021) for A/M.</t>
  </si>
  <si>
    <t>ab) Savar 33 kV Bus-B was under shut down from 13:10 to 15:33 for C/M.</t>
  </si>
  <si>
    <t>aa) Cumilla(N)-Chaddogram 132 kV Ckt-1 was under shutdown from 16:46 to 19:40 for LA bypass work.</t>
  </si>
  <si>
    <t xml:space="preserve">ac) Raozan #01 was synchronized at 22:57 and tripped at 02:10(04/01/2022). </t>
  </si>
  <si>
    <t>ad) Ghorashal-Joydebpur 132 kV Ckt-2 is under shut down since 06:56(04-01-2022) for C/M.</t>
  </si>
  <si>
    <t xml:space="preserve">ae) Kaliakoir-Dhamrai 132 kV Ckt-1 tripped at 06:26(04-01-2022) form Kaliakoir end showing Dist. E/F and was </t>
  </si>
  <si>
    <t xml:space="preserve">      switched on at 06:36(04-01-2022).</t>
  </si>
  <si>
    <t>af) Ghorashal 230/132 OAT02  is under shut down since 07:35(04-01-2022) for C/M.</t>
  </si>
  <si>
    <t>ag) Mymensingh 132 kV Bus-A  is under shut down since 07:18(04-01-2022) for A/M.</t>
  </si>
  <si>
    <t>ah) Mymensingh-Mymensingh Solar P.P. 132 kV Ckt  is under shut down since 07:11(04-01-2022) for A/M.</t>
  </si>
  <si>
    <t>ai) Madunaghat 132/33 kV T-2 transformer along with 33 kV Bus is under shut down since 07:32(04-01-2022) for D/W.</t>
  </si>
  <si>
    <t xml:space="preserve">Low Water Level </t>
  </si>
  <si>
    <t>Line O/L</t>
  </si>
  <si>
    <t>a) Julda-Halishahar 132 kV Ckt was under shut down from 08:17 to 14:46 for A/M.</t>
  </si>
  <si>
    <t>b) Ghorasal-Ashuganj 132 kV Ckt-2 was under shut down from 08:29 to 19:33 for A/M.</t>
  </si>
  <si>
    <t>c) Bibiyana-Kaliakoir 400 kV Ckt-2 was under shut down from 08:48 to 17:33 for A/M.</t>
  </si>
  <si>
    <t>d) Dhamrai 132/33 kV T-2 transformer was under shut down from 08:19 to 17:16 for A/M.</t>
  </si>
  <si>
    <t>e) Bhangura 132/33 kV T-1 transformer was under shut down from 08:45 to 11:26 for A/M.</t>
  </si>
  <si>
    <t>f) Cumilla(N)-Daudkandi 132 kV Ckt-2 was under shut down from 08:26 to 15:26 for A/M.</t>
  </si>
  <si>
    <t>j) Madaripur-Shariatpur 132 kV Ckt-1 was under shut down from 08:55 to 17:12 for A/M.</t>
  </si>
  <si>
    <t>k) Mymensing 132/33 kV T-2 transformer was under shut down from 09:20 to 17:05 for A/M.</t>
  </si>
  <si>
    <t>m) Ullon 132/33 kV GT-2 transformer  was under shut down from 08:49 to 16:30 for A/M.</t>
  </si>
  <si>
    <t>n) Aminbazar 230/132 kV T-1 transformer was under shut down from 10:07 to 22:38 for A/M.</t>
  </si>
  <si>
    <t>o) Cox's Bazar 132/33 kV T-1 transformer was shut down at 08:09 for A/M.</t>
  </si>
  <si>
    <t>q) Bhulta-Ghorasal 230 kV Ckt-1 tripped at 09:51 showing dist.Z1,BY-phase and was switched on at 10:23.</t>
  </si>
  <si>
    <t>r) Ullon-Rampura 132 kV Ckt-2 was under shut down from 08:49 to 16:21 due to red hot maintenance at Y-phase DS</t>
  </si>
  <si>
    <t xml:space="preserve">    at Ullon end.</t>
  </si>
  <si>
    <t>s) Bhangura 132/33 kV T-2 transformer was under shut down from 12:07 to 12:42 for energy meter replacement.</t>
  </si>
  <si>
    <t>t) Mongla-Orion Solar 132 kV Ckt was under shut down from 11:42 to 15:12 for D/W.</t>
  </si>
  <si>
    <t>u) Payra S/S-Payra P/S 400 kV Ckt-4 was shut down at 11:03 for D/W.</t>
  </si>
  <si>
    <t>x) Sylhet-225 MW CCPP GT was synchronized at 14:29.</t>
  </si>
  <si>
    <t>w) Shahjibazar-330 MW CCPP GT-2 was synchronized at 13:40 and tripped at 20:58 due to ventilation fan problem.</t>
  </si>
  <si>
    <t>y) Aminbazar-Kaliakoir 230 kV Ckt-1 is under shut down since 07:14(17/1/22) for A/M.</t>
  </si>
  <si>
    <t>z) Aminbazar-Manikganj 132 kV Ckt-1 is under shut down since 07:33(17/1/22) for A/M.</t>
  </si>
  <si>
    <t>g) Cumilla(S) 132/33 kV T-4 transformer was shut down at 09:50 for D/W.</t>
  </si>
  <si>
    <t>h) Cumilla(S)-Tripura 132 kV Ckt-2 was under shut down from 10:04 to 17:18 for D/W.</t>
  </si>
  <si>
    <t>i) Kustia-Jhenaidah 132 kV Ckt-2 was under shut down from 08:07 to 17:00 for C/M.</t>
  </si>
  <si>
    <t>l) Sitalakkhya 230/132 kV T-1 transformer was under shut down from 09:06 to 16:16 for A/M.</t>
  </si>
  <si>
    <t>p) Kulshi-Halishahar 132 kV Ckt-3 was under shut down from 10:29 to 17:57 for project work.</t>
  </si>
  <si>
    <t>v) Jhenaidah (O)-Jhenaidah(N) 132 kV Ckt-1 was under shut down from 11:19 to 12:14 for C/M.</t>
  </si>
  <si>
    <t>aa) Kallyanpur-Lalbagh 132 kV Ckt-1 is under shut down since 07:44(17/1/22) for A/M.</t>
  </si>
  <si>
    <t>a) Ghorashal-Tongi 230 kV Ckt-2 was under shut down from 08:30 to 15:48 for A/M.</t>
  </si>
  <si>
    <t>b) Kaliakoir-Tangail 132 kV Ckt-2 was under shut down from 09:32 to 14:17 for A/M.</t>
  </si>
  <si>
    <t>c) Kaliakoir-Aminbazar 230 kV Ckt-2 was under shut down from 09:35 to 16:28 for A/M.</t>
  </si>
  <si>
    <t>d) New Tongi 132/33 kV T-1 transformer was under shut down from 09:10 to 14:33 for A/M.</t>
  </si>
  <si>
    <t>e) Sreenagar 132/33 kV T-1 transformer was under shut down from 09:10 to 17:11 for A/M.</t>
  </si>
  <si>
    <t>f) Mymensing 132/33 kV T-1 transformer was under shut down from 09:42 to 14:47 for A/M.</t>
  </si>
  <si>
    <t>g) Meghnaghat-Haripur 230 kV Ckt-2 was under shut down from 10:11 to 19:36 for A/M.</t>
  </si>
  <si>
    <t>i) Keraniganj 230/133 kV T-1 transformer was under shut down from 11:32 to 13:41 for D/W.</t>
  </si>
  <si>
    <t xml:space="preserve">    at 16:18.</t>
  </si>
  <si>
    <t>j) Hathazari 132/33 kV T-1 transformer tripped at 11:25 due to 33 kV B-phase cable leakage and was switched on</t>
  </si>
  <si>
    <t>k) Khulna(C)-Noapara 132 kV Ckt-1 was under shut down from 08:30 to 14:40 for C/M.</t>
  </si>
  <si>
    <t>l) Madaripur-Barisal 132 kV Ckt-1 was under shut down from 09:05 to 16:10 for A/M.</t>
  </si>
  <si>
    <t>m) Barisal 132/33 kV T-4 transformer was under shut down from 11:18 to 17:31 for D/W.</t>
  </si>
  <si>
    <t>n)  Haripur-Ullon 132 kV Ckt was switched on at 08:48.</t>
  </si>
  <si>
    <t>o)  Dhanmondi-Ullon 132 kV Ckt was switched on at 09:04.</t>
  </si>
  <si>
    <t>p) Siddhirganj-Ullon 132 kV Ckt was switched on at 08:42.</t>
  </si>
  <si>
    <t>r) Mahastanghor-Polashbari 132 kV Ckt-1 tripped at 14:30 showing conductor broken at Mahastanghor end &amp; VT fail</t>
  </si>
  <si>
    <t xml:space="preserve">   at Polashbari end and was switched on at 17:23.</t>
  </si>
  <si>
    <t>s) Ghorasal # 04 tripped at 17:25 due to GBC problem and was synchronized at 19:00 again trip at 20:18 due to same.</t>
  </si>
  <si>
    <t xml:space="preserve">   reason and was synchronized at 22:25.</t>
  </si>
  <si>
    <t>t) After replacement of CB Bottail end Bottail-Jhenaidah 132 kV Ckt-1 was switched on at 14:10.</t>
  </si>
  <si>
    <t>u) Khulshi-Halishahar 132 kV Ckt-2 was under shut down since at 22:18 for C/M.</t>
  </si>
  <si>
    <t>v) Mymensing-Sutiakhali solar 132 kV Ckt was under shut down since at 06:55(25-01-2022) for A/M.</t>
  </si>
  <si>
    <t>x) Hathazari 132/33 kV T-1 transformer was under shut down since at 07:25(25-01-22) for C/M.</t>
  </si>
  <si>
    <t>y) Bogura-Barapukuria 230 kV Ckt-2  was under shut down since at 07:48(25-01-22) for A/M.</t>
  </si>
  <si>
    <t>h) Ishurdi-HVDC 230 kV Ckt-1 bus CB was under shut down from 10:19 to 11:31 for A/M.</t>
  </si>
  <si>
    <t>q) Juldah-Shahmirpur 132 kV Ckt-2 was under shut down from 08:36 to 15:36 for D/W.</t>
  </si>
  <si>
    <t>w) Sylhet-Biyanibazar-Fenchuganj 132 kV Ckt tripped at 03:25 showing dist A-phase Z2 at Sylhet end &amp; VT fail at</t>
  </si>
  <si>
    <t xml:space="preserve">    Biyanibazar end and dist R-phase Z1 at Fenchuganj end and was switched on at 03:51.</t>
  </si>
  <si>
    <t>z) Kallyanpur 132 kV main bus was under shut down since at 07:45(25-01-22) for A/M.</t>
  </si>
  <si>
    <t>Date/Time</t>
  </si>
  <si>
    <t>SL. No.</t>
  </si>
  <si>
    <t>MVAR</t>
  </si>
  <si>
    <t>Ashuganj Modular 195MW</t>
  </si>
  <si>
    <t>Bogura 113 MW PP (Confidence)-2</t>
  </si>
  <si>
    <t>Jamalpur United 115MW</t>
  </si>
  <si>
    <t>Mymensingh RPCL CCPP</t>
  </si>
  <si>
    <t>Mymensingh United 200MW</t>
  </si>
  <si>
    <t>Rajlanka 52MW</t>
  </si>
  <si>
    <t>Shahjahanulla 25MW</t>
  </si>
  <si>
    <t>Tangail Palli Power Generation Ltd</t>
  </si>
  <si>
    <t>Ullapara(Summit) 11MW</t>
  </si>
  <si>
    <t>Narayangonj  Summit</t>
  </si>
  <si>
    <t>a) Khulshi-Madunaghat 132 kV Ckt-2 was under shut down from 08:19 to 16:03 for A/M.</t>
  </si>
  <si>
    <t>b) Bibiyana-Shahjibazar 230 kV Ckt-1 was under shut down from 08:28 to 16:26 for A/M.</t>
  </si>
  <si>
    <t>d) Aminbazar-Manikganj 162 MW PP 132 kV Ckt-2 was under shut down from 09:22 to 16:51 for C/M.</t>
  </si>
  <si>
    <t>e) Kamrangirchar -Lalbagh 132 kV Ckt was under shut down from 09:22 to 19:56 for A/M.</t>
  </si>
  <si>
    <t>f) Agargaon 230/132 kV T-1 transformer was under shut down from 09:44 to 17:02 for A/M.</t>
  </si>
  <si>
    <t>g) Mymensing-Mymensing RPCL 132 kV Ckt-1 was under shut down from 10:00 to 17:26 for A/M.</t>
  </si>
  <si>
    <t>h) Mymensing-Bhaluka 132 kV Ckt-2 was under shut down from 10:08 to 18:59 for A/M.</t>
  </si>
  <si>
    <t>j) Munshiganj 132/33 kV T-1 transformer was under shut down from 09:55 to 17:26 for A/M.</t>
  </si>
  <si>
    <t>l) Mymensing 132 kV bus-B was under shut down from 01:32 to 17:30 for A/M.</t>
  </si>
  <si>
    <t>m) Ashuganj(N) 400/132 kV T-1 transformer was under shut down from 10:38 to 14:39 breather line maint.</t>
  </si>
  <si>
    <t>n) Keraniganj 230/132 kV T-1 transformer was under shut down from 10:50 to 16:08 for D/W.</t>
  </si>
  <si>
    <t>o) Khulna(S)-Jhenaidah 230 kV Ckt-2 was under shut down from 09:08 to 18:33 for D/W.</t>
  </si>
  <si>
    <t>p) HVDC-Jhenaidah(N) 230 kV Ckt-2 was under shut down from 09:20 to 18:37 for D/W.</t>
  </si>
  <si>
    <t>q) Jhenaidah(N) 230/132 kV T-2 transformer was under shut down from 09:27 to 18:32 for D/W.</t>
  </si>
  <si>
    <t xml:space="preserve">s) BSRM-Cumilla(N) 230 kV Ckt-1 tripped at 11:27 from Cumilla(N) end showing dist T-phase and was </t>
  </si>
  <si>
    <t xml:space="preserve">     switched on at 11:54.</t>
  </si>
  <si>
    <t>t) After maintenance Bhola Nutun Biddut GT-1,2 &amp; ST were synchronized at 11:19,14:05 &amp; 16:58 respectively.</t>
  </si>
  <si>
    <t xml:space="preserve">u) Ashuganj(N) 400/132 kV ICT-1 transformer tripped at 18:26 due to over excitation and was switched </t>
  </si>
  <si>
    <t xml:space="preserve">    on at 09:16(04-02-2022).</t>
  </si>
  <si>
    <t>v) Satkhira-Khulna© 132 kV Ckt-1 tripped at 01:08(04-02-2022) showing dist Y-N,Z2 at Khulna(S) end &amp;</t>
  </si>
  <si>
    <t>c) Rangamati-Chandraghona 132 kV Ckt-1 was under shut down from 08:40 to 15:24 for A/M.</t>
  </si>
  <si>
    <t>k) Tongi Milgate 132/33 kV T-2 transformer was under shut down from 10:17 to 15:35 for A/M.</t>
  </si>
  <si>
    <t>r) Madaripur-Shariatpur 132 kV Ckt-1 was under shut down from 10:51 to 14:17 for A/M.</t>
  </si>
  <si>
    <t xml:space="preserve">    dist Z1 at Satkhira end and was switched on at 09:42(04-02-22).</t>
  </si>
  <si>
    <t>w) Rajshahi(O) 132 kV main bus was under shut down from 07:30 to 09:40(04-02-2022) for C/M.</t>
  </si>
  <si>
    <t>i) Cumilla(N)-Chaddogram 132 kV Ckt-1 was under shut down since 10:07(03-02-2022) for D/W.</t>
  </si>
  <si>
    <t>dd-mm-yyyy time</t>
  </si>
  <si>
    <t>a) Ashuganj(N) 400/230 kV T-1 transformer was switched on at 09:16.</t>
  </si>
  <si>
    <t>b) Hathazari 132 kV main Bus section-2 was under shut down from 08:30 to 11:26 for A/M.</t>
  </si>
  <si>
    <t>c) Keraniganj 230/132 kV T-1 transformer was under shut down from 09:21 to 18:24 for D/W.</t>
  </si>
  <si>
    <t>d) Patuakhali 132 kV full Bus was under shut down from 08:26 to 17:10 for C/M.</t>
  </si>
  <si>
    <t>e) Patuakhali-Payra 132 kV Ckt-1 &amp; 2 were under shut down from 08:26 to 17:08 for A/M.</t>
  </si>
  <si>
    <t>f) Jhenaidah(N)-Khulna(S) 230 kV Ckt-2 was under shut down from 09:43 to 14:44 for D/W.</t>
  </si>
  <si>
    <t>g) Jhenaidah 230/132 kV T-2 transformer was under shut down from 09:53 to 14:47 for D/W.</t>
  </si>
  <si>
    <t>h) Munshiganj 132/33 kV T-1 transformer was under shut down from 10:21 to 17:05 for A/M.</t>
  </si>
  <si>
    <t>i) Kishoreganj 132/33 kV T-3(A) transformer was under shut down from 10:32 to 12:32 for C/M.</t>
  </si>
  <si>
    <t>k) Mymensing-Kishoreganj 132 kV Ckt-1 was under shut down from 12:40 to 18:59 for kite removing.</t>
  </si>
  <si>
    <t xml:space="preserve">  and were switched on at 15:47,15:48,15:49 respectively.</t>
  </si>
  <si>
    <t xml:space="preserve">  were switched on at 16:49,17:37 respectively.</t>
  </si>
  <si>
    <t xml:space="preserve">   on at 16:02.</t>
  </si>
  <si>
    <t>o) Payra unit-1 tripped at 15:32 suspected high voltage and was synchronized at 22:20</t>
  </si>
  <si>
    <t>p) Ashuganj(N) 450 MW GT tripped at 17:46 due to 400 kV Bus dead due to Bhulta Ckt tripping.</t>
  </si>
  <si>
    <t xml:space="preserve">q) Bhulta-Ashuganj 400 kV Ckt-1 &amp; 2 tripped at 17:46 due to 400 kV Bus dead due to Bhulta Ckt tripping </t>
  </si>
  <si>
    <t>r) Bhulta 400/230 kV T01 &amp; T02 transformers tripped at 17:46 due to 400 kV Bus dead due to Bhulta Ckt</t>
  </si>
  <si>
    <t xml:space="preserve">    tripping and were switched on at 18:54, 18:55 respectively.</t>
  </si>
  <si>
    <t xml:space="preserve">   and were switched on at 19:43, 19:18 respectively.</t>
  </si>
  <si>
    <t xml:space="preserve">s) Tongi-Kaliakoir 132 kV Ckt-1 tripped at 16:08 form both end showing Dist. Z1 relays and was switched </t>
  </si>
  <si>
    <t xml:space="preserve">   on at 16:53.</t>
  </si>
  <si>
    <t xml:space="preserve">  at 33 kV end.</t>
  </si>
  <si>
    <t xml:space="preserve">u) Madunaghat-Chandraghona 132 kV Ckt-1 tripped at 14:57 form Madunaghat end showing Dist. Z1 </t>
  </si>
  <si>
    <t xml:space="preserve">   Y-phase relays and was switched on at 15:12.</t>
  </si>
  <si>
    <t>w) Ashuganj 400/230 kV ICT-1 transformer tripped at 17:05 due to electrical fault and was switched on at 21:10.</t>
  </si>
  <si>
    <t>x) Ashuganj(N) 450 MW GT synchronized at 21:16.</t>
  </si>
  <si>
    <t xml:space="preserve">   on at 23:53.</t>
  </si>
  <si>
    <t>aa) Ashuganj(N) 450 MW GT tripped at 21:58.</t>
  </si>
  <si>
    <t>v) Bottail 132/33 kV T2 transformer was under shut down from 20:53 to 21:28 due to red hot maintenance</t>
  </si>
  <si>
    <t xml:space="preserve">ab) Bottail 132/33 kV T1 &amp; T2 transformers tripped at 21:58 due to Over voltage and were switched on at </t>
  </si>
  <si>
    <t xml:space="preserve">    22:44, 22:40 respectively.</t>
  </si>
  <si>
    <t xml:space="preserve">ac) Barisal-Madaripur 132 kV Ckt-1 tripped at 22:20 form both end showing Dist. Z1, B,C-phase relays </t>
  </si>
  <si>
    <t xml:space="preserve">  and was switched on at 23:35.</t>
  </si>
  <si>
    <t xml:space="preserve">z) Rajshahi 132/33 kV T2 &amp; T3 transformers tripped at 21:15 due to  33 kV feeder fault and was switched </t>
  </si>
  <si>
    <t>ad) Rajshahi 132/33 kV  T3 transformers was switched on at 00:50(05-02-2022).</t>
  </si>
  <si>
    <t>ae) Baraulia-KSRM 132 kV Ckt tripped at 00:20(05-02-2022) showing O/C relays and was switched on at</t>
  </si>
  <si>
    <t xml:space="preserve">   and was switched on at 06:56(05-02-2022).</t>
  </si>
  <si>
    <t>ag) Bhulta-Ashuganj 400 kV Ckt-1 tripped at 06:49 due to over fluxing relay.</t>
  </si>
  <si>
    <t xml:space="preserve">ah) Hathazari 132/33 kV T1 transformers tripped at 06:14(05-02-2022) showing O/V relays at 33 kV end </t>
  </si>
  <si>
    <t xml:space="preserve">  and was switched on at 07:12(05-02-2022).</t>
  </si>
  <si>
    <t>j) Kishoreganj 132/33 kV T-3(B) transformer was switched on at 12:32.</t>
  </si>
  <si>
    <t>l) Madaripur 132/33 kV T1,T2,&amp; T3 transformers tripped at 15:33 due to trial of Sadar feeder of WZPDCO</t>
  </si>
  <si>
    <t xml:space="preserve">m) Gopalganj(O) 132/33 kV T1&amp;T2 transformers tripped at 15:37 due to over voltage, over fluxing and </t>
  </si>
  <si>
    <t xml:space="preserve">n) Rajbari 132/33 kV T1 transformers tripped at 15:39 due to over voltage, over fluxing and was switched </t>
  </si>
  <si>
    <t>t) Bottail 132/33 kV T1 transformer was under shut down from 19:32 to 20:20 due to red hot maintenance</t>
  </si>
  <si>
    <t>y) Ashuganj(S) 450 MW STG, Ashuganj Modular, Ashuganj Midland 150 MW tripped at 21:18 .</t>
  </si>
  <si>
    <t xml:space="preserve">af) Dohazari-Cox'sbazar 132 kv Ckt-1 tripped at 03:09(05-02-2022) showing Dist. Z2, B-phase relay at Dohazari end </t>
  </si>
  <si>
    <t>Banco 54MW</t>
  </si>
  <si>
    <t>Malancha Ctg.(United)</t>
  </si>
  <si>
    <t>Labon Chora 105MW (Orion)</t>
  </si>
  <si>
    <t>Naogaon</t>
  </si>
  <si>
    <t>Total Load (MW)</t>
  </si>
  <si>
    <t>Past This place</t>
  </si>
  <si>
    <t>b) Ashuganj-Bhulta 400 kV Ckt-2 was  switched on at 10:06.</t>
  </si>
  <si>
    <t xml:space="preserve">    was synchronized at 15:55.</t>
  </si>
  <si>
    <t>d) Cumilla(S) 32/33 kV T-4 transformer was switched on at 08:08 from Bangladesh &amp; T1,T2 are switched</t>
  </si>
  <si>
    <t xml:space="preserve">     on at 08:10,08:32 respectively.</t>
  </si>
  <si>
    <t>e) Maniknagar-Siddhirganj 230 kV Ckt-1 was under shut down from 08:28 to 16:27 for A/M.</t>
  </si>
  <si>
    <t>f) Kaliakoir-Tangail 132 kV Ckt-1 was under shut down from 08:29 to 15:15 for A/M.</t>
  </si>
  <si>
    <t>h) Kulshi-Abul khair 132 kV Ckt was under shut down from 08:49 to 13:18 for A/M.</t>
  </si>
  <si>
    <t>i) Kaliakoir 400 kV bus-2 was under shut down from 08:50 to 16:05 for A/M.</t>
  </si>
  <si>
    <t>k) Rampura-Bashundhara 132 kV Ckt-2 was under shut down from 09:25 to 13:07 for A/M.</t>
  </si>
  <si>
    <t>l) Tongi-Kabirpur 132 kV Ckt-1 was under shut down from 09:28 to 21:00 for C/M.</t>
  </si>
  <si>
    <t>m) Ashuganj-Ashuganj #05 230 kV Ckt was under shut down from 10:40 to 10:50 for A/M.</t>
  </si>
  <si>
    <t xml:space="preserve">n) Baroiarhat 132/33 kV T-2 transformer was under shut down from 09:30 to 17:29 for A/M. </t>
  </si>
  <si>
    <t>o) Meghnaghat 230 kV bus-2 was under shut down from 10:02 to 16:52 for C/M.</t>
  </si>
  <si>
    <t xml:space="preserve">p) Haripur 132/33 kV T-1 transformer was under shut down from 09:50 to 16:56 for A/M. </t>
  </si>
  <si>
    <t>q) Mirpur 132 kV reserve bus was under shut down from 09:56 to 16:48 for C/M.</t>
  </si>
  <si>
    <t>s) Meghnaghat-Shyampur 230 kV Ckt-1 was under shut down from 10:31 to 17:21 for C/M.</t>
  </si>
  <si>
    <t xml:space="preserve">u) Kodda 132/33 kV T-5 transformer was under shut down from 09:06 to 10:55 for D/W. </t>
  </si>
  <si>
    <t>v) Hasnabad-Keraniganj 230 kV Ckt-1 was under shut down from 11:28 to 18:05 for D/W.</t>
  </si>
  <si>
    <t>w) Faridpur-Rajbari 132 kV Ckt-2 was under shut down from 08:30 to 12:53 for A/M.</t>
  </si>
  <si>
    <t xml:space="preserve">x) Kodda 132/33 kV T-1 transformer was under shut down from 11:15 to 12:50 for D/W. </t>
  </si>
  <si>
    <t xml:space="preserve">y) Chapainawabganj 132/33 kV T-2 transformer was under shut down from 09:30 to 12:12 for C/M. </t>
  </si>
  <si>
    <t xml:space="preserve">z) Keraniganj 132/33 kV T-1 transformer was under shut down from 08:56 to 13:26 for A/M. </t>
  </si>
  <si>
    <t xml:space="preserve">aa) Kodda 132/33 kV T-3 transformer was under shut down from 12:57 to 13:57 for D/W. </t>
  </si>
  <si>
    <t>ab) Faridpur-Rajbari 132 kV Ckt-1 was under shut down from 12:59 to 15:10 for A/M.</t>
  </si>
  <si>
    <t>ac) Cumilla(S)-Tripura 132 kV Ckt-1,2 were switched on at 13:04.</t>
  </si>
  <si>
    <t>ae) Cumilla(S) 132/33 kV T-4 transformer was switched on at 13:44 from India bus &amp; T1,T2 are switched</t>
  </si>
  <si>
    <t xml:space="preserve">     on at 13:54, 13:55 respectively.</t>
  </si>
  <si>
    <t>af) Bakulia 132/33 kV T-3 transformer tripped at 23:56 showing O/C relay and was switched on at 00:10.</t>
  </si>
  <si>
    <t xml:space="preserve">ag) Satkhira 132/33 kV T-1 &amp; T-2 transformer tripped at 01:10 showing O/C,E/F relay and were switched </t>
  </si>
  <si>
    <t xml:space="preserve">     on at 01:42(14-02-22).</t>
  </si>
  <si>
    <t>ai) Ashuganj(N) 400/230 kV T-01 transformer tripped at 05:54(14-2-22) was switched on at 10:50.</t>
  </si>
  <si>
    <t xml:space="preserve">c) Shahjibazar 330 MW CCPP GT-2 tripped at 10:22 as gas compartment ventilation fan got tripped and </t>
  </si>
  <si>
    <t>g) Bibiyana-Shahjibazar 230 kV Ckt-2 was under shut down from 08:45 to 19:04 for A/M.</t>
  </si>
  <si>
    <t>r) Mymensing RPCL-Tangail 132 kV Ckt-1 &amp; 2 were under shut down from 10:18 to 16:34 for C/M.</t>
  </si>
  <si>
    <t>t) Chowmuhoni-Ramganj 132 kV Ckt-1 was under shut down from 10:23 to 13:47 for A/M.</t>
  </si>
  <si>
    <t>ad) Chowmuhoni-Ramganj 132 kV Ckt-2 was under shut down from 13:59 to 15:56 for A/M.</t>
  </si>
  <si>
    <t>ah) Kallyanpur 132/33 kV T-1 transformer was under shut down since at 07:02 for C/M.</t>
  </si>
  <si>
    <t>aj) Barisal-Bhandaria 132 kv Ckt was under shut down from 07:06 to 08:05(14-2-22)  for red hot maint.</t>
  </si>
  <si>
    <t>a) Ashuganj 230 kV Bus-1 was under shut down from 09:44 to 17:15 for A/M.</t>
  </si>
  <si>
    <t>Sonargaon 104 MW PP (Orion)</t>
  </si>
  <si>
    <t>Sylhet (Desh) 10MW</t>
  </si>
  <si>
    <t>SE Sir --01730029379</t>
  </si>
  <si>
    <t>SDE Desk ---01713201801</t>
  </si>
  <si>
    <t>AE Desk ---01777760419</t>
  </si>
  <si>
    <t>Gen Desk ---01711402090</t>
  </si>
  <si>
    <t>SMS ---01713850509</t>
  </si>
  <si>
    <t>Reporting Desk ---01755605968</t>
  </si>
  <si>
    <t>XEN Desk ---01770790484</t>
  </si>
  <si>
    <t>Sumon Kabir ---01730003343</t>
  </si>
  <si>
    <t>Jessore</t>
  </si>
  <si>
    <t>Benapol</t>
  </si>
  <si>
    <t>Jhenida(Old)</t>
  </si>
  <si>
    <t>Bottail</t>
  </si>
  <si>
    <t>G.K Project</t>
  </si>
  <si>
    <t>Sariatpur</t>
  </si>
  <si>
    <t>Gallamari</t>
  </si>
  <si>
    <t>Norail</t>
  </si>
  <si>
    <t>Barisal(N)</t>
  </si>
  <si>
    <t>Barisal (S)</t>
  </si>
  <si>
    <t>Borguna</t>
  </si>
  <si>
    <t>Central S/S</t>
  </si>
  <si>
    <t>Patenga 50 MW(Baraka)</t>
  </si>
  <si>
    <t>Gagnagar (Digital Power)</t>
  </si>
  <si>
    <t>Bogura 113 MW PP (Confidence)-1</t>
  </si>
  <si>
    <t>Confidence Power Rangpur</t>
  </si>
  <si>
    <t>Gazipur (RPCL) 52MW</t>
  </si>
  <si>
    <t>Summit Bibiana-2 341MW</t>
  </si>
  <si>
    <t>Summit Gazipur-1 (ACE Kodda)</t>
  </si>
  <si>
    <t>Rampur</t>
  </si>
  <si>
    <t>Ashuganj CCPP 225MW</t>
  </si>
  <si>
    <t>Meghnaghat Summit CCPP 305MW</t>
  </si>
  <si>
    <t>o</t>
  </si>
  <si>
    <t>Katakhali Peaking</t>
  </si>
  <si>
    <t>Khulna 225MWGT</t>
  </si>
  <si>
    <t>Barguna</t>
  </si>
  <si>
    <t>8*13.5</t>
  </si>
  <si>
    <t>12*18.4</t>
  </si>
  <si>
    <t>a) Barapukuria-Bogura 230 kV Ckt-2 was under shut down from 09:29 to 10:47(15/03/2022) for D/W.</t>
  </si>
  <si>
    <t>b) Saver 33 kV Bus-b  was under shut down from 08:17 to 16:54 for C/M.</t>
  </si>
  <si>
    <t>d) Kodda-Rajendrapur 132 kV Ckt-1 was under shut down from 09:37 to 15:17 for D/W.</t>
  </si>
  <si>
    <t>e) Ashuganj-Shahjibazar 132 kV Ckt was under shut down from 09:49 to 17:58 for A/M.</t>
  </si>
  <si>
    <t>f) Hasnabad 230/132 kV T-02 transformer was under shut down from 10:50 to 11:55 for C/M.</t>
  </si>
  <si>
    <t>g) Agargaon 230/132 kV T-01 transformer was under shut down from 11:03 to 13:45 for C/M.</t>
  </si>
  <si>
    <t>h) Hasnabad-Keraniganj 230 kV Ckt-2 was under shut down from 12:37 to 13:07 for C/M.</t>
  </si>
  <si>
    <t xml:space="preserve">i) Hasnabad-APR 230 kV Ckt tripped at 12:34 showing no relay at Hasnabad end and was switched </t>
  </si>
  <si>
    <t xml:space="preserve">   on at 13:07.</t>
  </si>
  <si>
    <t>j) Hasnabad-Keraniganj 230 kV Ckt-1 was under shut down from 12:16 to 13:41 for C/M.</t>
  </si>
  <si>
    <t>k) Joydevpur 132/33 kV T-2 transformer was under shut down from 11:51 to 12:50 for C/M.</t>
  </si>
  <si>
    <t>m) Chandpur 150 MW CCPP GT tripped at 17:10 due to DP high and was synchronized at 20:34.</t>
  </si>
  <si>
    <t>o) Bibiyana south STG was synchronized at 16:36.</t>
  </si>
  <si>
    <t>p) Kallyanpur-Lalbag 132 kV Ckt-1 was switched on at 00:16(15/03/2022).</t>
  </si>
  <si>
    <t>q) Bakulia 132/33 kV T-3 transformer was under shut down from 06:04(16/03/2022) to 08:55 for C/M.</t>
  </si>
  <si>
    <t>r) Chatak 132/33 kV T-1 transformer was shut down at 06:16(16/03/2022) for C/M.</t>
  </si>
  <si>
    <t>s) Hathazari-Baroirhat 132 kV Ckt-2 is under shut down since 07:12(16/03/2022) for D/W.</t>
  </si>
  <si>
    <t>t) Sherpur-Sirajganj 132 kV Ckt-2 is under shut down since 04:15(16/03/2022) due to red hot maintenance.</t>
  </si>
  <si>
    <t>u) Ashuganj(S) CCPP GT was synchronized at 07:56(16-03-2022).</t>
  </si>
  <si>
    <t>v) Kishoreganj 132/33 kV T-2 transformer was under shut down from 07:50(16/03/2022) to 09:20 for C/M.</t>
  </si>
  <si>
    <t>c) Madunaghat-Sholoshar 132 kV Ckt-1 was under shut down from 09:27 to 13:29 for D/W.</t>
  </si>
  <si>
    <t>l) Anwara 300 MW tripped at 09:50 and was synchronized at 10:03.</t>
  </si>
  <si>
    <t>n) Fenchuganj 132/33 kV T2 transformer was switched on at 18:40.</t>
  </si>
  <si>
    <t>From 18-3-2022</t>
  </si>
  <si>
    <t>114*0.959</t>
  </si>
  <si>
    <t>8*18.45+8.97</t>
  </si>
  <si>
    <t>17*17+24</t>
  </si>
  <si>
    <t>18.4*3</t>
  </si>
  <si>
    <t>18.415*6+6.5</t>
  </si>
  <si>
    <t>4*18.5+2*22.5</t>
  </si>
  <si>
    <t>9.78*21</t>
  </si>
  <si>
    <t>9.78*12</t>
  </si>
  <si>
    <t>6*17.5</t>
  </si>
  <si>
    <t>6*18</t>
  </si>
  <si>
    <t>6*18.55+7.2</t>
  </si>
  <si>
    <t>9*6.984+7*7.015+3.15*2</t>
  </si>
  <si>
    <t>135*1.6</t>
  </si>
  <si>
    <t>N/A</t>
  </si>
  <si>
    <t>Ctg</t>
  </si>
  <si>
    <t>Cumi</t>
  </si>
  <si>
    <t>Mymen</t>
  </si>
  <si>
    <t>khulna</t>
  </si>
  <si>
    <t>Raj</t>
  </si>
  <si>
    <t>Rang</t>
  </si>
  <si>
    <t>13:00</t>
  </si>
  <si>
    <t>HaripurSBU</t>
  </si>
  <si>
    <t>21:00</t>
  </si>
  <si>
    <t>19:00</t>
  </si>
  <si>
    <t>00:00</t>
  </si>
  <si>
    <t>15:00</t>
  </si>
  <si>
    <t>Panchagarh</t>
  </si>
  <si>
    <t>AKS</t>
  </si>
  <si>
    <t>22:00</t>
  </si>
  <si>
    <t>01:00</t>
  </si>
  <si>
    <t>Jaldhaka</t>
  </si>
  <si>
    <t>20:00</t>
  </si>
  <si>
    <t>Jashore</t>
  </si>
  <si>
    <t>Rahim</t>
  </si>
  <si>
    <t>10:00</t>
  </si>
  <si>
    <t>Joydebpur</t>
  </si>
  <si>
    <t>14:00</t>
  </si>
  <si>
    <t>11:00</t>
  </si>
  <si>
    <t>Juldah</t>
  </si>
  <si>
    <t>Kallyanpur</t>
  </si>
  <si>
    <t>Kalurghat</t>
  </si>
  <si>
    <t>Baroaulia</t>
  </si>
  <si>
    <t>Baroirhat</t>
  </si>
  <si>
    <t>Ruppur</t>
  </si>
  <si>
    <t>09:00</t>
  </si>
  <si>
    <t>Bashundhara</t>
  </si>
  <si>
    <t>BashundharaCement</t>
  </si>
  <si>
    <t>Keranigonj</t>
  </si>
  <si>
    <t>Beanibazar</t>
  </si>
  <si>
    <t>Khagrachori</t>
  </si>
  <si>
    <t>Satmasjid</t>
  </si>
  <si>
    <t>Benapole</t>
  </si>
  <si>
    <t>Bhaluka</t>
  </si>
  <si>
    <t>12:00</t>
  </si>
  <si>
    <t>04:00</t>
  </si>
  <si>
    <t>Bheramara(GK)</t>
  </si>
  <si>
    <t>KSRM</t>
  </si>
  <si>
    <t>Shariatpur</t>
  </si>
  <si>
    <t>Kulaura</t>
  </si>
  <si>
    <t>Bog-Sherpur</t>
  </si>
  <si>
    <t>Shikalbaha</t>
  </si>
  <si>
    <t>Bogura</t>
  </si>
  <si>
    <t>Kushtia</t>
  </si>
  <si>
    <t>Borhanuddin</t>
  </si>
  <si>
    <t>Sholosohor</t>
  </si>
  <si>
    <t>Brahmanbaria</t>
  </si>
  <si>
    <t>05:00</t>
  </si>
  <si>
    <t>Cantonment</t>
  </si>
  <si>
    <t>Sirajganj</t>
  </si>
  <si>
    <t>Sreemongol</t>
  </si>
  <si>
    <t>Chapai</t>
  </si>
  <si>
    <t>Srinagar</t>
  </si>
  <si>
    <t>Charsaidpur</t>
  </si>
  <si>
    <t>Mahasthangarh</t>
  </si>
  <si>
    <t>SSM</t>
  </si>
  <si>
    <t>03:00</t>
  </si>
  <si>
    <t>Chauddagram</t>
  </si>
  <si>
    <t>Manikganj</t>
  </si>
  <si>
    <t>Chhatak</t>
  </si>
  <si>
    <t>Coxsbazar</t>
  </si>
  <si>
    <t>Millgate</t>
  </si>
  <si>
    <t>TK</t>
  </si>
  <si>
    <t>Cumilla(N)</t>
  </si>
  <si>
    <t>Cumilla(S)</t>
  </si>
  <si>
    <t>Mirsorai</t>
  </si>
  <si>
    <t>Modern</t>
  </si>
  <si>
    <t>UttaraNew</t>
  </si>
  <si>
    <t>Mogbazar</t>
  </si>
  <si>
    <t>Zigatola</t>
  </si>
  <si>
    <t>Munshiganj</t>
  </si>
  <si>
    <t>Ghorashal</t>
  </si>
  <si>
    <t>Narshingdi</t>
  </si>
  <si>
    <t>Gollamari</t>
  </si>
  <si>
    <t>Netrakona</t>
  </si>
  <si>
    <t>New</t>
  </si>
  <si>
    <t>Niamatpur</t>
  </si>
  <si>
    <t>06:00</t>
  </si>
  <si>
    <t>07:00</t>
  </si>
  <si>
    <t>Gopalganj_I</t>
  </si>
  <si>
    <t>Chatto</t>
  </si>
  <si>
    <t>(20) Director,Public Relation,PDB.</t>
  </si>
  <si>
    <t>(15) C.E. Generation,PDB.</t>
  </si>
  <si>
    <t>(26) Executive Eng. EMD.</t>
  </si>
  <si>
    <t xml:space="preserve">(16) C.E, (P &amp; D),PDB. </t>
  </si>
  <si>
    <t>(27) NLDC</t>
  </si>
  <si>
    <t>(17) C.E. System Operation,PGCB</t>
  </si>
  <si>
    <t>6) Siddhirganj 210 MW .</t>
  </si>
  <si>
    <t>Sub Divisional Engineer</t>
  </si>
  <si>
    <t>33 kV feeder problem.</t>
  </si>
  <si>
    <t>Anlima Energy Limited 116 MW PP</t>
  </si>
  <si>
    <t>Anwara United 300MW</t>
  </si>
  <si>
    <t>Ashuganj Midland 51MW</t>
  </si>
  <si>
    <t>Ashuganj Precision 55MW</t>
  </si>
  <si>
    <t>Baraka Sikalbaha 105MW</t>
  </si>
  <si>
    <t>Bheramara 410MW</t>
  </si>
  <si>
    <t>Bogura (GBB) 22MW</t>
  </si>
  <si>
    <t>Choumohoni 113 MW</t>
  </si>
  <si>
    <t>Faridpur Peaking</t>
  </si>
  <si>
    <t>Juldah unit-2</t>
  </si>
  <si>
    <t>Khulna(KPCL -2)</t>
  </si>
  <si>
    <t>Kushiara 163MW</t>
  </si>
  <si>
    <t>Madhabdi Summit</t>
  </si>
  <si>
    <t>Noapara (Khanjahan Ali) 40MW</t>
  </si>
  <si>
    <t>Saidpur GT</t>
  </si>
  <si>
    <t>Shajibazar 86MW</t>
  </si>
  <si>
    <t>Siddhirganj Dutch-Bangla</t>
  </si>
  <si>
    <t>Summit Barisal 110MW</t>
  </si>
  <si>
    <t xml:space="preserve">Summit Gazipur-2 300MW </t>
  </si>
  <si>
    <t>Tangail (Doreen) 22MW</t>
  </si>
  <si>
    <t>Zodiac Power  54MW</t>
  </si>
  <si>
    <t>Coal Shortage</t>
  </si>
  <si>
    <t>19:30</t>
  </si>
  <si>
    <t>23:00</t>
  </si>
  <si>
    <t>16.  Hourly Load Shed during</t>
  </si>
  <si>
    <t>16:00</t>
  </si>
  <si>
    <t>18:30</t>
  </si>
  <si>
    <t>08:00</t>
  </si>
  <si>
    <t>φ</t>
  </si>
  <si>
    <t>Coal shortage</t>
  </si>
  <si>
    <t>17:00</t>
  </si>
  <si>
    <t>Ashugonj North 360MW</t>
  </si>
  <si>
    <t>Ashulia Summit</t>
  </si>
  <si>
    <t>Chandpur Desh 200MW</t>
  </si>
  <si>
    <t>Cumilla Summit 25MW</t>
  </si>
  <si>
    <t>Fenchuganj (Energy Prima)</t>
  </si>
  <si>
    <t>Feni (Doreen) 22MW</t>
  </si>
  <si>
    <t>Feni Mohipal(Doreen) 11MW</t>
  </si>
  <si>
    <t>Gazipur 100MW</t>
  </si>
  <si>
    <t>Ghorasal GT-4</t>
  </si>
  <si>
    <t xml:space="preserve">Ghorasal Unit-7 365 MW </t>
  </si>
  <si>
    <t>Haripur 412MW CCPP</t>
  </si>
  <si>
    <t>Juldah Unit-3</t>
  </si>
  <si>
    <t>Karnaphuli Power Ltd. 110MW</t>
  </si>
  <si>
    <t>Kodda 150MW (BRP Gen)</t>
  </si>
  <si>
    <t>Lakdhanavi Bangla Power 52MW</t>
  </si>
  <si>
    <t>Madangonj 55MW</t>
  </si>
  <si>
    <t>Madhumati Power Plant</t>
  </si>
  <si>
    <t>Manikganj  162 MW PP</t>
  </si>
  <si>
    <t>Mauna  Summit</t>
  </si>
  <si>
    <t>Midland 150MW</t>
  </si>
  <si>
    <t>Northern 55MW</t>
  </si>
  <si>
    <t>Raozan 25MW (RPCL)</t>
  </si>
  <si>
    <t>Siddirganj CCPP 335MW</t>
  </si>
  <si>
    <t>Sirajgonj 6.55 MW Solar</t>
  </si>
  <si>
    <t>Sylhet (Energyprima) 50MW</t>
  </si>
  <si>
    <t>C-φ</t>
  </si>
  <si>
    <t>FCR updated on 19/05/2022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</si>
  <si>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</si>
  <si>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HGPI for 30 days.</t>
  </si>
  <si>
    <t>S/D due to HGPI</t>
  </si>
  <si>
    <t>7) Sikalbaha 225 MW</t>
  </si>
  <si>
    <t>3) Ashuganj-5</t>
  </si>
  <si>
    <t>16/04/2022</t>
  </si>
  <si>
    <t>27/04/2021</t>
  </si>
  <si>
    <t>18:00</t>
  </si>
  <si>
    <t>% Evening Peak Demand as Book-2022</t>
  </si>
  <si>
    <t>Extra Load as Book-2022(MW)</t>
  </si>
  <si>
    <t>02:00</t>
  </si>
  <si>
    <t>Bibiana</t>
  </si>
  <si>
    <t>BIPTC</t>
  </si>
  <si>
    <t>Sirajgonj</t>
  </si>
  <si>
    <t xml:space="preserve">     NESCO &amp; PBS.</t>
  </si>
  <si>
    <t>Purbasadipur S/S area since 06:10(18/06/2022).</t>
  </si>
  <si>
    <t>NENP</t>
  </si>
  <si>
    <t>`</t>
  </si>
  <si>
    <t>Ashuganj 420 MW CCPP(East)</t>
  </si>
  <si>
    <t>284*1+136*1</t>
  </si>
  <si>
    <t>On test.</t>
  </si>
  <si>
    <t>BPDB</t>
  </si>
  <si>
    <t>t) Madunaghat-Sholoshahar 132 kV Ckt tripped at 0:45(27/06/2022) from Sholoshahar end showing L/O</t>
  </si>
  <si>
    <t xml:space="preserve">   and was switched on at 05:00(27/06/2022).</t>
  </si>
  <si>
    <t xml:space="preserve">u) Natore-Rajshahi(Old) 132 kV Ckt-2 is under shut down since 06:07(27/06/2022) due to Bus DS </t>
  </si>
  <si>
    <t xml:space="preserve">   replacement work at Natore end.</t>
  </si>
  <si>
    <t>About 85 MW power interruption has been running under</t>
  </si>
  <si>
    <t>Natore S/S area since 06:39(27/06/2022).</t>
  </si>
  <si>
    <t>y) Gollamari 132/33 kV T-1 transformer was shut down at 06:12(27/06/2022) for D/W.</t>
  </si>
  <si>
    <t xml:space="preserve">x) Sonargaon 132/33 kV T-2 transformer along with 33 kV Bus were under shut down from </t>
  </si>
  <si>
    <t xml:space="preserve">   07:27(27/06/2022) to 10:32(27/06/2022) for C/M.</t>
  </si>
  <si>
    <t>About 20 MW power interruption occurred under</t>
  </si>
  <si>
    <t>Sonargaon S/S area from 07:27(27/06/2022) to 10:32.</t>
  </si>
  <si>
    <t xml:space="preserve">w) Natore 132 kV main Bus was under shut down from 06:39(27/06/2022) to 09:01(27/06/2022) due to </t>
  </si>
  <si>
    <t xml:space="preserve">    Bus DS of Rajshahi(old)-2 replacement.</t>
  </si>
  <si>
    <t xml:space="preserve">v) Natore-Rajshahi(Old) 132 kV Ckt-1 was under shut down from 07:01(27/06/2022) to 09:01(27/06/2022) </t>
  </si>
  <si>
    <t xml:space="preserve">    due to C/M of reserve Bus DS.</t>
  </si>
  <si>
    <t>Khulna 330 MW CCPP (GAS)</t>
  </si>
  <si>
    <t>1*220+1*110</t>
  </si>
  <si>
    <t>Khulna 330 MW CCPP (OIL)</t>
  </si>
  <si>
    <t>2) Ghorasal-3,4</t>
  </si>
  <si>
    <t>id no.</t>
  </si>
  <si>
    <t>ois123456</t>
  </si>
  <si>
    <t>Barishal-230</t>
  </si>
  <si>
    <t>Rajshahi-230</t>
  </si>
  <si>
    <t>Shikalbaha-230</t>
  </si>
  <si>
    <t>Bogura-230</t>
  </si>
  <si>
    <t>Shyampur-230</t>
  </si>
  <si>
    <t>Jhenaidah-230</t>
  </si>
  <si>
    <t xml:space="preserve">Gas shortage </t>
  </si>
  <si>
    <t xml:space="preserve">1) Barapukuria ST: Unit-1,2    </t>
  </si>
  <si>
    <t xml:space="preserve">Ministry of Power,Energy &amp; Mineral </t>
  </si>
  <si>
    <t>Resources, GOB.</t>
  </si>
  <si>
    <t>Power,Energy &amp; Mineral Resources.</t>
  </si>
  <si>
    <t>Planning Commission.</t>
  </si>
  <si>
    <t xml:space="preserve">     System Operation,PDB.</t>
  </si>
  <si>
    <t>8) Shajibazar 330 MW</t>
  </si>
  <si>
    <t>4) Baghabari-71,100 MW</t>
  </si>
  <si>
    <t>p) Haripur-Bhulta 132 kV Ckt was under shut down from 06:00(17/7/2022) to 08:27 for R/H maintenance at Bhulta end.</t>
  </si>
  <si>
    <t>q) Hathazari-Baroirhat 132 kV Ckt-1 &amp; 2 were shut down at 6:26(17/6/2022) for D/W.</t>
  </si>
  <si>
    <t xml:space="preserve">s) Bogura 132/33 kV T-1 transformer was under shut down from 06:40(17/7/2022) for R/H maintenance at </t>
  </si>
  <si>
    <t xml:space="preserve">  132 kV B,CT connector.</t>
  </si>
  <si>
    <t xml:space="preserve">t) Bhaluka 132/33 kV t-1 transformer was under shut down from 07:03(17/7/2022) for Bus isolator </t>
  </si>
  <si>
    <t xml:space="preserve">  maintenance at 33 kV,PDB Shokhipur feeder and was switched on at 09:27.</t>
  </si>
  <si>
    <t>About 65 MW power interruption occurred under</t>
  </si>
  <si>
    <t>Bhaluka S/S area from 07:03(17/7/2022) to 09:27.</t>
  </si>
  <si>
    <t xml:space="preserve">  maintenance of capacitor bank.</t>
  </si>
  <si>
    <t>Thakurgaon S/S area from 05:55(17/7/2022) to 07:16.</t>
  </si>
  <si>
    <t>r) Noapara132/33 kV T-2 transformer tripped at 6:04(17/4/2022) operating PRD and was switched on at 12:20.</t>
  </si>
  <si>
    <t xml:space="preserve">u) Thakurgaon 33 kV Bus section-3 was under shut down from 05:55(17/7/20220 to 07:16 for isolator </t>
  </si>
  <si>
    <t>9) Siddhirganj 335 MW</t>
  </si>
  <si>
    <t>Gas shortage &amp; GT-2 S/D.</t>
  </si>
  <si>
    <t>Fuel conservation</t>
  </si>
  <si>
    <t>Under maint,Fuel conservation</t>
  </si>
  <si>
    <t>Load Shed Plan at S/S end  (MW)</t>
  </si>
  <si>
    <t>Rahanpur_I</t>
  </si>
  <si>
    <t>Demand at 33kV</t>
  </si>
  <si>
    <t>input</t>
  </si>
  <si>
    <t>output</t>
  </si>
  <si>
    <t>Gen - Reserve</t>
  </si>
  <si>
    <t>(0.025 - 0.035)</t>
  </si>
  <si>
    <t>Gen - Overdraw Protection - Aux &amp; Loss</t>
  </si>
  <si>
    <t>(0.03 - 0.045)</t>
  </si>
  <si>
    <t>Gen - Overdraw Protection - Aux &amp; Loss - KPI</t>
  </si>
  <si>
    <t>Day 
Peak Ratio</t>
  </si>
  <si>
    <t>KPI</t>
  </si>
  <si>
    <t>Base  
Allocation</t>
  </si>
  <si>
    <t>Base 
Load Shed</t>
  </si>
  <si>
    <t>Barisal 
Dist (LS)</t>
  </si>
  <si>
    <t>Adjusted 
Load Shed</t>
  </si>
  <si>
    <t>Adjusted Load Allocation</t>
  </si>
  <si>
    <t>Exclude</t>
  </si>
  <si>
    <t>Allocation after exclusion</t>
  </si>
  <si>
    <t>Given Allocation</t>
  </si>
  <si>
    <t>DPDC</t>
  </si>
  <si>
    <t>DESCO</t>
  </si>
  <si>
    <t>REB</t>
  </si>
  <si>
    <t>Siddhirganj 335 MW</t>
  </si>
  <si>
    <t>Madanganj 55 MW</t>
  </si>
  <si>
    <t>Orion Sonargaon 104 MW</t>
  </si>
  <si>
    <t>Summit Meghnaghat 335 MW</t>
  </si>
  <si>
    <t>Postogola</t>
  </si>
  <si>
    <t>Gas shortage.</t>
  </si>
  <si>
    <t>REB/Dhaka</t>
  </si>
  <si>
    <t>s) Nawabganj 132/33 kV T-2 transformer was shut down from 07:39 to 08:43(27-07-2022) for red hot maint.</t>
  </si>
  <si>
    <t xml:space="preserve">                                                               </t>
  </si>
  <si>
    <t>Industries</t>
  </si>
  <si>
    <t>Gopal+Madari+Shariat</t>
  </si>
  <si>
    <t>ST under S/D</t>
  </si>
  <si>
    <t>Gas shortage &amp; GT-2 S/D</t>
  </si>
  <si>
    <t>ST under maint.</t>
  </si>
  <si>
    <t>Barapukuria Unit-1,2, Ghorashal Unit-3,4, Siddhirganj TPP,Haripur SBU, Tongi GTPP,Sikalbaha 225 MW,Bibiyana south,Kushiara 163 MW</t>
  </si>
  <si>
    <t xml:space="preserve">                         Energy Comparison Between July 2021 &amp; July 2022</t>
  </si>
  <si>
    <t>Day Wise Total Energy of July-2021 in KWH</t>
  </si>
  <si>
    <t>Day Wise Total Energy of July-2022 in KWH</t>
  </si>
  <si>
    <t>OIS Demand (33KV end)</t>
  </si>
  <si>
    <t>Demand at Gen. end</t>
  </si>
  <si>
    <t>Demand at Gen end</t>
  </si>
  <si>
    <t>Range</t>
  </si>
  <si>
    <t>Control Time</t>
  </si>
  <si>
    <t xml:space="preserve">a) Halishahar-Khulshi 132 kV Ckt-3 tripped at 08:29 showing Dist. Z1, B-phase relay at Halishahar end &amp;  Dist. </t>
  </si>
  <si>
    <t xml:space="preserve">  Z1, C-phase relay at Khulshi end and was switched on at 08:55.</t>
  </si>
  <si>
    <t xml:space="preserve">b) Mymensing-Kishoreganj 132 kV Ckt-2 tripped at 09:01 showing Dist. Z1, C-phase relay at Mymensing end &amp;  </t>
  </si>
  <si>
    <t xml:space="preserve">  Dist. Z1, C-phase relay at Kishoreganj end and was switched on at 10:55.</t>
  </si>
  <si>
    <t>c) Sonargaon 132/33 kV T-1 transformer was under shut down from 10:35 to 12:30 for D/W.</t>
  </si>
  <si>
    <t>d) Sonargaon 132/33 kV T-2 transformer was under shut down from 12:32 to 13:14 for D/W.</t>
  </si>
  <si>
    <t>e) Sonargaon-Sonargaon Orion P/P 132 kV Ckt was under shut down from 14:04 to 14:44 for D/W.</t>
  </si>
  <si>
    <t>f) Niamatpur 132/33 kV T-1 transformer was under shut down from 17:25 to 18:48 due to R/H maintenance.</t>
  </si>
  <si>
    <t xml:space="preserve">  end &amp;  Dist. Z1, 3-phase relay at Netrokona end and was switched on at 06:49(06-08-2022).</t>
  </si>
  <si>
    <t xml:space="preserve">k) Mymensing-Netrokona 132 kV Ckt-1 tripped at 05:51(06-08-22) showing Dist. Z1, A-phase relay at Mymensing </t>
  </si>
  <si>
    <t>j) Shahjibazar 132/33 kV T-4 transformer was under shut down from 06:36(06/08/22) to 07:10(06/08/22) for C/M.</t>
  </si>
  <si>
    <t xml:space="preserve">   A-phase relays and was switched on at 04:33(06-08-2022).</t>
  </si>
  <si>
    <t>i) Cumilla(N)-Daudkandi 132 kV Ckt-1 tripped at 04:28(06-08-2022) from both end showing, O/C, Dist. Z1,</t>
  </si>
  <si>
    <t xml:space="preserve">   was switched on at 19:51.</t>
  </si>
  <si>
    <t>h) Dohazari-Sikalbaha 132 kV Ckt-1 tripped at 19:24 from both end showing Dist. Z1, B-phase relays and</t>
  </si>
  <si>
    <t>Shahjibazar S/S area from 06:36(06/08/22) to 07:10</t>
  </si>
  <si>
    <t>About 40 MW power interruption occurred under</t>
  </si>
  <si>
    <t>Niamatpur S/S area from 17:25 to 18:48.</t>
  </si>
  <si>
    <t xml:space="preserve">  NESCO.</t>
  </si>
  <si>
    <t>l) Purbasadipur 132/33 kV T-4 transformer was shut down at 05:20(06/08/22) due to 33 kV Bus maintenance by</t>
  </si>
  <si>
    <t>Purbasadipur S/S area from 05:20(06/08/22) to till.</t>
  </si>
  <si>
    <t>g) Siddhirganj 2*120 MW GT-1 was synchronized at 12:14.</t>
  </si>
  <si>
    <t>Meghnaghat 450 MW GT-2, Siddhirganj 335 MW, Baghabari-71,100 MW are under shut down due to gas shortage.</t>
  </si>
  <si>
    <t>35.4° C</t>
  </si>
  <si>
    <t>35.7° C</t>
  </si>
  <si>
    <t>ST, Shahjibazar- 330 MW,  are under maintenance and  Bhola GT-2, Ashuganj-5, Megnaghat Summit,</t>
  </si>
  <si>
    <t>a) Aminbazar 230/132 kV T01 transformer was under shut down from 09:59 to 21:56 for C/M.</t>
  </si>
  <si>
    <t>b) Haripur-Sonargaon 132 kV Ckt-2 was under shut down from 10:25 to 15:04 for C/M.</t>
  </si>
  <si>
    <t>d) Tongi S/S-Tongi P/S 230 kV Ckt was under shut down from 12:55 to 17:29 for D/W.</t>
  </si>
  <si>
    <t>e) Bogura Sherpur 132/33 kV T-1 transformer was under shut down from 08:20 to 09:46 for C/M.</t>
  </si>
  <si>
    <t>Bogura Sherpur S/S area from 08:20 to 09:46.</t>
  </si>
  <si>
    <t xml:space="preserve">   bus coupler Y phase pole problem.</t>
  </si>
  <si>
    <t>g) Ghorasal #07 GT was synchronized at 19:52.</t>
  </si>
  <si>
    <t>h) Haripur-Sonargaon 132 kV Ckt-1 was under shut down from 15:15 to 17:07 for D/W.</t>
  </si>
  <si>
    <t xml:space="preserve">    Ghorasal end and was switched on at 14:23.</t>
  </si>
  <si>
    <t xml:space="preserve">j) Chapainawabganj 132/33 kV T-1 transformer was under shut down from 22:05 to 00:59 due to 33 kV CT red </t>
  </si>
  <si>
    <t xml:space="preserve">   hot maintenance.</t>
  </si>
  <si>
    <t>c) Mohastanghor 132/33 kV T-1 transformer was under shut down from 11:25 to 12:17 for C/M.</t>
  </si>
  <si>
    <t>f) Niamatpur 132/33 kV T-1 &amp; T-2 transformer 33 kV bus was under shut down from 09:45 to 10:54 due to 33 kV</t>
  </si>
  <si>
    <t>Niamatpur S/S area from 09:45 to 10:54.</t>
  </si>
  <si>
    <t>i) Ghorasal-Ishurdi 230 kV Ckt-1 tripped at 14:02 showing dist C phase Z1 at Ishurdi end &amp; dist B phase Z1 at</t>
  </si>
  <si>
    <t>5) Raozan unit-2</t>
  </si>
  <si>
    <t xml:space="preserve">Total Energy Gen 268.039 MKWHr 
Energy Not Served   31.983 MKWHr 
Energy Requirement     300.022 MKWHr </t>
  </si>
  <si>
    <t>13227 MW (21:00 )</t>
  </si>
  <si>
    <t>10149 MW (09:00 )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</si>
</sst>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.0"/>
    <numFmt numFmtId="166" formatCode="_-* #,##0_-;\-* #,##0_-;_-* &quot;-&quot;??_-;_-@_-"/>
    <numFmt numFmtId="167" formatCode="h:mm;@"/>
    <numFmt numFmtId="168" formatCode="0;[Red]0"/>
    <numFmt numFmtId="169" formatCode="dd/mm/yy;@"/>
    <numFmt numFmtId="170" formatCode="dd\.mm\.yyyy;@"/>
    <numFmt numFmtId="171" formatCode="[$-409]dd\-mmm\-yy;@"/>
    <numFmt numFmtId="172" formatCode="0.0%"/>
    <numFmt numFmtId="173" formatCode="[$-809]dd\ mmmm\ yyyy;@"/>
    <numFmt numFmtId="174" formatCode="mmm\-yyyy"/>
    <numFmt numFmtId="175" formatCode="mmm/yyyy"/>
    <numFmt numFmtId="176" formatCode="[$-F400]h:mm:ss\ AM/PM"/>
    <numFmt numFmtId="177" formatCode="0.000"/>
    <numFmt numFmtId="178" formatCode="0.000%"/>
    <numFmt numFmtId="179" formatCode="[$-5000445]0"/>
    <numFmt numFmtId="180" formatCode="mmmm\ d\,\ yyyy"/>
    <numFmt numFmtId="181" formatCode="&quot;Tk&quot;#,##0"/>
    <numFmt numFmtId="182" formatCode="0_);\(0\)"/>
    <numFmt numFmtId="183" formatCode="[$-F800]dddd\,\ mmmm\ dd\,\ yyyy"/>
    <numFmt numFmtId="184" formatCode="hh:mm:ss;@"/>
    <numFmt numFmtId="185" formatCode="0.0000"/>
    <numFmt numFmtId="186" formatCode="[$-409]dddd\,\ mmmm\ dd\,\ yyyy"/>
    <numFmt numFmtId="187" formatCode="0.00;[Red]0.00"/>
    <numFmt numFmtId="188" formatCode="[hh]:mm"/>
    <numFmt numFmtId="189" formatCode="[$-409]d\-mmm;@"/>
    <numFmt numFmtId="190" formatCode="_(* #,##0_);_(* \(#,##0\);_(* &quot;-&quot;??_);_(@_)"/>
    <numFmt numFmtId="191" formatCode="dd/mm/yy\ h:mm;@"/>
    <numFmt numFmtId="192" formatCode="0.0;[Red]0.0"/>
  </numFmts>
  <fonts count="625">
    <font>
      <sz val="11"/>
      <color theme="1"/>
      <name val="Calibri"/>
      <family val="2"/>
      <scheme val="minor"/>
    </font>
    <font>
      <sz val="20"/>
      <color indexed="12"/>
      <name val="Arial"/>
      <family val="2"/>
    </font>
    <font>
      <sz val="12"/>
      <name val="Arial"/>
      <family val="2"/>
    </font>
    <font>
      <b/>
      <sz val="20"/>
      <color indexed="16"/>
      <name val="Arial"/>
      <family val="2"/>
    </font>
    <font>
      <sz val="12"/>
      <color indexed="8"/>
      <name val="Arial"/>
      <family val="2"/>
    </font>
    <font>
      <b/>
      <sz val="20"/>
      <color indexed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13"/>
      <name val="Arial"/>
      <family val="2"/>
    </font>
    <font>
      <sz val="13"/>
      <color indexed="12"/>
      <name val="Arial"/>
      <family val="2"/>
    </font>
    <font>
      <sz val="12"/>
      <name val="SutonnyMJ"/>
    </font>
    <font>
      <b/>
      <sz val="12"/>
      <name val="SutonnyMJ"/>
    </font>
    <font>
      <sz val="12"/>
      <color indexed="16"/>
      <name val="SutonnyMJ"/>
    </font>
    <font>
      <sz val="11"/>
      <color indexed="8"/>
      <name val="SutonnyMJ"/>
    </font>
    <font>
      <sz val="11"/>
      <name val="SutonnyMJ"/>
    </font>
    <font>
      <sz val="12"/>
      <color indexed="61"/>
      <name val="SutonnyMJ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12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b/>
      <sz val="12"/>
      <name val="Times New Roman"/>
      <family val="1"/>
    </font>
    <font>
      <sz val="10"/>
      <color indexed="10"/>
      <name val="Times New Roman"/>
      <family val="1"/>
    </font>
    <font>
      <sz val="11"/>
      <name val="Times New Roman"/>
      <family val="1"/>
    </font>
    <font>
      <sz val="10"/>
      <color indexed="12"/>
      <name val="Times New Roman"/>
      <family val="1"/>
    </font>
    <font>
      <sz val="10"/>
      <color indexed="8"/>
      <name val="Times New Roman"/>
      <family val="1"/>
    </font>
    <font>
      <sz val="10"/>
      <color indexed="16"/>
      <name val="Times New Roman"/>
      <family val="1"/>
    </font>
    <font>
      <b/>
      <u/>
      <sz val="10"/>
      <name val="Times New Roman"/>
      <family val="1"/>
    </font>
    <font>
      <i/>
      <sz val="10"/>
      <name val="Times New Roman"/>
      <family val="1"/>
    </font>
    <font>
      <sz val="20"/>
      <color indexed="16"/>
      <name val="Arial"/>
      <family val="2"/>
    </font>
    <font>
      <b/>
      <sz val="14"/>
      <color indexed="12"/>
      <name val="Arial"/>
      <family val="2"/>
    </font>
    <font>
      <sz val="16"/>
      <color indexed="12"/>
      <name val="Arial"/>
      <family val="2"/>
    </font>
    <font>
      <b/>
      <sz val="20"/>
      <color indexed="43"/>
      <name val="Arial"/>
      <family val="2"/>
    </font>
    <font>
      <sz val="20"/>
      <color indexed="43"/>
      <name val="Arial"/>
      <family val="2"/>
    </font>
    <font>
      <sz val="20"/>
      <name val="Arial"/>
      <family val="2"/>
    </font>
    <font>
      <sz val="12"/>
      <color indexed="16"/>
      <name val="Arial"/>
      <family val="2"/>
    </font>
    <font>
      <b/>
      <sz val="16"/>
      <color indexed="9"/>
      <name val="Arial"/>
      <family val="2"/>
    </font>
    <font>
      <b/>
      <sz val="14"/>
      <color indexed="59"/>
      <name val="Arial"/>
      <family val="2"/>
    </font>
    <font>
      <b/>
      <sz val="14"/>
      <color indexed="20"/>
      <name val="Arial"/>
      <family val="2"/>
    </font>
    <font>
      <sz val="18"/>
      <name val="Arial"/>
      <family val="2"/>
    </font>
    <font>
      <sz val="14"/>
      <color indexed="59"/>
      <name val="Arial"/>
      <family val="2"/>
    </font>
    <font>
      <sz val="10"/>
      <color indexed="16"/>
      <name val="Arial"/>
      <family val="2"/>
    </font>
    <font>
      <b/>
      <sz val="11"/>
      <color indexed="8"/>
      <name val="Calibri"/>
      <family val="2"/>
    </font>
    <font>
      <sz val="14"/>
      <name val="Arial"/>
      <family val="2"/>
    </font>
    <font>
      <b/>
      <sz val="18"/>
      <name val="Arial"/>
      <family val="2"/>
    </font>
    <font>
      <sz val="8"/>
      <color indexed="16"/>
      <name val="Times New Roman"/>
      <family val="1"/>
    </font>
    <font>
      <sz val="12"/>
      <color indexed="12"/>
      <name val="Arial"/>
      <family val="2"/>
    </font>
    <font>
      <b/>
      <sz val="11"/>
      <color indexed="16"/>
      <name val="Arial"/>
      <family val="2"/>
    </font>
    <font>
      <sz val="11"/>
      <color indexed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color indexed="10"/>
      <name val="Arial"/>
      <family val="2"/>
    </font>
    <font>
      <sz val="11"/>
      <color indexed="8"/>
      <name val="Arial"/>
      <family val="2"/>
    </font>
    <font>
      <b/>
      <u/>
      <sz val="11"/>
      <name val="Arial"/>
      <family val="2"/>
    </font>
    <font>
      <b/>
      <sz val="14"/>
      <name val="Arial"/>
      <family val="2"/>
    </font>
    <font>
      <u/>
      <sz val="14"/>
      <name val="Arial"/>
      <family val="2"/>
    </font>
    <font>
      <sz val="24"/>
      <color indexed="12"/>
      <name val="Arial"/>
      <family val="2"/>
    </font>
    <font>
      <sz val="11"/>
      <color indexed="10"/>
      <name val="Arial"/>
      <family val="2"/>
    </font>
    <font>
      <b/>
      <sz val="20"/>
      <name val="Arial"/>
      <family val="2"/>
    </font>
    <font>
      <b/>
      <sz val="11"/>
      <color indexed="12"/>
      <name val="Arial"/>
      <family val="2"/>
    </font>
    <font>
      <sz val="26"/>
      <name val="Arial"/>
      <family val="2"/>
    </font>
    <font>
      <b/>
      <sz val="20"/>
      <name val="SutonnyMJ"/>
    </font>
    <font>
      <sz val="10"/>
      <name val="Arial"/>
      <family val="2"/>
    </font>
    <font>
      <u/>
      <sz val="14"/>
      <color indexed="12"/>
      <name val="Arial"/>
      <family val="2"/>
    </font>
    <font>
      <b/>
      <sz val="12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Times New Roman"/>
      <family val="1"/>
    </font>
    <font>
      <b/>
      <sz val="10"/>
      <color rgb="FFFFFF00"/>
      <name val="Times New Roman"/>
      <family val="1"/>
    </font>
    <font>
      <sz val="20"/>
      <color rgb="FF0000CC"/>
      <name val="Arial"/>
      <family val="2"/>
    </font>
    <font>
      <sz val="8"/>
      <color theme="1"/>
      <name val="Arial"/>
      <family val="2"/>
    </font>
    <font>
      <sz val="18"/>
      <color theme="1"/>
      <name val="Arial"/>
      <family val="2"/>
    </font>
    <font>
      <b/>
      <sz val="11"/>
      <color theme="1"/>
      <name val="Times New Roman"/>
      <family val="1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theme="1"/>
      <name val="SutonnyMJ"/>
    </font>
    <font>
      <sz val="11"/>
      <color theme="1"/>
      <name val="SutonnyMJ"/>
    </font>
    <font>
      <sz val="12"/>
      <color theme="1"/>
      <name val="RinkiyMJ"/>
    </font>
    <font>
      <b/>
      <sz val="11"/>
      <name val="Calibri"/>
      <family val="2"/>
      <scheme val="minor"/>
    </font>
    <font>
      <sz val="14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sz val="14"/>
      <color theme="1"/>
      <name val="SugondhaEMJ "/>
    </font>
    <font>
      <sz val="26"/>
      <color theme="1"/>
      <name val="Arial"/>
      <family val="2"/>
    </font>
    <font>
      <sz val="24"/>
      <color theme="5" tint="-0.249977111117893"/>
      <name val="Arial"/>
      <family val="2"/>
    </font>
    <font>
      <sz val="24"/>
      <color rgb="FF0000CC"/>
      <name val="Arial"/>
      <family val="2"/>
    </font>
    <font>
      <sz val="24"/>
      <color rgb="FF0000FF"/>
      <name val="Arial"/>
      <family val="2"/>
    </font>
    <font>
      <sz val="8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Arial"/>
      <family val="2"/>
    </font>
    <font>
      <sz val="36"/>
      <color theme="1"/>
      <name val="Arial"/>
      <family val="2"/>
    </font>
    <font>
      <sz val="11"/>
      <color rgb="FFFF0000"/>
      <name val="Arial"/>
      <family val="2"/>
    </font>
    <font>
      <sz val="22"/>
      <color theme="1"/>
      <name val="Arial"/>
      <family val="2"/>
    </font>
    <font>
      <sz val="28"/>
      <color theme="1"/>
      <name val="Arial"/>
      <family val="2"/>
    </font>
    <font>
      <sz val="16"/>
      <color theme="1"/>
      <name val="Arial"/>
      <family val="2"/>
    </font>
    <font>
      <sz val="14"/>
      <color rgb="FF0000FF"/>
      <name val="Arial"/>
      <family val="2"/>
    </font>
    <font>
      <b/>
      <sz val="14"/>
      <color theme="1"/>
      <name val="Arial"/>
      <family val="2"/>
    </font>
    <font>
      <b/>
      <sz val="14"/>
      <color rgb="FFCCFFCC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2"/>
      <color indexed="9"/>
      <name val="Arial"/>
      <family val="2"/>
    </font>
    <font>
      <sz val="14"/>
      <color indexed="9"/>
      <name val="Arial"/>
      <family val="2"/>
    </font>
    <font>
      <b/>
      <sz val="11"/>
      <color indexed="17"/>
      <name val="Arial"/>
      <family val="2"/>
    </font>
    <font>
      <b/>
      <sz val="16"/>
      <color rgb="FF800000"/>
      <name val="Arial"/>
      <family val="2"/>
    </font>
    <font>
      <b/>
      <sz val="20"/>
      <color rgb="FF800000"/>
      <name val="Arial"/>
      <family val="2"/>
    </font>
    <font>
      <b/>
      <sz val="22"/>
      <color rgb="FF800000"/>
      <name val="Arial"/>
      <family val="2"/>
    </font>
    <font>
      <b/>
      <sz val="24"/>
      <color rgb="FF800000"/>
      <name val="Arial"/>
      <family val="2"/>
    </font>
    <font>
      <b/>
      <sz val="16.8"/>
      <color rgb="FF800000"/>
      <name val="Arial"/>
      <family val="2"/>
    </font>
    <font>
      <b/>
      <sz val="15"/>
      <color rgb="FF800000"/>
      <name val="Arial"/>
      <family val="2"/>
    </font>
    <font>
      <sz val="16"/>
      <name val="Arial"/>
      <family val="2"/>
    </font>
    <font>
      <sz val="10"/>
      <color rgb="FF0909F7"/>
      <name val="Arial"/>
      <family val="2"/>
    </font>
    <font>
      <b/>
      <sz val="10"/>
      <color rgb="FF0909F7"/>
      <name val="Arial"/>
      <family val="2"/>
    </font>
    <font>
      <b/>
      <i/>
      <sz val="10"/>
      <name val="Arial"/>
      <family val="2"/>
    </font>
    <font>
      <sz val="10"/>
      <color rgb="FFFF0000"/>
      <name val="Arial"/>
      <family val="2"/>
    </font>
    <font>
      <b/>
      <sz val="12"/>
      <color rgb="FF0909F7"/>
      <name val="Arial"/>
      <family val="2"/>
    </font>
    <font>
      <sz val="10"/>
      <color indexed="57"/>
      <name val="Arial"/>
      <family val="2"/>
    </font>
    <font>
      <sz val="10"/>
      <color indexed="56"/>
      <name val="Arial"/>
      <family val="2"/>
    </font>
    <font>
      <u/>
      <sz val="10"/>
      <name val="Arial"/>
      <family val="2"/>
    </font>
    <font>
      <sz val="14"/>
      <color indexed="12"/>
      <name val="Arial"/>
      <family val="2"/>
    </font>
    <font>
      <sz val="14"/>
      <color indexed="8"/>
      <name val="Arial"/>
      <family val="2"/>
    </font>
    <font>
      <b/>
      <sz val="14"/>
      <color indexed="8"/>
      <name val="Arial"/>
      <family val="2"/>
    </font>
    <font>
      <sz val="11"/>
      <color indexed="11"/>
      <name val="Arial"/>
      <family val="2"/>
    </font>
    <font>
      <sz val="11"/>
      <color indexed="53"/>
      <name val="Arial"/>
      <family val="2"/>
    </font>
    <font>
      <b/>
      <sz val="12"/>
      <color theme="1"/>
      <name val="Arial"/>
      <family val="2"/>
    </font>
    <font>
      <sz val="11"/>
      <color indexed="18"/>
      <name val="Arial"/>
      <family val="2"/>
    </font>
    <font>
      <sz val="13"/>
      <color theme="1"/>
      <name val="Arial"/>
      <family val="2"/>
    </font>
    <font>
      <u/>
      <sz val="11"/>
      <name val="Arial"/>
      <family val="2"/>
    </font>
    <font>
      <b/>
      <sz val="12"/>
      <color indexed="8"/>
      <name val="Arial"/>
      <family val="2"/>
    </font>
    <font>
      <sz val="12"/>
      <color indexed="8"/>
      <name val="Times New Roman"/>
      <family val="1"/>
    </font>
    <font>
      <sz val="10.5"/>
      <color rgb="FF0909F7"/>
      <name val="Arial"/>
      <family val="2"/>
    </font>
    <font>
      <sz val="9"/>
      <name val="Arial"/>
      <family val="2"/>
    </font>
    <font>
      <b/>
      <sz val="10"/>
      <name val="Times New Roman"/>
      <family val="1"/>
    </font>
    <font>
      <u/>
      <sz val="14"/>
      <name val="Times New Roman"/>
      <family val="1"/>
    </font>
    <font>
      <b/>
      <u/>
      <sz val="16"/>
      <name val="Times New Roman"/>
      <family val="1"/>
    </font>
    <font>
      <i/>
      <sz val="12"/>
      <name val="Times New Roman"/>
      <family val="1"/>
    </font>
    <font>
      <sz val="12"/>
      <name val="Times New Roman"/>
      <family val="1"/>
    </font>
    <font>
      <sz val="13"/>
      <name val="Times New Roman"/>
      <family val="1"/>
    </font>
    <font>
      <sz val="11"/>
      <color theme="1" tint="0.14999847407452621"/>
      <name val="Times New Roman"/>
      <family val="1"/>
    </font>
    <font>
      <sz val="11"/>
      <color indexed="12"/>
      <name val="Times New Roman"/>
      <family val="1"/>
    </font>
    <font>
      <u/>
      <sz val="12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4"/>
      <name val="Times New Roman"/>
      <family val="1"/>
    </font>
    <font>
      <b/>
      <sz val="14"/>
      <name val="Times New Roman"/>
      <family val="1"/>
    </font>
    <font>
      <b/>
      <sz val="14"/>
      <color indexed="16"/>
      <name val="Arial"/>
      <family val="2"/>
    </font>
    <font>
      <sz val="14"/>
      <color indexed="16"/>
      <name val="Arial"/>
      <family val="2"/>
    </font>
    <font>
      <sz val="11"/>
      <color indexed="10"/>
      <name val="Times New Roman"/>
      <family val="1"/>
    </font>
    <font>
      <b/>
      <sz val="14"/>
      <color indexed="16"/>
      <name val="Times New Roman"/>
      <family val="1"/>
    </font>
    <font>
      <sz val="16"/>
      <color indexed="16"/>
      <name val="Arial"/>
      <family val="2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9" tint="-0.499984740745262"/>
      <name val="Arial"/>
      <family val="2"/>
    </font>
    <font>
      <b/>
      <sz val="18"/>
      <color indexed="16"/>
      <name val="Times New Roman"/>
      <family val="1"/>
    </font>
    <font>
      <sz val="13.5"/>
      <name val="Times New Roman"/>
      <family val="1"/>
    </font>
    <font>
      <sz val="12"/>
      <color rgb="FF0909F7"/>
      <name val="Times New Roman"/>
      <family val="1"/>
    </font>
    <font>
      <i/>
      <sz val="16"/>
      <color indexed="12"/>
      <name val="Arial"/>
      <family val="2"/>
    </font>
    <font>
      <sz val="10"/>
      <color indexed="60"/>
      <name val="Arial"/>
      <family val="2"/>
    </font>
    <font>
      <sz val="8"/>
      <color indexed="60"/>
      <name val="Arial"/>
      <family val="2"/>
    </font>
    <font>
      <i/>
      <sz val="12"/>
      <color indexed="12"/>
      <name val="Arial"/>
      <family val="2"/>
    </font>
    <font>
      <sz val="12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rgb="FFFF33CC"/>
      <name val="Arial"/>
      <family val="2"/>
    </font>
    <font>
      <sz val="10"/>
      <color theme="1" tint="0.14999847407452621"/>
      <name val="Arial"/>
      <family val="2"/>
    </font>
    <font>
      <b/>
      <sz val="11"/>
      <color rgb="FF000000"/>
      <name val="Arial"/>
      <family val="2"/>
    </font>
    <font>
      <sz val="16"/>
      <color indexed="8"/>
      <name val="Arial"/>
      <family val="2"/>
    </font>
    <font>
      <b/>
      <sz val="12"/>
      <color indexed="17"/>
      <name val="Arial"/>
      <family val="2"/>
    </font>
    <font>
      <sz val="10"/>
      <color rgb="FF000080"/>
      <name val="Arial"/>
      <family val="2"/>
    </font>
    <font>
      <b/>
      <i/>
      <sz val="10"/>
      <color indexed="12"/>
      <name val="Arial"/>
      <family val="2"/>
    </font>
    <font>
      <b/>
      <sz val="14"/>
      <color indexed="17"/>
      <name val="Arial"/>
      <family val="2"/>
    </font>
    <font>
      <sz val="11"/>
      <color indexed="17"/>
      <name val="Arial"/>
      <family val="2"/>
    </font>
    <font>
      <b/>
      <sz val="9"/>
      <name val="Arial"/>
      <family val="2"/>
    </font>
    <font>
      <sz val="10.5"/>
      <color theme="1"/>
      <name val="Times New Roman"/>
      <family val="1"/>
    </font>
    <font>
      <sz val="16"/>
      <color rgb="FF0000FF"/>
      <name val="Arial"/>
      <family val="2"/>
    </font>
    <font>
      <sz val="16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6"/>
      <color indexed="9"/>
      <name val="Arial"/>
      <family val="2"/>
    </font>
    <font>
      <sz val="10"/>
      <color rgb="FF0000FF"/>
      <name val="Arial"/>
      <family val="2"/>
    </font>
    <font>
      <sz val="10"/>
      <color theme="1"/>
      <name val="Times New Roman"/>
      <family val="1"/>
    </font>
    <font>
      <sz val="12"/>
      <name val="Calibri"/>
      <family val="2"/>
      <scheme val="minor"/>
    </font>
    <font>
      <sz val="13"/>
      <name val="SutonnyMJ"/>
    </font>
    <font>
      <b/>
      <sz val="18"/>
      <color theme="1"/>
      <name val="Arial"/>
      <family val="2"/>
    </font>
    <font>
      <b/>
      <sz val="14"/>
      <color theme="0"/>
      <name val="Arial"/>
      <family val="2"/>
    </font>
    <font>
      <sz val="14"/>
      <color rgb="FF0909F7"/>
      <name val="Arial"/>
      <family val="2"/>
    </font>
    <font>
      <b/>
      <i/>
      <sz val="14"/>
      <color rgb="FF0909F7"/>
      <name val="Arial"/>
      <family val="2"/>
    </font>
    <font>
      <i/>
      <sz val="14"/>
      <color rgb="FF0909F7"/>
      <name val="Arial"/>
      <family val="2"/>
    </font>
    <font>
      <sz val="14"/>
      <color rgb="FFFF0000"/>
      <name val="Arial"/>
      <family val="2"/>
    </font>
    <font>
      <sz val="14"/>
      <color theme="0"/>
      <name val="Arial"/>
      <family val="2"/>
    </font>
    <font>
      <sz val="22"/>
      <name val="Arial"/>
      <family val="2"/>
    </font>
    <font>
      <sz val="8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rgb="FF0000FF"/>
      <name val="Arial"/>
      <family val="2"/>
    </font>
    <font>
      <b/>
      <sz val="11"/>
      <color indexed="8"/>
      <name val="Bookman Old Style"/>
      <family val="1"/>
    </font>
    <font>
      <b/>
      <u/>
      <sz val="11"/>
      <color indexed="8"/>
      <name val="Bookman Old Style"/>
      <family val="1"/>
    </font>
    <font>
      <sz val="10"/>
      <name val="Arial"/>
      <family val="2"/>
    </font>
    <font>
      <sz val="9"/>
      <color theme="1"/>
      <name val="Arial"/>
      <family val="2"/>
    </font>
    <font>
      <b/>
      <sz val="18"/>
      <color indexed="16"/>
      <name val="Arial"/>
      <family val="2"/>
    </font>
    <font>
      <sz val="18"/>
      <color rgb="FF0000CC"/>
      <name val="Arial"/>
      <family val="2"/>
    </font>
    <font>
      <sz val="18"/>
      <color indexed="12"/>
      <name val="Arial"/>
      <family val="2"/>
    </font>
    <font>
      <sz val="16"/>
      <name val="Arial"/>
      <family val="2"/>
    </font>
    <font>
      <sz val="16"/>
      <color theme="0"/>
      <name val="Arial"/>
      <family val="2"/>
    </font>
    <font>
      <b/>
      <sz val="28"/>
      <name val="Arial"/>
      <family val="2"/>
    </font>
    <font>
      <sz val="18"/>
      <color rgb="FF0000FF"/>
      <name val="Calibri"/>
      <family val="2"/>
      <scheme val="minor"/>
    </font>
    <font>
      <sz val="16"/>
      <color rgb="FF0000FF"/>
      <name val="Arial"/>
      <family val="2"/>
    </font>
    <font>
      <sz val="12"/>
      <color theme="0"/>
      <name val="Arial"/>
      <family val="2"/>
    </font>
    <font>
      <sz val="16"/>
      <color indexed="8"/>
      <name val="Arial"/>
      <family val="2"/>
    </font>
    <font>
      <sz val="14"/>
      <name val="Calibri"/>
      <family val="2"/>
      <scheme val="minor"/>
    </font>
    <font>
      <b/>
      <i/>
      <sz val="14"/>
      <name val="Arial"/>
      <family val="2"/>
    </font>
    <font>
      <i/>
      <sz val="14"/>
      <name val="Arial"/>
      <family val="2"/>
    </font>
    <font>
      <sz val="18"/>
      <color theme="1"/>
      <name val="SugondhaEMJ "/>
    </font>
    <font>
      <b/>
      <sz val="22"/>
      <name val="Arial"/>
      <family val="2"/>
    </font>
    <font>
      <sz val="12"/>
      <name val="Arial"/>
      <family val="2"/>
    </font>
    <font>
      <sz val="8"/>
      <color rgb="FFFF0000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4"/>
      <color indexed="20"/>
      <name val="Arial"/>
      <family val="2"/>
    </font>
    <font>
      <i/>
      <sz val="11"/>
      <color rgb="FFC00000"/>
      <name val="Calibri"/>
      <family val="2"/>
      <scheme val="minor"/>
    </font>
    <font>
      <sz val="12"/>
      <color rgb="FFFF0000"/>
      <name val="Arial"/>
      <family val="2"/>
    </font>
    <font>
      <sz val="11"/>
      <color theme="1" tint="4.9989318521683403E-2"/>
      <name val="Arial"/>
      <family val="2"/>
    </font>
    <font>
      <sz val="16"/>
      <color rgb="FFC00000"/>
      <name val="Arial"/>
      <family val="2"/>
    </font>
    <font>
      <sz val="16"/>
      <color theme="0"/>
      <name val="Arial"/>
      <family val="2"/>
    </font>
    <font>
      <b/>
      <sz val="14"/>
      <color indexed="59"/>
      <name val="Arial"/>
      <family val="2"/>
    </font>
    <font>
      <sz val="14"/>
      <color indexed="16"/>
      <name val="Arial"/>
      <family val="2"/>
    </font>
    <font>
      <sz val="14"/>
      <name val="Arial"/>
      <family val="2"/>
    </font>
    <font>
      <b/>
      <sz val="20"/>
      <color theme="0"/>
      <name val="Arial"/>
      <family val="2"/>
    </font>
    <font>
      <sz val="16"/>
      <color rgb="FF0000FF"/>
      <name val="Arial"/>
      <family val="2"/>
    </font>
    <font>
      <sz val="18"/>
      <color theme="1"/>
      <name val="Arial"/>
      <family val="2"/>
    </font>
    <font>
      <sz val="18"/>
      <color rgb="FF0000CC"/>
      <name val="Arial"/>
      <family val="2"/>
    </font>
    <font>
      <sz val="18"/>
      <color indexed="12"/>
      <name val="Arial"/>
      <family val="2"/>
    </font>
    <font>
      <sz val="16"/>
      <color rgb="FFFF0000"/>
      <name val="Arial"/>
      <family val="2"/>
    </font>
    <font>
      <sz val="11"/>
      <color theme="1"/>
      <name val="Arial"/>
      <family val="2"/>
    </font>
    <font>
      <sz val="16"/>
      <color theme="0"/>
      <name val="Arial"/>
      <family val="2"/>
    </font>
    <font>
      <b/>
      <sz val="11"/>
      <color rgb="FFFF0000"/>
      <name val="Arial"/>
      <family val="2"/>
    </font>
    <font>
      <sz val="20"/>
      <color indexed="20"/>
      <name val="Arial"/>
      <family val="2"/>
    </font>
    <font>
      <sz val="6"/>
      <color theme="1"/>
      <name val="Arial"/>
      <family val="2"/>
    </font>
    <font>
      <sz val="9"/>
      <color theme="1"/>
      <name val="Arial"/>
      <family val="2"/>
    </font>
    <font>
      <sz val="9"/>
      <name val="SutonnyMJ"/>
    </font>
    <font>
      <sz val="9"/>
      <color indexed="61"/>
      <name val="SutonnyMJ"/>
    </font>
    <font>
      <sz val="13"/>
      <name val="Times New Roman"/>
      <family val="1"/>
    </font>
    <font>
      <sz val="12"/>
      <name val="Times New Roman"/>
      <family val="1"/>
    </font>
    <font>
      <sz val="11"/>
      <color indexed="12"/>
      <name val="Times New Roman"/>
      <family val="1"/>
    </font>
    <font>
      <b/>
      <sz val="18"/>
      <name val="Arial"/>
      <family val="2"/>
    </font>
    <font>
      <sz val="22"/>
      <color theme="1"/>
      <name val="Times New Roman"/>
      <family val="1"/>
    </font>
    <font>
      <sz val="22"/>
      <color indexed="16"/>
      <name val="Arial"/>
      <family val="2"/>
    </font>
    <font>
      <sz val="24"/>
      <color theme="1"/>
      <name val="Arial"/>
      <family val="2"/>
    </font>
    <font>
      <b/>
      <sz val="10"/>
      <name val="SutonnyMJ"/>
    </font>
    <font>
      <sz val="20"/>
      <name val="Arial"/>
      <family val="2"/>
    </font>
    <font>
      <sz val="18"/>
      <name val="Times New Roman"/>
      <family val="1"/>
    </font>
    <font>
      <sz val="16"/>
      <color rgb="FF0000FF"/>
      <name val="Arial"/>
      <family val="2"/>
    </font>
    <font>
      <b/>
      <sz val="24"/>
      <color theme="1"/>
      <name val="Calibri"/>
      <family val="2"/>
      <scheme val="minor"/>
    </font>
    <font>
      <b/>
      <sz val="22"/>
      <name val="Arial"/>
      <family val="2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Arial"/>
      <family val="2"/>
    </font>
    <font>
      <b/>
      <sz val="14"/>
      <color indexed="59"/>
      <name val="Arial"/>
      <family val="2"/>
    </font>
    <font>
      <sz val="11"/>
      <color theme="1"/>
      <name val="Arial"/>
      <family val="2"/>
    </font>
    <font>
      <sz val="16"/>
      <color indexed="12"/>
      <name val="Arial"/>
      <family val="2"/>
    </font>
    <font>
      <b/>
      <sz val="12"/>
      <color indexed="9"/>
      <name val="Arial"/>
      <family val="2"/>
    </font>
    <font>
      <sz val="18"/>
      <color theme="1"/>
      <name val="Arial"/>
      <family val="2"/>
    </font>
    <font>
      <sz val="10"/>
      <color indexed="9"/>
      <name val="Arial"/>
      <family val="2"/>
    </font>
    <font>
      <sz val="23"/>
      <color theme="1"/>
      <name val="Arial"/>
      <family val="2"/>
    </font>
    <font>
      <sz val="16"/>
      <color theme="0"/>
      <name val="Arial"/>
      <family val="2"/>
    </font>
    <font>
      <sz val="24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11"/>
      <name val="Arial"/>
      <family val="2"/>
    </font>
    <font>
      <sz val="22"/>
      <name val="Times New Roman"/>
      <family val="1"/>
    </font>
    <font>
      <sz val="11"/>
      <color indexed="10"/>
      <name val="Arial"/>
      <family val="2"/>
    </font>
    <font>
      <sz val="24"/>
      <name val="Times New Roman"/>
      <family val="1"/>
    </font>
    <font>
      <sz val="16"/>
      <color theme="0"/>
      <name val="Arial"/>
      <family val="2"/>
    </font>
    <font>
      <b/>
      <sz val="10"/>
      <color rgb="FF006600"/>
      <name val="Arial"/>
      <family val="2"/>
    </font>
    <font>
      <b/>
      <i/>
      <sz val="10"/>
      <color rgb="FF006600"/>
      <name val="Arial"/>
      <family val="2"/>
    </font>
    <font>
      <b/>
      <sz val="10"/>
      <color indexed="16"/>
      <name val="Arial"/>
      <family val="2"/>
    </font>
    <font>
      <b/>
      <sz val="10"/>
      <color indexed="61"/>
      <name val="Arial"/>
      <family val="2"/>
    </font>
    <font>
      <b/>
      <sz val="11"/>
      <name val="Times New Roman"/>
      <family val="1"/>
    </font>
    <font>
      <b/>
      <sz val="10"/>
      <color rgb="FFFF0000"/>
      <name val="Arial"/>
      <family val="2"/>
    </font>
    <font>
      <sz val="21"/>
      <color theme="1"/>
      <name val="Arial"/>
      <family val="2"/>
    </font>
    <font>
      <sz val="16"/>
      <name val="Arial"/>
      <family val="2"/>
    </font>
    <font>
      <sz val="22"/>
      <color theme="1"/>
      <name val="Arial"/>
      <family val="2"/>
    </font>
    <font>
      <sz val="21"/>
      <color theme="1"/>
      <name val="Times New Roman"/>
      <family val="1"/>
    </font>
    <font>
      <sz val="18"/>
      <name val="Arial"/>
      <family val="2"/>
    </font>
    <font>
      <sz val="18"/>
      <color indexed="8"/>
      <name val="Arial"/>
      <family val="2"/>
    </font>
    <font>
      <b/>
      <sz val="18"/>
      <name val="Arial"/>
      <family val="2"/>
    </font>
    <font>
      <b/>
      <sz val="18"/>
      <color indexed="8"/>
      <name val="Arial"/>
      <family val="2"/>
    </font>
    <font>
      <i/>
      <sz val="18"/>
      <name val="Arial"/>
      <family val="2"/>
    </font>
    <font>
      <b/>
      <sz val="18"/>
      <color indexed="16"/>
      <name val="Arial"/>
      <family val="2"/>
    </font>
    <font>
      <b/>
      <sz val="8"/>
      <color indexed="16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8"/>
      <color indexed="8"/>
      <name val="Arial"/>
      <family val="2"/>
    </font>
    <font>
      <b/>
      <sz val="10"/>
      <color theme="1"/>
      <name val="Times New Roman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4"/>
      <color rgb="FF000000"/>
      <name val="Arial"/>
      <family val="2"/>
    </font>
    <font>
      <sz val="24"/>
      <color theme="1"/>
      <name val="Times New Roman"/>
      <family val="1"/>
    </font>
    <font>
      <sz val="12"/>
      <color theme="1"/>
      <name val="Times New Roman"/>
      <family val="1"/>
    </font>
    <font>
      <sz val="24"/>
      <color theme="1"/>
      <name val="Times New Roman"/>
      <family val="1"/>
    </font>
    <font>
      <b/>
      <sz val="24"/>
      <color theme="0"/>
      <name val="Arial"/>
      <family val="2"/>
    </font>
    <font>
      <sz val="22"/>
      <name val="Arial"/>
      <family val="2"/>
    </font>
    <font>
      <b/>
      <sz val="16"/>
      <name val="Times New Roman"/>
      <family val="1"/>
    </font>
    <font>
      <b/>
      <sz val="22"/>
      <name val="Arial"/>
      <family val="2"/>
    </font>
    <font>
      <sz val="24"/>
      <name val="Arial"/>
      <family val="2"/>
    </font>
    <font>
      <b/>
      <sz val="18"/>
      <color indexed="8"/>
      <name val="Arial"/>
      <family val="2"/>
    </font>
    <font>
      <b/>
      <sz val="16"/>
      <color rgb="FF0000FF"/>
      <name val="Arial"/>
      <family val="2"/>
    </font>
    <font>
      <sz val="11"/>
      <color theme="1"/>
      <name val="Calibri"/>
      <family val="2"/>
      <scheme val="minor"/>
    </font>
    <font>
      <sz val="14"/>
      <color rgb="FF000000"/>
      <name val="Arial"/>
      <family val="2"/>
    </font>
    <font>
      <sz val="12"/>
      <color indexed="20"/>
      <name val="Arial"/>
      <family val="2"/>
    </font>
    <font>
      <b/>
      <sz val="12"/>
      <color indexed="16"/>
      <name val="Arial"/>
      <family val="2"/>
    </font>
    <font>
      <b/>
      <sz val="12"/>
      <color rgb="FF0000FF"/>
      <name val="Arial"/>
      <family val="2"/>
    </font>
    <font>
      <b/>
      <i/>
      <sz val="11"/>
      <name val="Arial"/>
      <family val="2"/>
    </font>
    <font>
      <b/>
      <i/>
      <sz val="11"/>
      <color rgb="FF0000FF"/>
      <name val="Arial"/>
      <family val="2"/>
    </font>
    <font>
      <b/>
      <i/>
      <sz val="11"/>
      <color rgb="FF0909F7"/>
      <name val="Arial"/>
      <family val="2"/>
    </font>
    <font>
      <b/>
      <sz val="14"/>
      <color theme="1"/>
      <name val="Times New Roman"/>
      <family val="1"/>
    </font>
    <font>
      <b/>
      <sz val="16"/>
      <color theme="0"/>
      <name val="Arial"/>
      <family val="2"/>
    </font>
    <font>
      <sz val="18"/>
      <color theme="1"/>
      <name val="Arial"/>
      <family val="2"/>
    </font>
    <font>
      <sz val="15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8"/>
      <name val="Times New Roman"/>
      <family val="1"/>
    </font>
    <font>
      <sz val="20"/>
      <name val="Arial"/>
      <family val="2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b/>
      <sz val="12"/>
      <color theme="1"/>
      <name val="Arial"/>
      <family val="2"/>
    </font>
    <font>
      <b/>
      <sz val="10"/>
      <color rgb="FF660000"/>
      <name val="Arial"/>
      <family val="2"/>
    </font>
    <font>
      <b/>
      <sz val="10"/>
      <color theme="1"/>
      <name val="Arial"/>
      <family val="2"/>
    </font>
    <font>
      <sz val="16"/>
      <color indexed="8"/>
      <name val="Arial"/>
      <family val="2"/>
    </font>
    <font>
      <sz val="16"/>
      <name val="Times New Roman"/>
      <family val="1"/>
    </font>
    <font>
      <u/>
      <sz val="16"/>
      <name val="Times New Roman"/>
      <family val="1"/>
    </font>
    <font>
      <b/>
      <sz val="16"/>
      <color indexed="16"/>
      <name val="Arial"/>
      <family val="2"/>
    </font>
    <font>
      <b/>
      <sz val="22"/>
      <color theme="5" tint="-0.249977111117893"/>
      <name val="Arial"/>
      <family val="2"/>
    </font>
    <font>
      <sz val="22"/>
      <color theme="5" tint="-0.249977111117893"/>
      <name val="Arial"/>
      <family val="2"/>
    </font>
    <font>
      <b/>
      <sz val="22"/>
      <color theme="1" tint="0.14999847407452621"/>
      <name val="Arial"/>
      <family val="2"/>
    </font>
    <font>
      <sz val="12"/>
      <color theme="1" tint="0.14999847407452621"/>
      <name val="SutonnyMJ"/>
    </font>
    <font>
      <sz val="12"/>
      <color theme="1" tint="4.9989318521683403E-2"/>
      <name val="SutonnyMJ"/>
    </font>
    <font>
      <b/>
      <sz val="12"/>
      <color theme="0"/>
      <name val="Arial"/>
      <family val="2"/>
    </font>
    <font>
      <sz val="16"/>
      <color theme="1"/>
      <name val="Arial"/>
      <family val="2"/>
    </font>
    <font>
      <b/>
      <sz val="12"/>
      <color indexed="16"/>
      <name val="SutonnyMJ"/>
    </font>
    <font>
      <b/>
      <sz val="12"/>
      <color theme="1" tint="4.9989318521683403E-2"/>
      <name val="SutonnyMJ"/>
    </font>
    <font>
      <b/>
      <sz val="12"/>
      <color theme="1" tint="0.14999847407452621"/>
      <name val="SutonnyMJ"/>
    </font>
    <font>
      <sz val="10"/>
      <color theme="1"/>
      <name val="Verdana"/>
      <family val="2"/>
    </font>
    <font>
      <sz val="16"/>
      <color theme="0"/>
      <name val="Arial"/>
      <family val="2"/>
    </font>
    <font>
      <b/>
      <sz val="18"/>
      <name val="Arial"/>
      <family val="2"/>
    </font>
    <font>
      <sz val="24"/>
      <color theme="1"/>
      <name val="Arial"/>
      <family val="2"/>
    </font>
    <font>
      <b/>
      <sz val="24"/>
      <name val="Arial"/>
      <family val="2"/>
    </font>
    <font>
      <b/>
      <sz val="22"/>
      <color theme="1"/>
      <name val="Arial"/>
      <family val="2"/>
    </font>
    <font>
      <sz val="18"/>
      <color theme="1"/>
      <name val="Arial"/>
      <family val="2"/>
    </font>
    <font>
      <b/>
      <sz val="24"/>
      <color theme="1"/>
      <name val="Arial"/>
      <family val="2"/>
    </font>
    <font>
      <b/>
      <sz val="23"/>
      <name val="Arial"/>
      <family val="2"/>
    </font>
    <font>
      <sz val="24"/>
      <color theme="1"/>
      <name val="Arial"/>
      <family val="2"/>
    </font>
    <font>
      <sz val="24"/>
      <name val="Arial"/>
      <family val="2"/>
    </font>
    <font>
      <sz val="26"/>
      <color theme="1"/>
      <name val="Arial"/>
      <family val="2"/>
    </font>
    <font>
      <b/>
      <sz val="14"/>
      <color theme="0"/>
      <name val="Calibri"/>
      <family val="2"/>
      <scheme val="minor"/>
    </font>
    <font>
      <sz val="16"/>
      <color theme="1" tint="0.14999847407452621"/>
      <name val="Arial"/>
      <family val="2"/>
    </font>
    <font>
      <b/>
      <sz val="24"/>
      <name val="Times New Roman"/>
      <family val="1"/>
    </font>
    <font>
      <b/>
      <sz val="14"/>
      <color indexed="5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6"/>
      <color theme="1" tint="4.9989318521683403E-2"/>
      <name val="Arial"/>
      <family val="2"/>
    </font>
    <font>
      <sz val="16"/>
      <color theme="0"/>
      <name val="Arial"/>
      <family val="2"/>
    </font>
    <font>
      <b/>
      <sz val="14"/>
      <color theme="0"/>
      <name val="Arial"/>
      <family val="2"/>
    </font>
    <font>
      <sz val="20"/>
      <name val="Times New Roman"/>
      <family val="1"/>
    </font>
    <font>
      <b/>
      <sz val="26"/>
      <color theme="1"/>
      <name val="Arial"/>
      <family val="2"/>
    </font>
    <font>
      <b/>
      <sz val="26"/>
      <color theme="1"/>
      <name val="Times New Roman"/>
      <family val="1"/>
    </font>
    <font>
      <b/>
      <sz val="26"/>
      <name val="Arial"/>
      <family val="2"/>
    </font>
    <font>
      <b/>
      <sz val="22"/>
      <color indexed="16"/>
      <name val="Arial"/>
      <family val="2"/>
    </font>
    <font>
      <b/>
      <sz val="22"/>
      <name val="Times New Roman"/>
      <family val="1"/>
    </font>
    <font>
      <sz val="22"/>
      <color indexed="12"/>
      <name val="Arial"/>
      <family val="2"/>
    </font>
    <font>
      <i/>
      <u/>
      <sz val="22"/>
      <name val="Arial"/>
      <family val="2"/>
    </font>
    <font>
      <sz val="22"/>
      <color indexed="9"/>
      <name val="Arial"/>
      <family val="2"/>
    </font>
    <font>
      <b/>
      <u/>
      <sz val="22"/>
      <name val="Arial"/>
      <family val="2"/>
    </font>
    <font>
      <sz val="22"/>
      <color indexed="16"/>
      <name val="Times New Roman"/>
      <family val="1"/>
    </font>
    <font>
      <sz val="22"/>
      <color rgb="FF800000"/>
      <name val="Times New Roman"/>
      <family val="1"/>
    </font>
    <font>
      <b/>
      <sz val="22"/>
      <color indexed="16"/>
      <name val="Times New Roman"/>
      <family val="1"/>
    </font>
    <font>
      <b/>
      <sz val="20"/>
      <color rgb="FFFF0000"/>
      <name val="Arial"/>
      <family val="2"/>
    </font>
    <font>
      <sz val="11"/>
      <color theme="1"/>
      <name val="Arial"/>
      <family val="2"/>
    </font>
    <font>
      <sz val="26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Times New Roman"/>
      <family val="1"/>
    </font>
    <font>
      <sz val="40"/>
      <color theme="1"/>
      <name val="Arial"/>
      <family val="2"/>
    </font>
    <font>
      <sz val="16"/>
      <color theme="0"/>
      <name val="Arial"/>
      <family val="2"/>
    </font>
    <font>
      <sz val="14"/>
      <name val="Arial"/>
      <family val="2"/>
    </font>
    <font>
      <sz val="12"/>
      <color rgb="FF233A44"/>
      <name val="Arial"/>
      <family val="2"/>
    </font>
    <font>
      <sz val="14"/>
      <color rgb="FF000000"/>
      <name val="Arial"/>
      <family val="2"/>
    </font>
    <font>
      <sz val="10"/>
      <color theme="1"/>
      <name val="Verdana"/>
      <family val="2"/>
    </font>
    <font>
      <b/>
      <sz val="12"/>
      <color rgb="FF233A44"/>
      <name val="Arial"/>
      <family val="2"/>
    </font>
    <font>
      <sz val="14"/>
      <color rgb="FF233A44"/>
      <name val="Arial"/>
      <family val="2"/>
    </font>
    <font>
      <sz val="12"/>
      <color theme="1"/>
      <name val="Arial"/>
      <family val="2"/>
    </font>
    <font>
      <sz val="16"/>
      <color rgb="FF233A44"/>
      <name val="Arial"/>
      <family val="2"/>
    </font>
    <font>
      <sz val="16"/>
      <color theme="1"/>
      <name val="Calibri"/>
      <family val="2"/>
      <scheme val="minor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sz val="11"/>
      <color theme="1"/>
      <name val="Calibri"/>
      <family val="2"/>
    </font>
    <font>
      <sz val="12"/>
      <color theme="1"/>
      <name val="Verdana"/>
      <family val="2"/>
    </font>
    <font>
      <b/>
      <sz val="18"/>
      <color theme="1"/>
      <name val="Arial"/>
      <family val="2"/>
    </font>
    <font>
      <b/>
      <sz val="8"/>
      <color theme="1"/>
      <name val="Arial"/>
      <family val="2"/>
    </font>
    <font>
      <b/>
      <sz val="22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Arial"/>
      <family val="2"/>
    </font>
    <font>
      <sz val="12"/>
      <color rgb="FF0909F7"/>
      <name val="Arial"/>
      <family val="2"/>
    </font>
    <font>
      <b/>
      <sz val="22"/>
      <color theme="5" tint="-0.249977111117893"/>
      <name val="Arial"/>
      <family val="2"/>
    </font>
    <font>
      <sz val="20"/>
      <color indexed="20"/>
      <name val="Arial"/>
      <family val="2"/>
    </font>
    <font>
      <sz val="18"/>
      <color indexed="16"/>
      <name val="Arial"/>
      <family val="2"/>
    </font>
    <font>
      <b/>
      <sz val="8"/>
      <color theme="1" tint="4.9989318521683403E-2"/>
      <name val="Arial"/>
      <family val="2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2060"/>
      <name val="Calibri"/>
      <family val="2"/>
      <scheme val="minor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sz val="16"/>
      <color theme="0"/>
      <name val="Arial"/>
      <family val="2"/>
    </font>
    <font>
      <b/>
      <sz val="12"/>
      <color rgb="FF000000"/>
      <name val="Arial"/>
      <family val="2"/>
    </font>
    <font>
      <sz val="20"/>
      <color theme="1"/>
      <name val="Calibri"/>
      <family val="2"/>
      <scheme val="minor"/>
    </font>
    <font>
      <sz val="22"/>
      <color theme="1" tint="0.1499984740745262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b/>
      <sz val="14"/>
      <name val="Times New Roman"/>
      <family val="1"/>
    </font>
    <font>
      <b/>
      <sz val="12"/>
      <name val="Times New Roman"/>
      <family val="1"/>
    </font>
    <font>
      <sz val="11"/>
      <color rgb="FF0000FF"/>
      <name val="Calibri"/>
      <family val="2"/>
      <scheme val="minor"/>
    </font>
    <font>
      <sz val="28"/>
      <name val="Arial"/>
      <family val="2"/>
    </font>
    <font>
      <sz val="10"/>
      <name val="Arial"/>
      <family val="2"/>
    </font>
    <font>
      <sz val="7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212529"/>
      <name val="Segoe UI"/>
      <family val="2"/>
    </font>
    <font>
      <b/>
      <sz val="12"/>
      <color rgb="FF212529"/>
      <name val="Segoe UI"/>
      <family val="2"/>
    </font>
    <font>
      <sz val="9"/>
      <color rgb="FF212529"/>
      <name val="Segoe UI"/>
      <family val="2"/>
    </font>
    <font>
      <sz val="12"/>
      <color rgb="FFFF0000"/>
      <name val="Calibri"/>
      <family val="2"/>
      <scheme val="minor"/>
    </font>
    <font>
      <b/>
      <sz val="8"/>
      <color rgb="FF212529"/>
      <name val="Segoe UI"/>
      <family val="2"/>
    </font>
    <font>
      <b/>
      <sz val="18"/>
      <name val="Arial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2"/>
      <color theme="1"/>
      <name val="Aral"/>
    </font>
    <font>
      <sz val="22"/>
      <name val="Aral"/>
    </font>
    <font>
      <sz val="22"/>
      <name val="SutonnyMJ"/>
    </font>
    <font>
      <sz val="12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24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8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2"/>
      <color rgb="FFBF8659"/>
      <name val="Arial"/>
      <family val="2"/>
    </font>
    <font>
      <sz val="11"/>
      <color theme="1"/>
      <name val="Calibri"/>
      <family val="2"/>
      <scheme val="minor"/>
    </font>
    <font>
      <sz val="26"/>
      <name val="Times New Roman"/>
      <family val="1"/>
    </font>
    <font>
      <b/>
      <sz val="12"/>
      <color rgb="FF000000"/>
      <name val="Times New Roman"/>
      <family val="1"/>
    </font>
    <font>
      <b/>
      <sz val="20"/>
      <color theme="1"/>
      <name val="Arial"/>
      <family val="2"/>
    </font>
    <font>
      <b/>
      <sz val="12"/>
      <color rgb="FF0000FF"/>
      <name val="Arial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sz val="28"/>
      <name val="Times New Roman"/>
      <family val="1"/>
    </font>
    <font>
      <b/>
      <sz val="20"/>
      <color theme="1"/>
      <name val="Arial"/>
      <family val="2"/>
    </font>
    <font>
      <sz val="11"/>
      <color theme="1"/>
      <name val="Calibri"/>
      <family val="2"/>
      <scheme val="minor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sz val="16"/>
      <color theme="1"/>
      <name val="Arial"/>
      <family val="2"/>
    </font>
    <font>
      <sz val="11"/>
      <color rgb="FF0000FF"/>
      <name val="Arial"/>
      <family val="2"/>
    </font>
    <font>
      <b/>
      <sz val="11"/>
      <color rgb="FF0909F7"/>
      <name val="Arial"/>
      <family val="2"/>
    </font>
    <font>
      <sz val="11"/>
      <color rgb="FF0909F7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Arial"/>
      <family val="2"/>
    </font>
    <font>
      <i/>
      <sz val="11"/>
      <color indexed="16"/>
      <name val="Arial"/>
      <family val="2"/>
    </font>
    <font>
      <i/>
      <sz val="11"/>
      <name val="Arial"/>
      <family val="2"/>
    </font>
    <font>
      <sz val="11"/>
      <color rgb="FF800000"/>
      <name val="Arial"/>
      <family val="2"/>
    </font>
    <font>
      <b/>
      <sz val="11"/>
      <color rgb="FF00B050"/>
      <name val="Arial"/>
      <family val="2"/>
    </font>
    <font>
      <sz val="28"/>
      <color theme="1"/>
      <name val="Times New Roman"/>
      <family val="1"/>
    </font>
    <font>
      <sz val="11"/>
      <color indexed="12"/>
      <name val="Calibri"/>
      <family val="2"/>
    </font>
    <font>
      <sz val="28"/>
      <name val="Arial"/>
      <family val="2"/>
    </font>
    <font>
      <sz val="28"/>
      <color theme="1"/>
      <name val="Arial"/>
      <family val="2"/>
    </font>
    <font>
      <sz val="11"/>
      <color theme="1"/>
      <name val="Calibri"/>
      <family val="2"/>
      <scheme val="minor"/>
    </font>
    <font>
      <sz val="26"/>
      <name val="Arial"/>
      <family val="2"/>
    </font>
    <font>
      <sz val="26"/>
      <color theme="1"/>
      <name val="Arial"/>
      <family val="2"/>
    </font>
    <font>
      <sz val="11"/>
      <color rgb="FF0000FF"/>
      <name val="Calibri"/>
      <family val="2"/>
    </font>
    <font>
      <b/>
      <sz val="20"/>
      <color theme="1"/>
      <name val="Arial"/>
      <family val="2"/>
    </font>
    <font>
      <b/>
      <sz val="18"/>
      <color theme="1"/>
      <name val="Arial"/>
      <family val="2"/>
    </font>
    <font>
      <sz val="11"/>
      <color rgb="FF0000FF"/>
      <name val="Arial"/>
      <family val="2"/>
    </font>
    <font>
      <sz val="22"/>
      <color theme="1"/>
      <name val="Arial"/>
      <family val="2"/>
    </font>
    <font>
      <sz val="28"/>
      <name val="Arial"/>
      <family val="2"/>
    </font>
    <font>
      <sz val="12"/>
      <color rgb="FF000000"/>
      <name val="&quot;Times New Roman&quot;"/>
    </font>
    <font>
      <b/>
      <sz val="18"/>
      <color theme="1"/>
      <name val="Arial"/>
      <family val="2"/>
    </font>
    <font>
      <sz val="16"/>
      <color theme="0"/>
      <name val="Arial"/>
      <family val="2"/>
    </font>
    <font>
      <b/>
      <sz val="18"/>
      <color theme="1"/>
      <name val="Times New Roman"/>
      <family val="1"/>
    </font>
    <font>
      <sz val="18"/>
      <name val="Arial"/>
      <family val="2"/>
    </font>
    <font>
      <b/>
      <sz val="18"/>
      <name val="Arial"/>
      <family val="2"/>
    </font>
    <font>
      <b/>
      <sz val="14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3"/>
      <color rgb="FF000000"/>
      <name val="Times New Roman"/>
      <family val="1"/>
    </font>
    <font>
      <sz val="13"/>
      <color rgb="FF000000"/>
      <name val="&quot;Times New Roman&quot;"/>
    </font>
    <font>
      <sz val="15"/>
      <color theme="1"/>
      <name val="Arial"/>
      <family val="2"/>
    </font>
    <font>
      <sz val="15"/>
      <color theme="1"/>
      <name val="Times New Roman"/>
      <family val="1"/>
    </font>
    <font>
      <b/>
      <sz val="15"/>
      <color theme="1"/>
      <name val="Times New Roman"/>
      <family val="1"/>
    </font>
    <font>
      <b/>
      <u/>
      <sz val="15"/>
      <color theme="1"/>
      <name val="Times New Roman"/>
      <family val="1"/>
    </font>
    <font>
      <u/>
      <sz val="15"/>
      <color theme="1"/>
      <name val="Times New Roman"/>
      <family val="1"/>
    </font>
    <font>
      <b/>
      <sz val="15"/>
      <color theme="1"/>
      <name val="Arial"/>
      <family val="2"/>
    </font>
    <font>
      <b/>
      <sz val="15"/>
      <name val="Arial"/>
      <family val="2"/>
    </font>
    <font>
      <sz val="13"/>
      <color rgb="FF0000FF"/>
      <name val="Arial"/>
      <family val="2"/>
    </font>
    <font>
      <b/>
      <sz val="36"/>
      <color rgb="FF34A853"/>
      <name val="Algerian"/>
      <family val="5"/>
    </font>
    <font>
      <b/>
      <sz val="24"/>
      <color rgb="FF34A853"/>
      <name val="Algerian"/>
      <family val="5"/>
    </font>
    <font>
      <sz val="8"/>
      <name val="Arial"/>
      <family val="2"/>
    </font>
    <font>
      <b/>
      <sz val="8"/>
      <name val="Arial"/>
      <family val="2"/>
    </font>
    <font>
      <sz val="12"/>
      <color theme="1"/>
      <name val="Arial"/>
      <family val="2"/>
    </font>
    <font>
      <sz val="12"/>
      <color rgb="FF233A44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4"/>
      <color rgb="FF233A44"/>
      <name val="Arial"/>
      <family val="2"/>
    </font>
    <font>
      <b/>
      <sz val="12"/>
      <color rgb="FF233A44"/>
      <name val="Arial"/>
      <family val="2"/>
    </font>
    <font>
      <sz val="10"/>
      <color rgb="FF233A44"/>
      <name val="Verdana"/>
      <family val="2"/>
    </font>
    <font>
      <sz val="16"/>
      <color rgb="FF233A44"/>
      <name val="Arial"/>
      <family val="2"/>
    </font>
    <font>
      <sz val="11"/>
      <color theme="1"/>
      <name val="Arial"/>
      <family val="2"/>
    </font>
    <font>
      <sz val="18"/>
      <color indexed="8"/>
      <name val="Nikosh"/>
    </font>
    <font>
      <sz val="24"/>
      <name val="Arial"/>
      <family val="2"/>
    </font>
    <font>
      <sz val="22"/>
      <name val="Times New Roman"/>
      <family val="1"/>
    </font>
    <font>
      <sz val="28"/>
      <name val="Arial"/>
      <family val="2"/>
    </font>
    <font>
      <sz val="28"/>
      <name val="Times New Roman"/>
      <family val="1"/>
    </font>
    <font>
      <sz val="11"/>
      <color theme="1"/>
      <name val="Times New Roman"/>
      <family val="1"/>
    </font>
    <font>
      <sz val="36"/>
      <name val="Arial"/>
      <family val="2"/>
    </font>
    <font>
      <sz val="11"/>
      <color rgb="FF0000FF"/>
      <name val="Arial"/>
      <family val="2"/>
    </font>
    <font>
      <sz val="11"/>
      <color theme="1"/>
      <name val="Verdana"/>
      <family val="2"/>
    </font>
    <font>
      <sz val="10"/>
      <color rgb="FF0000FF"/>
      <name val="Verdana"/>
      <family val="2"/>
    </font>
    <font>
      <sz val="12"/>
      <color theme="1"/>
      <name val="Verdana"/>
      <family val="2"/>
    </font>
    <font>
      <sz val="10"/>
      <color indexed="10"/>
      <name val="Arial"/>
      <family val="2"/>
    </font>
    <font>
      <sz val="12"/>
      <color theme="1"/>
      <name val="&quot;Times New Roman&quot;"/>
    </font>
    <font>
      <b/>
      <sz val="14"/>
      <name val="Arial"/>
      <family val="2"/>
    </font>
    <font>
      <sz val="14"/>
      <color indexed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sz val="12"/>
      <color rgb="FF0000FF"/>
      <name val="SutonnyMJ"/>
    </font>
    <font>
      <sz val="16"/>
      <color indexed="8"/>
      <name val="Arial"/>
      <family val="2"/>
    </font>
    <font>
      <b/>
      <sz val="22"/>
      <color theme="5" tint="-0.249977111117893"/>
      <name val="Arial"/>
      <family val="2"/>
    </font>
    <font>
      <b/>
      <sz val="22"/>
      <color theme="1" tint="0.14999847407452621"/>
      <name val="Arial"/>
      <family val="2"/>
    </font>
    <font>
      <b/>
      <sz val="2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b/>
      <sz val="14"/>
      <color rgb="FF0000FF"/>
      <name val="Arial"/>
      <family val="2"/>
    </font>
    <font>
      <b/>
      <sz val="20"/>
      <name val="Calibri"/>
      <family val="2"/>
      <scheme val="minor"/>
    </font>
    <font>
      <b/>
      <sz val="18"/>
      <color indexed="16"/>
      <name val="Arial"/>
      <family val="2"/>
    </font>
    <font>
      <b/>
      <sz val="20"/>
      <color theme="1"/>
      <name val="Arial"/>
      <family val="2"/>
    </font>
    <font>
      <b/>
      <sz val="22"/>
      <color rgb="FF000000"/>
      <name val="Arial"/>
      <family val="2"/>
    </font>
    <font>
      <sz val="22"/>
      <color rgb="FF000000"/>
      <name val="Arial"/>
      <family val="2"/>
    </font>
    <font>
      <b/>
      <sz val="20"/>
      <color rgb="FF000000"/>
      <name val="Arial"/>
      <family val="2"/>
    </font>
    <font>
      <sz val="20"/>
      <color indexed="16"/>
      <name val="Arial"/>
      <family val="2"/>
    </font>
    <font>
      <b/>
      <u/>
      <sz val="18"/>
      <name val="Arial"/>
      <family val="2"/>
    </font>
    <font>
      <b/>
      <sz val="18"/>
      <name val="Calibri"/>
      <family val="2"/>
      <scheme val="minor"/>
    </font>
    <font>
      <b/>
      <sz val="22"/>
      <name val="Calibri"/>
      <family val="2"/>
      <scheme val="minor"/>
    </font>
    <font>
      <b/>
      <sz val="22"/>
      <color rgb="FF002060"/>
      <name val="Calibri"/>
      <family val="2"/>
      <scheme val="minor"/>
    </font>
    <font>
      <sz val="18"/>
      <color rgb="FFFF0000"/>
      <name val="Arial"/>
      <family val="2"/>
    </font>
    <font>
      <b/>
      <sz val="13"/>
      <color rgb="FF000000"/>
      <name val="Times New Roman"/>
      <family val="1"/>
    </font>
    <font>
      <sz val="11"/>
      <color rgb="FFFF0000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sz val="10"/>
      <color rgb="FF0000FF"/>
      <name val="Arial"/>
      <family val="2"/>
    </font>
    <font>
      <b/>
      <sz val="10"/>
      <color theme="1" tint="0.14999847407452621"/>
      <name val="Arial"/>
      <family val="2"/>
    </font>
    <font>
      <sz val="23"/>
      <name val="Arial"/>
      <family val="2"/>
    </font>
    <font>
      <b/>
      <sz val="14"/>
      <color rgb="FF0000FF"/>
      <name val="SutonnyMJ"/>
    </font>
    <font>
      <sz val="18"/>
      <name val="Arial"/>
    </font>
    <font>
      <sz val="12"/>
      <color rgb="FF212529"/>
      <name val="Segoe UI"/>
    </font>
    <font>
      <b/>
      <sz val="12"/>
      <color rgb="FF212529"/>
      <name val="Segoe UI"/>
    </font>
    <font>
      <b/>
      <sz val="18"/>
      <name val="Arial"/>
    </font>
    <font>
      <sz val="16"/>
      <color theme="1"/>
      <name val="Arial"/>
    </font>
    <font>
      <b/>
      <sz val="16"/>
      <color indexed="12"/>
      <name val="Arial"/>
    </font>
    <font>
      <sz val="16"/>
      <color indexed="12"/>
      <name val="Arial"/>
    </font>
    <font>
      <sz val="12"/>
      <color indexed="12"/>
      <name val="Arial"/>
    </font>
    <font>
      <sz val="16"/>
      <color rgb="FF0000FF"/>
      <name val="Arial"/>
    </font>
    <font>
      <b/>
      <sz val="16"/>
      <color rgb="FF0000FF"/>
      <name val="Arial"/>
    </font>
  </fonts>
  <fills count="1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gray0625">
        <bgColor indexed="12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theme="2" tint="-9.9948118533890809E-2"/>
      </patternFill>
    </fill>
    <fill>
      <patternFill patternType="solid">
        <fgColor rgb="FFFFFF00"/>
        <bgColor theme="2" tint="-9.9948118533890809E-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gray0625">
        <bgColor rgb="FFFFFF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00FF"/>
        <bgColor theme="2" tint="-9.9948118533890809E-2"/>
      </patternFill>
    </fill>
    <fill>
      <patternFill patternType="solid">
        <fgColor rgb="FF00B0F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FF"/>
        <bgColor theme="2" tint="-9.9948118533890809E-2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theme="2" tint="-9.9948118533890809E-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theme="2" tint="-9.9948118533890809E-2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99CC00"/>
        <bgColor theme="2" tint="-9.9948118533890809E-2"/>
      </patternFill>
    </fill>
    <fill>
      <patternFill patternType="gray0625">
        <bgColor theme="5" tint="-0.249977111117893"/>
      </patternFill>
    </fill>
    <fill>
      <patternFill patternType="gray0625">
        <bgColor rgb="FF66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theme="2" tint="-9.9948118533890809E-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39997558519241921"/>
        <bgColor theme="2" tint="-9.9948118533890809E-2"/>
      </patternFill>
    </fill>
    <fill>
      <patternFill patternType="solid">
        <fgColor theme="9" tint="0.39997558519241921"/>
        <bgColor theme="2" tint="-9.9948118533890809E-2"/>
      </patternFill>
    </fill>
    <fill>
      <patternFill patternType="solid">
        <fgColor rgb="FFFFFF99"/>
        <bgColor theme="2" tint="-9.9948118533890809E-2"/>
      </patternFill>
    </fill>
    <fill>
      <patternFill patternType="solid">
        <fgColor rgb="FF99FFCC"/>
        <bgColor theme="2" tint="-9.9948118533890809E-2"/>
      </patternFill>
    </fill>
    <fill>
      <patternFill patternType="solid">
        <fgColor rgb="FF99FFCC"/>
        <bgColor indexed="64"/>
      </patternFill>
    </fill>
    <fill>
      <patternFill patternType="solid">
        <fgColor rgb="FFFFCCFF"/>
        <bgColor theme="2" tint="-9.9948118533890809E-2"/>
      </patternFill>
    </fill>
    <fill>
      <patternFill patternType="solid">
        <fgColor theme="6" tint="0.79998168889431442"/>
        <bgColor theme="2" tint="-9.9948118533890809E-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theme="2" tint="-9.9948118533890809E-2"/>
      </patternFill>
    </fill>
    <fill>
      <patternFill patternType="solid">
        <fgColor theme="9" tint="0.79998168889431442"/>
        <bgColor theme="2" tint="-9.9948118533890809E-2"/>
      </patternFill>
    </fill>
    <fill>
      <patternFill patternType="solid">
        <fgColor theme="7" tint="0.79998168889431442"/>
        <bgColor theme="2" tint="-9.9948118533890809E-2"/>
      </patternFill>
    </fill>
    <fill>
      <patternFill patternType="solid">
        <fgColor theme="3" tint="0.79998168889431442"/>
        <bgColor indexed="64"/>
      </patternFill>
    </fill>
    <fill>
      <patternFill patternType="gray0625">
        <bgColor theme="5" tint="0.39997558519241921"/>
      </patternFill>
    </fill>
    <fill>
      <patternFill patternType="solid">
        <fgColor rgb="FF00B050"/>
        <bgColor theme="2" tint="-9.9948118533890809E-2"/>
      </patternFill>
    </fill>
    <fill>
      <patternFill patternType="solid">
        <fgColor theme="5" tint="0.39997558519241921"/>
        <bgColor theme="2" tint="-9.9948118533890809E-2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00"/>
        <bgColor rgb="FFFFCC00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C2504"/>
        <bgColor indexed="64"/>
      </patternFill>
    </fill>
    <fill>
      <patternFill patternType="gray0625">
        <bgColor rgb="FF0000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4EDD3"/>
        <bgColor indexed="64"/>
      </patternFill>
    </fill>
    <fill>
      <patternFill patternType="solid">
        <fgColor rgb="FFFFFFBD"/>
        <bgColor indexed="64"/>
      </patternFill>
    </fill>
    <fill>
      <patternFill patternType="solid">
        <fgColor rgb="FFFDE8D7"/>
        <bgColor indexed="64"/>
      </patternFill>
    </fill>
    <fill>
      <patternFill patternType="solid">
        <fgColor rgb="FFE3ECD0"/>
        <bgColor indexed="64"/>
      </patternFill>
    </fill>
    <fill>
      <patternFill patternType="solid">
        <fgColor rgb="FF00FFFF"/>
        <bgColor rgb="FFFFCC00"/>
      </patternFill>
    </fill>
    <fill>
      <patternFill patternType="solid">
        <fgColor rgb="FF6495ED"/>
        <bgColor indexed="64"/>
      </patternFill>
    </fill>
    <fill>
      <patternFill patternType="solid">
        <fgColor rgb="FFC3B8B7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/>
        <bgColor rgb="FFF3F3F3"/>
      </patternFill>
    </fill>
    <fill>
      <patternFill patternType="solid">
        <fgColor theme="0"/>
        <bgColor rgb="FF00FFFF"/>
      </patternFill>
    </fill>
    <fill>
      <patternFill patternType="solid">
        <fgColor rgb="FFB2BCD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7C80"/>
        <bgColor indexed="64"/>
      </patternFill>
    </fill>
  </fills>
  <borders count="68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/>
      <diagonal/>
    </border>
    <border>
      <left/>
      <right/>
      <top style="thin">
        <color indexed="16"/>
      </top>
      <bottom style="hair">
        <color indexed="1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indexed="64"/>
      </top>
      <bottom style="medium">
        <color theme="0"/>
      </bottom>
      <diagonal/>
    </border>
    <border>
      <left/>
      <right/>
      <top/>
      <bottom style="hair">
        <color rgb="FFC00000"/>
      </bottom>
      <diagonal/>
    </border>
    <border>
      <left style="medium">
        <color rgb="FFFF0000"/>
      </left>
      <right style="medium">
        <color rgb="FFFF0000"/>
      </right>
      <top style="medium">
        <color indexed="64"/>
      </top>
      <bottom/>
      <diagonal/>
    </border>
    <border>
      <left style="hair">
        <color rgb="FFFF0000"/>
      </left>
      <right style="hair">
        <color rgb="FFFF000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16"/>
      </bottom>
      <diagonal/>
    </border>
    <border>
      <left style="medium">
        <color indexed="64"/>
      </left>
      <right/>
      <top/>
      <bottom style="hair">
        <color indexed="16"/>
      </bottom>
      <diagonal/>
    </border>
    <border>
      <left/>
      <right style="medium">
        <color indexed="64"/>
      </right>
      <top/>
      <bottom style="hair">
        <color indexed="16"/>
      </bottom>
      <diagonal/>
    </border>
    <border>
      <left style="medium">
        <color indexed="64"/>
      </left>
      <right style="thin">
        <color indexed="64"/>
      </right>
      <top/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thin">
        <color indexed="64"/>
      </right>
      <top style="hair">
        <color indexed="16"/>
      </top>
      <bottom style="hair">
        <color indexed="16"/>
      </bottom>
      <diagonal/>
    </border>
    <border>
      <left style="medium">
        <color auto="1"/>
      </left>
      <right/>
      <top/>
      <bottom style="hair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thin">
        <color indexed="64"/>
      </right>
      <top style="hair">
        <color indexed="16"/>
      </top>
      <bottom/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16"/>
      </bottom>
      <diagonal/>
    </border>
    <border>
      <left/>
      <right style="hair">
        <color indexed="16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rgb="FFC00000"/>
      </bottom>
      <diagonal/>
    </border>
    <border>
      <left/>
      <right style="hair">
        <color indexed="16"/>
      </right>
      <top/>
      <bottom style="hair">
        <color indexed="16"/>
      </bottom>
      <diagonal/>
    </border>
    <border>
      <left/>
      <right/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medium">
        <color indexed="64"/>
      </right>
      <top style="thin">
        <color indexed="16"/>
      </top>
      <bottom style="hair">
        <color indexed="16"/>
      </bottom>
      <diagonal/>
    </border>
    <border>
      <left style="medium">
        <color indexed="64"/>
      </left>
      <right/>
      <top style="thin">
        <color indexed="16"/>
      </top>
      <bottom style="hair">
        <color indexed="16"/>
      </bottom>
      <diagonal/>
    </border>
    <border>
      <left style="medium">
        <color indexed="64"/>
      </left>
      <right style="hair">
        <color indexed="16"/>
      </right>
      <top style="hair">
        <color indexed="16"/>
      </top>
      <bottom style="hair">
        <color indexed="16"/>
      </bottom>
      <diagonal/>
    </border>
    <border>
      <left style="hair">
        <color indexed="16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60"/>
      </top>
      <bottom style="hair">
        <color indexed="60"/>
      </bottom>
      <diagonal/>
    </border>
    <border>
      <left style="medium">
        <color indexed="64"/>
      </left>
      <right style="hair">
        <color indexed="16"/>
      </right>
      <top style="hair">
        <color indexed="16"/>
      </top>
      <bottom/>
      <diagonal/>
    </border>
    <border>
      <left style="hair">
        <color indexed="16"/>
      </left>
      <right/>
      <top style="hair">
        <color indexed="16"/>
      </top>
      <bottom/>
      <diagonal/>
    </border>
    <border>
      <left style="medium">
        <color indexed="64"/>
      </left>
      <right style="hair">
        <color indexed="16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0"/>
      </top>
      <bottom/>
      <diagonal/>
    </border>
    <border>
      <left style="thin">
        <color indexed="64"/>
      </left>
      <right/>
      <top style="thin">
        <color indexed="37"/>
      </top>
      <bottom/>
      <diagonal/>
    </border>
    <border>
      <left/>
      <right style="hair">
        <color indexed="16"/>
      </right>
      <top style="thin">
        <color indexed="16"/>
      </top>
      <bottom style="thin">
        <color indexed="16"/>
      </bottom>
      <diagonal/>
    </border>
    <border>
      <left style="hair">
        <color indexed="16"/>
      </left>
      <right/>
      <top/>
      <bottom style="hair">
        <color indexed="16"/>
      </bottom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hair">
        <color indexed="16"/>
      </left>
      <right style="hair">
        <color indexed="16"/>
      </right>
      <top style="hair">
        <color indexed="1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16"/>
      </right>
      <top style="thin">
        <color indexed="16"/>
      </top>
      <bottom/>
      <diagonal/>
    </border>
    <border>
      <left style="medium">
        <color indexed="64"/>
      </left>
      <right style="hair">
        <color indexed="16"/>
      </right>
      <top/>
      <bottom style="thin">
        <color indexed="64"/>
      </bottom>
      <diagonal/>
    </border>
    <border>
      <left style="hair">
        <color indexed="16"/>
      </left>
      <right/>
      <top style="hair">
        <color indexed="16"/>
      </top>
      <bottom style="thin">
        <color indexed="64"/>
      </bottom>
      <diagonal/>
    </border>
    <border>
      <left/>
      <right style="hair">
        <color indexed="16"/>
      </right>
      <top style="hair">
        <color indexed="16"/>
      </top>
      <bottom style="thin">
        <color indexed="16"/>
      </bottom>
      <diagonal/>
    </border>
    <border>
      <left style="medium">
        <color indexed="64"/>
      </left>
      <right style="hair">
        <color indexed="64"/>
      </right>
      <top style="hair">
        <color indexed="16"/>
      </top>
      <bottom style="hair">
        <color indexed="16"/>
      </bottom>
      <diagonal/>
    </border>
    <border>
      <left/>
      <right style="hair">
        <color indexed="16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16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16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/>
      <top style="hair">
        <color rgb="FFFF0000"/>
      </top>
      <bottom style="hair">
        <color rgb="FFFF0000"/>
      </bottom>
      <diagonal/>
    </border>
    <border>
      <left/>
      <right/>
      <top style="thin">
        <color indexed="37"/>
      </top>
      <bottom/>
      <diagonal/>
    </border>
    <border>
      <left/>
      <right/>
      <top style="hair">
        <color indexed="60"/>
      </top>
      <bottom/>
      <diagonal/>
    </border>
    <border>
      <left style="medium">
        <color indexed="64"/>
      </left>
      <right/>
      <top style="thin">
        <color indexed="16"/>
      </top>
      <bottom style="thin">
        <color indexed="16"/>
      </bottom>
      <diagonal/>
    </border>
    <border>
      <left style="hair">
        <color indexed="16"/>
      </left>
      <right style="medium">
        <color indexed="64"/>
      </right>
      <top style="thin">
        <color indexed="16"/>
      </top>
      <bottom style="thin">
        <color indexed="16"/>
      </bottom>
      <diagonal/>
    </border>
    <border>
      <left style="hair">
        <color indexed="16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thin">
        <color indexed="60"/>
      </top>
      <bottom/>
      <diagonal/>
    </border>
    <border>
      <left style="medium">
        <color indexed="64"/>
      </left>
      <right/>
      <top style="thin">
        <color indexed="16"/>
      </top>
      <bottom/>
      <diagonal/>
    </border>
    <border>
      <left/>
      <right style="hair">
        <color indexed="16"/>
      </right>
      <top style="thin">
        <color indexed="16"/>
      </top>
      <bottom/>
      <diagonal/>
    </border>
    <border>
      <left style="hair">
        <color indexed="16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16"/>
      </top>
      <bottom style="medium">
        <color indexed="64"/>
      </bottom>
      <diagonal/>
    </border>
    <border>
      <left/>
      <right/>
      <top style="hair">
        <color indexed="16"/>
      </top>
      <bottom style="medium">
        <color indexed="64"/>
      </bottom>
      <diagonal/>
    </border>
    <border>
      <left/>
      <right style="hair">
        <color indexed="16"/>
      </right>
      <top style="hair">
        <color indexed="64"/>
      </top>
      <bottom style="medium">
        <color indexed="64"/>
      </bottom>
      <diagonal/>
    </border>
    <border>
      <left style="hair">
        <color indexed="16"/>
      </left>
      <right/>
      <top style="hair">
        <color indexed="16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16"/>
      </bottom>
      <diagonal/>
    </border>
    <border>
      <left style="thin">
        <color indexed="64"/>
      </left>
      <right/>
      <top style="hair">
        <color indexed="16"/>
      </top>
      <bottom style="hair">
        <color indexed="16"/>
      </bottom>
      <diagonal/>
    </border>
    <border>
      <left style="thin">
        <color indexed="64"/>
      </left>
      <right/>
      <top style="hair">
        <color indexed="16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16"/>
      </top>
      <bottom style="hair">
        <color indexed="16"/>
      </bottom>
      <diagonal/>
    </border>
    <border>
      <left style="medium">
        <color indexed="64"/>
      </left>
      <right style="thin">
        <color indexed="64"/>
      </right>
      <top style="thin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/>
      <bottom style="hair">
        <color rgb="FFC00000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hair">
        <color indexed="16"/>
      </bottom>
      <diagonal/>
    </border>
    <border>
      <left/>
      <right style="medium">
        <color indexed="64"/>
      </right>
      <top style="medium">
        <color indexed="64"/>
      </top>
      <bottom style="hair">
        <color indexed="16"/>
      </bottom>
      <diagonal/>
    </border>
    <border>
      <left style="medium">
        <color indexed="64"/>
      </left>
      <right/>
      <top/>
      <bottom style="hair">
        <color rgb="FFC00000"/>
      </bottom>
      <diagonal/>
    </border>
    <border>
      <left style="thin">
        <color indexed="64"/>
      </left>
      <right/>
      <top/>
      <bottom style="hair">
        <color rgb="FFC00000"/>
      </bottom>
      <diagonal/>
    </border>
    <border>
      <left style="medium">
        <color indexed="64"/>
      </left>
      <right style="hair">
        <color indexed="16"/>
      </right>
      <top/>
      <bottom style="hair">
        <color indexed="16"/>
      </bottom>
      <diagonal/>
    </border>
    <border>
      <left/>
      <right/>
      <top/>
      <bottom style="hair">
        <color indexed="60"/>
      </bottom>
      <diagonal/>
    </border>
    <border>
      <left style="medium">
        <color indexed="64"/>
      </left>
      <right style="hair">
        <color indexed="16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0"/>
      </top>
      <bottom style="thin">
        <color indexed="60"/>
      </bottom>
      <diagonal/>
    </border>
    <border>
      <left style="medium">
        <color indexed="64"/>
      </left>
      <right style="hair">
        <color indexed="16"/>
      </right>
      <top style="medium">
        <color indexed="64"/>
      </top>
      <bottom/>
      <diagonal/>
    </border>
    <border>
      <left style="medium">
        <color indexed="64"/>
      </left>
      <right style="hair">
        <color indexed="16"/>
      </right>
      <top/>
      <bottom style="medium">
        <color indexed="64"/>
      </bottom>
      <diagonal/>
    </border>
    <border>
      <left/>
      <right style="thin">
        <color indexed="60"/>
      </right>
      <top style="thin">
        <color indexed="60"/>
      </top>
      <bottom style="thin">
        <color indexed="60"/>
      </bottom>
      <diagonal/>
    </border>
    <border>
      <left/>
      <right style="thin">
        <color indexed="60"/>
      </right>
      <top/>
      <bottom/>
      <diagonal/>
    </border>
    <border>
      <left style="hair">
        <color indexed="16"/>
      </left>
      <right/>
      <top style="medium">
        <color indexed="64"/>
      </top>
      <bottom style="hair">
        <color indexed="16"/>
      </bottom>
      <diagonal/>
    </border>
    <border>
      <left/>
      <right/>
      <top style="medium">
        <color indexed="64"/>
      </top>
      <bottom style="hair">
        <color indexed="16"/>
      </bottom>
      <diagonal/>
    </border>
    <border>
      <left/>
      <right style="medium">
        <color indexed="64"/>
      </right>
      <top style="hair">
        <color indexed="16"/>
      </top>
      <bottom style="thin">
        <color indexed="64"/>
      </bottom>
      <diagonal/>
    </border>
    <border>
      <left style="hair">
        <color indexed="16"/>
      </left>
      <right/>
      <top/>
      <bottom style="medium">
        <color indexed="64"/>
      </bottom>
      <diagonal/>
    </border>
    <border>
      <left style="hair">
        <color indexed="16"/>
      </left>
      <right style="hair">
        <color indexed="16"/>
      </right>
      <top style="medium">
        <color indexed="64"/>
      </top>
      <bottom/>
      <diagonal/>
    </border>
    <border>
      <left style="hair">
        <color indexed="16"/>
      </left>
      <right/>
      <top style="medium">
        <color indexed="64"/>
      </top>
      <bottom/>
      <diagonal/>
    </border>
    <border>
      <left style="hair">
        <color indexed="16"/>
      </left>
      <right style="hair">
        <color indexed="16"/>
      </right>
      <top/>
      <bottom style="medium">
        <color indexed="64"/>
      </bottom>
      <diagonal/>
    </border>
    <border>
      <left style="hair">
        <color indexed="16"/>
      </left>
      <right style="hair">
        <color indexed="16"/>
      </right>
      <top style="hair">
        <color indexed="16"/>
      </top>
      <bottom style="medium">
        <color indexed="64"/>
      </bottom>
      <diagonal/>
    </border>
    <border>
      <left/>
      <right style="medium">
        <color indexed="64"/>
      </right>
      <top style="hair">
        <color indexed="16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16"/>
      </bottom>
      <diagonal/>
    </border>
    <border>
      <left/>
      <right style="hair">
        <color indexed="16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37"/>
      </bottom>
      <diagonal/>
    </border>
    <border>
      <left style="medium">
        <color indexed="64"/>
      </left>
      <right style="medium">
        <color indexed="64"/>
      </right>
      <top style="hair">
        <color rgb="FFC00000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16"/>
      </left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64"/>
      </bottom>
      <diagonal/>
    </border>
    <border>
      <left style="medium">
        <color indexed="16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16"/>
      </top>
      <bottom style="hair">
        <color indexed="16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/>
      <right/>
      <top style="hair">
        <color indexed="16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16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16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16"/>
      </top>
      <bottom style="hair">
        <color indexed="16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auto="1"/>
      </left>
      <right/>
      <top/>
      <bottom/>
      <diagonal/>
    </border>
    <border>
      <left/>
      <right style="medium">
        <color indexed="64"/>
      </right>
      <top/>
      <bottom style="hair">
        <color indexed="16"/>
      </bottom>
      <diagonal/>
    </border>
    <border>
      <left/>
      <right style="medium">
        <color indexed="16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auto="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16"/>
      </top>
      <bottom/>
      <diagonal/>
    </border>
    <border>
      <left style="thin">
        <color indexed="64"/>
      </left>
      <right/>
      <top style="hair">
        <color indexed="16"/>
      </top>
      <bottom/>
      <diagonal/>
    </border>
    <border>
      <left/>
      <right/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16"/>
      </top>
      <bottom style="hair">
        <color indexed="16"/>
      </bottom>
      <diagonal/>
    </border>
    <border>
      <left style="thin">
        <color indexed="64"/>
      </left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16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16"/>
      </left>
      <right/>
      <top style="hair">
        <color indexed="16"/>
      </top>
      <bottom style="hair">
        <color indexed="16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16"/>
      </top>
      <bottom style="hair">
        <color indexed="64"/>
      </bottom>
      <diagonal/>
    </border>
    <border>
      <left style="medium">
        <color indexed="64"/>
      </left>
      <right/>
      <top style="hair">
        <color indexed="16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16"/>
      </left>
      <right style="medium">
        <color indexed="16"/>
      </right>
      <top style="hair">
        <color indexed="16"/>
      </top>
      <bottom style="hair">
        <color indexed="16"/>
      </bottom>
      <diagonal/>
    </border>
    <border>
      <left style="medium">
        <color indexed="16"/>
      </left>
      <right style="medium">
        <color indexed="16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16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thin">
        <color indexed="64"/>
      </left>
      <right/>
      <top style="hair">
        <color indexed="16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16"/>
      </left>
      <right/>
      <top style="hair">
        <color indexed="16"/>
      </top>
      <bottom style="medium">
        <color indexed="16"/>
      </bottom>
      <diagonal/>
    </border>
    <border>
      <left style="hair">
        <color indexed="16"/>
      </left>
      <right/>
      <top/>
      <bottom style="hair">
        <color indexed="16"/>
      </bottom>
      <diagonal/>
    </border>
    <border>
      <left style="hair">
        <color indexed="16"/>
      </left>
      <right style="hair">
        <color indexed="16"/>
      </right>
      <top style="medium">
        <color indexed="16"/>
      </top>
      <bottom style="hair">
        <color indexed="16"/>
      </bottom>
      <diagonal/>
    </border>
    <border>
      <left style="hair">
        <color indexed="16"/>
      </left>
      <right/>
      <top style="hair">
        <color indexed="16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 style="double">
        <color rgb="FF0000FF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medium">
        <color rgb="FFFF0000"/>
      </left>
      <right/>
      <top style="medium">
        <color indexed="64"/>
      </top>
      <bottom style="medium">
        <color theme="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16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16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auto="1"/>
      </left>
      <right style="medium">
        <color indexed="64"/>
      </right>
      <top style="hair">
        <color indexed="16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/>
      <top style="hair">
        <color indexed="64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/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/>
      <top style="hair">
        <color indexed="16"/>
      </top>
      <bottom/>
      <diagonal/>
    </border>
    <border>
      <left style="thin">
        <color indexed="64"/>
      </left>
      <right/>
      <top style="hair">
        <color indexed="16"/>
      </top>
      <bottom/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16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16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16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16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000000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double">
        <color rgb="FF0000FF"/>
      </left>
      <right style="double">
        <color rgb="FF0000FF"/>
      </right>
      <top style="thin">
        <color rgb="FF000000"/>
      </top>
      <bottom style="thin">
        <color rgb="FF000000"/>
      </bottom>
      <diagonal/>
    </border>
    <border>
      <left style="double">
        <color rgb="FF0000FF"/>
      </left>
      <right style="double">
        <color rgb="FF0000FF"/>
      </right>
      <top/>
      <bottom/>
      <diagonal/>
    </border>
    <border>
      <left style="double">
        <color rgb="FF0000FF"/>
      </left>
      <right style="double">
        <color rgb="FF0000FF"/>
      </right>
      <top style="thin">
        <color rgb="FF000000"/>
      </top>
      <bottom style="double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double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16"/>
      </top>
      <bottom style="hair">
        <color indexed="16"/>
      </bottom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/>
      <top/>
      <bottom style="double">
        <color rgb="FF00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16"/>
      </bottom>
      <diagonal/>
    </border>
    <border>
      <left/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/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 style="medium">
        <color indexed="16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thin">
        <color indexed="64"/>
      </right>
      <top style="hair">
        <color indexed="16"/>
      </top>
      <bottom style="hair">
        <color indexed="16"/>
      </bottom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/>
      <top/>
      <bottom style="thin">
        <color rgb="FF0000FF"/>
      </bottom>
      <diagonal/>
    </border>
    <border>
      <left style="hair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16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rgb="FF0000FF"/>
      </top>
      <bottom/>
      <diagonal/>
    </border>
    <border>
      <left style="double">
        <color rgb="FF0000FF"/>
      </left>
      <right style="double">
        <color rgb="FF0000FF"/>
      </right>
      <top style="thin">
        <color rgb="FF000000"/>
      </top>
      <bottom/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/>
      <right/>
      <top style="hair">
        <color auto="1"/>
      </top>
      <bottom style="hair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indexed="64"/>
      </bottom>
      <diagonal/>
    </border>
    <border>
      <left style="thin">
        <color rgb="FFFF0000"/>
      </left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FF0000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/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rgb="FFFF0000"/>
      </right>
      <top style="thin">
        <color rgb="FFFF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rgb="FF0000FF"/>
      </left>
      <right style="thin">
        <color rgb="FF0000FF"/>
      </right>
      <top/>
      <bottom style="thin">
        <color indexed="64"/>
      </bottom>
      <diagonal/>
    </border>
    <border>
      <left style="thin">
        <color rgb="FF0000FF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16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/>
      <diagonal/>
    </border>
    <border>
      <left/>
      <right style="medium">
        <color indexed="64"/>
      </right>
      <top style="hair">
        <color auto="1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16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16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16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56">
    <xf numFmtId="0" fontId="0" fillId="0" borderId="0"/>
    <xf numFmtId="0" fontId="57" fillId="2" borderId="0" applyNumberFormat="0" applyBorder="0" applyAlignment="0" applyProtection="0"/>
    <xf numFmtId="0" fontId="57" fillId="2" borderId="0" applyNumberFormat="0" applyBorder="0" applyAlignment="0" applyProtection="0"/>
    <xf numFmtId="0" fontId="57" fillId="2" borderId="0" applyNumberFormat="0" applyBorder="0" applyAlignment="0" applyProtection="0"/>
    <xf numFmtId="0" fontId="57" fillId="2" borderId="0" applyNumberFormat="0" applyBorder="0" applyAlignment="0" applyProtection="0"/>
    <xf numFmtId="0" fontId="57" fillId="2" borderId="0" applyNumberFormat="0" applyBorder="0" applyAlignment="0" applyProtection="0"/>
    <xf numFmtId="0" fontId="57" fillId="2" borderId="0" applyNumberFormat="0" applyBorder="0" applyAlignment="0" applyProtection="0"/>
    <xf numFmtId="0" fontId="57" fillId="2" borderId="0" applyNumberFormat="0" applyBorder="0" applyAlignment="0" applyProtection="0"/>
    <xf numFmtId="0" fontId="57" fillId="2" borderId="0" applyNumberFormat="0" applyBorder="0" applyAlignment="0" applyProtection="0"/>
    <xf numFmtId="0" fontId="57" fillId="2" borderId="0" applyNumberFormat="0" applyBorder="0" applyAlignment="0" applyProtection="0"/>
    <xf numFmtId="0" fontId="57" fillId="2" borderId="0" applyNumberFormat="0" applyBorder="0" applyAlignment="0" applyProtection="0"/>
    <xf numFmtId="0" fontId="57" fillId="3" borderId="0" applyNumberFormat="0" applyBorder="0" applyAlignment="0" applyProtection="0"/>
    <xf numFmtId="0" fontId="57" fillId="3" borderId="0" applyNumberFormat="0" applyBorder="0" applyAlignment="0" applyProtection="0"/>
    <xf numFmtId="0" fontId="57" fillId="3" borderId="0" applyNumberFormat="0" applyBorder="0" applyAlignment="0" applyProtection="0"/>
    <xf numFmtId="0" fontId="57" fillId="3" borderId="0" applyNumberFormat="0" applyBorder="0" applyAlignment="0" applyProtection="0"/>
    <xf numFmtId="0" fontId="57" fillId="3" borderId="0" applyNumberFormat="0" applyBorder="0" applyAlignment="0" applyProtection="0"/>
    <xf numFmtId="0" fontId="57" fillId="3" borderId="0" applyNumberFormat="0" applyBorder="0" applyAlignment="0" applyProtection="0"/>
    <xf numFmtId="0" fontId="57" fillId="3" borderId="0" applyNumberFormat="0" applyBorder="0" applyAlignment="0" applyProtection="0"/>
    <xf numFmtId="0" fontId="57" fillId="3" borderId="0" applyNumberFormat="0" applyBorder="0" applyAlignment="0" applyProtection="0"/>
    <xf numFmtId="0" fontId="57" fillId="3" borderId="0" applyNumberFormat="0" applyBorder="0" applyAlignment="0" applyProtection="0"/>
    <xf numFmtId="0" fontId="57" fillId="3" borderId="0" applyNumberFormat="0" applyBorder="0" applyAlignment="0" applyProtection="0"/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6" borderId="0" applyNumberFormat="0" applyBorder="0" applyAlignment="0" applyProtection="0"/>
    <xf numFmtId="0" fontId="57" fillId="6" borderId="0" applyNumberFormat="0" applyBorder="0" applyAlignment="0" applyProtection="0"/>
    <xf numFmtId="0" fontId="57" fillId="6" borderId="0" applyNumberFormat="0" applyBorder="0" applyAlignment="0" applyProtection="0"/>
    <xf numFmtId="0" fontId="57" fillId="6" borderId="0" applyNumberFormat="0" applyBorder="0" applyAlignment="0" applyProtection="0"/>
    <xf numFmtId="0" fontId="57" fillId="6" borderId="0" applyNumberFormat="0" applyBorder="0" applyAlignment="0" applyProtection="0"/>
    <xf numFmtId="0" fontId="57" fillId="6" borderId="0" applyNumberFormat="0" applyBorder="0" applyAlignment="0" applyProtection="0"/>
    <xf numFmtId="0" fontId="57" fillId="6" borderId="0" applyNumberFormat="0" applyBorder="0" applyAlignment="0" applyProtection="0"/>
    <xf numFmtId="0" fontId="57" fillId="6" borderId="0" applyNumberFormat="0" applyBorder="0" applyAlignment="0" applyProtection="0"/>
    <xf numFmtId="0" fontId="57" fillId="6" borderId="0" applyNumberFormat="0" applyBorder="0" applyAlignment="0" applyProtection="0"/>
    <xf numFmtId="0" fontId="57" fillId="6" borderId="0" applyNumberFormat="0" applyBorder="0" applyAlignment="0" applyProtection="0"/>
    <xf numFmtId="0" fontId="57" fillId="7" borderId="0" applyNumberFormat="0" applyBorder="0" applyAlignment="0" applyProtection="0"/>
    <xf numFmtId="0" fontId="57" fillId="7" borderId="0" applyNumberFormat="0" applyBorder="0" applyAlignment="0" applyProtection="0"/>
    <xf numFmtId="0" fontId="57" fillId="7" borderId="0" applyNumberFormat="0" applyBorder="0" applyAlignment="0" applyProtection="0"/>
    <xf numFmtId="0" fontId="57" fillId="7" borderId="0" applyNumberFormat="0" applyBorder="0" applyAlignment="0" applyProtection="0"/>
    <xf numFmtId="0" fontId="57" fillId="7" borderId="0" applyNumberFormat="0" applyBorder="0" applyAlignment="0" applyProtection="0"/>
    <xf numFmtId="0" fontId="57" fillId="7" borderId="0" applyNumberFormat="0" applyBorder="0" applyAlignment="0" applyProtection="0"/>
    <xf numFmtId="0" fontId="57" fillId="7" borderId="0" applyNumberFormat="0" applyBorder="0" applyAlignment="0" applyProtection="0"/>
    <xf numFmtId="0" fontId="57" fillId="7" borderId="0" applyNumberFormat="0" applyBorder="0" applyAlignment="0" applyProtection="0"/>
    <xf numFmtId="0" fontId="57" fillId="7" borderId="0" applyNumberFormat="0" applyBorder="0" applyAlignment="0" applyProtection="0"/>
    <xf numFmtId="0" fontId="57" fillId="7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10" borderId="0" applyNumberFormat="0" applyBorder="0" applyAlignment="0" applyProtection="0"/>
    <xf numFmtId="0" fontId="57" fillId="10" borderId="0" applyNumberFormat="0" applyBorder="0" applyAlignment="0" applyProtection="0"/>
    <xf numFmtId="0" fontId="57" fillId="10" borderId="0" applyNumberFormat="0" applyBorder="0" applyAlignment="0" applyProtection="0"/>
    <xf numFmtId="0" fontId="57" fillId="10" borderId="0" applyNumberFormat="0" applyBorder="0" applyAlignment="0" applyProtection="0"/>
    <xf numFmtId="0" fontId="57" fillId="10" borderId="0" applyNumberFormat="0" applyBorder="0" applyAlignment="0" applyProtection="0"/>
    <xf numFmtId="0" fontId="57" fillId="10" borderId="0" applyNumberFormat="0" applyBorder="0" applyAlignment="0" applyProtection="0"/>
    <xf numFmtId="0" fontId="57" fillId="10" borderId="0" applyNumberFormat="0" applyBorder="0" applyAlignment="0" applyProtection="0"/>
    <xf numFmtId="0" fontId="57" fillId="10" borderId="0" applyNumberFormat="0" applyBorder="0" applyAlignment="0" applyProtection="0"/>
    <xf numFmtId="0" fontId="57" fillId="10" borderId="0" applyNumberFormat="0" applyBorder="0" applyAlignment="0" applyProtection="0"/>
    <xf numFmtId="0" fontId="57" fillId="10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8" borderId="0" applyNumberFormat="0" applyBorder="0" applyAlignment="0" applyProtection="0"/>
    <xf numFmtId="0" fontId="57" fillId="11" borderId="0" applyNumberFormat="0" applyBorder="0" applyAlignment="0" applyProtection="0"/>
    <xf numFmtId="0" fontId="57" fillId="11" borderId="0" applyNumberFormat="0" applyBorder="0" applyAlignment="0" applyProtection="0"/>
    <xf numFmtId="0" fontId="57" fillId="11" borderId="0" applyNumberFormat="0" applyBorder="0" applyAlignment="0" applyProtection="0"/>
    <xf numFmtId="0" fontId="57" fillId="11" borderId="0" applyNumberFormat="0" applyBorder="0" applyAlignment="0" applyProtection="0"/>
    <xf numFmtId="0" fontId="57" fillId="11" borderId="0" applyNumberFormat="0" applyBorder="0" applyAlignment="0" applyProtection="0"/>
    <xf numFmtId="0" fontId="57" fillId="11" borderId="0" applyNumberFormat="0" applyBorder="0" applyAlignment="0" applyProtection="0"/>
    <xf numFmtId="0" fontId="57" fillId="11" borderId="0" applyNumberFormat="0" applyBorder="0" applyAlignment="0" applyProtection="0"/>
    <xf numFmtId="0" fontId="57" fillId="11" borderId="0" applyNumberFormat="0" applyBorder="0" applyAlignment="0" applyProtection="0"/>
    <xf numFmtId="0" fontId="57" fillId="11" borderId="0" applyNumberFormat="0" applyBorder="0" applyAlignment="0" applyProtection="0"/>
    <xf numFmtId="0" fontId="57" fillId="11" borderId="0" applyNumberFormat="0" applyBorder="0" applyAlignment="0" applyProtection="0"/>
    <xf numFmtId="0" fontId="58" fillId="12" borderId="0" applyNumberFormat="0" applyBorder="0" applyAlignment="0" applyProtection="0"/>
    <xf numFmtId="0" fontId="58" fillId="12" borderId="0" applyNumberFormat="0" applyBorder="0" applyAlignment="0" applyProtection="0"/>
    <xf numFmtId="0" fontId="58" fillId="12" borderId="0" applyNumberFormat="0" applyBorder="0" applyAlignment="0" applyProtection="0"/>
    <xf numFmtId="0" fontId="58" fillId="12" borderId="0" applyNumberFormat="0" applyBorder="0" applyAlignment="0" applyProtection="0"/>
    <xf numFmtId="0" fontId="58" fillId="12" borderId="0" applyNumberFormat="0" applyBorder="0" applyAlignment="0" applyProtection="0"/>
    <xf numFmtId="0" fontId="58" fillId="12" borderId="0" applyNumberFormat="0" applyBorder="0" applyAlignment="0" applyProtection="0"/>
    <xf numFmtId="0" fontId="58" fillId="12" borderId="0" applyNumberFormat="0" applyBorder="0" applyAlignment="0" applyProtection="0"/>
    <xf numFmtId="0" fontId="58" fillId="12" borderId="0" applyNumberFormat="0" applyBorder="0" applyAlignment="0" applyProtection="0"/>
    <xf numFmtId="0" fontId="58" fillId="12" borderId="0" applyNumberFormat="0" applyBorder="0" applyAlignment="0" applyProtection="0"/>
    <xf numFmtId="0" fontId="58" fillId="12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9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0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5" borderId="0" applyNumberFormat="0" applyBorder="0" applyAlignment="0" applyProtection="0"/>
    <xf numFmtId="0" fontId="58" fillId="15" borderId="0" applyNumberFormat="0" applyBorder="0" applyAlignment="0" applyProtection="0"/>
    <xf numFmtId="0" fontId="58" fillId="15" borderId="0" applyNumberFormat="0" applyBorder="0" applyAlignment="0" applyProtection="0"/>
    <xf numFmtId="0" fontId="58" fillId="15" borderId="0" applyNumberFormat="0" applyBorder="0" applyAlignment="0" applyProtection="0"/>
    <xf numFmtId="0" fontId="58" fillId="15" borderId="0" applyNumberFormat="0" applyBorder="0" applyAlignment="0" applyProtection="0"/>
    <xf numFmtId="0" fontId="58" fillId="15" borderId="0" applyNumberFormat="0" applyBorder="0" applyAlignment="0" applyProtection="0"/>
    <xf numFmtId="0" fontId="58" fillId="15" borderId="0" applyNumberFormat="0" applyBorder="0" applyAlignment="0" applyProtection="0"/>
    <xf numFmtId="0" fontId="58" fillId="15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58" fillId="16" borderId="0" applyNumberFormat="0" applyBorder="0" applyAlignment="0" applyProtection="0"/>
    <xf numFmtId="0" fontId="58" fillId="16" borderId="0" applyNumberFormat="0" applyBorder="0" applyAlignment="0" applyProtection="0"/>
    <xf numFmtId="0" fontId="58" fillId="16" borderId="0" applyNumberFormat="0" applyBorder="0" applyAlignment="0" applyProtection="0"/>
    <xf numFmtId="0" fontId="58" fillId="16" borderId="0" applyNumberFormat="0" applyBorder="0" applyAlignment="0" applyProtection="0"/>
    <xf numFmtId="0" fontId="58" fillId="16" borderId="0" applyNumberFormat="0" applyBorder="0" applyAlignment="0" applyProtection="0"/>
    <xf numFmtId="0" fontId="58" fillId="16" borderId="0" applyNumberFormat="0" applyBorder="0" applyAlignment="0" applyProtection="0"/>
    <xf numFmtId="0" fontId="58" fillId="16" borderId="0" applyNumberFormat="0" applyBorder="0" applyAlignment="0" applyProtection="0"/>
    <xf numFmtId="0" fontId="58" fillId="16" borderId="0" applyNumberFormat="0" applyBorder="0" applyAlignment="0" applyProtection="0"/>
    <xf numFmtId="0" fontId="58" fillId="16" borderId="0" applyNumberFormat="0" applyBorder="0" applyAlignment="0" applyProtection="0"/>
    <xf numFmtId="0" fontId="58" fillId="17" borderId="0" applyNumberFormat="0" applyBorder="0" applyAlignment="0" applyProtection="0"/>
    <xf numFmtId="0" fontId="58" fillId="17" borderId="0" applyNumberFormat="0" applyBorder="0" applyAlignment="0" applyProtection="0"/>
    <xf numFmtId="0" fontId="58" fillId="17" borderId="0" applyNumberFormat="0" applyBorder="0" applyAlignment="0" applyProtection="0"/>
    <xf numFmtId="0" fontId="58" fillId="17" borderId="0" applyNumberFormat="0" applyBorder="0" applyAlignment="0" applyProtection="0"/>
    <xf numFmtId="0" fontId="58" fillId="17" borderId="0" applyNumberFormat="0" applyBorder="0" applyAlignment="0" applyProtection="0"/>
    <xf numFmtId="0" fontId="58" fillId="17" borderId="0" applyNumberFormat="0" applyBorder="0" applyAlignment="0" applyProtection="0"/>
    <xf numFmtId="0" fontId="58" fillId="17" borderId="0" applyNumberFormat="0" applyBorder="0" applyAlignment="0" applyProtection="0"/>
    <xf numFmtId="0" fontId="58" fillId="17" borderId="0" applyNumberFormat="0" applyBorder="0" applyAlignment="0" applyProtection="0"/>
    <xf numFmtId="0" fontId="58" fillId="17" borderId="0" applyNumberFormat="0" applyBorder="0" applyAlignment="0" applyProtection="0"/>
    <xf numFmtId="0" fontId="58" fillId="17" borderId="0" applyNumberFormat="0" applyBorder="0" applyAlignment="0" applyProtection="0"/>
    <xf numFmtId="0" fontId="58" fillId="18" borderId="0" applyNumberFormat="0" applyBorder="0" applyAlignment="0" applyProtection="0"/>
    <xf numFmtId="0" fontId="58" fillId="18" borderId="0" applyNumberFormat="0" applyBorder="0" applyAlignment="0" applyProtection="0"/>
    <xf numFmtId="0" fontId="58" fillId="18" borderId="0" applyNumberFormat="0" applyBorder="0" applyAlignment="0" applyProtection="0"/>
    <xf numFmtId="0" fontId="58" fillId="18" borderId="0" applyNumberFormat="0" applyBorder="0" applyAlignment="0" applyProtection="0"/>
    <xf numFmtId="0" fontId="58" fillId="18" borderId="0" applyNumberFormat="0" applyBorder="0" applyAlignment="0" applyProtection="0"/>
    <xf numFmtId="0" fontId="58" fillId="18" borderId="0" applyNumberFormat="0" applyBorder="0" applyAlignment="0" applyProtection="0"/>
    <xf numFmtId="0" fontId="58" fillId="18" borderId="0" applyNumberFormat="0" applyBorder="0" applyAlignment="0" applyProtection="0"/>
    <xf numFmtId="0" fontId="58" fillId="18" borderId="0" applyNumberFormat="0" applyBorder="0" applyAlignment="0" applyProtection="0"/>
    <xf numFmtId="0" fontId="58" fillId="18" borderId="0" applyNumberFormat="0" applyBorder="0" applyAlignment="0" applyProtection="0"/>
    <xf numFmtId="0" fontId="58" fillId="18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4" borderId="0" applyNumberFormat="0" applyBorder="0" applyAlignment="0" applyProtection="0"/>
    <xf numFmtId="0" fontId="58" fillId="19" borderId="0" applyNumberFormat="0" applyBorder="0" applyAlignment="0" applyProtection="0"/>
    <xf numFmtId="0" fontId="58" fillId="19" borderId="0" applyNumberFormat="0" applyBorder="0" applyAlignment="0" applyProtection="0"/>
    <xf numFmtId="0" fontId="58" fillId="19" borderId="0" applyNumberFormat="0" applyBorder="0" applyAlignment="0" applyProtection="0"/>
    <xf numFmtId="0" fontId="58" fillId="19" borderId="0" applyNumberFormat="0" applyBorder="0" applyAlignment="0" applyProtection="0"/>
    <xf numFmtId="0" fontId="58" fillId="19" borderId="0" applyNumberFormat="0" applyBorder="0" applyAlignment="0" applyProtection="0"/>
    <xf numFmtId="0" fontId="58" fillId="19" borderId="0" applyNumberFormat="0" applyBorder="0" applyAlignment="0" applyProtection="0"/>
    <xf numFmtId="0" fontId="58" fillId="19" borderId="0" applyNumberFormat="0" applyBorder="0" applyAlignment="0" applyProtection="0"/>
    <xf numFmtId="0" fontId="58" fillId="19" borderId="0" applyNumberFormat="0" applyBorder="0" applyAlignment="0" applyProtection="0"/>
    <xf numFmtId="0" fontId="58" fillId="19" borderId="0" applyNumberFormat="0" applyBorder="0" applyAlignment="0" applyProtection="0"/>
    <xf numFmtId="0" fontId="58" fillId="19" borderId="0" applyNumberFormat="0" applyBorder="0" applyAlignment="0" applyProtection="0"/>
    <xf numFmtId="0" fontId="59" fillId="3" borderId="0" applyNumberFormat="0" applyBorder="0" applyAlignment="0" applyProtection="0"/>
    <xf numFmtId="0" fontId="59" fillId="3" borderId="0" applyNumberFormat="0" applyBorder="0" applyAlignment="0" applyProtection="0"/>
    <xf numFmtId="0" fontId="59" fillId="3" borderId="0" applyNumberFormat="0" applyBorder="0" applyAlignment="0" applyProtection="0"/>
    <xf numFmtId="0" fontId="59" fillId="3" borderId="0" applyNumberFormat="0" applyBorder="0" applyAlignment="0" applyProtection="0"/>
    <xf numFmtId="0" fontId="59" fillId="3" borderId="0" applyNumberFormat="0" applyBorder="0" applyAlignment="0" applyProtection="0"/>
    <xf numFmtId="0" fontId="59" fillId="3" borderId="0" applyNumberFormat="0" applyBorder="0" applyAlignment="0" applyProtection="0"/>
    <xf numFmtId="0" fontId="59" fillId="3" borderId="0" applyNumberFormat="0" applyBorder="0" applyAlignment="0" applyProtection="0"/>
    <xf numFmtId="0" fontId="59" fillId="3" borderId="0" applyNumberFormat="0" applyBorder="0" applyAlignment="0" applyProtection="0"/>
    <xf numFmtId="0" fontId="59" fillId="3" borderId="0" applyNumberFormat="0" applyBorder="0" applyAlignment="0" applyProtection="0"/>
    <xf numFmtId="0" fontId="59" fillId="3" borderId="0" applyNumberFormat="0" applyBorder="0" applyAlignment="0" applyProtection="0"/>
    <xf numFmtId="0" fontId="60" fillId="20" borderId="1" applyNumberFormat="0" applyAlignment="0" applyProtection="0"/>
    <xf numFmtId="0" fontId="60" fillId="20" borderId="1" applyNumberFormat="0" applyAlignment="0" applyProtection="0"/>
    <xf numFmtId="0" fontId="60" fillId="20" borderId="1" applyNumberFormat="0" applyAlignment="0" applyProtection="0"/>
    <xf numFmtId="0" fontId="60" fillId="20" borderId="1" applyNumberFormat="0" applyAlignment="0" applyProtection="0"/>
    <xf numFmtId="0" fontId="60" fillId="20" borderId="1" applyNumberFormat="0" applyAlignment="0" applyProtection="0"/>
    <xf numFmtId="0" fontId="60" fillId="20" borderId="1" applyNumberFormat="0" applyAlignment="0" applyProtection="0"/>
    <xf numFmtId="0" fontId="60" fillId="20" borderId="1" applyNumberFormat="0" applyAlignment="0" applyProtection="0"/>
    <xf numFmtId="0" fontId="60" fillId="20" borderId="1" applyNumberFormat="0" applyAlignment="0" applyProtection="0"/>
    <xf numFmtId="0" fontId="60" fillId="20" borderId="1" applyNumberFormat="0" applyAlignment="0" applyProtection="0"/>
    <xf numFmtId="0" fontId="60" fillId="20" borderId="1" applyNumberFormat="0" applyAlignment="0" applyProtection="0"/>
    <xf numFmtId="0" fontId="61" fillId="21" borderId="2" applyNumberFormat="0" applyAlignment="0" applyProtection="0"/>
    <xf numFmtId="0" fontId="61" fillId="21" borderId="2" applyNumberFormat="0" applyAlignment="0" applyProtection="0"/>
    <xf numFmtId="0" fontId="61" fillId="21" borderId="2" applyNumberFormat="0" applyAlignment="0" applyProtection="0"/>
    <xf numFmtId="0" fontId="61" fillId="21" borderId="2" applyNumberFormat="0" applyAlignment="0" applyProtection="0"/>
    <xf numFmtId="0" fontId="61" fillId="21" borderId="2" applyNumberFormat="0" applyAlignment="0" applyProtection="0"/>
    <xf numFmtId="0" fontId="61" fillId="21" borderId="2" applyNumberFormat="0" applyAlignment="0" applyProtection="0"/>
    <xf numFmtId="0" fontId="61" fillId="21" borderId="2" applyNumberFormat="0" applyAlignment="0" applyProtection="0"/>
    <xf numFmtId="0" fontId="61" fillId="21" borderId="2" applyNumberFormat="0" applyAlignment="0" applyProtection="0"/>
    <xf numFmtId="0" fontId="61" fillId="21" borderId="2" applyNumberFormat="0" applyAlignment="0" applyProtection="0"/>
    <xf numFmtId="0" fontId="61" fillId="21" borderId="2" applyNumberFormat="0" applyAlignment="0" applyProtection="0"/>
    <xf numFmtId="43" fontId="88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4" borderId="0" applyNumberFormat="0" applyBorder="0" applyAlignment="0" applyProtection="0"/>
    <xf numFmtId="0" fontId="63" fillId="4" borderId="0" applyNumberFormat="0" applyBorder="0" applyAlignment="0" applyProtection="0"/>
    <xf numFmtId="0" fontId="63" fillId="4" borderId="0" applyNumberFormat="0" applyBorder="0" applyAlignment="0" applyProtection="0"/>
    <xf numFmtId="0" fontId="63" fillId="4" borderId="0" applyNumberFormat="0" applyBorder="0" applyAlignment="0" applyProtection="0"/>
    <xf numFmtId="0" fontId="63" fillId="4" borderId="0" applyNumberFormat="0" applyBorder="0" applyAlignment="0" applyProtection="0"/>
    <xf numFmtId="0" fontId="63" fillId="4" borderId="0" applyNumberFormat="0" applyBorder="0" applyAlignment="0" applyProtection="0"/>
    <xf numFmtId="0" fontId="63" fillId="4" borderId="0" applyNumberFormat="0" applyBorder="0" applyAlignment="0" applyProtection="0"/>
    <xf numFmtId="0" fontId="63" fillId="4" borderId="0" applyNumberFormat="0" applyBorder="0" applyAlignment="0" applyProtection="0"/>
    <xf numFmtId="0" fontId="63" fillId="4" borderId="0" applyNumberFormat="0" applyBorder="0" applyAlignment="0" applyProtection="0"/>
    <xf numFmtId="0" fontId="63" fillId="4" borderId="0" applyNumberFormat="0" applyBorder="0" applyAlignment="0" applyProtection="0"/>
    <xf numFmtId="0" fontId="64" fillId="0" borderId="3" applyNumberFormat="0" applyFill="0" applyAlignment="0" applyProtection="0"/>
    <xf numFmtId="0" fontId="64" fillId="0" borderId="3" applyNumberFormat="0" applyFill="0" applyAlignment="0" applyProtection="0"/>
    <xf numFmtId="0" fontId="64" fillId="0" borderId="3" applyNumberFormat="0" applyFill="0" applyAlignment="0" applyProtection="0"/>
    <xf numFmtId="0" fontId="64" fillId="0" borderId="3" applyNumberFormat="0" applyFill="0" applyAlignment="0" applyProtection="0"/>
    <xf numFmtId="0" fontId="64" fillId="0" borderId="3" applyNumberFormat="0" applyFill="0" applyAlignment="0" applyProtection="0"/>
    <xf numFmtId="0" fontId="64" fillId="0" borderId="3" applyNumberFormat="0" applyFill="0" applyAlignment="0" applyProtection="0"/>
    <xf numFmtId="0" fontId="64" fillId="0" borderId="3" applyNumberFormat="0" applyFill="0" applyAlignment="0" applyProtection="0"/>
    <xf numFmtId="0" fontId="64" fillId="0" borderId="3" applyNumberFormat="0" applyFill="0" applyAlignment="0" applyProtection="0"/>
    <xf numFmtId="0" fontId="64" fillId="0" borderId="3" applyNumberFormat="0" applyFill="0" applyAlignment="0" applyProtection="0"/>
    <xf numFmtId="0" fontId="64" fillId="0" borderId="3" applyNumberFormat="0" applyFill="0" applyAlignment="0" applyProtection="0"/>
    <xf numFmtId="0" fontId="65" fillId="0" borderId="4" applyNumberFormat="0" applyFill="0" applyAlignment="0" applyProtection="0"/>
    <xf numFmtId="0" fontId="65" fillId="0" borderId="4" applyNumberFormat="0" applyFill="0" applyAlignment="0" applyProtection="0"/>
    <xf numFmtId="0" fontId="65" fillId="0" borderId="4" applyNumberFormat="0" applyFill="0" applyAlignment="0" applyProtection="0"/>
    <xf numFmtId="0" fontId="65" fillId="0" borderId="4" applyNumberFormat="0" applyFill="0" applyAlignment="0" applyProtection="0"/>
    <xf numFmtId="0" fontId="65" fillId="0" borderId="4" applyNumberFormat="0" applyFill="0" applyAlignment="0" applyProtection="0"/>
    <xf numFmtId="0" fontId="65" fillId="0" borderId="4" applyNumberFormat="0" applyFill="0" applyAlignment="0" applyProtection="0"/>
    <xf numFmtId="0" fontId="65" fillId="0" borderId="4" applyNumberFormat="0" applyFill="0" applyAlignment="0" applyProtection="0"/>
    <xf numFmtId="0" fontId="65" fillId="0" borderId="4" applyNumberFormat="0" applyFill="0" applyAlignment="0" applyProtection="0"/>
    <xf numFmtId="0" fontId="65" fillId="0" borderId="4" applyNumberFormat="0" applyFill="0" applyAlignment="0" applyProtection="0"/>
    <xf numFmtId="0" fontId="65" fillId="0" borderId="4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5" applyNumberFormat="0" applyFill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67" fillId="7" borderId="1" applyNumberFormat="0" applyAlignment="0" applyProtection="0"/>
    <xf numFmtId="0" fontId="67" fillId="7" borderId="1" applyNumberFormat="0" applyAlignment="0" applyProtection="0"/>
    <xf numFmtId="0" fontId="67" fillId="7" borderId="1" applyNumberFormat="0" applyAlignment="0" applyProtection="0"/>
    <xf numFmtId="0" fontId="67" fillId="7" borderId="1" applyNumberFormat="0" applyAlignment="0" applyProtection="0"/>
    <xf numFmtId="0" fontId="67" fillId="7" borderId="1" applyNumberFormat="0" applyAlignment="0" applyProtection="0"/>
    <xf numFmtId="0" fontId="67" fillId="7" borderId="1" applyNumberFormat="0" applyAlignment="0" applyProtection="0"/>
    <xf numFmtId="0" fontId="67" fillId="7" borderId="1" applyNumberFormat="0" applyAlignment="0" applyProtection="0"/>
    <xf numFmtId="0" fontId="67" fillId="7" borderId="1" applyNumberFormat="0" applyAlignment="0" applyProtection="0"/>
    <xf numFmtId="0" fontId="67" fillId="7" borderId="1" applyNumberFormat="0" applyAlignment="0" applyProtection="0"/>
    <xf numFmtId="0" fontId="67" fillId="7" borderId="1" applyNumberFormat="0" applyAlignment="0" applyProtection="0"/>
    <xf numFmtId="0" fontId="68" fillId="0" borderId="6" applyNumberFormat="0" applyFill="0" applyAlignment="0" applyProtection="0"/>
    <xf numFmtId="0" fontId="68" fillId="0" borderId="6" applyNumberFormat="0" applyFill="0" applyAlignment="0" applyProtection="0"/>
    <xf numFmtId="0" fontId="68" fillId="0" borderId="6" applyNumberFormat="0" applyFill="0" applyAlignment="0" applyProtection="0"/>
    <xf numFmtId="0" fontId="68" fillId="0" borderId="6" applyNumberFormat="0" applyFill="0" applyAlignment="0" applyProtection="0"/>
    <xf numFmtId="0" fontId="68" fillId="0" borderId="6" applyNumberFormat="0" applyFill="0" applyAlignment="0" applyProtection="0"/>
    <xf numFmtId="0" fontId="68" fillId="0" borderId="6" applyNumberFormat="0" applyFill="0" applyAlignment="0" applyProtection="0"/>
    <xf numFmtId="0" fontId="68" fillId="0" borderId="6" applyNumberFormat="0" applyFill="0" applyAlignment="0" applyProtection="0"/>
    <xf numFmtId="0" fontId="68" fillId="0" borderId="6" applyNumberFormat="0" applyFill="0" applyAlignment="0" applyProtection="0"/>
    <xf numFmtId="0" fontId="68" fillId="0" borderId="6" applyNumberFormat="0" applyFill="0" applyAlignment="0" applyProtection="0"/>
    <xf numFmtId="0" fontId="68" fillId="0" borderId="6" applyNumberFormat="0" applyFill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0" fontId="85" fillId="0" borderId="0"/>
    <xf numFmtId="0" fontId="85" fillId="0" borderId="0"/>
    <xf numFmtId="0" fontId="85" fillId="0" borderId="0"/>
    <xf numFmtId="171" fontId="8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71" fontId="88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171" fontId="88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171" fontId="88" fillId="0" borderId="0"/>
    <xf numFmtId="172" fontId="88" fillId="0" borderId="0"/>
    <xf numFmtId="172" fontId="88" fillId="0" borderId="0"/>
    <xf numFmtId="172" fontId="88" fillId="0" borderId="0"/>
    <xf numFmtId="172" fontId="88" fillId="0" borderId="0"/>
    <xf numFmtId="172" fontId="88" fillId="0" borderId="0"/>
    <xf numFmtId="172" fontId="88" fillId="0" borderId="0"/>
    <xf numFmtId="172" fontId="88" fillId="0" borderId="0"/>
    <xf numFmtId="172" fontId="88" fillId="0" borderId="0"/>
    <xf numFmtId="172" fontId="88" fillId="0" borderId="0"/>
    <xf numFmtId="172" fontId="88" fillId="0" borderId="0"/>
    <xf numFmtId="172" fontId="88" fillId="0" borderId="0"/>
    <xf numFmtId="172" fontId="88" fillId="0" borderId="0"/>
    <xf numFmtId="0" fontId="89" fillId="0" borderId="0"/>
    <xf numFmtId="0" fontId="7" fillId="0" borderId="0"/>
    <xf numFmtId="171" fontId="7" fillId="0" borderId="0"/>
    <xf numFmtId="0" fontId="7" fillId="0" borderId="0"/>
    <xf numFmtId="171" fontId="7" fillId="0" borderId="0"/>
    <xf numFmtId="0" fontId="7" fillId="0" borderId="0" applyBorder="0" applyAlignment="0"/>
    <xf numFmtId="171" fontId="7" fillId="0" borderId="0" applyBorder="0" applyAlignment="0"/>
    <xf numFmtId="171" fontId="7" fillId="0" borderId="0" applyBorder="0" applyAlignment="0"/>
    <xf numFmtId="171" fontId="7" fillId="0" borderId="0"/>
    <xf numFmtId="0" fontId="7" fillId="0" borderId="0">
      <alignment vertical="center"/>
    </xf>
    <xf numFmtId="171" fontId="7" fillId="0" borderId="0">
      <alignment vertical="center"/>
    </xf>
    <xf numFmtId="0" fontId="85" fillId="23" borderId="7" applyNumberFormat="0" applyFont="0" applyAlignment="0" applyProtection="0"/>
    <xf numFmtId="0" fontId="85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85" fillId="23" borderId="7" applyNumberFormat="0" applyFont="0" applyAlignment="0" applyProtection="0"/>
    <xf numFmtId="0" fontId="85" fillId="23" borderId="7" applyNumberFormat="0" applyFont="0" applyAlignment="0" applyProtection="0"/>
    <xf numFmtId="0" fontId="85" fillId="23" borderId="7" applyNumberFormat="0" applyFont="0" applyAlignment="0" applyProtection="0"/>
    <xf numFmtId="0" fontId="85" fillId="23" borderId="7" applyNumberFormat="0" applyFont="0" applyAlignment="0" applyProtection="0"/>
    <xf numFmtId="0" fontId="85" fillId="23" borderId="7" applyNumberFormat="0" applyFont="0" applyAlignment="0" applyProtection="0"/>
    <xf numFmtId="0" fontId="85" fillId="23" borderId="7" applyNumberFormat="0" applyFont="0" applyAlignment="0" applyProtection="0"/>
    <xf numFmtId="0" fontId="70" fillId="20" borderId="8" applyNumberFormat="0" applyAlignment="0" applyProtection="0"/>
    <xf numFmtId="0" fontId="70" fillId="20" borderId="8" applyNumberFormat="0" applyAlignment="0" applyProtection="0"/>
    <xf numFmtId="0" fontId="70" fillId="20" borderId="8" applyNumberFormat="0" applyAlignment="0" applyProtection="0"/>
    <xf numFmtId="0" fontId="70" fillId="20" borderId="8" applyNumberFormat="0" applyAlignment="0" applyProtection="0"/>
    <xf numFmtId="0" fontId="70" fillId="20" borderId="8" applyNumberFormat="0" applyAlignment="0" applyProtection="0"/>
    <xf numFmtId="0" fontId="70" fillId="20" borderId="8" applyNumberFormat="0" applyAlignment="0" applyProtection="0"/>
    <xf numFmtId="0" fontId="70" fillId="20" borderId="8" applyNumberFormat="0" applyAlignment="0" applyProtection="0"/>
    <xf numFmtId="0" fontId="70" fillId="20" borderId="8" applyNumberFormat="0" applyAlignment="0" applyProtection="0"/>
    <xf numFmtId="0" fontId="70" fillId="20" borderId="8" applyNumberFormat="0" applyAlignment="0" applyProtection="0"/>
    <xf numFmtId="0" fontId="70" fillId="20" borderId="8" applyNumberFormat="0" applyAlignment="0" applyProtection="0"/>
    <xf numFmtId="9" fontId="88" fillId="0" borderId="0" applyFont="0" applyFill="0" applyBorder="0" applyAlignment="0" applyProtection="0"/>
    <xf numFmtId="0" fontId="7" fillId="0" borderId="0">
      <alignment textRotation="75"/>
    </xf>
    <xf numFmtId="0" fontId="85" fillId="0" borderId="0">
      <alignment textRotation="75"/>
    </xf>
    <xf numFmtId="0" fontId="85" fillId="0" borderId="0">
      <alignment textRotation="75"/>
    </xf>
    <xf numFmtId="0" fontId="85" fillId="0" borderId="0">
      <alignment textRotation="75"/>
    </xf>
    <xf numFmtId="0" fontId="85" fillId="0" borderId="0">
      <alignment textRotation="75"/>
    </xf>
    <xf numFmtId="0" fontId="85" fillId="0" borderId="0">
      <alignment textRotation="75"/>
    </xf>
    <xf numFmtId="0" fontId="85" fillId="0" borderId="0">
      <alignment textRotation="75"/>
    </xf>
    <xf numFmtId="0" fontId="85" fillId="0" borderId="0">
      <alignment textRotation="75"/>
    </xf>
    <xf numFmtId="0" fontId="85" fillId="0" borderId="0">
      <alignment textRotation="75"/>
    </xf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9" applyNumberFormat="0" applyFill="0" applyAlignment="0" applyProtection="0"/>
    <xf numFmtId="0" fontId="72" fillId="0" borderId="9" applyNumberFormat="0" applyFill="0" applyAlignment="0" applyProtection="0"/>
    <xf numFmtId="0" fontId="72" fillId="0" borderId="9" applyNumberFormat="0" applyFill="0" applyAlignment="0" applyProtection="0"/>
    <xf numFmtId="0" fontId="72" fillId="0" borderId="9" applyNumberFormat="0" applyFill="0" applyAlignment="0" applyProtection="0"/>
    <xf numFmtId="0" fontId="72" fillId="0" borderId="9" applyNumberFormat="0" applyFill="0" applyAlignment="0" applyProtection="0"/>
    <xf numFmtId="0" fontId="72" fillId="0" borderId="9" applyNumberFormat="0" applyFill="0" applyAlignment="0" applyProtection="0"/>
    <xf numFmtId="0" fontId="72" fillId="0" borderId="9" applyNumberFormat="0" applyFill="0" applyAlignment="0" applyProtection="0"/>
    <xf numFmtId="0" fontId="72" fillId="0" borderId="9" applyNumberFormat="0" applyFill="0" applyAlignment="0" applyProtection="0"/>
    <xf numFmtId="0" fontId="72" fillId="0" borderId="9" applyNumberFormat="0" applyFill="0" applyAlignment="0" applyProtection="0"/>
    <xf numFmtId="0" fontId="72" fillId="0" borderId="9" applyNumberFormat="0" applyFill="0" applyAlignment="0" applyProtection="0"/>
    <xf numFmtId="0" fontId="7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" fillId="0" borderId="0"/>
    <xf numFmtId="0" fontId="7" fillId="0" borderId="0"/>
    <xf numFmtId="171" fontId="7" fillId="0" borderId="0" applyBorder="0" applyAlignment="0"/>
    <xf numFmtId="44" fontId="7" fillId="0" borderId="0" applyFont="0" applyFill="0" applyBorder="0" applyAlignment="0" applyProtection="0"/>
    <xf numFmtId="0" fontId="7" fillId="0" borderId="0"/>
    <xf numFmtId="0" fontId="229" fillId="0" borderId="0"/>
    <xf numFmtId="186" fontId="88" fillId="0" borderId="0"/>
    <xf numFmtId="9" fontId="88" fillId="0" borderId="0" applyFont="0" applyFill="0" applyBorder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66" fillId="0" borderId="271" applyNumberFormat="0" applyFill="0" applyAlignment="0" applyProtection="0"/>
    <xf numFmtId="0" fontId="7" fillId="0" borderId="0"/>
    <xf numFmtId="0" fontId="7" fillId="0" borderId="0"/>
    <xf numFmtId="0" fontId="7" fillId="0" borderId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23" borderId="7" applyNumberFormat="0" applyFont="0" applyAlignment="0" applyProtection="0"/>
    <xf numFmtId="0" fontId="7" fillId="0" borderId="0">
      <alignment textRotation="75"/>
    </xf>
    <xf numFmtId="0" fontId="7" fillId="0" borderId="0">
      <alignment textRotation="75"/>
    </xf>
    <xf numFmtId="0" fontId="7" fillId="0" borderId="0">
      <alignment textRotation="75"/>
    </xf>
    <xf numFmtId="0" fontId="7" fillId="0" borderId="0">
      <alignment textRotation="75"/>
    </xf>
    <xf numFmtId="0" fontId="7" fillId="0" borderId="0">
      <alignment textRotation="75"/>
    </xf>
    <xf numFmtId="0" fontId="7" fillId="0" borderId="0">
      <alignment textRotation="75"/>
    </xf>
    <xf numFmtId="0" fontId="7" fillId="0" borderId="0">
      <alignment textRotation="75"/>
    </xf>
    <xf numFmtId="0" fontId="7" fillId="0" borderId="0">
      <alignment textRotation="75"/>
    </xf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48" fillId="0" borderId="9" applyNumberFormat="0" applyFill="0" applyAlignment="0" applyProtection="0"/>
    <xf numFmtId="0" fontId="357" fillId="0" borderId="0"/>
    <xf numFmtId="0" fontId="357" fillId="0" borderId="0"/>
  </cellStyleXfs>
  <cellXfs count="5526">
    <xf numFmtId="0" fontId="0" fillId="0" borderId="0" xfId="0"/>
    <xf numFmtId="0" fontId="20" fillId="0" borderId="0" xfId="0" applyFont="1" applyFill="1" applyBorder="1" applyAlignment="1">
      <alignment horizontal="center" vertical="center"/>
    </xf>
    <xf numFmtId="0" fontId="91" fillId="0" borderId="0" xfId="0" applyFont="1"/>
    <xf numFmtId="0" fontId="92" fillId="0" borderId="0" xfId="0" applyFont="1"/>
    <xf numFmtId="0" fontId="91" fillId="31" borderId="0" xfId="0" applyFont="1" applyFill="1"/>
    <xf numFmtId="0" fontId="93" fillId="0" borderId="0" xfId="0" applyFont="1"/>
    <xf numFmtId="0" fontId="93" fillId="0" borderId="0" xfId="0" applyFont="1" applyAlignment="1">
      <alignment vertical="center"/>
    </xf>
    <xf numFmtId="0" fontId="28" fillId="0" borderId="0" xfId="0" applyFont="1" applyFill="1" applyAlignment="1">
      <alignment horizontal="left" vertical="center"/>
    </xf>
    <xf numFmtId="2" fontId="93" fillId="0" borderId="0" xfId="0" applyNumberFormat="1" applyFont="1" applyFill="1" applyAlignment="1">
      <alignment vertical="center"/>
    </xf>
    <xf numFmtId="2" fontId="93" fillId="0" borderId="0" xfId="0" applyNumberFormat="1" applyFont="1" applyFill="1" applyAlignment="1">
      <alignment horizontal="center" vertical="center"/>
    </xf>
    <xf numFmtId="0" fontId="93" fillId="0" borderId="0" xfId="0" applyFont="1" applyFill="1" applyAlignment="1">
      <alignment horizontal="center" vertical="center"/>
    </xf>
    <xf numFmtId="0" fontId="93" fillId="0" borderId="0" xfId="0" applyFont="1" applyFill="1" applyAlignment="1">
      <alignment vertical="center"/>
    </xf>
    <xf numFmtId="0" fontId="91" fillId="0" borderId="0" xfId="0" applyFont="1" applyFill="1"/>
    <xf numFmtId="166" fontId="43" fillId="31" borderId="0" xfId="271" applyNumberFormat="1" applyFont="1" applyFill="1" applyBorder="1" applyAlignment="1">
      <alignment horizontal="center" vertical="center"/>
    </xf>
    <xf numFmtId="166" fontId="44" fillId="31" borderId="0" xfId="271" applyNumberFormat="1" applyFont="1" applyFill="1" applyBorder="1" applyAlignment="1" applyProtection="1">
      <alignment horizontal="center" vertical="center"/>
      <protection locked="0"/>
    </xf>
    <xf numFmtId="1" fontId="5" fillId="31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>
      <alignment horizontal="center" vertical="center"/>
    </xf>
    <xf numFmtId="0" fontId="35" fillId="0" borderId="0" xfId="0" applyNumberFormat="1" applyFont="1" applyFill="1" applyBorder="1" applyAlignment="1">
      <alignment horizontal="center" vertical="center"/>
    </xf>
    <xf numFmtId="0" fontId="91" fillId="0" borderId="0" xfId="0" applyNumberFormat="1" applyFont="1" applyBorder="1"/>
    <xf numFmtId="166" fontId="46" fillId="31" borderId="0" xfId="271" applyNumberFormat="1" applyFont="1" applyFill="1" applyBorder="1" applyAlignment="1">
      <alignment horizontal="center" vertical="center"/>
    </xf>
    <xf numFmtId="173" fontId="88" fillId="0" borderId="0" xfId="375" applyNumberFormat="1" applyFont="1"/>
    <xf numFmtId="173" fontId="88" fillId="0" borderId="0" xfId="375" applyNumberFormat="1" applyFont="1" applyAlignment="1">
      <alignment horizontal="left"/>
    </xf>
    <xf numFmtId="0" fontId="90" fillId="0" borderId="0" xfId="375" applyNumberFormat="1" applyFont="1" applyAlignment="1">
      <alignment horizontal="center"/>
    </xf>
    <xf numFmtId="0" fontId="101" fillId="37" borderId="10" xfId="375" applyNumberFormat="1" applyFont="1" applyFill="1" applyBorder="1" applyAlignment="1">
      <alignment horizontal="center" vertical="center"/>
    </xf>
    <xf numFmtId="0" fontId="102" fillId="37" borderId="10" xfId="375" applyNumberFormat="1" applyFont="1" applyFill="1" applyBorder="1" applyAlignment="1">
      <alignment horizontal="center" vertical="center"/>
    </xf>
    <xf numFmtId="20" fontId="8" fillId="38" borderId="30" xfId="431" applyNumberFormat="1" applyFont="1" applyFill="1" applyBorder="1" applyAlignment="1">
      <alignment horizontal="center" vertical="center"/>
    </xf>
    <xf numFmtId="0" fontId="101" fillId="0" borderId="10" xfId="375" applyNumberFormat="1" applyFont="1" applyBorder="1" applyAlignment="1">
      <alignment horizontal="center" vertical="center"/>
    </xf>
    <xf numFmtId="0" fontId="102" fillId="0" borderId="10" xfId="375" applyNumberFormat="1" applyFont="1" applyBorder="1" applyAlignment="1">
      <alignment horizontal="center" vertical="center"/>
    </xf>
    <xf numFmtId="0" fontId="101" fillId="0" borderId="10" xfId="375" applyNumberFormat="1" applyFont="1" applyBorder="1" applyAlignment="1">
      <alignment horizontal="left" vertical="center"/>
    </xf>
    <xf numFmtId="20" fontId="8" fillId="0" borderId="30" xfId="431" applyNumberFormat="1" applyFont="1" applyFill="1" applyBorder="1" applyAlignment="1">
      <alignment horizontal="center" vertical="center"/>
    </xf>
    <xf numFmtId="173" fontId="88" fillId="0" borderId="0" xfId="401" applyNumberFormat="1" applyFont="1"/>
    <xf numFmtId="173" fontId="13" fillId="0" borderId="0" xfId="435" applyNumberFormat="1" applyFont="1"/>
    <xf numFmtId="173" fontId="13" fillId="0" borderId="0" xfId="435" applyNumberFormat="1" applyFont="1" applyProtection="1"/>
    <xf numFmtId="173" fontId="13" fillId="0" borderId="0" xfId="435" applyNumberFormat="1" applyFont="1" applyBorder="1" applyProtection="1"/>
    <xf numFmtId="173" fontId="13" fillId="0" borderId="0" xfId="435" applyNumberFormat="1" applyFont="1" applyBorder="1"/>
    <xf numFmtId="1" fontId="13" fillId="0" borderId="0" xfId="435" applyNumberFormat="1" applyFont="1" applyBorder="1"/>
    <xf numFmtId="173" fontId="88" fillId="0" borderId="0" xfId="401" applyNumberFormat="1" applyFont="1" applyAlignment="1">
      <alignment vertical="center"/>
    </xf>
    <xf numFmtId="173" fontId="13" fillId="0" borderId="19" xfId="435" applyNumberFormat="1" applyFont="1" applyBorder="1" applyProtection="1"/>
    <xf numFmtId="173" fontId="15" fillId="0" borderId="0" xfId="435" applyNumberFormat="1" applyFont="1" applyBorder="1"/>
    <xf numFmtId="173" fontId="15" fillId="0" borderId="13" xfId="435" applyNumberFormat="1" applyFont="1" applyBorder="1" applyProtection="1"/>
    <xf numFmtId="1" fontId="13" fillId="0" borderId="31" xfId="435" applyNumberFormat="1" applyFont="1" applyBorder="1" applyAlignment="1" applyProtection="1">
      <alignment horizontal="center"/>
    </xf>
    <xf numFmtId="173" fontId="18" fillId="0" borderId="0" xfId="401" applyNumberFormat="1" applyFont="1" applyBorder="1" applyAlignment="1">
      <alignment vertical="center"/>
    </xf>
    <xf numFmtId="173" fontId="103" fillId="0" borderId="13" xfId="401" applyNumberFormat="1" applyFont="1" applyBorder="1" applyAlignment="1"/>
    <xf numFmtId="173" fontId="88" fillId="0" borderId="0" xfId="401" applyNumberFormat="1" applyFont="1" applyBorder="1" applyAlignment="1">
      <alignment vertical="center"/>
    </xf>
    <xf numFmtId="173" fontId="88" fillId="0" borderId="42" xfId="401" applyNumberFormat="1" applyFont="1" applyBorder="1" applyAlignment="1">
      <alignment vertical="center"/>
    </xf>
    <xf numFmtId="173" fontId="88" fillId="0" borderId="41" xfId="401" applyNumberFormat="1" applyFont="1" applyBorder="1" applyAlignment="1"/>
    <xf numFmtId="173" fontId="105" fillId="0" borderId="24" xfId="401" applyNumberFormat="1" applyFont="1" applyBorder="1" applyAlignment="1"/>
    <xf numFmtId="173" fontId="13" fillId="0" borderId="13" xfId="435" applyNumberFormat="1" applyFont="1" applyBorder="1" applyAlignment="1"/>
    <xf numFmtId="173" fontId="13" fillId="0" borderId="0" xfId="435" applyNumberFormat="1" applyFont="1" applyBorder="1" applyAlignment="1" applyProtection="1"/>
    <xf numFmtId="173" fontId="13" fillId="0" borderId="13" xfId="435" applyNumberFormat="1" applyFont="1" applyBorder="1" applyAlignment="1" applyProtection="1"/>
    <xf numFmtId="173" fontId="13" fillId="0" borderId="0" xfId="435" applyNumberFormat="1" applyFont="1" applyBorder="1" applyAlignment="1"/>
    <xf numFmtId="173" fontId="13" fillId="0" borderId="43" xfId="435" applyNumberFormat="1" applyFont="1" applyBorder="1" applyAlignment="1" applyProtection="1"/>
    <xf numFmtId="173" fontId="17" fillId="0" borderId="13" xfId="435" applyNumberFormat="1" applyFont="1" applyBorder="1" applyAlignment="1" applyProtection="1"/>
    <xf numFmtId="173" fontId="13" fillId="0" borderId="19" xfId="435" applyNumberFormat="1" applyFont="1" applyBorder="1"/>
    <xf numFmtId="173" fontId="13" fillId="0" borderId="13" xfId="435" applyNumberFormat="1" applyFont="1" applyBorder="1" applyProtection="1"/>
    <xf numFmtId="1" fontId="13" fillId="0" borderId="0" xfId="435" applyNumberFormat="1" applyFont="1" applyBorder="1" applyAlignment="1">
      <alignment horizontal="center"/>
    </xf>
    <xf numFmtId="1" fontId="13" fillId="0" borderId="0" xfId="435" applyNumberFormat="1" applyFont="1" applyBorder="1" applyAlignment="1" applyProtection="1">
      <alignment horizontal="center"/>
    </xf>
    <xf numFmtId="165" fontId="13" fillId="0" borderId="0" xfId="435" applyNumberFormat="1" applyFont="1" applyBorder="1" applyAlignment="1" applyProtection="1">
      <alignment horizontal="center"/>
    </xf>
    <xf numFmtId="170" fontId="14" fillId="0" borderId="30" xfId="435" applyNumberFormat="1" applyFont="1" applyBorder="1" applyAlignment="1" applyProtection="1">
      <alignment horizontal="left"/>
    </xf>
    <xf numFmtId="173" fontId="13" fillId="0" borderId="15" xfId="435" applyNumberFormat="1" applyFont="1" applyBorder="1" applyAlignment="1">
      <alignment horizontal="center"/>
    </xf>
    <xf numFmtId="173" fontId="13" fillId="0" borderId="15" xfId="435" applyNumberFormat="1" applyFont="1" applyBorder="1" applyProtection="1"/>
    <xf numFmtId="173" fontId="13" fillId="0" borderId="15" xfId="435" applyNumberFormat="1" applyFont="1" applyBorder="1"/>
    <xf numFmtId="173" fontId="13" fillId="0" borderId="14" xfId="435" applyNumberFormat="1" applyFont="1" applyBorder="1" applyProtection="1"/>
    <xf numFmtId="169" fontId="14" fillId="0" borderId="30" xfId="435" applyNumberFormat="1" applyFont="1" applyBorder="1"/>
    <xf numFmtId="173" fontId="13" fillId="0" borderId="15" xfId="435" applyNumberFormat="1" applyFont="1" applyBorder="1" applyAlignment="1" applyProtection="1">
      <alignment horizontal="center"/>
    </xf>
    <xf numFmtId="20" fontId="16" fillId="0" borderId="15" xfId="433" applyNumberFormat="1" applyFont="1" applyBorder="1" applyAlignment="1">
      <alignment horizontal="center"/>
    </xf>
    <xf numFmtId="173" fontId="14" fillId="0" borderId="0" xfId="435" applyNumberFormat="1" applyFont="1"/>
    <xf numFmtId="173" fontId="15" fillId="0" borderId="0" xfId="435" applyNumberFormat="1" applyFont="1" applyBorder="1" applyAlignment="1">
      <alignment horizontal="center"/>
    </xf>
    <xf numFmtId="173" fontId="91" fillId="0" borderId="0" xfId="414" applyNumberFormat="1" applyFont="1"/>
    <xf numFmtId="168" fontId="12" fillId="0" borderId="0" xfId="434" quotePrefix="1" applyNumberFormat="1" applyFont="1" applyFill="1" applyBorder="1" applyAlignment="1">
      <alignment horizontal="left" indent="1"/>
    </xf>
    <xf numFmtId="1" fontId="91" fillId="0" borderId="0" xfId="414" applyNumberFormat="1" applyFont="1"/>
    <xf numFmtId="173" fontId="11" fillId="0" borderId="0" xfId="434" applyNumberFormat="1" applyFont="1"/>
    <xf numFmtId="173" fontId="11" fillId="0" borderId="0" xfId="434" applyNumberFormat="1" applyFont="1" applyBorder="1"/>
    <xf numFmtId="173" fontId="11" fillId="0" borderId="0" xfId="434" applyNumberFormat="1" applyFont="1" applyBorder="1" applyAlignment="1">
      <alignment horizontal="center"/>
    </xf>
    <xf numFmtId="173" fontId="2" fillId="0" borderId="0" xfId="414" applyNumberFormat="1" applyFont="1" applyAlignment="1">
      <alignment vertical="center"/>
    </xf>
    <xf numFmtId="173" fontId="2" fillId="0" borderId="0" xfId="414" applyNumberFormat="1" applyFont="1" applyFill="1" applyAlignment="1">
      <alignment vertical="center"/>
    </xf>
    <xf numFmtId="173" fontId="7" fillId="0" borderId="0" xfId="414" applyNumberFormat="1" applyFont="1" applyAlignment="1">
      <alignment vertical="center"/>
    </xf>
    <xf numFmtId="173" fontId="7" fillId="0" borderId="0" xfId="414" applyNumberFormat="1" applyFont="1" applyAlignment="1" applyProtection="1">
      <alignment vertical="center"/>
    </xf>
    <xf numFmtId="173" fontId="2" fillId="0" borderId="0" xfId="414" applyNumberFormat="1" applyFont="1" applyFill="1" applyAlignment="1" applyProtection="1">
      <alignment vertical="center"/>
    </xf>
    <xf numFmtId="173" fontId="91" fillId="0" borderId="0" xfId="414" applyNumberFormat="1" applyFont="1" applyFill="1" applyBorder="1"/>
    <xf numFmtId="173" fontId="7" fillId="0" borderId="0" xfId="414" applyNumberFormat="1" applyFont="1" applyFill="1" applyBorder="1" applyAlignment="1">
      <alignment vertical="center"/>
    </xf>
    <xf numFmtId="173" fontId="107" fillId="0" borderId="0" xfId="414" applyNumberFormat="1" applyFont="1"/>
    <xf numFmtId="173" fontId="74" fillId="0" borderId="0" xfId="414" applyNumberFormat="1" applyFont="1" applyFill="1" applyBorder="1" applyAlignment="1">
      <alignment vertical="center"/>
    </xf>
    <xf numFmtId="14" fontId="49" fillId="0" borderId="0" xfId="414" applyNumberFormat="1" applyFont="1" applyFill="1" applyBorder="1" applyAlignment="1">
      <alignment vertical="center"/>
    </xf>
    <xf numFmtId="0" fontId="90" fillId="0" borderId="0" xfId="375" applyNumberFormat="1" applyFont="1" applyFill="1" applyBorder="1" applyAlignment="1">
      <alignment horizontal="center"/>
    </xf>
    <xf numFmtId="173" fontId="88" fillId="0" borderId="0" xfId="375" applyNumberFormat="1" applyFont="1" applyFill="1" applyBorder="1"/>
    <xf numFmtId="20" fontId="8" fillId="40" borderId="30" xfId="431" applyNumberFormat="1" applyFont="1" applyFill="1" applyBorder="1" applyAlignment="1">
      <alignment horizontal="center" vertical="center"/>
    </xf>
    <xf numFmtId="0" fontId="101" fillId="38" borderId="10" xfId="375" applyNumberFormat="1" applyFont="1" applyFill="1" applyBorder="1" applyAlignment="1">
      <alignment horizontal="left" vertical="center"/>
    </xf>
    <xf numFmtId="0" fontId="106" fillId="0" borderId="0" xfId="375" applyNumberFormat="1" applyFont="1" applyFill="1" applyBorder="1" applyAlignment="1">
      <alignment horizontal="center"/>
    </xf>
    <xf numFmtId="0" fontId="91" fillId="0" borderId="0" xfId="0" applyFont="1" applyFill="1" applyAlignment="1">
      <alignment vertical="center"/>
    </xf>
    <xf numFmtId="0" fontId="75" fillId="0" borderId="0" xfId="0" applyFont="1" applyFill="1" applyBorder="1" applyAlignment="1">
      <alignment horizontal="center" vertical="center"/>
    </xf>
    <xf numFmtId="0" fontId="108" fillId="0" borderId="0" xfId="0" applyFont="1" applyAlignment="1">
      <alignment vertical="center"/>
    </xf>
    <xf numFmtId="0" fontId="49" fillId="0" borderId="0" xfId="430" applyFont="1"/>
    <xf numFmtId="173" fontId="49" fillId="0" borderId="0" xfId="430" applyNumberFormat="1" applyFont="1" applyBorder="1"/>
    <xf numFmtId="173" fontId="107" fillId="0" borderId="0" xfId="0" applyNumberFormat="1" applyFont="1"/>
    <xf numFmtId="0" fontId="107" fillId="0" borderId="0" xfId="0" applyFont="1"/>
    <xf numFmtId="0" fontId="108" fillId="0" borderId="0" xfId="0" applyFont="1"/>
    <xf numFmtId="173" fontId="49" fillId="0" borderId="0" xfId="430" applyNumberFormat="1" applyFont="1" applyFill="1" applyBorder="1"/>
    <xf numFmtId="173" fontId="78" fillId="0" borderId="0" xfId="430" applyNumberFormat="1" applyFont="1" applyFill="1" applyBorder="1"/>
    <xf numFmtId="0" fontId="49" fillId="0" borderId="0" xfId="430" applyFont="1" applyAlignment="1">
      <alignment vertical="center"/>
    </xf>
    <xf numFmtId="173" fontId="107" fillId="0" borderId="0" xfId="0" applyNumberFormat="1" applyFont="1" applyAlignment="1">
      <alignment vertical="center"/>
    </xf>
    <xf numFmtId="0" fontId="108" fillId="0" borderId="0" xfId="0" applyFont="1" applyBorder="1"/>
    <xf numFmtId="0" fontId="111" fillId="0" borderId="0" xfId="0" applyFont="1"/>
    <xf numFmtId="0" fontId="97" fillId="0" borderId="0" xfId="0" applyFont="1" applyAlignment="1">
      <alignment horizontal="center"/>
    </xf>
    <xf numFmtId="173" fontId="55" fillId="0" borderId="0" xfId="434" applyNumberFormat="1" applyFont="1" applyFill="1" applyBorder="1" applyAlignment="1">
      <alignment vertical="center"/>
    </xf>
    <xf numFmtId="1" fontId="55" fillId="0" borderId="0" xfId="434" applyNumberFormat="1" applyFont="1" applyFill="1" applyBorder="1" applyAlignment="1" applyProtection="1">
      <alignment horizontal="right" vertical="center"/>
    </xf>
    <xf numFmtId="49" fontId="55" fillId="0" borderId="0" xfId="434" applyNumberFormat="1" applyFont="1" applyFill="1" applyBorder="1" applyAlignment="1">
      <alignment horizontal="right" vertical="center"/>
    </xf>
    <xf numFmtId="49" fontId="55" fillId="0" borderId="0" xfId="434" applyNumberFormat="1" applyFont="1" applyFill="1" applyBorder="1" applyAlignment="1">
      <alignment horizontal="left" vertical="center"/>
    </xf>
    <xf numFmtId="1" fontId="80" fillId="0" borderId="0" xfId="434" applyNumberFormat="1" applyFont="1" applyFill="1" applyBorder="1" applyAlignment="1" applyProtection="1">
      <alignment vertical="center"/>
    </xf>
    <xf numFmtId="173" fontId="55" fillId="0" borderId="0" xfId="414" applyNumberFormat="1" applyFont="1" applyBorder="1" applyAlignment="1">
      <alignment vertical="center"/>
    </xf>
    <xf numFmtId="165" fontId="55" fillId="0" borderId="0" xfId="434" applyNumberFormat="1" applyFont="1" applyFill="1" applyBorder="1" applyAlignment="1" applyProtection="1">
      <alignment horizontal="left" vertical="center"/>
    </xf>
    <xf numFmtId="1" fontId="54" fillId="0" borderId="0" xfId="434" applyNumberFormat="1" applyFont="1" applyFill="1" applyBorder="1" applyAlignment="1" applyProtection="1">
      <alignment horizontal="right" vertical="center"/>
    </xf>
    <xf numFmtId="1" fontId="80" fillId="0" borderId="0" xfId="434" applyNumberFormat="1" applyFont="1" applyFill="1" applyBorder="1" applyAlignment="1" applyProtection="1">
      <alignment horizontal="right" vertical="center"/>
    </xf>
    <xf numFmtId="173" fontId="55" fillId="0" borderId="0" xfId="434" applyNumberFormat="1" applyFont="1" applyAlignment="1">
      <alignment vertical="center"/>
    </xf>
    <xf numFmtId="173" fontId="55" fillId="0" borderId="0" xfId="434" applyNumberFormat="1" applyFont="1" applyBorder="1" applyAlignment="1">
      <alignment vertical="center"/>
    </xf>
    <xf numFmtId="173" fontId="55" fillId="0" borderId="0" xfId="434" applyNumberFormat="1" applyFont="1" applyBorder="1" applyAlignment="1">
      <alignment horizontal="center"/>
    </xf>
    <xf numFmtId="1" fontId="54" fillId="0" borderId="0" xfId="434" applyNumberFormat="1" applyFont="1" applyFill="1" applyBorder="1" applyAlignment="1" applyProtection="1">
      <alignment horizontal="center" vertical="center"/>
    </xf>
    <xf numFmtId="173" fontId="56" fillId="0" borderId="0" xfId="434" applyNumberFormat="1" applyFont="1" applyBorder="1" applyAlignment="1">
      <alignment vertical="center"/>
    </xf>
    <xf numFmtId="173" fontId="55" fillId="0" borderId="0" xfId="434" applyNumberFormat="1" applyFont="1"/>
    <xf numFmtId="173" fontId="55" fillId="0" borderId="0" xfId="434" applyNumberFormat="1" applyFont="1" applyBorder="1"/>
    <xf numFmtId="173" fontId="56" fillId="0" borderId="0" xfId="434" applyNumberFormat="1" applyFont="1" applyBorder="1" applyAlignment="1" applyProtection="1">
      <alignment horizontal="left" vertical="center"/>
      <protection locked="0"/>
    </xf>
    <xf numFmtId="0" fontId="55" fillId="0" borderId="0" xfId="414" applyNumberFormat="1" applyFont="1" applyFill="1" applyBorder="1" applyAlignment="1">
      <alignment vertical="center"/>
    </xf>
    <xf numFmtId="0" fontId="56" fillId="0" borderId="0" xfId="414" applyNumberFormat="1" applyFont="1" applyFill="1" applyBorder="1" applyAlignment="1">
      <alignment vertical="center"/>
    </xf>
    <xf numFmtId="0" fontId="56" fillId="0" borderId="0" xfId="434" applyNumberFormat="1" applyFont="1" applyFill="1" applyBorder="1" applyAlignment="1">
      <alignment horizontal="center" vertical="center"/>
    </xf>
    <xf numFmtId="0" fontId="80" fillId="0" borderId="0" xfId="434" applyNumberFormat="1" applyFont="1" applyFill="1" applyBorder="1" applyAlignment="1">
      <alignment vertical="center"/>
    </xf>
    <xf numFmtId="0" fontId="55" fillId="0" borderId="0" xfId="414" applyNumberFormat="1" applyFont="1" applyFill="1" applyBorder="1" applyAlignment="1">
      <alignment horizontal="center" vertical="center"/>
    </xf>
    <xf numFmtId="0" fontId="112" fillId="0" borderId="0" xfId="0" applyFont="1"/>
    <xf numFmtId="173" fontId="81" fillId="0" borderId="39" xfId="430" applyNumberFormat="1" applyFont="1" applyFill="1" applyBorder="1"/>
    <xf numFmtId="2" fontId="55" fillId="0" borderId="0" xfId="434" applyNumberFormat="1" applyFont="1" applyBorder="1" applyAlignment="1">
      <alignment vertical="center"/>
    </xf>
    <xf numFmtId="2" fontId="55" fillId="0" borderId="0" xfId="434" applyNumberFormat="1" applyFont="1" applyBorder="1" applyAlignment="1">
      <alignment horizontal="center"/>
    </xf>
    <xf numFmtId="0" fontId="91" fillId="0" borderId="0" xfId="0" applyFont="1" applyAlignment="1">
      <alignment vertical="center"/>
    </xf>
    <xf numFmtId="0" fontId="117" fillId="0" borderId="0" xfId="0" applyFont="1"/>
    <xf numFmtId="1" fontId="91" fillId="0" borderId="0" xfId="0" applyNumberFormat="1" applyFont="1" applyFill="1"/>
    <xf numFmtId="0" fontId="118" fillId="0" borderId="0" xfId="0" applyFont="1"/>
    <xf numFmtId="1" fontId="91" fillId="0" borderId="0" xfId="0" applyNumberFormat="1" applyFont="1"/>
    <xf numFmtId="9" fontId="108" fillId="0" borderId="0" xfId="0" applyNumberFormat="1" applyFont="1"/>
    <xf numFmtId="173" fontId="84" fillId="0" borderId="0" xfId="435" applyNumberFormat="1" applyFont="1"/>
    <xf numFmtId="0" fontId="120" fillId="0" borderId="0" xfId="0" applyFont="1"/>
    <xf numFmtId="0" fontId="91" fillId="0" borderId="0" xfId="0" applyFont="1"/>
    <xf numFmtId="0" fontId="108" fillId="34" borderId="0" xfId="0" applyFont="1" applyFill="1"/>
    <xf numFmtId="0" fontId="91" fillId="31" borderId="0" xfId="0" applyFont="1" applyFill="1" applyBorder="1"/>
    <xf numFmtId="1" fontId="79" fillId="41" borderId="0" xfId="0" applyNumberFormat="1" applyFont="1" applyFill="1" applyBorder="1" applyAlignment="1" applyProtection="1">
      <alignment horizontal="center" vertical="center"/>
      <protection locked="0"/>
    </xf>
    <xf numFmtId="1" fontId="79" fillId="41" borderId="0" xfId="0" applyNumberFormat="1" applyFont="1" applyFill="1" applyBorder="1" applyAlignment="1">
      <alignment horizontal="center" vertical="center"/>
    </xf>
    <xf numFmtId="173" fontId="79" fillId="41" borderId="0" xfId="0" applyNumberFormat="1" applyFont="1" applyFill="1" applyBorder="1" applyAlignment="1">
      <alignment horizontal="center" vertical="center"/>
    </xf>
    <xf numFmtId="1" fontId="113" fillId="41" borderId="0" xfId="0" applyNumberFormat="1" applyFont="1" applyFill="1" applyBorder="1" applyAlignment="1" applyProtection="1">
      <alignment horizontal="center" vertical="center"/>
      <protection locked="0"/>
    </xf>
    <xf numFmtId="1" fontId="115" fillId="41" borderId="0" xfId="0" applyNumberFormat="1" applyFont="1" applyFill="1" applyBorder="1" applyAlignment="1" applyProtection="1">
      <alignment horizontal="center" vertical="center"/>
      <protection locked="0"/>
    </xf>
    <xf numFmtId="1" fontId="114" fillId="41" borderId="0" xfId="0" applyNumberFormat="1" applyFont="1" applyFill="1" applyBorder="1" applyAlignment="1" applyProtection="1">
      <alignment horizontal="center" vertical="center"/>
      <protection locked="0"/>
    </xf>
    <xf numFmtId="0" fontId="79" fillId="41" borderId="0" xfId="0" applyFont="1" applyFill="1" applyBorder="1" applyAlignment="1">
      <alignment horizontal="center" vertical="center"/>
    </xf>
    <xf numFmtId="1" fontId="115" fillId="41" borderId="0" xfId="0" applyNumberFormat="1" applyFont="1" applyFill="1" applyBorder="1" applyAlignment="1">
      <alignment horizontal="center" vertical="center"/>
    </xf>
    <xf numFmtId="0" fontId="112" fillId="31" borderId="0" xfId="0" applyFont="1" applyFill="1" applyBorder="1"/>
    <xf numFmtId="0" fontId="120" fillId="31" borderId="0" xfId="0" applyFont="1" applyFill="1" applyBorder="1"/>
    <xf numFmtId="164" fontId="112" fillId="0" borderId="0" xfId="0" applyNumberFormat="1" applyFont="1" applyAlignment="1">
      <alignment vertical="center"/>
    </xf>
    <xf numFmtId="0" fontId="91" fillId="31" borderId="0" xfId="0" applyNumberFormat="1" applyFont="1" applyFill="1" applyBorder="1"/>
    <xf numFmtId="20" fontId="8" fillId="38" borderId="23" xfId="431" applyNumberFormat="1" applyFont="1" applyFill="1" applyBorder="1" applyAlignment="1">
      <alignment horizontal="center" vertical="center"/>
    </xf>
    <xf numFmtId="20" fontId="9" fillId="47" borderId="22" xfId="431" applyNumberFormat="1" applyFont="1" applyFill="1" applyBorder="1" applyAlignment="1">
      <alignment horizontal="center" vertical="center"/>
    </xf>
    <xf numFmtId="1" fontId="112" fillId="0" borderId="0" xfId="0" applyNumberFormat="1" applyFont="1" applyAlignment="1">
      <alignment horizontal="right"/>
    </xf>
    <xf numFmtId="1" fontId="123" fillId="0" borderId="0" xfId="0" applyNumberFormat="1" applyFont="1"/>
    <xf numFmtId="0" fontId="124" fillId="0" borderId="0" xfId="0" applyFont="1"/>
    <xf numFmtId="0" fontId="77" fillId="0" borderId="0" xfId="414" applyNumberFormat="1" applyFont="1" applyFill="1" applyBorder="1" applyAlignment="1">
      <alignment vertical="top"/>
    </xf>
    <xf numFmtId="173" fontId="116" fillId="0" borderId="0" xfId="375" applyNumberFormat="1" applyFont="1"/>
    <xf numFmtId="0" fontId="101" fillId="36" borderId="30" xfId="375" applyNumberFormat="1" applyFont="1" applyFill="1" applyBorder="1" applyAlignment="1">
      <alignment horizontal="left" vertical="center"/>
    </xf>
    <xf numFmtId="0" fontId="101" fillId="49" borderId="30" xfId="375" applyNumberFormat="1" applyFont="1" applyFill="1" applyBorder="1" applyAlignment="1">
      <alignment horizontal="left" vertical="center"/>
    </xf>
    <xf numFmtId="0" fontId="101" fillId="49" borderId="30" xfId="375" applyNumberFormat="1" applyFont="1" applyFill="1" applyBorder="1" applyAlignment="1">
      <alignment horizontal="center" vertical="center"/>
    </xf>
    <xf numFmtId="1" fontId="122" fillId="0" borderId="0" xfId="0" applyNumberFormat="1" applyFont="1"/>
    <xf numFmtId="20" fontId="122" fillId="0" borderId="0" xfId="0" applyNumberFormat="1" applyFont="1"/>
    <xf numFmtId="0" fontId="127" fillId="0" borderId="0" xfId="0" applyFont="1"/>
    <xf numFmtId="0" fontId="2" fillId="0" borderId="0" xfId="430" applyFont="1" applyAlignment="1">
      <alignment vertical="center"/>
    </xf>
    <xf numFmtId="0" fontId="129" fillId="0" borderId="0" xfId="0" applyFont="1" applyAlignment="1">
      <alignment vertical="center"/>
    </xf>
    <xf numFmtId="0" fontId="108" fillId="0" borderId="0" xfId="0" applyFont="1" applyProtection="1">
      <protection locked="0"/>
    </xf>
    <xf numFmtId="0" fontId="22" fillId="0" borderId="0" xfId="341" applyAlignment="1" applyProtection="1">
      <protection locked="0"/>
    </xf>
    <xf numFmtId="0" fontId="108" fillId="0" borderId="0" xfId="0" quotePrefix="1" applyFont="1" applyProtection="1">
      <protection locked="0"/>
    </xf>
    <xf numFmtId="0" fontId="87" fillId="0" borderId="0" xfId="341" applyFont="1" applyAlignment="1" applyProtection="1">
      <protection locked="0"/>
    </xf>
    <xf numFmtId="0" fontId="119" fillId="0" borderId="0" xfId="0" applyFont="1"/>
    <xf numFmtId="165" fontId="49" fillId="0" borderId="0" xfId="430" applyNumberFormat="1" applyFont="1"/>
    <xf numFmtId="1" fontId="47" fillId="0" borderId="13" xfId="0" quotePrefix="1" applyNumberFormat="1" applyFont="1" applyFill="1" applyBorder="1" applyAlignment="1">
      <alignment horizontal="right" vertical="center"/>
    </xf>
    <xf numFmtId="0" fontId="91" fillId="0" borderId="0" xfId="0" applyFont="1" applyBorder="1"/>
    <xf numFmtId="0" fontId="91" fillId="0" borderId="0" xfId="0" applyFont="1" applyFill="1" applyBorder="1"/>
    <xf numFmtId="1" fontId="95" fillId="0" borderId="0" xfId="0" applyNumberFormat="1" applyFont="1" applyFill="1" applyBorder="1" applyAlignment="1" applyProtection="1">
      <alignment horizontal="center" vertical="center"/>
      <protection locked="0"/>
    </xf>
    <xf numFmtId="1" fontId="1" fillId="0" borderId="0" xfId="0" applyNumberFormat="1" applyFont="1" applyFill="1" applyBorder="1" applyAlignment="1" applyProtection="1">
      <alignment horizontal="center" vertical="center"/>
      <protection locked="0"/>
    </xf>
    <xf numFmtId="1" fontId="114" fillId="0" borderId="0" xfId="0" applyNumberFormat="1" applyFont="1" applyFill="1" applyBorder="1" applyAlignment="1" applyProtection="1">
      <alignment horizontal="center" vertical="center"/>
      <protection locked="0"/>
    </xf>
    <xf numFmtId="0" fontId="131" fillId="51" borderId="85" xfId="0" applyNumberFormat="1" applyFont="1" applyFill="1" applyBorder="1" applyAlignment="1">
      <alignment horizontal="center" vertical="center" wrapText="1"/>
    </xf>
    <xf numFmtId="0" fontId="132" fillId="51" borderId="39" xfId="0" applyNumberFormat="1" applyFont="1" applyFill="1" applyBorder="1" applyAlignment="1">
      <alignment horizontal="center" vertical="center" wrapText="1"/>
    </xf>
    <xf numFmtId="0" fontId="31" fillId="43" borderId="10" xfId="0" applyFont="1" applyFill="1" applyBorder="1" applyAlignment="1">
      <alignment horizontal="center" vertical="center"/>
    </xf>
    <xf numFmtId="0" fontId="30" fillId="43" borderId="10" xfId="0" applyFont="1" applyFill="1" applyBorder="1" applyAlignment="1">
      <alignment horizontal="center" vertical="center"/>
    </xf>
    <xf numFmtId="0" fontId="86" fillId="0" borderId="0" xfId="341" applyFont="1" applyAlignment="1" applyProtection="1">
      <alignment horizontal="left"/>
    </xf>
    <xf numFmtId="0" fontId="134" fillId="0" borderId="0" xfId="428" applyFont="1" applyBorder="1" applyAlignment="1">
      <alignment vertical="center"/>
    </xf>
    <xf numFmtId="0" fontId="135" fillId="0" borderId="0" xfId="428" applyFont="1" applyBorder="1" applyAlignment="1">
      <alignment vertical="center"/>
    </xf>
    <xf numFmtId="0" fontId="136" fillId="0" borderId="0" xfId="428" applyFont="1" applyBorder="1" applyAlignment="1">
      <alignment vertical="center"/>
    </xf>
    <xf numFmtId="0" fontId="137" fillId="0" borderId="0" xfId="428" applyFont="1" applyBorder="1" applyAlignment="1">
      <alignment vertical="center"/>
    </xf>
    <xf numFmtId="0" fontId="56" fillId="0" borderId="0" xfId="428" applyFont="1" applyAlignment="1">
      <alignment vertical="center"/>
    </xf>
    <xf numFmtId="0" fontId="55" fillId="0" borderId="0" xfId="0" applyFont="1" applyAlignment="1">
      <alignment vertical="center"/>
    </xf>
    <xf numFmtId="0" fontId="139" fillId="0" borderId="0" xfId="428" applyFont="1" applyBorder="1" applyAlignment="1">
      <alignment vertical="center"/>
    </xf>
    <xf numFmtId="169" fontId="139" fillId="0" borderId="0" xfId="428" applyNumberFormat="1" applyFont="1" applyBorder="1" applyAlignment="1">
      <alignment horizontal="left" vertical="center"/>
    </xf>
    <xf numFmtId="174" fontId="139" fillId="0" borderId="0" xfId="428" applyNumberFormat="1" applyFont="1" applyBorder="1" applyAlignment="1">
      <alignment horizontal="left" vertical="center"/>
    </xf>
    <xf numFmtId="0" fontId="140" fillId="0" borderId="0" xfId="428" applyFont="1" applyBorder="1" applyAlignment="1">
      <alignment vertical="center"/>
    </xf>
    <xf numFmtId="0" fontId="140" fillId="0" borderId="0" xfId="428" applyFont="1" applyBorder="1" applyAlignment="1">
      <alignment horizontal="right" vertical="center"/>
    </xf>
    <xf numFmtId="0" fontId="9" fillId="0" borderId="0" xfId="428" applyFont="1" applyBorder="1" applyAlignment="1">
      <alignment horizontal="right" vertical="center"/>
    </xf>
    <xf numFmtId="15" fontId="9" fillId="0" borderId="0" xfId="428" applyNumberFormat="1" applyFont="1" applyBorder="1" applyAlignment="1">
      <alignment vertical="center"/>
    </xf>
    <xf numFmtId="175" fontId="140" fillId="0" borderId="0" xfId="428" applyNumberFormat="1" applyFont="1" applyBorder="1" applyAlignment="1">
      <alignment horizontal="left"/>
    </xf>
    <xf numFmtId="0" fontId="10" fillId="0" borderId="0" xfId="428" applyFont="1" applyBorder="1" applyAlignment="1">
      <alignment vertical="center"/>
    </xf>
    <xf numFmtId="0" fontId="140" fillId="0" borderId="0" xfId="428" applyFont="1" applyBorder="1" applyAlignment="1">
      <alignment horizontal="left" vertical="center"/>
    </xf>
    <xf numFmtId="0" fontId="140" fillId="0" borderId="0" xfId="428" applyFont="1" applyFill="1" applyBorder="1" applyAlignment="1">
      <alignment vertical="center"/>
    </xf>
    <xf numFmtId="15" fontId="10" fillId="0" borderId="0" xfId="428" applyNumberFormat="1" applyFont="1" applyBorder="1" applyAlignment="1">
      <alignment horizontal="left" vertical="center"/>
    </xf>
    <xf numFmtId="14" fontId="140" fillId="0" borderId="0" xfId="428" applyNumberFormat="1" applyFont="1" applyAlignment="1">
      <alignment vertical="center"/>
    </xf>
    <xf numFmtId="14" fontId="140" fillId="0" borderId="0" xfId="428" applyNumberFormat="1" applyFont="1" applyFill="1" applyAlignment="1">
      <alignment vertical="center"/>
    </xf>
    <xf numFmtId="0" fontId="55" fillId="0" borderId="0" xfId="0" applyFont="1" applyBorder="1" applyAlignment="1">
      <alignment vertical="center"/>
    </xf>
    <xf numFmtId="20" fontId="82" fillId="0" borderId="0" xfId="436" applyNumberFormat="1" applyFont="1" applyFill="1" applyBorder="1" applyAlignment="1">
      <alignment horizontal="center" textRotation="90"/>
    </xf>
    <xf numFmtId="0" fontId="55" fillId="0" borderId="0" xfId="436" applyFont="1" applyFill="1" applyBorder="1">
      <alignment vertical="center"/>
    </xf>
    <xf numFmtId="0" fontId="55" fillId="0" borderId="0" xfId="436" applyFont="1" applyFill="1" applyBorder="1" applyAlignment="1">
      <alignment horizontal="left" vertical="center"/>
    </xf>
    <xf numFmtId="1" fontId="55" fillId="0" borderId="0" xfId="436" applyNumberFormat="1" applyFont="1" applyFill="1" applyBorder="1">
      <alignment vertical="center"/>
    </xf>
    <xf numFmtId="0" fontId="55" fillId="0" borderId="0" xfId="0" applyFont="1" applyFill="1" applyBorder="1" applyAlignment="1">
      <alignment vertical="center"/>
    </xf>
    <xf numFmtId="1" fontId="55" fillId="0" borderId="0" xfId="436" applyNumberFormat="1" applyFont="1" applyFill="1" applyBorder="1" applyAlignment="1">
      <alignment horizontal="left" vertical="center"/>
    </xf>
    <xf numFmtId="1" fontId="56" fillId="0" borderId="0" xfId="436" applyNumberFormat="1" applyFont="1" applyFill="1" applyBorder="1" applyAlignment="1">
      <alignment horizontal="left" vertical="center"/>
    </xf>
    <xf numFmtId="0" fontId="54" fillId="0" borderId="0" xfId="436" applyFont="1" applyFill="1" applyBorder="1" applyAlignment="1" applyProtection="1">
      <alignment horizontal="left" vertical="center"/>
      <protection locked="0"/>
    </xf>
    <xf numFmtId="0" fontId="55" fillId="0" borderId="0" xfId="0" applyFont="1" applyFill="1" applyAlignment="1">
      <alignment vertical="center"/>
    </xf>
    <xf numFmtId="0" fontId="91" fillId="34" borderId="0" xfId="0" applyFont="1" applyFill="1" applyBorder="1"/>
    <xf numFmtId="0" fontId="2" fillId="0" borderId="0" xfId="436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99" fillId="0" borderId="0" xfId="0" applyFont="1" applyBorder="1"/>
    <xf numFmtId="0" fontId="55" fillId="0" borderId="0" xfId="0" applyFont="1" applyFill="1" applyBorder="1" applyAlignment="1">
      <alignment horizontal="center" vertical="center"/>
    </xf>
    <xf numFmtId="0" fontId="55" fillId="0" borderId="0" xfId="428" applyFont="1" applyFill="1" applyBorder="1" applyAlignment="1">
      <alignment horizontal="center" vertical="center"/>
    </xf>
    <xf numFmtId="1" fontId="54" fillId="0" borderId="0" xfId="428" applyNumberFormat="1" applyFont="1" applyFill="1" applyBorder="1" applyAlignment="1">
      <alignment horizontal="left" vertical="center"/>
    </xf>
    <xf numFmtId="14" fontId="141" fillId="0" borderId="0" xfId="428" applyNumberFormat="1" applyFont="1" applyFill="1" applyBorder="1" applyAlignment="1">
      <alignment horizontal="left" vertical="center"/>
    </xf>
    <xf numFmtId="1" fontId="2" fillId="0" borderId="0" xfId="432" applyNumberFormat="1" applyFont="1" applyFill="1" applyBorder="1" applyAlignment="1" applyProtection="1">
      <alignment horizontal="center"/>
      <protection locked="0"/>
    </xf>
    <xf numFmtId="0" fontId="55" fillId="54" borderId="0" xfId="0" applyFont="1" applyFill="1" applyBorder="1" applyAlignment="1">
      <alignment vertical="center"/>
    </xf>
    <xf numFmtId="1" fontId="7" fillId="0" borderId="0" xfId="436" applyNumberFormat="1" applyFont="1" applyFill="1" applyBorder="1" applyAlignment="1">
      <alignment horizontal="left" vertical="center"/>
    </xf>
    <xf numFmtId="0" fontId="7" fillId="0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1" fontId="7" fillId="0" borderId="0" xfId="436" applyNumberFormat="1" applyFont="1" applyFill="1" applyBorder="1">
      <alignment vertical="center"/>
    </xf>
    <xf numFmtId="1" fontId="20" fillId="0" borderId="0" xfId="428" applyNumberFormat="1" applyFont="1" applyBorder="1" applyAlignment="1">
      <alignment vertical="center"/>
    </xf>
    <xf numFmtId="0" fontId="145" fillId="0" borderId="0" xfId="428" applyFont="1" applyFill="1" applyBorder="1" applyAlignment="1">
      <alignment horizontal="left" vertical="center"/>
    </xf>
    <xf numFmtId="0" fontId="7" fillId="0" borderId="0" xfId="436" applyFont="1" applyFill="1" applyBorder="1">
      <alignment vertical="center"/>
    </xf>
    <xf numFmtId="0" fontId="7" fillId="0" borderId="0" xfId="436" applyFont="1">
      <alignment vertical="center"/>
    </xf>
    <xf numFmtId="165" fontId="9" fillId="0" borderId="0" xfId="436" applyNumberFormat="1" applyFont="1" applyFill="1" applyBorder="1" applyAlignment="1">
      <alignment horizontal="center" vertical="center"/>
    </xf>
    <xf numFmtId="1" fontId="55" fillId="0" borderId="0" xfId="428" applyNumberFormat="1" applyFont="1" applyFill="1" applyBorder="1" applyAlignment="1">
      <alignment horizontal="center" vertical="center"/>
    </xf>
    <xf numFmtId="0" fontId="55" fillId="0" borderId="0" xfId="436" applyFont="1" applyFill="1" applyBorder="1" applyAlignment="1">
      <alignment vertical="center"/>
    </xf>
    <xf numFmtId="0" fontId="7" fillId="0" borderId="0" xfId="436" applyFont="1" applyFill="1" applyBorder="1" applyAlignment="1">
      <alignment horizontal="center" vertical="center"/>
    </xf>
    <xf numFmtId="1" fontId="77" fillId="0" borderId="0" xfId="436" quotePrefix="1" applyNumberFormat="1" applyFont="1" applyFill="1" applyBorder="1" applyAlignment="1">
      <alignment horizontal="center" vertical="center"/>
    </xf>
    <xf numFmtId="0" fontId="49" fillId="0" borderId="0" xfId="436" applyFont="1" applyFill="1" applyBorder="1" applyAlignment="1">
      <alignment horizontal="center" vertical="center"/>
    </xf>
    <xf numFmtId="10" fontId="150" fillId="0" borderId="0" xfId="436" applyNumberFormat="1" applyFont="1" applyFill="1" applyBorder="1" applyAlignment="1">
      <alignment horizontal="center" vertical="center"/>
    </xf>
    <xf numFmtId="1" fontId="55" fillId="0" borderId="0" xfId="428" quotePrefix="1" applyNumberFormat="1" applyFont="1" applyFill="1" applyBorder="1" applyAlignment="1">
      <alignment horizontal="center" vertical="center"/>
    </xf>
    <xf numFmtId="0" fontId="49" fillId="0" borderId="150" xfId="428" applyFont="1" applyBorder="1" applyAlignment="1">
      <alignment vertical="center"/>
    </xf>
    <xf numFmtId="0" fontId="55" fillId="0" borderId="47" xfId="428" applyFont="1" applyBorder="1" applyAlignment="1">
      <alignment vertical="center"/>
    </xf>
    <xf numFmtId="0" fontId="55" fillId="0" borderId="0" xfId="428" applyFont="1" applyBorder="1" applyAlignment="1">
      <alignment vertical="center"/>
    </xf>
    <xf numFmtId="14" fontId="55" fillId="0" borderId="0" xfId="501" applyNumberFormat="1" applyFont="1" applyBorder="1" applyAlignment="1">
      <alignment horizontal="center" vertical="center"/>
    </xf>
    <xf numFmtId="0" fontId="55" fillId="0" borderId="0" xfId="0" applyFont="1" applyBorder="1" applyAlignment="1">
      <alignment horizontal="center" vertical="center"/>
    </xf>
    <xf numFmtId="0" fontId="55" fillId="0" borderId="0" xfId="436" applyFont="1" applyBorder="1" applyAlignment="1">
      <alignment vertical="center"/>
    </xf>
    <xf numFmtId="0" fontId="55" fillId="0" borderId="48" xfId="436" applyFont="1" applyBorder="1" applyAlignment="1">
      <alignment vertical="center"/>
    </xf>
    <xf numFmtId="0" fontId="152" fillId="0" borderId="47" xfId="436" applyFont="1" applyBorder="1" applyAlignment="1">
      <alignment vertical="center"/>
    </xf>
    <xf numFmtId="0" fontId="152" fillId="0" borderId="0" xfId="436" applyFont="1" applyBorder="1" applyAlignment="1">
      <alignment vertical="center"/>
    </xf>
    <xf numFmtId="0" fontId="153" fillId="0" borderId="0" xfId="436" applyFont="1" applyBorder="1" applyAlignment="1">
      <alignment vertical="center"/>
    </xf>
    <xf numFmtId="0" fontId="55" fillId="0" borderId="0" xfId="436" applyFont="1" applyBorder="1" applyAlignment="1" applyProtection="1">
      <alignment vertical="center"/>
      <protection locked="0"/>
    </xf>
    <xf numFmtId="0" fontId="11" fillId="0" borderId="0" xfId="0" applyFont="1" applyAlignment="1">
      <alignment vertical="center"/>
    </xf>
    <xf numFmtId="0" fontId="55" fillId="0" borderId="47" xfId="436" applyFont="1" applyBorder="1" applyAlignment="1">
      <alignment vertical="center"/>
    </xf>
    <xf numFmtId="0" fontId="56" fillId="0" borderId="0" xfId="436" applyFont="1" applyBorder="1" applyAlignment="1">
      <alignment horizontal="left" vertical="center"/>
    </xf>
    <xf numFmtId="0" fontId="91" fillId="0" borderId="0" xfId="0" applyFont="1" applyBorder="1" applyAlignment="1"/>
    <xf numFmtId="0" fontId="99" fillId="0" borderId="0" xfId="0" applyFont="1" applyBorder="1" applyAlignment="1"/>
    <xf numFmtId="0" fontId="83" fillId="0" borderId="0" xfId="0" applyFont="1" applyAlignment="1">
      <alignment vertical="center"/>
    </xf>
    <xf numFmtId="0" fontId="112" fillId="0" borderId="0" xfId="0" applyFont="1" applyBorder="1"/>
    <xf numFmtId="0" fontId="55" fillId="0" borderId="154" xfId="436" applyFont="1" applyBorder="1" applyAlignment="1">
      <alignment vertical="center"/>
    </xf>
    <xf numFmtId="17" fontId="56" fillId="0" borderId="154" xfId="436" applyNumberFormat="1" applyFont="1" applyBorder="1" applyAlignment="1">
      <alignment horizontal="left" vertical="center"/>
    </xf>
    <xf numFmtId="0" fontId="55" fillId="0" borderId="155" xfId="436" applyFont="1" applyBorder="1" applyAlignment="1">
      <alignment vertical="center"/>
    </xf>
    <xf numFmtId="0" fontId="55" fillId="0" borderId="0" xfId="436" applyFont="1" applyAlignment="1">
      <alignment vertical="center"/>
    </xf>
    <xf numFmtId="0" fontId="8" fillId="0" borderId="0" xfId="436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436" applyFont="1" applyFill="1" applyAlignment="1">
      <alignment vertical="center"/>
    </xf>
    <xf numFmtId="179" fontId="2" fillId="0" borderId="0" xfId="436" applyNumberFormat="1" applyFont="1" applyAlignment="1">
      <alignment vertical="center"/>
    </xf>
    <xf numFmtId="0" fontId="55" fillId="0" borderId="0" xfId="428" applyFont="1" applyAlignment="1">
      <alignment vertical="center"/>
    </xf>
    <xf numFmtId="0" fontId="55" fillId="0" borderId="0" xfId="428" applyFont="1" applyFill="1" applyAlignment="1">
      <alignment vertical="center"/>
    </xf>
    <xf numFmtId="0" fontId="55" fillId="0" borderId="0" xfId="436" applyFont="1" applyFill="1" applyAlignment="1">
      <alignment vertical="center"/>
    </xf>
    <xf numFmtId="0" fontId="56" fillId="0" borderId="0" xfId="436" applyFont="1" applyAlignment="1">
      <alignment vertical="center"/>
    </xf>
    <xf numFmtId="0" fontId="7" fillId="0" borderId="0" xfId="428" applyFont="1" applyFill="1" applyBorder="1" applyAlignment="1">
      <alignment horizontal="center" vertical="center"/>
    </xf>
    <xf numFmtId="0" fontId="2" fillId="0" borderId="0" xfId="428" applyFont="1" applyFill="1" applyBorder="1" applyAlignment="1">
      <alignment horizontal="center" vertical="center"/>
    </xf>
    <xf numFmtId="1" fontId="99" fillId="0" borderId="0" xfId="428" applyNumberFormat="1" applyFont="1" applyFill="1" applyBorder="1" applyAlignment="1">
      <alignment horizontal="center" vertical="center"/>
    </xf>
    <xf numFmtId="0" fontId="52" fillId="0" borderId="0" xfId="428" applyFont="1" applyFill="1" applyBorder="1" applyAlignment="1">
      <alignment horizontal="center" vertical="center"/>
    </xf>
    <xf numFmtId="1" fontId="2" fillId="0" borderId="0" xfId="428" applyNumberFormat="1" applyFont="1" applyFill="1" applyBorder="1" applyAlignment="1">
      <alignment horizontal="center" vertical="center"/>
    </xf>
    <xf numFmtId="0" fontId="142" fillId="0" borderId="0" xfId="0" applyFont="1" applyFill="1" applyBorder="1"/>
    <xf numFmtId="14" fontId="142" fillId="0" borderId="0" xfId="428" applyNumberFormat="1" applyFont="1" applyFill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165" fontId="55" fillId="0" borderId="0" xfId="0" applyNumberFormat="1" applyFont="1" applyFill="1" applyAlignment="1">
      <alignment vertical="center"/>
    </xf>
    <xf numFmtId="0" fontId="155" fillId="0" borderId="0" xfId="428" applyFont="1" applyFill="1" applyBorder="1" applyAlignment="1">
      <alignment horizontal="left" vertical="center"/>
    </xf>
    <xf numFmtId="0" fontId="156" fillId="0" borderId="0" xfId="0" applyFont="1" applyBorder="1"/>
    <xf numFmtId="179" fontId="91" fillId="0" borderId="0" xfId="0" applyNumberFormat="1" applyFont="1" applyBorder="1"/>
    <xf numFmtId="176" fontId="91" fillId="0" borderId="0" xfId="0" applyNumberFormat="1" applyFont="1" applyBorder="1"/>
    <xf numFmtId="0" fontId="26" fillId="0" borderId="0" xfId="436" applyFont="1">
      <alignment vertical="center"/>
    </xf>
    <xf numFmtId="0" fontId="2" fillId="0" borderId="0" xfId="436" applyFont="1" applyFill="1" applyAlignment="1">
      <alignment vertical="center"/>
    </xf>
    <xf numFmtId="0" fontId="77" fillId="0" borderId="0" xfId="436" applyFont="1" applyFill="1" applyAlignment="1">
      <alignment horizontal="center" vertical="center"/>
    </xf>
    <xf numFmtId="0" fontId="8" fillId="0" borderId="0" xfId="436" applyFont="1" applyFill="1" applyAlignment="1">
      <alignment horizontal="center" vertical="center"/>
    </xf>
    <xf numFmtId="0" fontId="148" fillId="0" borderId="0" xfId="428" applyFont="1" applyAlignment="1">
      <alignment vertical="center"/>
    </xf>
    <xf numFmtId="0" fontId="157" fillId="0" borderId="0" xfId="428" applyFont="1" applyAlignment="1">
      <alignment vertical="center"/>
    </xf>
    <xf numFmtId="0" fontId="26" fillId="0" borderId="0" xfId="436" applyFont="1" applyFill="1" applyBorder="1">
      <alignment vertical="center"/>
    </xf>
    <xf numFmtId="0" fontId="9" fillId="0" borderId="0" xfId="436" applyFont="1">
      <alignment vertical="center"/>
    </xf>
    <xf numFmtId="165" fontId="9" fillId="0" borderId="0" xfId="436" applyNumberFormat="1" applyFont="1">
      <alignment vertical="center"/>
    </xf>
    <xf numFmtId="172" fontId="9" fillId="0" borderId="0" xfId="458" applyNumberFormat="1" applyFont="1" applyAlignment="1">
      <alignment vertical="center"/>
    </xf>
    <xf numFmtId="0" fontId="56" fillId="0" borderId="0" xfId="436" applyFont="1">
      <alignment vertical="center"/>
    </xf>
    <xf numFmtId="1" fontId="26" fillId="29" borderId="0" xfId="436" applyNumberFormat="1" applyFont="1" applyFill="1">
      <alignment vertical="center"/>
    </xf>
    <xf numFmtId="1" fontId="26" fillId="25" borderId="0" xfId="436" applyNumberFormat="1" applyFont="1" applyFill="1">
      <alignment vertical="center"/>
    </xf>
    <xf numFmtId="0" fontId="9" fillId="0" borderId="24" xfId="436" applyFont="1" applyBorder="1" applyAlignment="1">
      <alignment horizontal="right" vertical="center"/>
    </xf>
    <xf numFmtId="0" fontId="9" fillId="0" borderId="41" xfId="436" applyFont="1" applyBorder="1">
      <alignment vertical="center"/>
    </xf>
    <xf numFmtId="0" fontId="9" fillId="0" borderId="15" xfId="436" applyFont="1" applyBorder="1">
      <alignment vertical="center"/>
    </xf>
    <xf numFmtId="0" fontId="9" fillId="0" borderId="22" xfId="436" applyFont="1" applyBorder="1">
      <alignment vertical="center"/>
    </xf>
    <xf numFmtId="0" fontId="9" fillId="0" borderId="18" xfId="436" applyFont="1" applyBorder="1">
      <alignment vertical="center"/>
    </xf>
    <xf numFmtId="1" fontId="8" fillId="0" borderId="11" xfId="436" applyNumberFormat="1" applyFont="1" applyFill="1" applyBorder="1" applyAlignment="1">
      <alignment horizontal="center" vertical="center"/>
    </xf>
    <xf numFmtId="0" fontId="8" fillId="0" borderId="163" xfId="436" applyFont="1" applyFill="1" applyBorder="1" applyAlignment="1">
      <alignment horizontal="center" vertical="center"/>
    </xf>
    <xf numFmtId="9" fontId="9" fillId="0" borderId="24" xfId="458" applyFont="1" applyBorder="1" applyAlignment="1">
      <alignment horizontal="left" vertical="center"/>
    </xf>
    <xf numFmtId="0" fontId="9" fillId="0" borderId="41" xfId="0" applyFont="1" applyBorder="1" applyAlignment="1">
      <alignment vertical="center"/>
    </xf>
    <xf numFmtId="1" fontId="159" fillId="29" borderId="11" xfId="0" applyNumberFormat="1" applyFont="1" applyFill="1" applyBorder="1" applyAlignment="1">
      <alignment horizontal="center" vertical="center"/>
    </xf>
    <xf numFmtId="0" fontId="8" fillId="0" borderId="29" xfId="436" applyFont="1" applyFill="1" applyBorder="1" applyAlignment="1">
      <alignment horizontal="center" vertical="center"/>
    </xf>
    <xf numFmtId="0" fontId="9" fillId="0" borderId="13" xfId="0" applyFont="1" applyBorder="1" applyAlignment="1">
      <alignment vertical="center"/>
    </xf>
    <xf numFmtId="0" fontId="9" fillId="0" borderId="19" xfId="0" applyFont="1" applyBorder="1" applyAlignment="1">
      <alignment vertical="center"/>
    </xf>
    <xf numFmtId="0" fontId="8" fillId="0" borderId="170" xfId="436" applyFont="1" applyFill="1" applyBorder="1" applyAlignment="1">
      <alignment horizontal="center" vertical="center"/>
    </xf>
    <xf numFmtId="1" fontId="8" fillId="0" borderId="15" xfId="436" applyNumberFormat="1" applyFont="1" applyFill="1" applyBorder="1" applyAlignment="1">
      <alignment horizontal="center" vertical="center"/>
    </xf>
    <xf numFmtId="0" fontId="8" fillId="0" borderId="174" xfId="436" applyFont="1" applyFill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9" fillId="0" borderId="30" xfId="0" applyFont="1" applyBorder="1" applyAlignment="1">
      <alignment vertical="center"/>
    </xf>
    <xf numFmtId="0" fontId="21" fillId="0" borderId="42" xfId="436" applyFont="1" applyFill="1" applyBorder="1" applyAlignment="1" applyProtection="1">
      <alignment horizontal="left" vertical="center"/>
      <protection locked="0"/>
    </xf>
    <xf numFmtId="0" fontId="4" fillId="0" borderId="42" xfId="436" applyFont="1" applyFill="1" applyBorder="1" applyProtection="1">
      <alignment vertical="center"/>
      <protection locked="0"/>
    </xf>
    <xf numFmtId="0" fontId="4" fillId="0" borderId="42" xfId="0" applyFont="1" applyFill="1" applyBorder="1" applyAlignment="1" applyProtection="1">
      <alignment vertical="center"/>
      <protection locked="0"/>
    </xf>
    <xf numFmtId="0" fontId="91" fillId="0" borderId="42" xfId="0" applyFont="1" applyBorder="1" applyAlignment="1" applyProtection="1">
      <alignment vertical="center"/>
      <protection locked="0"/>
    </xf>
    <xf numFmtId="0" fontId="93" fillId="0" borderId="0" xfId="0" applyFont="1" applyAlignment="1" applyProtection="1">
      <alignment vertical="center"/>
      <protection locked="0"/>
    </xf>
    <xf numFmtId="0" fontId="151" fillId="0" borderId="0" xfId="436" applyFont="1" applyFill="1" applyBorder="1" applyAlignment="1" applyProtection="1">
      <alignment horizontal="left" vertical="center"/>
      <protection locked="0"/>
    </xf>
    <xf numFmtId="0" fontId="4" fillId="0" borderId="0" xfId="436" applyFont="1" applyFill="1" applyProtection="1">
      <alignment vertical="center"/>
      <protection locked="0"/>
    </xf>
    <xf numFmtId="0" fontId="4" fillId="0" borderId="0" xfId="0" applyFont="1" applyFill="1" applyAlignment="1" applyProtection="1">
      <alignment vertical="center"/>
      <protection locked="0"/>
    </xf>
    <xf numFmtId="0" fontId="91" fillId="0" borderId="0" xfId="0" applyFont="1" applyAlignment="1" applyProtection="1">
      <alignment vertical="center"/>
      <protection locked="0"/>
    </xf>
    <xf numFmtId="0" fontId="76" fillId="0" borderId="0" xfId="436" applyFont="1" applyAlignment="1" applyProtection="1">
      <alignment horizontal="left" vertical="center"/>
      <protection locked="0"/>
    </xf>
    <xf numFmtId="0" fontId="55" fillId="0" borderId="0" xfId="436" applyFont="1" applyProtection="1">
      <alignment vertical="center"/>
      <protection locked="0"/>
    </xf>
    <xf numFmtId="0" fontId="55" fillId="0" borderId="0" xfId="0" applyFont="1" applyAlignment="1" applyProtection="1">
      <alignment vertical="center"/>
      <protection locked="0"/>
    </xf>
    <xf numFmtId="0" fontId="7" fillId="0" borderId="0" xfId="436" applyFont="1" applyAlignment="1" applyProtection="1">
      <alignment horizontal="left"/>
      <protection locked="0"/>
    </xf>
    <xf numFmtId="0" fontId="26" fillId="0" borderId="0" xfId="436" applyFont="1" applyProtection="1">
      <alignment vertical="center"/>
      <protection locked="0"/>
    </xf>
    <xf numFmtId="0" fontId="2" fillId="0" borderId="0" xfId="428" applyFont="1" applyFill="1" applyBorder="1" applyAlignment="1">
      <alignment horizontal="left"/>
    </xf>
    <xf numFmtId="0" fontId="7" fillId="0" borderId="0" xfId="436" applyFont="1" applyProtection="1">
      <alignment vertical="center"/>
      <protection locked="0"/>
    </xf>
    <xf numFmtId="0" fontId="7" fillId="0" borderId="0" xfId="428" applyFont="1"/>
    <xf numFmtId="0" fontId="55" fillId="0" borderId="0" xfId="436" applyFont="1" applyAlignment="1">
      <alignment horizontal="left" vertical="center"/>
    </xf>
    <xf numFmtId="0" fontId="7" fillId="0" borderId="0" xfId="436" applyFont="1" applyFill="1" applyAlignment="1" applyProtection="1">
      <alignment horizontal="left" vertical="center" indent="1"/>
      <protection locked="0"/>
    </xf>
    <xf numFmtId="0" fontId="7" fillId="0" borderId="0" xfId="436" applyFont="1" applyFill="1" applyProtection="1">
      <alignment vertical="center"/>
      <protection locked="0"/>
    </xf>
    <xf numFmtId="0" fontId="56" fillId="0" borderId="0" xfId="436" applyFont="1" applyFill="1" applyProtection="1">
      <alignment vertical="center"/>
      <protection locked="0"/>
    </xf>
    <xf numFmtId="0" fontId="161" fillId="0" borderId="0" xfId="436" applyFont="1" applyAlignment="1">
      <alignment horizontal="left" vertical="center"/>
    </xf>
    <xf numFmtId="0" fontId="32" fillId="0" borderId="0" xfId="436" applyFont="1" applyProtection="1">
      <alignment vertical="center"/>
      <protection locked="0"/>
    </xf>
    <xf numFmtId="14" fontId="32" fillId="0" borderId="0" xfId="436" applyNumberFormat="1" applyFont="1" applyAlignment="1" applyProtection="1">
      <alignment horizontal="center" vertical="center"/>
      <protection locked="0"/>
    </xf>
    <xf numFmtId="0" fontId="32" fillId="0" borderId="0" xfId="436" applyFont="1">
      <alignment vertical="center"/>
    </xf>
    <xf numFmtId="0" fontId="26" fillId="0" borderId="0" xfId="436" applyFont="1" applyBorder="1" applyProtection="1">
      <alignment vertical="center"/>
      <protection locked="0"/>
    </xf>
    <xf numFmtId="14" fontId="32" fillId="0" borderId="0" xfId="436" applyNumberFormat="1" applyFont="1" applyAlignment="1">
      <alignment horizontal="center" vertical="center"/>
    </xf>
    <xf numFmtId="0" fontId="26" fillId="0" borderId="0" xfId="436" applyFont="1" applyBorder="1">
      <alignment vertical="center"/>
    </xf>
    <xf numFmtId="0" fontId="162" fillId="0" borderId="0" xfId="0" applyFont="1" applyBorder="1" applyAlignment="1">
      <alignment vertical="center"/>
    </xf>
    <xf numFmtId="14" fontId="51" fillId="0" borderId="0" xfId="436" applyNumberFormat="1" applyFont="1">
      <alignment vertical="center"/>
    </xf>
    <xf numFmtId="0" fontId="93" fillId="0" borderId="0" xfId="0" applyFont="1" applyBorder="1"/>
    <xf numFmtId="0" fontId="29" fillId="0" borderId="10" xfId="0" applyFont="1" applyBorder="1" applyAlignment="1">
      <alignment horizontal="center" vertical="center"/>
    </xf>
    <xf numFmtId="0" fontId="29" fillId="0" borderId="14" xfId="428" applyFont="1" applyFill="1" applyBorder="1" applyAlignment="1">
      <alignment vertical="center"/>
    </xf>
    <xf numFmtId="0" fontId="29" fillId="0" borderId="15" xfId="0" applyFont="1" applyBorder="1" applyAlignment="1">
      <alignment vertical="center"/>
    </xf>
    <xf numFmtId="0" fontId="29" fillId="0" borderId="30" xfId="0" applyFont="1" applyBorder="1" applyAlignment="1">
      <alignment vertical="center"/>
    </xf>
    <xf numFmtId="0" fontId="29" fillId="31" borderId="31" xfId="0" applyFont="1" applyFill="1" applyBorder="1" applyAlignment="1">
      <alignment horizontal="center" vertical="center"/>
    </xf>
    <xf numFmtId="0" fontId="29" fillId="31" borderId="22" xfId="428" applyFont="1" applyFill="1" applyBorder="1" applyAlignment="1">
      <alignment horizontal="left" vertical="center"/>
    </xf>
    <xf numFmtId="0" fontId="29" fillId="31" borderId="17" xfId="428" applyFont="1" applyFill="1" applyBorder="1" applyAlignment="1">
      <alignment horizontal="left" vertical="center"/>
    </xf>
    <xf numFmtId="0" fontId="29" fillId="31" borderId="18" xfId="428" applyFont="1" applyFill="1" applyBorder="1" applyAlignment="1">
      <alignment horizontal="left" vertical="center"/>
    </xf>
    <xf numFmtId="0" fontId="29" fillId="0" borderId="14" xfId="428" applyFont="1" applyBorder="1" applyAlignment="1">
      <alignment vertical="center"/>
    </xf>
    <xf numFmtId="0" fontId="29" fillId="31" borderId="14" xfId="436" applyFont="1" applyFill="1" applyBorder="1">
      <alignment vertical="center"/>
    </xf>
    <xf numFmtId="0" fontId="29" fillId="31" borderId="15" xfId="0" applyFont="1" applyFill="1" applyBorder="1" applyAlignment="1">
      <alignment vertical="center"/>
    </xf>
    <xf numFmtId="0" fontId="29" fillId="31" borderId="30" xfId="0" applyFont="1" applyFill="1" applyBorder="1" applyAlignment="1">
      <alignment vertical="center"/>
    </xf>
    <xf numFmtId="0" fontId="29" fillId="31" borderId="10" xfId="0" applyFont="1" applyFill="1" applyBorder="1" applyAlignment="1">
      <alignment horizontal="center" vertical="center"/>
    </xf>
    <xf numFmtId="0" fontId="29" fillId="0" borderId="14" xfId="436" applyFont="1" applyBorder="1">
      <alignment vertical="center"/>
    </xf>
    <xf numFmtId="0" fontId="29" fillId="0" borderId="10" xfId="436" applyFont="1" applyFill="1" applyBorder="1" applyAlignment="1">
      <alignment horizontal="center" vertical="center"/>
    </xf>
    <xf numFmtId="0" fontId="29" fillId="0" borderId="15" xfId="428" applyFont="1" applyFill="1" applyBorder="1" applyAlignment="1">
      <alignment vertical="center"/>
    </xf>
    <xf numFmtId="0" fontId="167" fillId="0" borderId="10" xfId="0" applyFont="1" applyBorder="1" applyAlignment="1">
      <alignment horizontal="center" vertical="center"/>
    </xf>
    <xf numFmtId="0" fontId="93" fillId="0" borderId="0" xfId="0" applyFont="1" applyBorder="1" applyAlignment="1">
      <alignment vertical="center"/>
    </xf>
    <xf numFmtId="0" fontId="170" fillId="0" borderId="0" xfId="428" applyFont="1" applyAlignment="1">
      <alignment vertical="center"/>
    </xf>
    <xf numFmtId="0" fontId="2" fillId="0" borderId="0" xfId="0" applyFont="1" applyAlignment="1">
      <alignment horizontal="left" vertical="center"/>
    </xf>
    <xf numFmtId="15" fontId="2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2" fillId="0" borderId="176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1" fontId="2" fillId="0" borderId="10" xfId="0" applyNumberFormat="1" applyFont="1" applyBorder="1" applyAlignment="1">
      <alignment horizontal="center" vertical="center"/>
    </xf>
    <xf numFmtId="1" fontId="2" fillId="0" borderId="14" xfId="0" applyNumberFormat="1" applyFont="1" applyBorder="1" applyAlignment="1">
      <alignment horizontal="center" vertical="center"/>
    </xf>
    <xf numFmtId="165" fontId="2" fillId="0" borderId="23" xfId="432" applyNumberFormat="1" applyFont="1" applyFill="1" applyBorder="1" applyAlignment="1" applyProtection="1">
      <alignment horizontal="left"/>
    </xf>
    <xf numFmtId="173" fontId="7" fillId="0" borderId="0" xfId="0" applyNumberFormat="1" applyFont="1" applyFill="1" applyBorder="1" applyAlignment="1">
      <alignment vertical="center"/>
    </xf>
    <xf numFmtId="0" fontId="2" fillId="0" borderId="20" xfId="0" applyFont="1" applyBorder="1" applyAlignment="1">
      <alignment horizontal="left" vertical="center"/>
    </xf>
    <xf numFmtId="0" fontId="2" fillId="0" borderId="167" xfId="0" applyFont="1" applyBorder="1" applyAlignment="1">
      <alignment horizontal="left" vertical="center"/>
    </xf>
    <xf numFmtId="0" fontId="171" fillId="0" borderId="43" xfId="0" applyFont="1" applyBorder="1" applyAlignment="1">
      <alignment horizontal="left"/>
    </xf>
    <xf numFmtId="173" fontId="92" fillId="0" borderId="0" xfId="0" applyNumberFormat="1" applyFont="1" applyBorder="1" applyAlignment="1"/>
    <xf numFmtId="173" fontId="0" fillId="0" borderId="43" xfId="0" applyNumberFormat="1" applyBorder="1" applyAlignment="1">
      <alignment vertical="top"/>
    </xf>
    <xf numFmtId="173" fontId="91" fillId="0" borderId="43" xfId="415" applyNumberFormat="1" applyFont="1" applyBorder="1" applyAlignment="1">
      <alignment vertical="top"/>
    </xf>
    <xf numFmtId="173" fontId="106" fillId="0" borderId="0" xfId="415" applyNumberFormat="1" applyFont="1" applyFill="1" applyBorder="1" applyAlignment="1">
      <alignment horizontal="left" vertical="center"/>
    </xf>
    <xf numFmtId="173" fontId="172" fillId="0" borderId="43" xfId="0" applyNumberFormat="1" applyFont="1" applyBorder="1" applyAlignment="1">
      <alignment horizontal="center" vertical="top"/>
    </xf>
    <xf numFmtId="173" fontId="91" fillId="0" borderId="43" xfId="415" applyNumberFormat="1" applyFont="1" applyBorder="1" applyAlignment="1">
      <alignment horizontal="left" vertical="top"/>
    </xf>
    <xf numFmtId="173" fontId="91" fillId="0" borderId="43" xfId="415" applyNumberFormat="1" applyFont="1" applyBorder="1" applyAlignment="1">
      <alignment horizontal="center"/>
    </xf>
    <xf numFmtId="0" fontId="2" fillId="0" borderId="43" xfId="0" applyFont="1" applyBorder="1" applyAlignment="1">
      <alignment horizontal="center" vertical="center"/>
    </xf>
    <xf numFmtId="0" fontId="2" fillId="0" borderId="21" xfId="0" applyFont="1" applyBorder="1" applyAlignment="1">
      <alignment horizontal="left" vertical="center"/>
    </xf>
    <xf numFmtId="0" fontId="2" fillId="0" borderId="177" xfId="0" applyFont="1" applyBorder="1" applyAlignment="1">
      <alignment horizontal="left" vertical="center"/>
    </xf>
    <xf numFmtId="0" fontId="2" fillId="0" borderId="43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30" xfId="0" applyFont="1" applyBorder="1" applyAlignment="1">
      <alignment horizontal="left" vertical="center"/>
    </xf>
    <xf numFmtId="20" fontId="2" fillId="0" borderId="31" xfId="0" applyNumberFormat="1" applyFont="1" applyBorder="1" applyAlignment="1">
      <alignment horizontal="center" vertical="center"/>
    </xf>
    <xf numFmtId="0" fontId="2" fillId="0" borderId="0" xfId="436" applyFont="1" applyAlignment="1">
      <alignment horizontal="left" vertical="center"/>
    </xf>
    <xf numFmtId="0" fontId="8" fillId="0" borderId="0" xfId="436" applyFont="1" applyAlignment="1">
      <alignment horizontal="left" vertical="center"/>
    </xf>
    <xf numFmtId="0" fontId="8" fillId="0" borderId="0" xfId="436" applyFont="1" applyFill="1" applyProtection="1">
      <alignment vertical="center"/>
      <protection locked="0"/>
    </xf>
    <xf numFmtId="0" fontId="173" fillId="0" borderId="0" xfId="0" applyFont="1" applyAlignment="1">
      <alignment vertical="center"/>
    </xf>
    <xf numFmtId="165" fontId="29" fillId="0" borderId="0" xfId="432" applyNumberFormat="1" applyFont="1" applyFill="1" applyBorder="1" applyAlignment="1" applyProtection="1">
      <alignment horizontal="left"/>
    </xf>
    <xf numFmtId="0" fontId="49" fillId="0" borderId="0" xfId="436" applyFont="1" applyBorder="1" applyAlignment="1">
      <alignment vertical="center"/>
    </xf>
    <xf numFmtId="0" fontId="49" fillId="0" borderId="0" xfId="0" applyFont="1" applyBorder="1" applyAlignment="1">
      <alignment vertical="center"/>
    </xf>
    <xf numFmtId="0" fontId="49" fillId="0" borderId="0" xfId="436" applyFont="1" applyFill="1" applyBorder="1" applyAlignment="1">
      <alignment horizontal="left" vertical="center"/>
    </xf>
    <xf numFmtId="20" fontId="177" fillId="0" borderId="0" xfId="436" quotePrefix="1" applyNumberFormat="1" applyFont="1" applyFill="1" applyBorder="1" applyAlignment="1">
      <alignment horizontal="center" vertical="center"/>
    </xf>
    <xf numFmtId="1" fontId="177" fillId="0" borderId="0" xfId="436" applyNumberFormat="1" applyFont="1" applyBorder="1" applyAlignment="1">
      <alignment horizontal="left" vertical="center"/>
    </xf>
    <xf numFmtId="9" fontId="177" fillId="0" borderId="0" xfId="458" applyFont="1" applyAlignment="1">
      <alignment vertical="center"/>
    </xf>
    <xf numFmtId="0" fontId="29" fillId="0" borderId="0" xfId="436" applyFont="1">
      <alignment vertical="center"/>
    </xf>
    <xf numFmtId="0" fontId="77" fillId="0" borderId="0" xfId="436" applyFont="1" applyBorder="1" applyAlignment="1">
      <alignment vertical="center"/>
    </xf>
    <xf numFmtId="0" fontId="97" fillId="0" borderId="0" xfId="0" applyFont="1"/>
    <xf numFmtId="0" fontId="93" fillId="0" borderId="48" xfId="0" applyFont="1" applyBorder="1"/>
    <xf numFmtId="0" fontId="93" fillId="0" borderId="46" xfId="0" applyFont="1" applyBorder="1"/>
    <xf numFmtId="0" fontId="126" fillId="0" borderId="10" xfId="0" applyFont="1" applyBorder="1"/>
    <xf numFmtId="0" fontId="107" fillId="0" borderId="10" xfId="0" applyFont="1" applyBorder="1"/>
    <xf numFmtId="20" fontId="182" fillId="0" borderId="0" xfId="0" applyNumberFormat="1" applyFont="1" applyBorder="1" applyAlignment="1">
      <alignment horizontal="left"/>
    </xf>
    <xf numFmtId="0" fontId="10" fillId="0" borderId="0" xfId="436" applyFont="1" applyFill="1" applyBorder="1" applyAlignment="1">
      <alignment vertical="center"/>
    </xf>
    <xf numFmtId="0" fontId="10" fillId="0" borderId="0" xfId="436" applyFont="1" applyFill="1" applyAlignment="1">
      <alignment vertical="center"/>
    </xf>
    <xf numFmtId="0" fontId="10" fillId="31" borderId="0" xfId="436" applyFont="1" applyFill="1" applyBorder="1" applyAlignment="1">
      <alignment vertical="center"/>
    </xf>
    <xf numFmtId="0" fontId="7" fillId="31" borderId="0" xfId="436" applyFont="1" applyFill="1" applyBorder="1" applyAlignment="1">
      <alignment horizontal="center" vertical="center"/>
    </xf>
    <xf numFmtId="0" fontId="7" fillId="0" borderId="0" xfId="436" applyFont="1" applyFill="1">
      <alignment vertical="center"/>
    </xf>
    <xf numFmtId="0" fontId="55" fillId="0" borderId="0" xfId="436" applyFont="1" applyBorder="1">
      <alignment vertical="center"/>
    </xf>
    <xf numFmtId="0" fontId="55" fillId="0" borderId="0" xfId="436" applyFont="1" applyBorder="1" applyAlignment="1">
      <alignment horizontal="center" vertical="center"/>
    </xf>
    <xf numFmtId="182" fontId="55" fillId="0" borderId="0" xfId="436" applyNumberFormat="1" applyFont="1" applyFill="1" applyBorder="1">
      <alignment vertical="center"/>
    </xf>
    <xf numFmtId="0" fontId="7" fillId="0" borderId="47" xfId="436" applyFont="1" applyBorder="1" applyAlignment="1">
      <alignment horizontal="right" vertical="center"/>
    </xf>
    <xf numFmtId="182" fontId="55" fillId="0" borderId="0" xfId="436" applyNumberFormat="1" applyFont="1" applyFill="1" applyBorder="1" applyAlignment="1">
      <alignment horizontal="center" vertical="center"/>
    </xf>
    <xf numFmtId="0" fontId="56" fillId="0" borderId="0" xfId="436" applyFont="1" applyBorder="1" applyAlignment="1">
      <alignment horizontal="center" vertical="center"/>
    </xf>
    <xf numFmtId="0" fontId="56" fillId="0" borderId="0" xfId="436" applyNumberFormat="1" applyFont="1" applyFill="1" applyBorder="1" applyAlignment="1">
      <alignment horizontal="center" vertical="center"/>
    </xf>
    <xf numFmtId="0" fontId="56" fillId="0" borderId="0" xfId="436" applyNumberFormat="1" applyFont="1" applyFill="1" applyBorder="1" applyAlignment="1">
      <alignment horizontal="right" vertical="center"/>
    </xf>
    <xf numFmtId="0" fontId="55" fillId="0" borderId="0" xfId="436" applyFont="1" applyFill="1" applyBorder="1" applyProtection="1">
      <alignment vertical="center"/>
      <protection locked="0"/>
    </xf>
    <xf numFmtId="0" fontId="55" fillId="0" borderId="0" xfId="436" applyFont="1">
      <alignment vertical="center"/>
    </xf>
    <xf numFmtId="165" fontId="56" fillId="0" borderId="0" xfId="436" applyNumberFormat="1" applyFont="1" applyFill="1" applyBorder="1" applyAlignment="1">
      <alignment horizontal="center" vertical="center"/>
    </xf>
    <xf numFmtId="1" fontId="56" fillId="0" borderId="0" xfId="436" applyNumberFormat="1" applyFont="1" applyFill="1" applyBorder="1" applyAlignment="1">
      <alignment horizontal="right" vertical="center"/>
    </xf>
    <xf numFmtId="0" fontId="55" fillId="0" borderId="0" xfId="436" applyFont="1" applyFill="1">
      <alignment vertical="center"/>
    </xf>
    <xf numFmtId="0" fontId="154" fillId="0" borderId="0" xfId="0" applyFont="1" applyBorder="1"/>
    <xf numFmtId="0" fontId="107" fillId="0" borderId="0" xfId="0" applyFont="1" applyAlignment="1">
      <alignment vertical="center"/>
    </xf>
    <xf numFmtId="0" fontId="49" fillId="0" borderId="0" xfId="436" applyFont="1" applyFill="1">
      <alignment vertical="center"/>
    </xf>
    <xf numFmtId="0" fontId="56" fillId="0" borderId="0" xfId="436" applyFont="1" applyFill="1">
      <alignment vertical="center"/>
    </xf>
    <xf numFmtId="0" fontId="99" fillId="0" borderId="0" xfId="0" applyFont="1" applyAlignment="1">
      <alignment horizontal="center" vertical="center"/>
    </xf>
    <xf numFmtId="0" fontId="99" fillId="0" borderId="0" xfId="0" applyFont="1"/>
    <xf numFmtId="0" fontId="2" fillId="0" borderId="0" xfId="436" applyFont="1" applyFill="1">
      <alignment vertical="center"/>
    </xf>
    <xf numFmtId="0" fontId="183" fillId="0" borderId="0" xfId="0" applyFont="1" applyBorder="1" applyAlignment="1">
      <alignment vertical="center"/>
    </xf>
    <xf numFmtId="0" fontId="167" fillId="0" borderId="0" xfId="0" applyFont="1" applyAlignment="1">
      <alignment vertical="center"/>
    </xf>
    <xf numFmtId="0" fontId="178" fillId="0" borderId="0" xfId="0" applyFont="1" applyBorder="1" applyAlignment="1">
      <alignment vertical="center"/>
    </xf>
    <xf numFmtId="0" fontId="178" fillId="0" borderId="0" xfId="0" applyFont="1" applyBorder="1" applyAlignment="1">
      <alignment horizontal="center" vertical="center"/>
    </xf>
    <xf numFmtId="0" fontId="184" fillId="0" borderId="0" xfId="436" applyFont="1" applyBorder="1" applyAlignment="1">
      <alignment vertical="center"/>
    </xf>
    <xf numFmtId="0" fontId="166" fillId="0" borderId="0" xfId="436" applyFont="1" applyBorder="1" applyAlignment="1">
      <alignment vertical="center"/>
    </xf>
    <xf numFmtId="15" fontId="166" fillId="0" borderId="0" xfId="436" applyNumberFormat="1" applyFont="1" applyBorder="1" applyAlignment="1">
      <alignment vertical="center"/>
    </xf>
    <xf numFmtId="15" fontId="167" fillId="0" borderId="0" xfId="0" applyNumberFormat="1" applyFont="1" applyAlignment="1">
      <alignment vertical="center"/>
    </xf>
    <xf numFmtId="15" fontId="166" fillId="0" borderId="0" xfId="436" applyNumberFormat="1" applyFont="1" applyBorder="1" applyAlignment="1">
      <alignment horizontal="left" vertical="center"/>
    </xf>
    <xf numFmtId="183" fontId="166" fillId="0" borderId="17" xfId="0" applyNumberFormat="1" applyFont="1" applyBorder="1" applyAlignment="1">
      <alignment vertical="center"/>
    </xf>
    <xf numFmtId="0" fontId="166" fillId="0" borderId="0" xfId="0" applyFont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4" xfId="0" applyFont="1" applyBorder="1" applyAlignment="1">
      <alignment vertical="center"/>
    </xf>
    <xf numFmtId="0" fontId="27" fillId="0" borderId="15" xfId="0" applyFont="1" applyBorder="1" applyAlignment="1">
      <alignment vertical="center"/>
    </xf>
    <xf numFmtId="0" fontId="27" fillId="0" borderId="30" xfId="0" applyFont="1" applyBorder="1" applyAlignment="1">
      <alignment vertical="center"/>
    </xf>
    <xf numFmtId="0" fontId="167" fillId="43" borderId="10" xfId="0" applyFont="1" applyFill="1" applyBorder="1" applyAlignment="1">
      <alignment vertical="center"/>
    </xf>
    <xf numFmtId="0" fontId="27" fillId="0" borderId="23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 wrapText="1"/>
    </xf>
    <xf numFmtId="0" fontId="167" fillId="43" borderId="10" xfId="428" applyFont="1" applyFill="1" applyBorder="1" applyAlignment="1">
      <alignment horizontal="center" vertical="center"/>
    </xf>
    <xf numFmtId="172" fontId="167" fillId="43" borderId="10" xfId="0" applyNumberFormat="1" applyFont="1" applyFill="1" applyBorder="1" applyAlignment="1">
      <alignment horizontal="center" vertical="center"/>
    </xf>
    <xf numFmtId="0" fontId="166" fillId="0" borderId="10" xfId="428" applyFont="1" applyBorder="1" applyAlignment="1">
      <alignment horizontal="center" vertical="center"/>
    </xf>
    <xf numFmtId="1" fontId="166" fillId="0" borderId="10" xfId="0" applyNumberFormat="1" applyFont="1" applyBorder="1" applyAlignment="1">
      <alignment horizontal="center" vertical="center"/>
    </xf>
    <xf numFmtId="1" fontId="185" fillId="0" borderId="10" xfId="0" applyNumberFormat="1" applyFont="1" applyBorder="1" applyAlignment="1">
      <alignment horizontal="center" vertical="center"/>
    </xf>
    <xf numFmtId="0" fontId="27" fillId="0" borderId="10" xfId="428" applyFont="1" applyBorder="1" applyAlignment="1">
      <alignment horizontal="center" vertical="center"/>
    </xf>
    <xf numFmtId="1" fontId="27" fillId="0" borderId="10" xfId="0" applyNumberFormat="1" applyFont="1" applyBorder="1" applyAlignment="1">
      <alignment horizontal="center" vertical="center"/>
    </xf>
    <xf numFmtId="0" fontId="167" fillId="48" borderId="10" xfId="0" applyFont="1" applyFill="1" applyBorder="1" applyAlignment="1">
      <alignment vertical="center"/>
    </xf>
    <xf numFmtId="1" fontId="167" fillId="43" borderId="10" xfId="0" applyNumberFormat="1" applyFont="1" applyFill="1" applyBorder="1" applyAlignment="1">
      <alignment vertical="center"/>
    </xf>
    <xf numFmtId="0" fontId="167" fillId="0" borderId="0" xfId="0" applyFont="1"/>
    <xf numFmtId="0" fontId="4" fillId="0" borderId="0" xfId="428" applyFont="1" applyAlignment="1">
      <alignment horizontal="left"/>
    </xf>
    <xf numFmtId="0" fontId="158" fillId="0" borderId="0" xfId="428" applyFont="1" applyAlignment="1"/>
    <xf numFmtId="0" fontId="96" fillId="0" borderId="0" xfId="0" applyFont="1"/>
    <xf numFmtId="0" fontId="41" fillId="0" borderId="0" xfId="428" applyFont="1" applyFill="1" applyAlignment="1">
      <alignment horizontal="left"/>
    </xf>
    <xf numFmtId="0" fontId="186" fillId="0" borderId="0" xfId="428" applyFont="1" applyAlignment="1">
      <alignment horizontal="center"/>
    </xf>
    <xf numFmtId="0" fontId="179" fillId="0" borderId="0" xfId="428" applyFont="1" applyFill="1" applyAlignment="1">
      <alignment horizontal="center"/>
    </xf>
    <xf numFmtId="0" fontId="179" fillId="0" borderId="0" xfId="428" applyFont="1" applyFill="1" applyAlignment="1">
      <alignment horizontal="left"/>
    </xf>
    <xf numFmtId="14" fontId="7" fillId="0" borderId="0" xfId="428" applyNumberFormat="1" applyFont="1"/>
    <xf numFmtId="0" fontId="7" fillId="0" borderId="0" xfId="428" applyFont="1" applyAlignment="1">
      <alignment horizontal="center"/>
    </xf>
    <xf numFmtId="1" fontId="7" fillId="0" borderId="0" xfId="428" applyNumberFormat="1" applyFont="1"/>
    <xf numFmtId="0" fontId="99" fillId="0" borderId="0" xfId="0" applyFont="1" applyAlignment="1">
      <alignment vertical="center"/>
    </xf>
    <xf numFmtId="0" fontId="154" fillId="0" borderId="0" xfId="0" applyFont="1"/>
    <xf numFmtId="1" fontId="2" fillId="0" borderId="0" xfId="428" applyNumberFormat="1" applyFont="1"/>
    <xf numFmtId="0" fontId="2" fillId="0" borderId="0" xfId="428" applyFont="1"/>
    <xf numFmtId="0" fontId="25" fillId="0" borderId="0" xfId="428" applyFont="1"/>
    <xf numFmtId="0" fontId="91" fillId="0" borderId="0" xfId="0" quotePrefix="1" applyFont="1"/>
    <xf numFmtId="0" fontId="189" fillId="0" borderId="0" xfId="428" applyFont="1"/>
    <xf numFmtId="173" fontId="189" fillId="0" borderId="0" xfId="428" applyNumberFormat="1" applyFont="1"/>
    <xf numFmtId="0" fontId="87" fillId="0" borderId="0" xfId="428" applyFont="1"/>
    <xf numFmtId="0" fontId="189" fillId="0" borderId="0" xfId="428" applyFont="1" applyFill="1"/>
    <xf numFmtId="0" fontId="8" fillId="0" borderId="0" xfId="428" applyFont="1" applyAlignment="1">
      <alignment horizontal="right"/>
    </xf>
    <xf numFmtId="164" fontId="8" fillId="0" borderId="0" xfId="428" applyNumberFormat="1" applyFont="1" applyAlignment="1">
      <alignment horizontal="left"/>
    </xf>
    <xf numFmtId="164" fontId="8" fillId="0" borderId="0" xfId="428" applyNumberFormat="1" applyFont="1"/>
    <xf numFmtId="164" fontId="154" fillId="0" borderId="0" xfId="0" applyNumberFormat="1" applyFont="1"/>
    <xf numFmtId="0" fontId="190" fillId="0" borderId="0" xfId="0" applyFont="1"/>
    <xf numFmtId="0" fontId="91" fillId="0" borderId="0" xfId="0" applyFont="1" applyAlignment="1" applyProtection="1">
      <protection locked="0"/>
    </xf>
    <xf numFmtId="0" fontId="191" fillId="0" borderId="0" xfId="0" applyFont="1"/>
    <xf numFmtId="0" fontId="192" fillId="0" borderId="0" xfId="0" applyFont="1"/>
    <xf numFmtId="0" fontId="193" fillId="0" borderId="0" xfId="0" applyFont="1" applyAlignment="1">
      <alignment horizontal="left" readingOrder="2"/>
    </xf>
    <xf numFmtId="0" fontId="91" fillId="0" borderId="0" xfId="0" applyFont="1" applyAlignment="1">
      <alignment horizontal="center" wrapText="1"/>
    </xf>
    <xf numFmtId="0" fontId="194" fillId="0" borderId="0" xfId="0" applyFont="1"/>
    <xf numFmtId="1" fontId="91" fillId="0" borderId="0" xfId="0" applyNumberFormat="1" applyFont="1" applyAlignment="1">
      <alignment vertical="center"/>
    </xf>
    <xf numFmtId="165" fontId="91" fillId="0" borderId="0" xfId="0" applyNumberFormat="1" applyFont="1" applyAlignment="1">
      <alignment vertical="center"/>
    </xf>
    <xf numFmtId="165" fontId="7" fillId="0" borderId="0" xfId="428" applyNumberFormat="1" applyFont="1" applyFill="1" applyBorder="1" applyAlignment="1">
      <alignment horizontal="center"/>
    </xf>
    <xf numFmtId="0" fontId="7" fillId="0" borderId="0" xfId="428" applyFont="1" applyFill="1"/>
    <xf numFmtId="49" fontId="7" fillId="0" borderId="0" xfId="428" quotePrefix="1" applyNumberFormat="1" applyFont="1" applyFill="1" applyBorder="1" applyAlignment="1">
      <alignment horizontal="left"/>
    </xf>
    <xf numFmtId="49" fontId="7" fillId="0" borderId="0" xfId="428" quotePrefix="1" applyNumberFormat="1" applyFont="1" applyFill="1" applyBorder="1" applyAlignment="1">
      <alignment horizontal="right"/>
    </xf>
    <xf numFmtId="49" fontId="7" fillId="0" borderId="0" xfId="428" quotePrefix="1" applyNumberFormat="1" applyFont="1" applyFill="1" applyAlignment="1">
      <alignment horizontal="center"/>
    </xf>
    <xf numFmtId="49" fontId="7" fillId="0" borderId="0" xfId="428" applyNumberFormat="1" applyFont="1" applyFill="1"/>
    <xf numFmtId="49" fontId="7" fillId="0" borderId="0" xfId="428" quotePrefix="1" applyNumberFormat="1" applyFont="1" applyFill="1"/>
    <xf numFmtId="0" fontId="171" fillId="0" borderId="0" xfId="0" applyFont="1"/>
    <xf numFmtId="0" fontId="126" fillId="0" borderId="0" xfId="428" applyFont="1" applyAlignment="1"/>
    <xf numFmtId="0" fontId="8" fillId="0" borderId="0" xfId="428" applyFont="1"/>
    <xf numFmtId="15" fontId="196" fillId="0" borderId="0" xfId="428" applyNumberFormat="1" applyFont="1" applyAlignment="1">
      <alignment horizontal="center"/>
    </xf>
    <xf numFmtId="0" fontId="10" fillId="0" borderId="0" xfId="428" applyFont="1"/>
    <xf numFmtId="0" fontId="197" fillId="0" borderId="0" xfId="0" applyFont="1" applyAlignment="1">
      <alignment horizontal="left" readingOrder="2"/>
    </xf>
    <xf numFmtId="0" fontId="198" fillId="0" borderId="0" xfId="428" applyFont="1"/>
    <xf numFmtId="9" fontId="199" fillId="0" borderId="0" xfId="458" applyFont="1"/>
    <xf numFmtId="0" fontId="198" fillId="0" borderId="0" xfId="428" applyFont="1" applyBorder="1"/>
    <xf numFmtId="164" fontId="56" fillId="0" borderId="0" xfId="428" applyNumberFormat="1" applyFont="1"/>
    <xf numFmtId="0" fontId="9" fillId="0" borderId="0" xfId="428" applyFont="1"/>
    <xf numFmtId="0" fontId="7" fillId="0" borderId="0" xfId="428" applyFont="1" applyBorder="1"/>
    <xf numFmtId="0" fontId="74" fillId="0" borderId="0" xfId="428" applyFont="1" applyAlignment="1">
      <alignment horizontal="center"/>
    </xf>
    <xf numFmtId="0" fontId="199" fillId="0" borderId="0" xfId="428" quotePrefix="1" applyFont="1" applyAlignment="1">
      <alignment horizontal="center"/>
    </xf>
    <xf numFmtId="0" fontId="55" fillId="0" borderId="0" xfId="436" applyFont="1" applyFill="1" applyProtection="1">
      <alignment vertical="center"/>
      <protection locked="0"/>
    </xf>
    <xf numFmtId="0" fontId="133" fillId="0" borderId="0" xfId="428" quotePrefix="1" applyFont="1" applyAlignment="1">
      <alignment horizontal="center"/>
    </xf>
    <xf numFmtId="0" fontId="55" fillId="0" borderId="0" xfId="428" applyFont="1"/>
    <xf numFmtId="0" fontId="8" fillId="0" borderId="0" xfId="436" applyFont="1" applyAlignment="1">
      <alignment horizontal="right" vertical="center"/>
    </xf>
    <xf numFmtId="164" fontId="8" fillId="0" borderId="0" xfId="436" applyNumberFormat="1" applyFont="1" applyAlignment="1">
      <alignment horizontal="left" vertical="center"/>
    </xf>
    <xf numFmtId="49" fontId="9" fillId="26" borderId="26" xfId="0" applyNumberFormat="1" applyFont="1" applyFill="1" applyBorder="1" applyAlignment="1">
      <alignment horizontal="center" vertical="center"/>
    </xf>
    <xf numFmtId="20" fontId="9" fillId="36" borderId="26" xfId="0" applyNumberFormat="1" applyFont="1" applyFill="1" applyBorder="1" applyAlignment="1">
      <alignment horizontal="center" vertical="center"/>
    </xf>
    <xf numFmtId="20" fontId="9" fillId="36" borderId="36" xfId="0" applyNumberFormat="1" applyFont="1" applyFill="1" applyBorder="1" applyAlignment="1">
      <alignment horizontal="center" vertical="center"/>
    </xf>
    <xf numFmtId="0" fontId="2" fillId="0" borderId="0" xfId="436" applyFont="1" applyFill="1" applyBorder="1">
      <alignment vertical="center"/>
    </xf>
    <xf numFmtId="0" fontId="202" fillId="0" borderId="0" xfId="0" applyFont="1"/>
    <xf numFmtId="0" fontId="132" fillId="52" borderId="39" xfId="0" applyNumberFormat="1" applyFont="1" applyFill="1" applyBorder="1" applyAlignment="1">
      <alignment horizontal="center" vertical="center" wrapText="1"/>
    </xf>
    <xf numFmtId="0" fontId="132" fillId="51" borderId="72" xfId="0" applyNumberFormat="1" applyFont="1" applyFill="1" applyBorder="1" applyAlignment="1">
      <alignment horizontal="center" vertical="center" wrapText="1"/>
    </xf>
    <xf numFmtId="0" fontId="132" fillId="52" borderId="85" xfId="0" applyNumberFormat="1" applyFont="1" applyFill="1" applyBorder="1" applyAlignment="1">
      <alignment horizontal="center" vertical="center" wrapText="1"/>
    </xf>
    <xf numFmtId="0" fontId="131" fillId="51" borderId="39" xfId="0" applyNumberFormat="1" applyFont="1" applyFill="1" applyBorder="1" applyAlignment="1">
      <alignment horizontal="center" vertical="center" wrapText="1"/>
    </xf>
    <xf numFmtId="20" fontId="179" fillId="26" borderId="98" xfId="0" quotePrefix="1" applyNumberFormat="1" applyFont="1" applyFill="1" applyBorder="1" applyAlignment="1">
      <alignment horizontal="center" vertical="center"/>
    </xf>
    <xf numFmtId="20" fontId="179" fillId="26" borderId="68" xfId="0" quotePrefix="1" applyNumberFormat="1" applyFont="1" applyFill="1" applyBorder="1" applyAlignment="1">
      <alignment horizontal="center" vertical="center"/>
    </xf>
    <xf numFmtId="20" fontId="179" fillId="26" borderId="68" xfId="0" applyNumberFormat="1" applyFont="1" applyFill="1" applyBorder="1" applyAlignment="1">
      <alignment horizontal="center" vertical="center"/>
    </xf>
    <xf numFmtId="20" fontId="179" fillId="26" borderId="99" xfId="0" quotePrefix="1" applyNumberFormat="1" applyFont="1" applyFill="1" applyBorder="1" applyAlignment="1">
      <alignment horizontal="center" vertical="center"/>
    </xf>
    <xf numFmtId="0" fontId="49" fillId="0" borderId="0" xfId="430" applyNumberFormat="1" applyFont="1" applyFill="1" applyBorder="1"/>
    <xf numFmtId="1" fontId="131" fillId="51" borderId="85" xfId="0" applyNumberFormat="1" applyFont="1" applyFill="1" applyBorder="1" applyAlignment="1">
      <alignment horizontal="center" vertical="center" wrapText="1"/>
    </xf>
    <xf numFmtId="164" fontId="203" fillId="34" borderId="72" xfId="0" applyNumberFormat="1" applyFont="1" applyFill="1" applyBorder="1" applyAlignment="1">
      <alignment horizontal="center" vertical="center"/>
    </xf>
    <xf numFmtId="0" fontId="91" fillId="0" borderId="0" xfId="414" applyNumberFormat="1" applyFont="1" applyBorder="1" applyAlignment="1">
      <alignment horizontal="center" vertical="center" wrapText="1"/>
    </xf>
    <xf numFmtId="0" fontId="91" fillId="0" borderId="0" xfId="414" applyNumberFormat="1" applyFont="1" applyBorder="1" applyAlignment="1">
      <alignment horizontal="center"/>
    </xf>
    <xf numFmtId="0" fontId="42" fillId="0" borderId="0" xfId="0" applyNumberFormat="1" applyFont="1" applyFill="1" applyBorder="1" applyAlignment="1">
      <alignment horizontal="center" vertical="center" wrapText="1"/>
    </xf>
    <xf numFmtId="2" fontId="91" fillId="0" borderId="0" xfId="0" quotePrefix="1" applyNumberFormat="1" applyFont="1" applyFill="1" applyAlignment="1">
      <alignment vertical="center"/>
    </xf>
    <xf numFmtId="0" fontId="187" fillId="59" borderId="10" xfId="428" applyFont="1" applyFill="1" applyBorder="1" applyAlignment="1">
      <alignment horizontal="center" vertical="center"/>
    </xf>
    <xf numFmtId="0" fontId="187" fillId="60" borderId="10" xfId="428" applyFont="1" applyFill="1" applyBorder="1" applyAlignment="1">
      <alignment horizontal="center" vertical="center"/>
    </xf>
    <xf numFmtId="0" fontId="188" fillId="32" borderId="10" xfId="428" applyFont="1" applyFill="1" applyBorder="1" applyAlignment="1">
      <alignment horizontal="center" vertical="center"/>
    </xf>
    <xf numFmtId="0" fontId="187" fillId="56" borderId="10" xfId="428" applyFont="1" applyFill="1" applyBorder="1" applyAlignment="1">
      <alignment horizontal="center" vertical="center"/>
    </xf>
    <xf numFmtId="0" fontId="25" fillId="44" borderId="10" xfId="428" applyFont="1" applyFill="1" applyBorder="1" applyAlignment="1">
      <alignment horizontal="center" vertical="center"/>
    </xf>
    <xf numFmtId="0" fontId="25" fillId="33" borderId="10" xfId="428" applyFont="1" applyFill="1" applyBorder="1" applyAlignment="1">
      <alignment horizontal="center" vertical="center"/>
    </xf>
    <xf numFmtId="0" fontId="7" fillId="48" borderId="10" xfId="428" applyFont="1" applyFill="1" applyBorder="1" applyAlignment="1">
      <alignment horizontal="center" vertical="center"/>
    </xf>
    <xf numFmtId="165" fontId="91" fillId="62" borderId="10" xfId="0" applyNumberFormat="1" applyFont="1" applyFill="1" applyBorder="1" applyAlignment="1">
      <alignment horizontal="center" vertical="center"/>
    </xf>
    <xf numFmtId="0" fontId="91" fillId="34" borderId="10" xfId="0" applyFont="1" applyFill="1" applyBorder="1" applyAlignment="1">
      <alignment horizontal="center" vertical="center"/>
    </xf>
    <xf numFmtId="20" fontId="205" fillId="55" borderId="10" xfId="428" applyNumberFormat="1" applyFont="1" applyFill="1" applyBorder="1" applyAlignment="1">
      <alignment horizontal="center"/>
    </xf>
    <xf numFmtId="1" fontId="7" fillId="59" borderId="10" xfId="428" quotePrefix="1" applyNumberFormat="1" applyFont="1" applyFill="1" applyBorder="1" applyAlignment="1">
      <alignment horizontal="left"/>
    </xf>
    <xf numFmtId="1" fontId="7" fillId="60" borderId="10" xfId="428" quotePrefix="1" applyNumberFormat="1" applyFont="1" applyFill="1" applyBorder="1" applyAlignment="1">
      <alignment horizontal="left"/>
    </xf>
    <xf numFmtId="1" fontId="7" fillId="32" borderId="10" xfId="428" quotePrefix="1" applyNumberFormat="1" applyFont="1" applyFill="1" applyBorder="1" applyAlignment="1">
      <alignment horizontal="left"/>
    </xf>
    <xf numFmtId="1" fontId="7" fillId="56" borderId="10" xfId="428" quotePrefix="1" applyNumberFormat="1" applyFont="1" applyFill="1" applyBorder="1" applyAlignment="1">
      <alignment horizontal="left"/>
    </xf>
    <xf numFmtId="1" fontId="7" fillId="44" borderId="10" xfId="428" quotePrefix="1" applyNumberFormat="1" applyFont="1" applyFill="1" applyBorder="1" applyAlignment="1">
      <alignment horizontal="left"/>
    </xf>
    <xf numFmtId="1" fontId="7" fillId="33" borderId="10" xfId="428" quotePrefix="1" applyNumberFormat="1" applyFont="1" applyFill="1" applyBorder="1" applyAlignment="1">
      <alignment horizontal="left"/>
    </xf>
    <xf numFmtId="1" fontId="7" fillId="48" borderId="10" xfId="428" quotePrefix="1" applyNumberFormat="1" applyFont="1" applyFill="1" applyBorder="1" applyAlignment="1">
      <alignment horizontal="left"/>
    </xf>
    <xf numFmtId="1" fontId="7" fillId="62" borderId="10" xfId="428" quotePrefix="1" applyNumberFormat="1" applyFont="1" applyFill="1" applyBorder="1" applyAlignment="1">
      <alignment horizontal="left"/>
    </xf>
    <xf numFmtId="1" fontId="7" fillId="34" borderId="10" xfId="428" quotePrefix="1" applyNumberFormat="1" applyFont="1" applyFill="1" applyBorder="1" applyAlignment="1">
      <alignment horizontal="left"/>
    </xf>
    <xf numFmtId="20" fontId="205" fillId="55" borderId="10" xfId="428" applyNumberFormat="1" applyFont="1" applyFill="1" applyBorder="1" applyAlignment="1">
      <alignment horizontal="center" vertical="center"/>
    </xf>
    <xf numFmtId="1" fontId="147" fillId="59" borderId="10" xfId="428" applyNumberFormat="1" applyFont="1" applyFill="1" applyBorder="1" applyAlignment="1">
      <alignment horizontal="right"/>
    </xf>
    <xf numFmtId="1" fontId="147" fillId="60" borderId="10" xfId="428" applyNumberFormat="1" applyFont="1" applyFill="1" applyBorder="1" applyAlignment="1">
      <alignment horizontal="right"/>
    </xf>
    <xf numFmtId="1" fontId="147" fillId="32" borderId="10" xfId="428" applyNumberFormat="1" applyFont="1" applyFill="1" applyBorder="1" applyAlignment="1">
      <alignment horizontal="right"/>
    </xf>
    <xf numFmtId="1" fontId="147" fillId="56" borderId="10" xfId="428" applyNumberFormat="1" applyFont="1" applyFill="1" applyBorder="1" applyAlignment="1">
      <alignment horizontal="right"/>
    </xf>
    <xf numFmtId="1" fontId="147" fillId="44" borderId="10" xfId="428" applyNumberFormat="1" applyFont="1" applyFill="1" applyBorder="1" applyAlignment="1">
      <alignment horizontal="right"/>
    </xf>
    <xf numFmtId="1" fontId="147" fillId="33" borderId="10" xfId="428" applyNumberFormat="1" applyFont="1" applyFill="1" applyBorder="1" applyAlignment="1">
      <alignment horizontal="right"/>
    </xf>
    <xf numFmtId="1" fontId="147" fillId="48" borderId="10" xfId="428" applyNumberFormat="1" applyFont="1" applyFill="1" applyBorder="1" applyAlignment="1">
      <alignment horizontal="right"/>
    </xf>
    <xf numFmtId="1" fontId="147" fillId="62" borderId="10" xfId="428" applyNumberFormat="1" applyFont="1" applyFill="1" applyBorder="1" applyAlignment="1">
      <alignment horizontal="right"/>
    </xf>
    <xf numFmtId="1" fontId="147" fillId="34" borderId="10" xfId="428" applyNumberFormat="1" applyFont="1" applyFill="1" applyBorder="1" applyAlignment="1">
      <alignment horizontal="right"/>
    </xf>
    <xf numFmtId="20" fontId="205" fillId="55" borderId="10" xfId="428" quotePrefix="1" applyNumberFormat="1" applyFont="1" applyFill="1" applyBorder="1" applyAlignment="1">
      <alignment horizontal="center"/>
    </xf>
    <xf numFmtId="0" fontId="206" fillId="55" borderId="10" xfId="428" applyFont="1" applyFill="1" applyBorder="1" applyAlignment="1">
      <alignment horizontal="center"/>
    </xf>
    <xf numFmtId="1" fontId="195" fillId="27" borderId="51" xfId="0" applyNumberFormat="1" applyFont="1" applyFill="1" applyBorder="1" applyAlignment="1" applyProtection="1">
      <alignment horizontal="center" vertical="center"/>
      <protection locked="0"/>
    </xf>
    <xf numFmtId="1" fontId="195" fillId="27" borderId="62" xfId="0" applyNumberFormat="1" applyFont="1" applyFill="1" applyBorder="1" applyAlignment="1" applyProtection="1">
      <alignment horizontal="center" vertical="center"/>
      <protection locked="0"/>
    </xf>
    <xf numFmtId="1" fontId="140" fillId="64" borderId="72" xfId="0" applyNumberFormat="1" applyFont="1" applyFill="1" applyBorder="1" applyAlignment="1" applyProtection="1">
      <alignment horizontal="center" vertical="center"/>
      <protection locked="0"/>
    </xf>
    <xf numFmtId="0" fontId="91" fillId="0" borderId="0" xfId="0" applyFont="1" applyBorder="1" applyAlignment="1">
      <alignment vertical="center"/>
    </xf>
    <xf numFmtId="1" fontId="140" fillId="63" borderId="72" xfId="0" applyNumberFormat="1" applyFont="1" applyFill="1" applyBorder="1" applyAlignment="1" applyProtection="1">
      <alignment horizontal="center" vertical="center"/>
      <protection locked="0"/>
    </xf>
    <xf numFmtId="166" fontId="204" fillId="54" borderId="72" xfId="271" applyNumberFormat="1" applyFont="1" applyFill="1" applyBorder="1" applyAlignment="1">
      <alignment horizontal="left" vertical="center"/>
    </xf>
    <xf numFmtId="166" fontId="204" fillId="0" borderId="0" xfId="271" applyNumberFormat="1" applyFont="1" applyFill="1" applyBorder="1" applyAlignment="1">
      <alignment horizontal="left" vertical="center"/>
    </xf>
    <xf numFmtId="166" fontId="140" fillId="54" borderId="72" xfId="271" applyNumberFormat="1" applyFont="1" applyFill="1" applyBorder="1" applyAlignment="1">
      <alignment vertical="center"/>
    </xf>
    <xf numFmtId="1" fontId="7" fillId="66" borderId="10" xfId="428" applyNumberFormat="1" applyFont="1" applyFill="1" applyBorder="1" applyAlignment="1">
      <alignment horizontal="left"/>
    </xf>
    <xf numFmtId="1" fontId="7" fillId="65" borderId="10" xfId="428" applyNumberFormat="1" applyFont="1" applyFill="1" applyBorder="1" applyAlignment="1">
      <alignment horizontal="left"/>
    </xf>
    <xf numFmtId="0" fontId="7" fillId="62" borderId="10" xfId="428" applyFont="1" applyFill="1" applyBorder="1" applyAlignment="1">
      <alignment horizontal="left"/>
    </xf>
    <xf numFmtId="1" fontId="7" fillId="62" borderId="10" xfId="428" applyNumberFormat="1" applyFont="1" applyFill="1" applyBorder="1" applyAlignment="1">
      <alignment horizontal="left"/>
    </xf>
    <xf numFmtId="1" fontId="208" fillId="62" borderId="10" xfId="428" applyNumberFormat="1" applyFont="1" applyFill="1" applyBorder="1" applyAlignment="1">
      <alignment horizontal="right"/>
    </xf>
    <xf numFmtId="1" fontId="208" fillId="62" borderId="10" xfId="428" applyNumberFormat="1" applyFont="1" applyFill="1" applyBorder="1"/>
    <xf numFmtId="0" fontId="208" fillId="66" borderId="10" xfId="428" applyFont="1" applyFill="1" applyBorder="1"/>
    <xf numFmtId="0" fontId="208" fillId="65" borderId="10" xfId="428" applyFont="1" applyFill="1" applyBorder="1"/>
    <xf numFmtId="1" fontId="208" fillId="66" borderId="10" xfId="428" applyNumberFormat="1" applyFont="1" applyFill="1" applyBorder="1" applyAlignment="1">
      <alignment horizontal="right"/>
    </xf>
    <xf numFmtId="1" fontId="208" fillId="65" borderId="10" xfId="428" applyNumberFormat="1" applyFont="1" applyFill="1" applyBorder="1" applyAlignment="1">
      <alignment horizontal="right"/>
    </xf>
    <xf numFmtId="0" fontId="7" fillId="62" borderId="10" xfId="428" applyFont="1" applyFill="1" applyBorder="1" applyAlignment="1">
      <alignment horizontal="center" vertical="center"/>
    </xf>
    <xf numFmtId="0" fontId="7" fillId="66" borderId="10" xfId="428" applyFont="1" applyFill="1" applyBorder="1" applyAlignment="1">
      <alignment horizontal="center" vertical="center"/>
    </xf>
    <xf numFmtId="0" fontId="7" fillId="65" borderId="10" xfId="428" applyFont="1" applyFill="1" applyBorder="1" applyAlignment="1">
      <alignment horizontal="center" vertical="center"/>
    </xf>
    <xf numFmtId="0" fontId="7" fillId="0" borderId="0" xfId="428" applyFont="1" applyFill="1" applyBorder="1" applyAlignment="1">
      <alignment horizontal="left"/>
    </xf>
    <xf numFmtId="0" fontId="21" fillId="0" borderId="0" xfId="428" applyFont="1" applyFill="1" applyBorder="1" applyAlignment="1">
      <alignment horizontal="center"/>
    </xf>
    <xf numFmtId="165" fontId="21" fillId="0" borderId="0" xfId="428" applyNumberFormat="1" applyFont="1" applyFill="1" applyBorder="1" applyAlignment="1">
      <alignment horizontal="center"/>
    </xf>
    <xf numFmtId="20" fontId="21" fillId="0" borderId="0" xfId="428" applyNumberFormat="1" applyFont="1" applyFill="1" applyBorder="1" applyAlignment="1">
      <alignment horizontal="center"/>
    </xf>
    <xf numFmtId="0" fontId="7" fillId="0" borderId="0" xfId="428" applyFont="1" applyFill="1" applyBorder="1"/>
    <xf numFmtId="1" fontId="7" fillId="0" borderId="0" xfId="428" applyNumberFormat="1" applyFont="1" applyFill="1" applyBorder="1"/>
    <xf numFmtId="0" fontId="7" fillId="0" borderId="0" xfId="428" applyFont="1" applyFill="1" applyBorder="1" applyAlignment="1">
      <alignment horizontal="center"/>
    </xf>
    <xf numFmtId="1" fontId="7" fillId="0" borderId="0" xfId="428" applyNumberFormat="1" applyFont="1" applyFill="1" applyBorder="1" applyAlignment="1">
      <alignment horizontal="center"/>
    </xf>
    <xf numFmtId="0" fontId="148" fillId="0" borderId="0" xfId="428" applyFont="1" applyFill="1" applyBorder="1"/>
    <xf numFmtId="0" fontId="20" fillId="0" borderId="0" xfId="428" applyNumberFormat="1" applyFont="1" applyFill="1" applyBorder="1"/>
    <xf numFmtId="1" fontId="20" fillId="0" borderId="0" xfId="428" applyNumberFormat="1" applyFont="1" applyFill="1" applyBorder="1"/>
    <xf numFmtId="0" fontId="7" fillId="55" borderId="85" xfId="428" applyFont="1" applyFill="1" applyBorder="1"/>
    <xf numFmtId="0" fontId="7" fillId="55" borderId="175" xfId="428" applyFont="1" applyFill="1" applyBorder="1"/>
    <xf numFmtId="0" fontId="7" fillId="55" borderId="46" xfId="428" applyFont="1" applyFill="1" applyBorder="1"/>
    <xf numFmtId="0" fontId="187" fillId="55" borderId="26" xfId="428" applyFont="1" applyFill="1" applyBorder="1" applyAlignment="1">
      <alignment horizontal="center"/>
    </xf>
    <xf numFmtId="0" fontId="7" fillId="46" borderId="27" xfId="428" applyFont="1" applyFill="1" applyBorder="1" applyAlignment="1">
      <alignment horizontal="center" vertical="center"/>
    </xf>
    <xf numFmtId="20" fontId="9" fillId="55" borderId="26" xfId="428" applyNumberFormat="1" applyFont="1" applyFill="1" applyBorder="1" applyAlignment="1">
      <alignment horizontal="center"/>
    </xf>
    <xf numFmtId="0" fontId="7" fillId="46" borderId="27" xfId="428" applyFont="1" applyFill="1" applyBorder="1"/>
    <xf numFmtId="20" fontId="24" fillId="55" borderId="26" xfId="428" applyNumberFormat="1" applyFont="1" applyFill="1" applyBorder="1" applyAlignment="1">
      <alignment horizontal="center" vertical="center"/>
    </xf>
    <xf numFmtId="20" fontId="146" fillId="55" borderId="26" xfId="428" applyNumberFormat="1" applyFont="1" applyFill="1" applyBorder="1" applyAlignment="1">
      <alignment horizontal="center" vertical="center"/>
    </xf>
    <xf numFmtId="20" fontId="6" fillId="55" borderId="26" xfId="428" applyNumberFormat="1" applyFont="1" applyFill="1" applyBorder="1" applyAlignment="1">
      <alignment horizontal="center"/>
    </xf>
    <xf numFmtId="20" fontId="6" fillId="55" borderId="26" xfId="428" quotePrefix="1" applyNumberFormat="1" applyFont="1" applyFill="1" applyBorder="1" applyAlignment="1">
      <alignment horizontal="center"/>
    </xf>
    <xf numFmtId="20" fontId="7" fillId="55" borderId="153" xfId="428" applyNumberFormat="1" applyFont="1" applyFill="1" applyBorder="1"/>
    <xf numFmtId="0" fontId="7" fillId="55" borderId="154" xfId="428" applyFont="1" applyFill="1" applyBorder="1"/>
    <xf numFmtId="0" fontId="7" fillId="55" borderId="155" xfId="428" applyFont="1" applyFill="1" applyBorder="1"/>
    <xf numFmtId="20" fontId="2" fillId="57" borderId="10" xfId="428" applyNumberFormat="1" applyFont="1" applyFill="1" applyBorder="1" applyAlignment="1">
      <alignment horizontal="center"/>
    </xf>
    <xf numFmtId="20" fontId="2" fillId="48" borderId="10" xfId="428" applyNumberFormat="1" applyFont="1" applyFill="1" applyBorder="1" applyAlignment="1">
      <alignment horizontal="center"/>
    </xf>
    <xf numFmtId="20" fontId="2" fillId="28" borderId="10" xfId="428" applyNumberFormat="1" applyFont="1" applyFill="1" applyBorder="1" applyAlignment="1">
      <alignment horizontal="center"/>
    </xf>
    <xf numFmtId="1" fontId="54" fillId="0" borderId="0" xfId="428" applyNumberFormat="1" applyFont="1" applyBorder="1" applyAlignment="1">
      <alignment horizontal="left" vertical="center"/>
    </xf>
    <xf numFmtId="0" fontId="7" fillId="0" borderId="0" xfId="436" applyFont="1" applyBorder="1" applyAlignment="1">
      <alignment horizontal="right" vertical="center"/>
    </xf>
    <xf numFmtId="2" fontId="91" fillId="0" borderId="0" xfId="0" applyNumberFormat="1" applyFont="1" applyFill="1" applyBorder="1"/>
    <xf numFmtId="49" fontId="7" fillId="0" borderId="0" xfId="434" applyNumberFormat="1" applyFont="1" applyFill="1" applyBorder="1" applyProtection="1"/>
    <xf numFmtId="49" fontId="7" fillId="0" borderId="0" xfId="434" applyNumberFormat="1" applyFont="1" applyFill="1" applyBorder="1" applyProtection="1">
      <protection locked="0"/>
    </xf>
    <xf numFmtId="173" fontId="7" fillId="0" borderId="0" xfId="414" applyNumberFormat="1" applyFont="1" applyFill="1" applyBorder="1" applyAlignment="1" applyProtection="1">
      <alignment vertical="center"/>
    </xf>
    <xf numFmtId="1" fontId="23" fillId="0" borderId="0" xfId="414" applyNumberFormat="1" applyFont="1" applyFill="1" applyBorder="1" applyAlignment="1">
      <alignment horizontal="left" vertical="center"/>
    </xf>
    <xf numFmtId="1" fontId="6" fillId="0" borderId="0" xfId="414" applyNumberFormat="1" applyFont="1" applyFill="1" applyBorder="1" applyAlignment="1">
      <alignment horizontal="left" vertical="center"/>
    </xf>
    <xf numFmtId="0" fontId="91" fillId="0" borderId="0" xfId="414" applyNumberFormat="1" applyFont="1"/>
    <xf numFmtId="49" fontId="55" fillId="59" borderId="10" xfId="434" applyNumberFormat="1" applyFont="1" applyFill="1" applyBorder="1" applyAlignment="1">
      <alignment horizontal="left" vertical="center"/>
    </xf>
    <xf numFmtId="2" fontId="19" fillId="59" borderId="10" xfId="414" applyNumberFormat="1" applyFont="1" applyFill="1" applyBorder="1" applyAlignment="1">
      <alignment horizontal="center" vertical="center"/>
    </xf>
    <xf numFmtId="1" fontId="91" fillId="59" borderId="10" xfId="414" applyNumberFormat="1" applyFont="1" applyFill="1" applyBorder="1" applyAlignment="1">
      <alignment horizontal="center"/>
    </xf>
    <xf numFmtId="9" fontId="91" fillId="59" borderId="10" xfId="458" applyFont="1" applyFill="1" applyBorder="1" applyAlignment="1">
      <alignment horizontal="center"/>
    </xf>
    <xf numFmtId="173" fontId="91" fillId="59" borderId="10" xfId="414" applyNumberFormat="1" applyFont="1" applyFill="1" applyBorder="1"/>
    <xf numFmtId="2" fontId="7" fillId="59" borderId="10" xfId="414" applyNumberFormat="1" applyFont="1" applyFill="1" applyBorder="1" applyAlignment="1">
      <alignment horizontal="center" vertical="center"/>
    </xf>
    <xf numFmtId="1" fontId="7" fillId="59" borderId="10" xfId="414" applyNumberFormat="1" applyFont="1" applyFill="1" applyBorder="1" applyAlignment="1">
      <alignment horizontal="center" vertical="center"/>
    </xf>
    <xf numFmtId="173" fontId="91" fillId="56" borderId="10" xfId="414" applyNumberFormat="1" applyFont="1" applyFill="1" applyBorder="1"/>
    <xf numFmtId="173" fontId="91" fillId="56" borderId="10" xfId="414" applyNumberFormat="1" applyFont="1" applyFill="1" applyBorder="1" applyAlignment="1">
      <alignment horizontal="center"/>
    </xf>
    <xf numFmtId="0" fontId="55" fillId="54" borderId="24" xfId="0" applyFont="1" applyFill="1" applyBorder="1" applyAlignment="1">
      <alignment vertical="center"/>
    </xf>
    <xf numFmtId="0" fontId="55" fillId="54" borderId="42" xfId="0" applyFont="1" applyFill="1" applyBorder="1" applyAlignment="1">
      <alignment vertical="center"/>
    </xf>
    <xf numFmtId="0" fontId="55" fillId="54" borderId="13" xfId="0" applyFont="1" applyFill="1" applyBorder="1" applyAlignment="1">
      <alignment vertical="center"/>
    </xf>
    <xf numFmtId="164" fontId="55" fillId="54" borderId="0" xfId="0" applyNumberFormat="1" applyFont="1" applyFill="1" applyBorder="1" applyAlignment="1">
      <alignment vertical="center"/>
    </xf>
    <xf numFmtId="14" fontId="55" fillId="54" borderId="0" xfId="0" applyNumberFormat="1" applyFont="1" applyFill="1" applyBorder="1" applyAlignment="1">
      <alignment vertical="center"/>
    </xf>
    <xf numFmtId="0" fontId="55" fillId="54" borderId="22" xfId="0" applyFont="1" applyFill="1" applyBorder="1" applyAlignment="1">
      <alignment vertical="center"/>
    </xf>
    <xf numFmtId="0" fontId="55" fillId="54" borderId="17" xfId="0" applyFont="1" applyFill="1" applyBorder="1" applyAlignment="1">
      <alignment vertical="center"/>
    </xf>
    <xf numFmtId="0" fontId="9" fillId="0" borderId="0" xfId="428" applyNumberFormat="1" applyFont="1" applyBorder="1" applyAlignment="1">
      <alignment horizontal="left" vertical="center"/>
    </xf>
    <xf numFmtId="1" fontId="26" fillId="0" borderId="0" xfId="436" applyNumberFormat="1" applyFont="1" applyFill="1">
      <alignment vertical="center"/>
    </xf>
    <xf numFmtId="0" fontId="20" fillId="0" borderId="0" xfId="0" applyFont="1" applyFill="1" applyAlignment="1">
      <alignment vertical="center"/>
    </xf>
    <xf numFmtId="0" fontId="19" fillId="0" borderId="0" xfId="436" applyFont="1" applyFill="1" applyBorder="1" applyAlignment="1">
      <alignment horizontal="center" vertical="center"/>
    </xf>
    <xf numFmtId="178" fontId="7" fillId="0" borderId="0" xfId="436" applyNumberFormat="1" applyFont="1" applyFill="1" applyBorder="1" applyAlignment="1">
      <alignment horizontal="center" vertical="center"/>
    </xf>
    <xf numFmtId="172" fontId="21" fillId="0" borderId="0" xfId="458" applyNumberFormat="1" applyFont="1" applyFill="1" applyBorder="1" applyAlignment="1">
      <alignment horizontal="center" vertical="center"/>
    </xf>
    <xf numFmtId="10" fontId="21" fillId="0" borderId="0" xfId="436" applyNumberFormat="1" applyFont="1" applyFill="1" applyBorder="1" applyAlignment="1">
      <alignment horizontal="center" vertical="center"/>
    </xf>
    <xf numFmtId="1" fontId="7" fillId="0" borderId="0" xfId="0" applyNumberFormat="1" applyFont="1" applyFill="1" applyAlignment="1">
      <alignment vertical="center"/>
    </xf>
    <xf numFmtId="165" fontId="9" fillId="0" borderId="0" xfId="436" applyNumberFormat="1" applyFont="1" applyFill="1" applyBorder="1" applyAlignment="1">
      <alignment horizontal="left" vertical="center"/>
    </xf>
    <xf numFmtId="1" fontId="7" fillId="68" borderId="10" xfId="0" applyNumberFormat="1" applyFont="1" applyFill="1" applyBorder="1" applyAlignment="1">
      <alignment vertical="center"/>
    </xf>
    <xf numFmtId="1" fontId="208" fillId="68" borderId="10" xfId="0" applyNumberFormat="1" applyFont="1" applyFill="1" applyBorder="1" applyAlignment="1">
      <alignment vertical="center"/>
    </xf>
    <xf numFmtId="9" fontId="7" fillId="68" borderId="10" xfId="458" applyFont="1" applyFill="1" applyBorder="1" applyAlignment="1">
      <alignment vertical="center"/>
    </xf>
    <xf numFmtId="49" fontId="9" fillId="67" borderId="10" xfId="432" applyNumberFormat="1" applyFont="1" applyFill="1" applyBorder="1" applyAlignment="1">
      <alignment horizontal="left"/>
    </xf>
    <xf numFmtId="2" fontId="19" fillId="68" borderId="10" xfId="414" applyNumberFormat="1" applyFont="1" applyFill="1" applyBorder="1" applyAlignment="1">
      <alignment horizontal="center" vertical="center"/>
    </xf>
    <xf numFmtId="2" fontId="9" fillId="67" borderId="23" xfId="436" applyNumberFormat="1" applyFont="1" applyFill="1" applyBorder="1" applyAlignment="1">
      <alignment horizontal="center" vertical="center"/>
    </xf>
    <xf numFmtId="2" fontId="9" fillId="68" borderId="23" xfId="0" applyNumberFormat="1" applyFont="1" applyFill="1" applyBorder="1" applyAlignment="1">
      <alignment vertical="center"/>
    </xf>
    <xf numFmtId="1" fontId="9" fillId="68" borderId="23" xfId="0" applyNumberFormat="1" applyFont="1" applyFill="1" applyBorder="1" applyAlignment="1">
      <alignment vertical="center"/>
    </xf>
    <xf numFmtId="9" fontId="9" fillId="68" borderId="23" xfId="458" applyFont="1" applyFill="1" applyBorder="1" applyAlignment="1">
      <alignment vertical="center"/>
    </xf>
    <xf numFmtId="0" fontId="7" fillId="32" borderId="10" xfId="0" applyFont="1" applyFill="1" applyBorder="1" applyAlignment="1">
      <alignment vertical="center"/>
    </xf>
    <xf numFmtId="1" fontId="7" fillId="32" borderId="10" xfId="0" applyNumberFormat="1" applyFont="1" applyFill="1" applyBorder="1" applyAlignment="1">
      <alignment vertical="center"/>
    </xf>
    <xf numFmtId="1" fontId="9" fillId="59" borderId="30" xfId="436" applyNumberFormat="1" applyFont="1" applyFill="1" applyBorder="1" applyAlignment="1">
      <alignment vertical="center"/>
    </xf>
    <xf numFmtId="0" fontId="55" fillId="54" borderId="10" xfId="0" applyFont="1" applyFill="1" applyBorder="1" applyAlignment="1">
      <alignment horizontal="center" vertical="center"/>
    </xf>
    <xf numFmtId="0" fontId="55" fillId="54" borderId="14" xfId="0" applyFont="1" applyFill="1" applyBorder="1" applyAlignment="1">
      <alignment horizontal="center" vertical="center"/>
    </xf>
    <xf numFmtId="1" fontId="203" fillId="69" borderId="28" xfId="0" applyNumberFormat="1" applyFont="1" applyFill="1" applyBorder="1" applyAlignment="1">
      <alignment horizontal="center" vertical="center"/>
    </xf>
    <xf numFmtId="1" fontId="203" fillId="69" borderId="25" xfId="0" applyNumberFormat="1" applyFont="1" applyFill="1" applyBorder="1" applyAlignment="1">
      <alignment horizontal="center" vertical="center"/>
    </xf>
    <xf numFmtId="1" fontId="110" fillId="36" borderId="10" xfId="430" applyNumberFormat="1" applyFont="1" applyFill="1" applyBorder="1" applyAlignment="1">
      <alignment horizontal="center" vertical="center"/>
    </xf>
    <xf numFmtId="20" fontId="110" fillId="36" borderId="10" xfId="0" applyNumberFormat="1" applyFont="1" applyFill="1" applyBorder="1" applyAlignment="1">
      <alignment horizontal="center" vertical="center"/>
    </xf>
    <xf numFmtId="0" fontId="129" fillId="70" borderId="0" xfId="0" applyFont="1" applyFill="1" applyAlignment="1">
      <alignment horizontal="center" vertical="center"/>
    </xf>
    <xf numFmtId="0" fontId="129" fillId="70" borderId="10" xfId="0" applyFont="1" applyFill="1" applyBorder="1" applyAlignment="1">
      <alignment horizontal="center" vertical="center"/>
    </xf>
    <xf numFmtId="20" fontId="93" fillId="0" borderId="0" xfId="0" applyNumberFormat="1" applyFont="1" applyFill="1" applyAlignment="1">
      <alignment horizontal="center" vertical="center"/>
    </xf>
    <xf numFmtId="1" fontId="7" fillId="46" borderId="27" xfId="428" applyNumberFormat="1" applyFont="1" applyFill="1" applyBorder="1"/>
    <xf numFmtId="1" fontId="203" fillId="71" borderId="28" xfId="0" applyNumberFormat="1" applyFont="1" applyFill="1" applyBorder="1" applyAlignment="1" applyProtection="1">
      <alignment horizontal="center" vertical="center"/>
      <protection locked="0"/>
    </xf>
    <xf numFmtId="1" fontId="203" fillId="71" borderId="28" xfId="0" applyNumberFormat="1" applyFont="1" applyFill="1" applyBorder="1" applyAlignment="1">
      <alignment horizontal="center" vertical="center"/>
    </xf>
    <xf numFmtId="1" fontId="203" fillId="71" borderId="25" xfId="0" applyNumberFormat="1" applyFont="1" applyFill="1" applyBorder="1" applyAlignment="1" applyProtection="1">
      <alignment horizontal="center" vertical="center"/>
      <protection locked="0"/>
    </xf>
    <xf numFmtId="1" fontId="203" fillId="71" borderId="25" xfId="0" applyNumberFormat="1" applyFont="1" applyFill="1" applyBorder="1" applyAlignment="1">
      <alignment horizontal="center" vertical="center"/>
    </xf>
    <xf numFmtId="1" fontId="203" fillId="71" borderId="100" xfId="0" applyNumberFormat="1" applyFont="1" applyFill="1" applyBorder="1" applyAlignment="1" applyProtection="1">
      <alignment horizontal="center" vertical="center"/>
      <protection locked="0"/>
    </xf>
    <xf numFmtId="1" fontId="203" fillId="71" borderId="67" xfId="0" applyNumberFormat="1" applyFont="1" applyFill="1" applyBorder="1" applyAlignment="1" applyProtection="1">
      <alignment horizontal="center" vertical="center"/>
      <protection locked="0"/>
    </xf>
    <xf numFmtId="1" fontId="203" fillId="39" borderId="28" xfId="0" applyNumberFormat="1" applyFont="1" applyFill="1" applyBorder="1" applyAlignment="1" applyProtection="1">
      <alignment horizontal="center" vertical="center"/>
      <protection locked="0"/>
    </xf>
    <xf numFmtId="1" fontId="203" fillId="39" borderId="197" xfId="0" applyNumberFormat="1" applyFont="1" applyFill="1" applyBorder="1" applyAlignment="1" applyProtection="1">
      <alignment horizontal="center" vertical="center"/>
      <protection locked="0"/>
    </xf>
    <xf numFmtId="1" fontId="203" fillId="39" borderId="25" xfId="0" applyNumberFormat="1" applyFont="1" applyFill="1" applyBorder="1" applyAlignment="1" applyProtection="1">
      <alignment horizontal="center" vertical="center"/>
      <protection locked="0"/>
    </xf>
    <xf numFmtId="1" fontId="203" fillId="39" borderId="166" xfId="0" applyNumberFormat="1" applyFont="1" applyFill="1" applyBorder="1" applyAlignment="1" applyProtection="1">
      <alignment horizontal="center" vertical="center"/>
      <protection locked="0"/>
    </xf>
    <xf numFmtId="1" fontId="203" fillId="32" borderId="28" xfId="0" applyNumberFormat="1" applyFont="1" applyFill="1" applyBorder="1" applyAlignment="1" applyProtection="1">
      <alignment horizontal="center" vertical="center"/>
      <protection locked="0"/>
    </xf>
    <xf numFmtId="1" fontId="203" fillId="32" borderId="25" xfId="0" applyNumberFormat="1" applyFont="1" applyFill="1" applyBorder="1" applyAlignment="1" applyProtection="1">
      <alignment horizontal="center" vertical="center"/>
      <protection locked="0"/>
    </xf>
    <xf numFmtId="0" fontId="55" fillId="0" borderId="0" xfId="428" applyFont="1" applyFill="1" applyBorder="1" applyAlignment="1">
      <alignment horizontal="left" vertical="center"/>
    </xf>
    <xf numFmtId="1" fontId="55" fillId="0" borderId="175" xfId="428" applyNumberFormat="1" applyFont="1" applyFill="1" applyBorder="1" applyAlignment="1">
      <alignment horizontal="center" vertical="center"/>
    </xf>
    <xf numFmtId="1" fontId="9" fillId="59" borderId="14" xfId="436" applyNumberFormat="1" applyFont="1" applyFill="1" applyBorder="1" applyAlignment="1">
      <alignment horizontal="right" vertical="center"/>
    </xf>
    <xf numFmtId="1" fontId="8" fillId="0" borderId="0" xfId="436" applyNumberFormat="1" applyFont="1" applyFill="1">
      <alignment vertical="center"/>
    </xf>
    <xf numFmtId="0" fontId="201" fillId="0" borderId="0" xfId="436" applyFont="1" applyFill="1">
      <alignment vertical="center"/>
    </xf>
    <xf numFmtId="0" fontId="9" fillId="0" borderId="0" xfId="436" applyFont="1" applyAlignment="1">
      <alignment horizontal="right" vertical="center"/>
    </xf>
    <xf numFmtId="15" fontId="8" fillId="0" borderId="0" xfId="436" applyNumberFormat="1" applyFont="1">
      <alignment vertical="center"/>
    </xf>
    <xf numFmtId="0" fontId="9" fillId="0" borderId="0" xfId="436" applyFont="1" applyFill="1">
      <alignment vertical="center"/>
    </xf>
    <xf numFmtId="20" fontId="9" fillId="0" borderId="0" xfId="436" applyNumberFormat="1" applyFont="1" applyAlignment="1">
      <alignment horizontal="center" vertical="center"/>
    </xf>
    <xf numFmtId="0" fontId="9" fillId="0" borderId="0" xfId="436" applyFont="1" applyFill="1" applyAlignment="1">
      <alignment horizontal="center" vertical="center"/>
    </xf>
    <xf numFmtId="0" fontId="9" fillId="0" borderId="0" xfId="436" applyFont="1" applyFill="1" applyBorder="1" applyAlignment="1">
      <alignment horizontal="center" vertical="center"/>
    </xf>
    <xf numFmtId="0" fontId="56" fillId="0" borderId="156" xfId="436" applyFont="1" applyFill="1" applyBorder="1">
      <alignment vertical="center"/>
    </xf>
    <xf numFmtId="0" fontId="8" fillId="0" borderId="157" xfId="436" applyFont="1" applyFill="1" applyBorder="1">
      <alignment vertical="center"/>
    </xf>
    <xf numFmtId="0" fontId="8" fillId="0" borderId="42" xfId="436" applyFont="1" applyFill="1" applyBorder="1" applyAlignment="1">
      <alignment horizontal="center" vertical="center"/>
    </xf>
    <xf numFmtId="0" fontId="8" fillId="0" borderId="88" xfId="436" applyFont="1" applyFill="1" applyBorder="1">
      <alignment vertical="center"/>
    </xf>
    <xf numFmtId="0" fontId="8" fillId="0" borderId="157" xfId="436" applyFont="1" applyFill="1" applyBorder="1" applyAlignment="1">
      <alignment horizontal="center" vertical="center"/>
    </xf>
    <xf numFmtId="0" fontId="8" fillId="0" borderId="157" xfId="436" applyFont="1" applyFill="1" applyBorder="1" applyAlignment="1">
      <alignment horizontal="left" vertical="center"/>
    </xf>
    <xf numFmtId="0" fontId="8" fillId="0" borderId="41" xfId="436" applyFont="1" applyFill="1" applyBorder="1">
      <alignment vertical="center"/>
    </xf>
    <xf numFmtId="0" fontId="56" fillId="0" borderId="158" xfId="436" applyFont="1" applyFill="1" applyBorder="1">
      <alignment vertical="center"/>
    </xf>
    <xf numFmtId="0" fontId="8" fillId="0" borderId="159" xfId="436" applyFont="1" applyFill="1" applyBorder="1">
      <alignment vertical="center"/>
    </xf>
    <xf numFmtId="0" fontId="9" fillId="0" borderId="17" xfId="436" applyFont="1" applyBorder="1" applyAlignment="1">
      <alignment horizontal="center" vertical="center"/>
    </xf>
    <xf numFmtId="0" fontId="9" fillId="0" borderId="160" xfId="436" applyFont="1" applyBorder="1">
      <alignment vertical="center"/>
    </xf>
    <xf numFmtId="0" fontId="9" fillId="0" borderId="159" xfId="436" applyFont="1" applyBorder="1" applyAlignment="1">
      <alignment horizontal="center" vertical="center"/>
    </xf>
    <xf numFmtId="0" fontId="9" fillId="0" borderId="160" xfId="436" applyFont="1" applyBorder="1" applyAlignment="1">
      <alignment horizontal="center" vertical="center"/>
    </xf>
    <xf numFmtId="0" fontId="8" fillId="0" borderId="160" xfId="436" applyFont="1" applyFill="1" applyBorder="1">
      <alignment vertical="center"/>
    </xf>
    <xf numFmtId="0" fontId="8" fillId="0" borderId="18" xfId="436" applyFont="1" applyFill="1" applyBorder="1">
      <alignment vertical="center"/>
    </xf>
    <xf numFmtId="0" fontId="56" fillId="0" borderId="161" xfId="436" applyFont="1" applyFill="1" applyBorder="1" applyAlignment="1">
      <alignment horizontal="left" vertical="center"/>
    </xf>
    <xf numFmtId="0" fontId="8" fillId="0" borderId="162" xfId="436" applyFont="1" applyFill="1" applyBorder="1">
      <alignment vertical="center"/>
    </xf>
    <xf numFmtId="0" fontId="8" fillId="0" borderId="163" xfId="436" applyFont="1" applyFill="1" applyBorder="1">
      <alignment vertical="center"/>
    </xf>
    <xf numFmtId="172" fontId="8" fillId="0" borderId="11" xfId="458" applyNumberFormat="1" applyFont="1" applyFill="1" applyBorder="1" applyAlignment="1">
      <alignment horizontal="center" vertical="center"/>
    </xf>
    <xf numFmtId="9" fontId="8" fillId="0" borderId="164" xfId="458" applyFont="1" applyFill="1" applyBorder="1" applyAlignment="1">
      <alignment vertical="center"/>
    </xf>
    <xf numFmtId="0" fontId="56" fillId="0" borderId="165" xfId="436" applyFont="1" applyFill="1" applyBorder="1" applyAlignment="1">
      <alignment horizontal="left" vertical="center"/>
    </xf>
    <xf numFmtId="0" fontId="8" fillId="0" borderId="166" xfId="436" applyFont="1" applyFill="1" applyBorder="1">
      <alignment vertical="center"/>
    </xf>
    <xf numFmtId="0" fontId="8" fillId="0" borderId="29" xfId="436" applyFont="1" applyFill="1" applyBorder="1">
      <alignment vertical="center"/>
    </xf>
    <xf numFmtId="9" fontId="8" fillId="0" borderId="167" xfId="458" applyFont="1" applyFill="1" applyBorder="1" applyAlignment="1">
      <alignment vertical="center"/>
    </xf>
    <xf numFmtId="0" fontId="56" fillId="0" borderId="168" xfId="436" applyFont="1" applyFill="1" applyBorder="1" applyAlignment="1">
      <alignment horizontal="left" vertical="center"/>
    </xf>
    <xf numFmtId="0" fontId="9" fillId="0" borderId="166" xfId="436" applyFont="1" applyBorder="1">
      <alignment vertical="center"/>
    </xf>
    <xf numFmtId="0" fontId="9" fillId="0" borderId="29" xfId="436" applyFont="1" applyBorder="1">
      <alignment vertical="center"/>
    </xf>
    <xf numFmtId="0" fontId="8" fillId="0" borderId="29" xfId="436" applyFont="1" applyBorder="1">
      <alignment vertical="center"/>
    </xf>
    <xf numFmtId="0" fontId="56" fillId="0" borderId="158" xfId="436" applyFont="1" applyFill="1" applyBorder="1" applyAlignment="1">
      <alignment horizontal="left" vertical="center"/>
    </xf>
    <xf numFmtId="9" fontId="8" fillId="0" borderId="18" xfId="436" applyNumberFormat="1" applyFont="1" applyFill="1" applyBorder="1">
      <alignment vertical="center"/>
    </xf>
    <xf numFmtId="0" fontId="55" fillId="0" borderId="42" xfId="436" applyFont="1" applyFill="1" applyBorder="1" applyAlignment="1">
      <alignment horizontal="left" vertical="center"/>
    </xf>
    <xf numFmtId="0" fontId="2" fillId="0" borderId="42" xfId="436" applyFont="1" applyFill="1" applyBorder="1">
      <alignment vertical="center"/>
    </xf>
    <xf numFmtId="165" fontId="2" fillId="0" borderId="42" xfId="436" applyNumberFormat="1" applyFont="1" applyFill="1" applyBorder="1" applyAlignment="1">
      <alignment horizontal="center" vertical="center"/>
    </xf>
    <xf numFmtId="1" fontId="2" fillId="0" borderId="42" xfId="436" applyNumberFormat="1" applyFont="1" applyFill="1" applyBorder="1" applyAlignment="1">
      <alignment horizontal="center" vertical="center"/>
    </xf>
    <xf numFmtId="10" fontId="2" fillId="0" borderId="42" xfId="458" applyNumberFormat="1" applyFont="1" applyFill="1" applyBorder="1" applyAlignment="1">
      <alignment horizontal="center" vertical="center"/>
    </xf>
    <xf numFmtId="165" fontId="2" fillId="0" borderId="0" xfId="436" applyNumberFormat="1" applyFont="1" applyFill="1" applyBorder="1" applyAlignment="1">
      <alignment horizontal="center" vertical="center"/>
    </xf>
    <xf numFmtId="10" fontId="2" fillId="0" borderId="0" xfId="458" applyNumberFormat="1" applyFont="1" applyFill="1" applyBorder="1" applyAlignment="1">
      <alignment horizontal="center" vertical="center"/>
    </xf>
    <xf numFmtId="14" fontId="2" fillId="0" borderId="0" xfId="436" applyNumberFormat="1" applyFont="1" applyFill="1">
      <alignment vertical="center"/>
    </xf>
    <xf numFmtId="0" fontId="8" fillId="0" borderId="0" xfId="436" applyFont="1" applyFill="1">
      <alignment vertical="center"/>
    </xf>
    <xf numFmtId="0" fontId="55" fillId="0" borderId="0" xfId="0" applyFont="1"/>
    <xf numFmtId="0" fontId="56" fillId="0" borderId="14" xfId="436" applyFont="1" applyFill="1" applyBorder="1">
      <alignment vertical="center"/>
    </xf>
    <xf numFmtId="0" fontId="8" fillId="0" borderId="15" xfId="436" applyFont="1" applyFill="1" applyBorder="1">
      <alignment vertical="center"/>
    </xf>
    <xf numFmtId="0" fontId="9" fillId="0" borderId="15" xfId="436" applyFont="1" applyBorder="1" applyAlignment="1">
      <alignment horizontal="center" vertical="center"/>
    </xf>
    <xf numFmtId="0" fontId="8" fillId="0" borderId="30" xfId="436" applyFont="1" applyFill="1" applyBorder="1">
      <alignment vertical="center"/>
    </xf>
    <xf numFmtId="9" fontId="8" fillId="0" borderId="11" xfId="458" applyNumberFormat="1" applyFont="1" applyFill="1" applyBorder="1" applyAlignment="1">
      <alignment horizontal="center" vertical="center"/>
    </xf>
    <xf numFmtId="0" fontId="8" fillId="0" borderId="164" xfId="0" applyFont="1" applyFill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8" fillId="0" borderId="167" xfId="0" applyFont="1" applyFill="1" applyBorder="1" applyAlignment="1">
      <alignment horizontal="center" vertical="center"/>
    </xf>
    <xf numFmtId="0" fontId="29" fillId="0" borderId="0" xfId="0" applyFont="1"/>
    <xf numFmtId="0" fontId="56" fillId="0" borderId="165" xfId="436" applyFont="1" applyFill="1" applyBorder="1" applyAlignment="1">
      <alignment vertical="center"/>
    </xf>
    <xf numFmtId="0" fontId="56" fillId="0" borderId="168" xfId="436" applyFont="1" applyFill="1" applyBorder="1" applyAlignment="1">
      <alignment vertical="center"/>
    </xf>
    <xf numFmtId="0" fontId="8" fillId="0" borderId="169" xfId="436" applyFont="1" applyFill="1" applyBorder="1">
      <alignment vertical="center"/>
    </xf>
    <xf numFmtId="0" fontId="8" fillId="0" borderId="171" xfId="0" applyFont="1" applyFill="1" applyBorder="1" applyAlignment="1">
      <alignment horizontal="center" vertical="center"/>
    </xf>
    <xf numFmtId="0" fontId="56" fillId="0" borderId="172" xfId="436" applyFont="1" applyFill="1" applyBorder="1" applyAlignment="1">
      <alignment horizontal="left" vertical="center"/>
    </xf>
    <xf numFmtId="0" fontId="8" fillId="0" borderId="173" xfId="436" applyFont="1" applyFill="1" applyBorder="1">
      <alignment vertical="center"/>
    </xf>
    <xf numFmtId="10" fontId="8" fillId="0" borderId="15" xfId="458" applyNumberFormat="1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1" fontId="29" fillId="0" borderId="0" xfId="0" applyNumberFormat="1" applyFont="1" applyFill="1" applyAlignment="1">
      <alignment horizontal="left" vertical="center"/>
    </xf>
    <xf numFmtId="0" fontId="9" fillId="26" borderId="10" xfId="0" applyFont="1" applyFill="1" applyBorder="1" applyAlignment="1">
      <alignment horizontal="center"/>
    </xf>
    <xf numFmtId="0" fontId="9" fillId="26" borderId="14" xfId="0" applyFont="1" applyFill="1" applyBorder="1" applyAlignment="1"/>
    <xf numFmtId="20" fontId="8" fillId="26" borderId="218" xfId="0" applyNumberFormat="1" applyFont="1" applyFill="1" applyBorder="1" applyAlignment="1">
      <alignment horizontal="center" vertical="center"/>
    </xf>
    <xf numFmtId="20" fontId="8" fillId="26" borderId="219" xfId="0" applyNumberFormat="1" applyFont="1" applyFill="1" applyBorder="1" applyAlignment="1">
      <alignment horizontal="center" vertical="center"/>
    </xf>
    <xf numFmtId="20" fontId="8" fillId="26" borderId="220" xfId="0" applyNumberFormat="1" applyFont="1" applyFill="1" applyBorder="1" applyAlignment="1">
      <alignment horizontal="center" vertical="center"/>
    </xf>
    <xf numFmtId="0" fontId="93" fillId="48" borderId="10" xfId="0" applyFont="1" applyFill="1" applyBorder="1" applyAlignment="1">
      <alignment vertical="center"/>
    </xf>
    <xf numFmtId="0" fontId="93" fillId="48" borderId="10" xfId="0" applyFont="1" applyFill="1" applyBorder="1" applyAlignment="1">
      <alignment horizontal="center" vertical="center"/>
    </xf>
    <xf numFmtId="0" fontId="31" fillId="43" borderId="23" xfId="0" applyFont="1" applyFill="1" applyBorder="1" applyAlignment="1">
      <alignment horizontal="center" vertical="center"/>
    </xf>
    <xf numFmtId="0" fontId="30" fillId="43" borderId="23" xfId="0" applyFont="1" applyFill="1" applyBorder="1" applyAlignment="1">
      <alignment horizontal="center" vertical="center"/>
    </xf>
    <xf numFmtId="0" fontId="93" fillId="48" borderId="31" xfId="0" applyFont="1" applyFill="1" applyBorder="1" applyAlignment="1">
      <alignment vertical="center"/>
    </xf>
    <xf numFmtId="0" fontId="34" fillId="48" borderId="31" xfId="0" applyFont="1" applyFill="1" applyBorder="1" applyAlignment="1">
      <alignment vertical="center"/>
    </xf>
    <xf numFmtId="0" fontId="209" fillId="48" borderId="59" xfId="0" applyFont="1" applyFill="1" applyBorder="1" applyAlignment="1">
      <alignment horizontal="center" vertical="center"/>
    </xf>
    <xf numFmtId="0" fontId="209" fillId="48" borderId="102" xfId="0" applyFont="1" applyFill="1" applyBorder="1" applyAlignment="1">
      <alignment horizontal="center" vertical="center"/>
    </xf>
    <xf numFmtId="0" fontId="33" fillId="48" borderId="39" xfId="0" applyFont="1" applyFill="1" applyBorder="1" applyAlignment="1">
      <alignment vertical="center"/>
    </xf>
    <xf numFmtId="0" fontId="98" fillId="48" borderId="54" xfId="0" applyFont="1" applyFill="1" applyBorder="1" applyAlignment="1">
      <alignment vertical="center"/>
    </xf>
    <xf numFmtId="0" fontId="98" fillId="48" borderId="86" xfId="0" applyFont="1" applyFill="1" applyBorder="1" applyAlignment="1">
      <alignment vertical="center"/>
    </xf>
    <xf numFmtId="0" fontId="209" fillId="48" borderId="103" xfId="0" applyFont="1" applyFill="1" applyBorder="1" applyAlignment="1">
      <alignment horizontal="center" vertical="center"/>
    </xf>
    <xf numFmtId="0" fontId="209" fillId="48" borderId="36" xfId="0" applyFont="1" applyFill="1" applyBorder="1" applyAlignment="1">
      <alignment horizontal="center" vertical="center"/>
    </xf>
    <xf numFmtId="0" fontId="209" fillId="43" borderId="10" xfId="0" applyFont="1" applyFill="1" applyBorder="1" applyAlignment="1">
      <alignment horizontal="center" vertical="center"/>
    </xf>
    <xf numFmtId="0" fontId="209" fillId="43" borderId="23" xfId="0" applyFont="1" applyFill="1" applyBorder="1" applyAlignment="1">
      <alignment horizontal="center" vertical="center"/>
    </xf>
    <xf numFmtId="20" fontId="41" fillId="45" borderId="10" xfId="0" quotePrefix="1" applyNumberFormat="1" applyFont="1" applyFill="1" applyBorder="1" applyAlignment="1">
      <alignment horizontal="center" vertical="center"/>
    </xf>
    <xf numFmtId="20" fontId="41" fillId="45" borderId="10" xfId="0" applyNumberFormat="1" applyFont="1" applyFill="1" applyBorder="1" applyAlignment="1">
      <alignment horizontal="center" vertical="center"/>
    </xf>
    <xf numFmtId="20" fontId="41" fillId="45" borderId="23" xfId="0" quotePrefix="1" applyNumberFormat="1" applyFont="1" applyFill="1" applyBorder="1" applyAlignment="1">
      <alignment horizontal="center" vertical="center"/>
    </xf>
    <xf numFmtId="2" fontId="9" fillId="59" borderId="14" xfId="436" applyNumberFormat="1" applyFont="1" applyFill="1" applyBorder="1" applyAlignment="1">
      <alignment vertical="center"/>
    </xf>
    <xf numFmtId="2" fontId="9" fillId="59" borderId="15" xfId="436" applyNumberFormat="1" applyFont="1" applyFill="1" applyBorder="1" applyAlignment="1">
      <alignment vertical="center"/>
    </xf>
    <xf numFmtId="2" fontId="9" fillId="59" borderId="30" xfId="436" applyNumberFormat="1" applyFont="1" applyFill="1" applyBorder="1" applyAlignment="1">
      <alignment vertical="center"/>
    </xf>
    <xf numFmtId="1" fontId="9" fillId="59" borderId="14" xfId="436" applyNumberFormat="1" applyFont="1" applyFill="1" applyBorder="1" applyAlignment="1">
      <alignment vertical="center"/>
    </xf>
    <xf numFmtId="1" fontId="9" fillId="59" borderId="15" xfId="436" applyNumberFormat="1" applyFont="1" applyFill="1" applyBorder="1" applyAlignment="1">
      <alignment vertical="center"/>
    </xf>
    <xf numFmtId="0" fontId="42" fillId="0" borderId="0" xfId="0" applyNumberFormat="1" applyFont="1" applyFill="1" applyBorder="1" applyAlignment="1">
      <alignment horizontal="center" vertical="center" wrapText="1"/>
    </xf>
    <xf numFmtId="1" fontId="108" fillId="54" borderId="10" xfId="0" applyNumberFormat="1" applyFont="1" applyFill="1" applyBorder="1" applyAlignment="1">
      <alignment horizontal="center"/>
    </xf>
    <xf numFmtId="1" fontId="128" fillId="54" borderId="27" xfId="0" applyNumberFormat="1" applyFont="1" applyFill="1" applyBorder="1" applyAlignment="1">
      <alignment horizontal="center"/>
    </xf>
    <xf numFmtId="1" fontId="108" fillId="54" borderId="35" xfId="0" applyNumberFormat="1" applyFont="1" applyFill="1" applyBorder="1" applyAlignment="1">
      <alignment horizontal="center" vertical="center"/>
    </xf>
    <xf numFmtId="1" fontId="128" fillId="54" borderId="102" xfId="0" applyNumberFormat="1" applyFont="1" applyFill="1" applyBorder="1" applyAlignment="1">
      <alignment horizontal="center" vertical="center"/>
    </xf>
    <xf numFmtId="173" fontId="8" fillId="44" borderId="94" xfId="0" applyNumberFormat="1" applyFont="1" applyFill="1" applyBorder="1" applyAlignment="1">
      <alignment horizontal="center" vertical="center"/>
    </xf>
    <xf numFmtId="173" fontId="8" fillId="44" borderId="95" xfId="0" applyNumberFormat="1" applyFont="1" applyFill="1" applyBorder="1" applyAlignment="1">
      <alignment horizontal="center" vertical="center"/>
    </xf>
    <xf numFmtId="0" fontId="210" fillId="44" borderId="46" xfId="0" applyFont="1" applyFill="1" applyBorder="1" applyAlignment="1">
      <alignment horizontal="center" vertical="center"/>
    </xf>
    <xf numFmtId="173" fontId="8" fillId="44" borderId="35" xfId="430" applyNumberFormat="1" applyFont="1" applyFill="1" applyBorder="1" applyAlignment="1">
      <alignment horizontal="center" vertical="center"/>
    </xf>
    <xf numFmtId="173" fontId="2" fillId="44" borderId="35" xfId="430" applyNumberFormat="1" applyFont="1" applyFill="1" applyBorder="1" applyAlignment="1">
      <alignment horizontal="center" vertical="center"/>
    </xf>
    <xf numFmtId="173" fontId="8" fillId="44" borderId="34" xfId="430" applyNumberFormat="1" applyFont="1" applyFill="1" applyBorder="1" applyAlignment="1">
      <alignment horizontal="center" vertical="center"/>
    </xf>
    <xf numFmtId="20" fontId="91" fillId="45" borderId="10" xfId="0" applyNumberFormat="1" applyFont="1" applyFill="1" applyBorder="1" applyAlignment="1">
      <alignment horizontal="center" vertical="center"/>
    </xf>
    <xf numFmtId="1" fontId="91" fillId="45" borderId="10" xfId="0" applyNumberFormat="1" applyFont="1" applyFill="1" applyBorder="1" applyAlignment="1">
      <alignment horizontal="center" vertical="center"/>
    </xf>
    <xf numFmtId="0" fontId="211" fillId="0" borderId="0" xfId="0" applyFont="1" applyAlignment="1">
      <alignment horizontal="center"/>
    </xf>
    <xf numFmtId="173" fontId="104" fillId="0" borderId="0" xfId="401" applyNumberFormat="1" applyFont="1"/>
    <xf numFmtId="2" fontId="36" fillId="0" borderId="0" xfId="0" applyNumberFormat="1" applyFont="1" applyFill="1" applyBorder="1" applyAlignment="1">
      <alignment horizontal="center" vertical="center"/>
    </xf>
    <xf numFmtId="0" fontId="42" fillId="0" borderId="39" xfId="0" applyNumberFormat="1" applyFont="1" applyFill="1" applyBorder="1" applyAlignment="1">
      <alignment vertical="center" wrapText="1"/>
    </xf>
    <xf numFmtId="0" fontId="42" fillId="0" borderId="37" xfId="0" applyNumberFormat="1" applyFont="1" applyFill="1" applyBorder="1" applyAlignment="1">
      <alignment vertical="center" wrapText="1"/>
    </xf>
    <xf numFmtId="0" fontId="91" fillId="0" borderId="72" xfId="0" applyFont="1" applyFill="1" applyBorder="1"/>
    <xf numFmtId="0" fontId="42" fillId="0" borderId="175" xfId="0" applyNumberFormat="1" applyFont="1" applyFill="1" applyBorder="1" applyAlignment="1">
      <alignment vertical="center" wrapText="1"/>
    </xf>
    <xf numFmtId="166" fontId="204" fillId="35" borderId="72" xfId="271" applyNumberFormat="1" applyFont="1" applyFill="1" applyBorder="1" applyAlignment="1">
      <alignment horizontal="center" vertical="center"/>
    </xf>
    <xf numFmtId="166" fontId="204" fillId="35" borderId="62" xfId="271" applyNumberFormat="1" applyFont="1" applyFill="1" applyBorder="1" applyAlignment="1">
      <alignment horizontal="center" vertical="center"/>
    </xf>
    <xf numFmtId="166" fontId="204" fillId="35" borderId="72" xfId="271" applyNumberFormat="1" applyFont="1" applyFill="1" applyBorder="1" applyAlignment="1">
      <alignment horizontal="left" vertical="center"/>
    </xf>
    <xf numFmtId="1" fontId="204" fillId="53" borderId="62" xfId="0" applyNumberFormat="1" applyFont="1" applyFill="1" applyBorder="1" applyAlignment="1" applyProtection="1">
      <alignment horizontal="center" vertical="center"/>
      <protection locked="0"/>
    </xf>
    <xf numFmtId="1" fontId="204" fillId="53" borderId="184" xfId="0" applyNumberFormat="1" applyFont="1" applyFill="1" applyBorder="1" applyAlignment="1" applyProtection="1">
      <alignment horizontal="center" vertical="center"/>
      <protection locked="0"/>
    </xf>
    <xf numFmtId="0" fontId="91" fillId="0" borderId="0" xfId="414" applyNumberFormat="1" applyFont="1" applyAlignment="1">
      <alignment horizontal="center"/>
    </xf>
    <xf numFmtId="0" fontId="117" fillId="0" borderId="0" xfId="0" applyFont="1" applyFill="1"/>
    <xf numFmtId="1" fontId="195" fillId="63" borderId="51" xfId="0" applyNumberFormat="1" applyFont="1" applyFill="1" applyBorder="1" applyAlignment="1" applyProtection="1">
      <alignment horizontal="center" vertical="center"/>
      <protection locked="0"/>
    </xf>
    <xf numFmtId="1" fontId="195" fillId="63" borderId="62" xfId="0" applyNumberFormat="1" applyFont="1" applyFill="1" applyBorder="1" applyAlignment="1" applyProtection="1">
      <alignment horizontal="center" vertical="center"/>
      <protection locked="0"/>
    </xf>
    <xf numFmtId="1" fontId="195" fillId="63" borderId="31" xfId="0" applyNumberFormat="1" applyFont="1" applyFill="1" applyBorder="1" applyAlignment="1" applyProtection="1">
      <alignment horizontal="center" vertical="center"/>
      <protection locked="0"/>
    </xf>
    <xf numFmtId="165" fontId="140" fillId="63" borderId="62" xfId="0" applyNumberFormat="1" applyFont="1" applyFill="1" applyBorder="1" applyAlignment="1" applyProtection="1">
      <alignment horizontal="center" vertical="center"/>
      <protection locked="0"/>
    </xf>
    <xf numFmtId="1" fontId="203" fillId="79" borderId="25" xfId="0" applyNumberFormat="1" applyFont="1" applyFill="1" applyBorder="1" applyAlignment="1" applyProtection="1">
      <alignment horizontal="center" vertical="center"/>
      <protection locked="0"/>
    </xf>
    <xf numFmtId="166" fontId="203" fillId="77" borderId="25" xfId="271" applyNumberFormat="1" applyFont="1" applyFill="1" applyBorder="1" applyAlignment="1">
      <alignment horizontal="center" vertical="center"/>
    </xf>
    <xf numFmtId="166" fontId="203" fillId="79" borderId="25" xfId="271" applyNumberFormat="1" applyFont="1" applyFill="1" applyBorder="1" applyAlignment="1">
      <alignment horizontal="center" vertical="center"/>
    </xf>
    <xf numFmtId="1" fontId="203" fillId="78" borderId="25" xfId="0" applyNumberFormat="1" applyFont="1" applyFill="1" applyBorder="1" applyAlignment="1" applyProtection="1">
      <alignment horizontal="center" vertical="center"/>
      <protection locked="0"/>
    </xf>
    <xf numFmtId="1" fontId="203" fillId="79" borderId="28" xfId="0" applyNumberFormat="1" applyFont="1" applyFill="1" applyBorder="1" applyAlignment="1" applyProtection="1">
      <alignment horizontal="center" vertical="center"/>
      <protection locked="0"/>
    </xf>
    <xf numFmtId="1" fontId="203" fillId="71" borderId="189" xfId="0" applyNumberFormat="1" applyFont="1" applyFill="1" applyBorder="1" applyAlignment="1">
      <alignment horizontal="center" vertical="center"/>
    </xf>
    <xf numFmtId="1" fontId="203" fillId="71" borderId="189" xfId="0" applyNumberFormat="1" applyFont="1" applyFill="1" applyBorder="1" applyAlignment="1" applyProtection="1">
      <alignment horizontal="center" vertical="center"/>
      <protection locked="0"/>
    </xf>
    <xf numFmtId="1" fontId="203" fillId="79" borderId="189" xfId="0" applyNumberFormat="1" applyFont="1" applyFill="1" applyBorder="1" applyAlignment="1" applyProtection="1">
      <alignment horizontal="center" vertical="center"/>
      <protection locked="0"/>
    </xf>
    <xf numFmtId="1" fontId="195" fillId="27" borderId="63" xfId="0" applyNumberFormat="1" applyFont="1" applyFill="1" applyBorder="1" applyAlignment="1" applyProtection="1">
      <alignment horizontal="center" vertical="center"/>
      <protection locked="0"/>
    </xf>
    <xf numFmtId="165" fontId="195" fillId="27" borderId="62" xfId="0" applyNumberFormat="1" applyFont="1" applyFill="1" applyBorder="1" applyAlignment="1" applyProtection="1">
      <alignment horizontal="center" vertical="center"/>
      <protection locked="0"/>
    </xf>
    <xf numFmtId="165" fontId="195" fillId="63" borderId="62" xfId="0" applyNumberFormat="1" applyFont="1" applyFill="1" applyBorder="1" applyAlignment="1" applyProtection="1">
      <alignment horizontal="center" vertical="center"/>
      <protection locked="0"/>
    </xf>
    <xf numFmtId="165" fontId="195" fillId="63" borderId="31" xfId="0" applyNumberFormat="1" applyFont="1" applyFill="1" applyBorder="1" applyAlignment="1" applyProtection="1">
      <alignment horizontal="center" vertical="center"/>
      <protection locked="0"/>
    </xf>
    <xf numFmtId="165" fontId="195" fillId="63" borderId="51" xfId="0" applyNumberFormat="1" applyFont="1" applyFill="1" applyBorder="1" applyAlignment="1" applyProtection="1">
      <alignment horizontal="center" vertical="center"/>
      <protection locked="0"/>
    </xf>
    <xf numFmtId="1" fontId="140" fillId="63" borderId="62" xfId="0" applyNumberFormat="1" applyFont="1" applyFill="1" applyBorder="1" applyAlignment="1" applyProtection="1">
      <alignment horizontal="center" vertical="center"/>
      <protection locked="0"/>
    </xf>
    <xf numFmtId="1" fontId="140" fillId="63" borderId="79" xfId="0" applyNumberFormat="1" applyFont="1" applyFill="1" applyBorder="1" applyAlignment="1" applyProtection="1">
      <alignment horizontal="center" vertical="center"/>
      <protection locked="0"/>
    </xf>
    <xf numFmtId="1" fontId="204" fillId="53" borderId="79" xfId="0" applyNumberFormat="1" applyFont="1" applyFill="1" applyBorder="1" applyAlignment="1" applyProtection="1">
      <alignment horizontal="center" vertical="center"/>
      <protection locked="0"/>
    </xf>
    <xf numFmtId="1" fontId="204" fillId="35" borderId="62" xfId="0" applyNumberFormat="1" applyFont="1" applyFill="1" applyBorder="1" applyAlignment="1" applyProtection="1">
      <alignment horizontal="center" vertical="center"/>
      <protection locked="0"/>
    </xf>
    <xf numFmtId="166" fontId="204" fillId="35" borderId="79" xfId="271" applyNumberFormat="1" applyFont="1" applyFill="1" applyBorder="1" applyAlignment="1">
      <alignment horizontal="center" vertical="center"/>
    </xf>
    <xf numFmtId="1" fontId="203" fillId="0" borderId="37" xfId="0" applyNumberFormat="1" applyFont="1" applyFill="1" applyBorder="1" applyAlignment="1" applyProtection="1">
      <alignment horizontal="center" vertical="center"/>
      <protection locked="0"/>
    </xf>
    <xf numFmtId="1" fontId="203" fillId="0" borderId="37" xfId="0" applyNumberFormat="1" applyFont="1" applyFill="1" applyBorder="1" applyAlignment="1">
      <alignment horizontal="center" vertical="center"/>
    </xf>
    <xf numFmtId="1" fontId="140" fillId="0" borderId="37" xfId="0" applyNumberFormat="1" applyFont="1" applyFill="1" applyBorder="1" applyAlignment="1" applyProtection="1">
      <alignment horizontal="center" vertical="center"/>
      <protection locked="0"/>
    </xf>
    <xf numFmtId="165" fontId="195" fillId="0" borderId="37" xfId="0" applyNumberFormat="1" applyFont="1" applyFill="1" applyBorder="1" applyAlignment="1" applyProtection="1">
      <alignment horizontal="center" vertical="center"/>
      <protection locked="0"/>
    </xf>
    <xf numFmtId="1" fontId="195" fillId="0" borderId="37" xfId="0" applyNumberFormat="1" applyFont="1" applyFill="1" applyBorder="1" applyAlignment="1" applyProtection="1">
      <alignment horizontal="center" vertical="center"/>
      <protection locked="0"/>
    </xf>
    <xf numFmtId="1" fontId="140" fillId="63" borderId="196" xfId="0" applyNumberFormat="1" applyFont="1" applyFill="1" applyBorder="1" applyAlignment="1" applyProtection="1">
      <alignment horizontal="center" vertical="center"/>
      <protection locked="0"/>
    </xf>
    <xf numFmtId="165" fontId="195" fillId="63" borderId="196" xfId="0" applyNumberFormat="1" applyFont="1" applyFill="1" applyBorder="1" applyAlignment="1" applyProtection="1">
      <alignment horizontal="center" vertical="center"/>
      <protection locked="0"/>
    </xf>
    <xf numFmtId="1" fontId="140" fillId="63" borderId="190" xfId="0" applyNumberFormat="1" applyFont="1" applyFill="1" applyBorder="1" applyAlignment="1" applyProtection="1">
      <alignment horizontal="center" vertical="center"/>
      <protection locked="0"/>
    </xf>
    <xf numFmtId="165" fontId="140" fillId="63" borderId="190" xfId="0" applyNumberFormat="1" applyFont="1" applyFill="1" applyBorder="1" applyAlignment="1" applyProtection="1">
      <alignment horizontal="center" vertical="center"/>
      <protection locked="0"/>
    </xf>
    <xf numFmtId="1" fontId="195" fillId="27" borderId="190" xfId="0" applyNumberFormat="1" applyFont="1" applyFill="1" applyBorder="1" applyAlignment="1" applyProtection="1">
      <alignment horizontal="center" vertical="center"/>
      <protection locked="0"/>
    </xf>
    <xf numFmtId="1" fontId="195" fillId="63" borderId="142" xfId="0" applyNumberFormat="1" applyFont="1" applyFill="1" applyBorder="1" applyAlignment="1" applyProtection="1">
      <alignment horizontal="center" vertical="center"/>
      <protection locked="0"/>
    </xf>
    <xf numFmtId="1" fontId="195" fillId="63" borderId="196" xfId="0" applyNumberFormat="1" applyFont="1" applyFill="1" applyBorder="1" applyAlignment="1" applyProtection="1">
      <alignment horizontal="center" vertical="center"/>
      <protection locked="0"/>
    </xf>
    <xf numFmtId="1" fontId="203" fillId="79" borderId="197" xfId="0" applyNumberFormat="1" applyFont="1" applyFill="1" applyBorder="1" applyAlignment="1" applyProtection="1">
      <alignment horizontal="center" vertical="center"/>
      <protection locked="0"/>
    </xf>
    <xf numFmtId="1" fontId="203" fillId="79" borderId="166" xfId="0" applyNumberFormat="1" applyFont="1" applyFill="1" applyBorder="1" applyAlignment="1" applyProtection="1">
      <alignment horizontal="center" vertical="center"/>
      <protection locked="0"/>
    </xf>
    <xf numFmtId="166" fontId="203" fillId="79" borderId="166" xfId="271" applyNumberFormat="1" applyFont="1" applyFill="1" applyBorder="1" applyAlignment="1">
      <alignment horizontal="center" vertical="center"/>
    </xf>
    <xf numFmtId="1" fontId="203" fillId="78" borderId="166" xfId="0" applyNumberFormat="1" applyFont="1" applyFill="1" applyBorder="1" applyAlignment="1" applyProtection="1">
      <alignment horizontal="center" vertical="center"/>
      <protection locked="0"/>
    </xf>
    <xf numFmtId="1" fontId="203" fillId="79" borderId="223" xfId="0" applyNumberFormat="1" applyFont="1" applyFill="1" applyBorder="1" applyAlignment="1" applyProtection="1">
      <alignment horizontal="center" vertical="center"/>
      <protection locked="0"/>
    </xf>
    <xf numFmtId="165" fontId="140" fillId="63" borderId="224" xfId="0" applyNumberFormat="1" applyFont="1" applyFill="1" applyBorder="1" applyAlignment="1" applyProtection="1">
      <alignment horizontal="center" vertical="center"/>
      <protection locked="0"/>
    </xf>
    <xf numFmtId="165" fontId="140" fillId="63" borderId="185" xfId="0" applyNumberFormat="1" applyFont="1" applyFill="1" applyBorder="1" applyAlignment="1" applyProtection="1">
      <alignment horizontal="center" vertical="center"/>
      <protection locked="0"/>
    </xf>
    <xf numFmtId="165" fontId="140" fillId="63" borderId="222" xfId="0" applyNumberFormat="1" applyFont="1" applyFill="1" applyBorder="1" applyAlignment="1" applyProtection="1">
      <alignment horizontal="center" vertical="center"/>
      <protection locked="0"/>
    </xf>
    <xf numFmtId="165" fontId="140" fillId="64" borderId="222" xfId="0" applyNumberFormat="1" applyFont="1" applyFill="1" applyBorder="1" applyAlignment="1" applyProtection="1">
      <alignment horizontal="center" vertical="center"/>
      <protection locked="0"/>
    </xf>
    <xf numFmtId="166" fontId="140" fillId="63" borderId="79" xfId="271" applyNumberFormat="1" applyFont="1" applyFill="1" applyBorder="1" applyAlignment="1">
      <alignment horizontal="center" vertical="center"/>
    </xf>
    <xf numFmtId="1" fontId="140" fillId="64" borderId="79" xfId="0" applyNumberFormat="1" applyFont="1" applyFill="1" applyBorder="1" applyAlignment="1" applyProtection="1">
      <alignment horizontal="center" vertical="center"/>
      <protection locked="0"/>
    </xf>
    <xf numFmtId="166" fontId="140" fillId="54" borderId="44" xfId="271" applyNumberFormat="1" applyFont="1" applyFill="1" applyBorder="1" applyAlignment="1">
      <alignment vertical="center"/>
    </xf>
    <xf numFmtId="1" fontId="204" fillId="53" borderId="62" xfId="0" applyNumberFormat="1" applyFont="1" applyFill="1" applyBorder="1" applyAlignment="1">
      <alignment horizontal="center" vertical="center"/>
    </xf>
    <xf numFmtId="165" fontId="195" fillId="0" borderId="38" xfId="0" applyNumberFormat="1" applyFont="1" applyFill="1" applyBorder="1" applyAlignment="1" applyProtection="1">
      <alignment horizontal="center" vertical="center"/>
      <protection locked="0"/>
    </xf>
    <xf numFmtId="1" fontId="99" fillId="45" borderId="10" xfId="0" applyNumberFormat="1" applyFont="1" applyFill="1" applyBorder="1" applyAlignment="1">
      <alignment horizontal="center" vertical="center"/>
    </xf>
    <xf numFmtId="20" fontId="91" fillId="45" borderId="30" xfId="271" applyNumberFormat="1" applyFont="1" applyFill="1" applyBorder="1" applyAlignment="1">
      <alignment horizontal="center" vertical="center"/>
    </xf>
    <xf numFmtId="1" fontId="91" fillId="0" borderId="0" xfId="0" applyNumberFormat="1" applyFont="1" applyAlignment="1">
      <alignment horizontal="center" vertical="center"/>
    </xf>
    <xf numFmtId="1" fontId="204" fillId="35" borderId="184" xfId="0" applyNumberFormat="1" applyFont="1" applyFill="1" applyBorder="1" applyAlignment="1" applyProtection="1">
      <alignment horizontal="center" vertical="center"/>
      <protection locked="0"/>
    </xf>
    <xf numFmtId="1" fontId="204" fillId="35" borderId="38" xfId="0" applyNumberFormat="1" applyFont="1" applyFill="1" applyBorder="1" applyAlignment="1" applyProtection="1">
      <alignment horizontal="center" vertical="center"/>
      <protection locked="0"/>
    </xf>
    <xf numFmtId="166" fontId="204" fillId="35" borderId="181" xfId="271" applyNumberFormat="1" applyFont="1" applyFill="1" applyBorder="1" applyAlignment="1">
      <alignment horizontal="center" vertical="center"/>
    </xf>
    <xf numFmtId="1" fontId="140" fillId="34" borderId="72" xfId="0" applyNumberFormat="1" applyFont="1" applyFill="1" applyBorder="1" applyAlignment="1" applyProtection="1">
      <alignment horizontal="center" vertical="center"/>
      <protection locked="0"/>
    </xf>
    <xf numFmtId="1" fontId="140" fillId="34" borderId="198" xfId="0" applyNumberFormat="1" applyFont="1" applyFill="1" applyBorder="1" applyAlignment="1" applyProtection="1">
      <alignment horizontal="center" vertical="center"/>
      <protection locked="0"/>
    </xf>
    <xf numFmtId="173" fontId="107" fillId="0" borderId="0" xfId="0" applyNumberFormat="1" applyFont="1" applyBorder="1"/>
    <xf numFmtId="173" fontId="77" fillId="0" borderId="0" xfId="430" applyNumberFormat="1" applyFont="1" applyFill="1" applyBorder="1" applyAlignment="1">
      <alignment horizontal="center" vertical="center"/>
    </xf>
    <xf numFmtId="1" fontId="50" fillId="0" borderId="0" xfId="430" applyNumberFormat="1" applyFont="1" applyFill="1" applyBorder="1" applyAlignment="1">
      <alignment horizontal="center" vertical="center"/>
    </xf>
    <xf numFmtId="1" fontId="10" fillId="0" borderId="0" xfId="430" applyNumberFormat="1" applyFont="1" applyFill="1" applyBorder="1" applyAlignment="1">
      <alignment horizontal="center" vertical="center"/>
    </xf>
    <xf numFmtId="173" fontId="8" fillId="44" borderId="51" xfId="430" applyNumberFormat="1" applyFont="1" applyFill="1" applyBorder="1" applyAlignment="1">
      <alignment horizontal="center" vertical="center"/>
    </xf>
    <xf numFmtId="1" fontId="109" fillId="32" borderId="10" xfId="0" applyNumberFormat="1" applyFont="1" applyFill="1" applyBorder="1" applyAlignment="1">
      <alignment horizontal="center"/>
    </xf>
    <xf numFmtId="1" fontId="109" fillId="32" borderId="35" xfId="0" applyNumberFormat="1" applyFont="1" applyFill="1" applyBorder="1" applyAlignment="1">
      <alignment horizontal="center" vertical="center"/>
    </xf>
    <xf numFmtId="0" fontId="0" fillId="0" borderId="18" xfId="0" applyBorder="1"/>
    <xf numFmtId="0" fontId="94" fillId="0" borderId="0" xfId="0" applyFont="1" applyFill="1" applyAlignment="1">
      <alignment vertical="center"/>
    </xf>
    <xf numFmtId="0" fontId="29" fillId="0" borderId="0" xfId="0" applyFont="1" applyFill="1"/>
    <xf numFmtId="0" fontId="93" fillId="0" borderId="0" xfId="0" applyFont="1" applyFill="1"/>
    <xf numFmtId="0" fontId="98" fillId="48" borderId="10" xfId="0" applyFont="1" applyFill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140" fillId="34" borderId="62" xfId="0" applyNumberFormat="1" applyFont="1" applyFill="1" applyBorder="1" applyAlignment="1" applyProtection="1">
      <alignment horizontal="center" vertical="center"/>
      <protection locked="0"/>
    </xf>
    <xf numFmtId="1" fontId="140" fillId="64" borderId="62" xfId="0" applyNumberFormat="1" applyFont="1" applyFill="1" applyBorder="1" applyAlignment="1" applyProtection="1">
      <alignment horizontal="center" vertical="center"/>
      <protection locked="0"/>
    </xf>
    <xf numFmtId="1" fontId="140" fillId="64" borderId="63" xfId="0" applyNumberFormat="1" applyFont="1" applyFill="1" applyBorder="1" applyAlignment="1" applyProtection="1">
      <alignment horizontal="center" vertical="center"/>
      <protection locked="0"/>
    </xf>
    <xf numFmtId="164" fontId="10" fillId="0" borderId="0" xfId="428" applyNumberFormat="1" applyFont="1" applyAlignment="1">
      <alignment horizontal="left"/>
    </xf>
    <xf numFmtId="0" fontId="167" fillId="43" borderId="24" xfId="0" applyFont="1" applyFill="1" applyBorder="1" applyAlignment="1">
      <alignment vertical="center"/>
    </xf>
    <xf numFmtId="0" fontId="167" fillId="43" borderId="42" xfId="0" applyFont="1" applyFill="1" applyBorder="1" applyAlignment="1">
      <alignment vertical="center"/>
    </xf>
    <xf numFmtId="0" fontId="167" fillId="43" borderId="41" xfId="0" applyFont="1" applyFill="1" applyBorder="1" applyAlignment="1">
      <alignment vertical="center"/>
    </xf>
    <xf numFmtId="0" fontId="167" fillId="43" borderId="13" xfId="0" applyFont="1" applyFill="1" applyBorder="1" applyAlignment="1">
      <alignment vertical="center"/>
    </xf>
    <xf numFmtId="0" fontId="167" fillId="43" borderId="0" xfId="0" applyFont="1" applyFill="1" applyBorder="1" applyAlignment="1">
      <alignment vertical="center"/>
    </xf>
    <xf numFmtId="0" fontId="167" fillId="43" borderId="19" xfId="0" applyFont="1" applyFill="1" applyBorder="1" applyAlignment="1">
      <alignment vertical="center"/>
    </xf>
    <xf numFmtId="0" fontId="167" fillId="43" borderId="22" xfId="0" applyFont="1" applyFill="1" applyBorder="1" applyAlignment="1">
      <alignment vertical="center"/>
    </xf>
    <xf numFmtId="0" fontId="167" fillId="43" borderId="17" xfId="0" applyFont="1" applyFill="1" applyBorder="1" applyAlignment="1">
      <alignment vertical="center"/>
    </xf>
    <xf numFmtId="0" fontId="167" fillId="43" borderId="18" xfId="0" applyFont="1" applyFill="1" applyBorder="1" applyAlignment="1">
      <alignment vertical="center"/>
    </xf>
    <xf numFmtId="0" fontId="167" fillId="43" borderId="14" xfId="428" applyFont="1" applyFill="1" applyBorder="1" applyAlignment="1">
      <alignment horizontal="center" vertical="center"/>
    </xf>
    <xf numFmtId="172" fontId="167" fillId="43" borderId="15" xfId="0" applyNumberFormat="1" applyFont="1" applyFill="1" applyBorder="1" applyAlignment="1">
      <alignment horizontal="center" vertical="center"/>
    </xf>
    <xf numFmtId="172" fontId="167" fillId="43" borderId="30" xfId="0" applyNumberFormat="1" applyFont="1" applyFill="1" applyBorder="1" applyAlignment="1">
      <alignment horizontal="center" vertical="center"/>
    </xf>
    <xf numFmtId="0" fontId="213" fillId="0" borderId="0" xfId="0" applyFont="1" applyFill="1" applyBorder="1" applyAlignment="1">
      <alignment horizontal="center" vertical="center"/>
    </xf>
    <xf numFmtId="14" fontId="131" fillId="51" borderId="39" xfId="0" applyNumberFormat="1" applyFont="1" applyFill="1" applyBorder="1" applyAlignment="1">
      <alignment horizontal="center" vertical="center" wrapText="1"/>
    </xf>
    <xf numFmtId="1" fontId="203" fillId="71" borderId="197" xfId="0" applyNumberFormat="1" applyFont="1" applyFill="1" applyBorder="1" applyAlignment="1">
      <alignment horizontal="center" vertical="center"/>
    </xf>
    <xf numFmtId="1" fontId="203" fillId="71" borderId="166" xfId="0" applyNumberFormat="1" applyFont="1" applyFill="1" applyBorder="1" applyAlignment="1">
      <alignment horizontal="center" vertical="center"/>
    </xf>
    <xf numFmtId="1" fontId="204" fillId="53" borderId="184" xfId="0" applyNumberFormat="1" applyFont="1" applyFill="1" applyBorder="1" applyAlignment="1">
      <alignment horizontal="center" vertical="center"/>
    </xf>
    <xf numFmtId="1" fontId="204" fillId="35" borderId="222" xfId="0" applyNumberFormat="1" applyFont="1" applyFill="1" applyBorder="1" applyAlignment="1" applyProtection="1">
      <alignment horizontal="center" vertical="center"/>
      <protection locked="0"/>
    </xf>
    <xf numFmtId="1" fontId="203" fillId="71" borderId="195" xfId="0" applyNumberFormat="1" applyFont="1" applyFill="1" applyBorder="1" applyAlignment="1">
      <alignment horizontal="center" vertical="center"/>
    </xf>
    <xf numFmtId="1" fontId="203" fillId="71" borderId="186" xfId="0" applyNumberFormat="1" applyFont="1" applyFill="1" applyBorder="1" applyAlignment="1">
      <alignment horizontal="center" vertical="center"/>
    </xf>
    <xf numFmtId="1" fontId="204" fillId="35" borderId="222" xfId="0" applyNumberFormat="1" applyFont="1" applyFill="1" applyBorder="1" applyAlignment="1">
      <alignment horizontal="center" vertical="center"/>
    </xf>
    <xf numFmtId="1" fontId="203" fillId="39" borderId="194" xfId="0" applyNumberFormat="1" applyFont="1" applyFill="1" applyBorder="1" applyAlignment="1" applyProtection="1">
      <alignment horizontal="center" vertical="center"/>
      <protection locked="0"/>
    </xf>
    <xf numFmtId="1" fontId="203" fillId="39" borderId="187" xfId="0" applyNumberFormat="1" applyFont="1" applyFill="1" applyBorder="1" applyAlignment="1" applyProtection="1">
      <alignment horizontal="center" vertical="center"/>
      <protection locked="0"/>
    </xf>
    <xf numFmtId="0" fontId="91" fillId="0" borderId="0" xfId="0" applyFont="1" applyAlignment="1">
      <alignment horizontal="center"/>
    </xf>
    <xf numFmtId="14" fontId="91" fillId="0" borderId="0" xfId="0" applyNumberFormat="1" applyFont="1" applyBorder="1" applyAlignment="1">
      <alignment horizontal="center" vertical="center"/>
    </xf>
    <xf numFmtId="0" fontId="91" fillId="0" borderId="0" xfId="0" applyFont="1" applyAlignment="1">
      <alignment horizontal="center" vertical="center"/>
    </xf>
    <xf numFmtId="0" fontId="107" fillId="0" borderId="10" xfId="0" applyFont="1" applyBorder="1" applyAlignment="1">
      <alignment horizontal="center" vertical="center"/>
    </xf>
    <xf numFmtId="0" fontId="126" fillId="0" borderId="10" xfId="0" applyFont="1" applyBorder="1" applyAlignment="1">
      <alignment horizontal="center" vertical="center"/>
    </xf>
    <xf numFmtId="0" fontId="91" fillId="0" borderId="0" xfId="0" applyFont="1" applyBorder="1" applyAlignment="1">
      <alignment horizontal="center" vertical="center"/>
    </xf>
    <xf numFmtId="1" fontId="213" fillId="0" borderId="0" xfId="0" applyNumberFormat="1" applyFont="1" applyFill="1" applyBorder="1" applyAlignment="1">
      <alignment horizontal="center" vertical="center"/>
    </xf>
    <xf numFmtId="0" fontId="91" fillId="0" borderId="0" xfId="0" applyFont="1" applyFill="1" applyBorder="1" applyAlignment="1">
      <alignment horizontal="center"/>
    </xf>
    <xf numFmtId="0" fontId="212" fillId="0" borderId="0" xfId="0" applyFont="1" applyFill="1" applyBorder="1" applyAlignment="1">
      <alignment vertical="center"/>
    </xf>
    <xf numFmtId="1" fontId="42" fillId="0" borderId="0" xfId="0" applyNumberFormat="1" applyFont="1" applyFill="1" applyBorder="1" applyAlignment="1">
      <alignment horizontal="center" vertical="center" wrapText="1"/>
    </xf>
    <xf numFmtId="1" fontId="108" fillId="0" borderId="0" xfId="0" applyNumberFormat="1" applyFont="1"/>
    <xf numFmtId="0" fontId="55" fillId="54" borderId="13" xfId="0" applyFont="1" applyFill="1" applyBorder="1" applyAlignment="1">
      <alignment horizontal="center" vertical="center"/>
    </xf>
    <xf numFmtId="0" fontId="55" fillId="54" borderId="19" xfId="0" applyFont="1" applyFill="1" applyBorder="1" applyAlignment="1">
      <alignment vertical="center"/>
    </xf>
    <xf numFmtId="0" fontId="55" fillId="54" borderId="18" xfId="0" applyFont="1" applyFill="1" applyBorder="1" applyAlignment="1">
      <alignment vertical="center"/>
    </xf>
    <xf numFmtId="164" fontId="55" fillId="0" borderId="0" xfId="0" applyNumberFormat="1" applyFont="1" applyFill="1" applyBorder="1" applyAlignment="1">
      <alignment vertical="center"/>
    </xf>
    <xf numFmtId="0" fontId="55" fillId="0" borderId="85" xfId="428" applyFont="1" applyBorder="1" applyAlignment="1">
      <alignment vertical="center"/>
    </xf>
    <xf numFmtId="0" fontId="55" fillId="0" borderId="175" xfId="428" applyFont="1" applyBorder="1" applyAlignment="1">
      <alignment vertical="center"/>
    </xf>
    <xf numFmtId="0" fontId="91" fillId="0" borderId="175" xfId="0" applyFont="1" applyBorder="1"/>
    <xf numFmtId="14" fontId="55" fillId="0" borderId="175" xfId="501" applyNumberFormat="1" applyFont="1" applyBorder="1" applyAlignment="1">
      <alignment horizontal="center" vertical="center"/>
    </xf>
    <xf numFmtId="0" fontId="55" fillId="0" borderId="175" xfId="0" applyFont="1" applyBorder="1" applyAlignment="1">
      <alignment horizontal="center" vertical="center"/>
    </xf>
    <xf numFmtId="1" fontId="55" fillId="0" borderId="175" xfId="428" quotePrefix="1" applyNumberFormat="1" applyFont="1" applyFill="1" applyBorder="1" applyAlignment="1">
      <alignment horizontal="center" vertical="center"/>
    </xf>
    <xf numFmtId="0" fontId="55" fillId="0" borderId="175" xfId="436" applyFont="1" applyBorder="1" applyAlignment="1">
      <alignment vertical="center"/>
    </xf>
    <xf numFmtId="0" fontId="55" fillId="0" borderId="46" xfId="436" applyFont="1" applyBorder="1" applyAlignment="1">
      <alignment vertical="center"/>
    </xf>
    <xf numFmtId="0" fontId="55" fillId="0" borderId="55" xfId="436" applyFont="1" applyBorder="1" applyAlignment="1">
      <alignment vertical="center"/>
    </xf>
    <xf numFmtId="0" fontId="7" fillId="61" borderId="14" xfId="428" applyFont="1" applyFill="1" applyBorder="1" applyAlignment="1"/>
    <xf numFmtId="0" fontId="7" fillId="61" borderId="15" xfId="428" applyFont="1" applyFill="1" applyBorder="1" applyAlignment="1"/>
    <xf numFmtId="0" fontId="7" fillId="61" borderId="30" xfId="428" applyFont="1" applyFill="1" applyBorder="1" applyAlignment="1"/>
    <xf numFmtId="10" fontId="91" fillId="45" borderId="14" xfId="458" applyNumberFormat="1" applyFont="1" applyFill="1" applyBorder="1" applyAlignment="1">
      <alignment horizontal="center" vertical="center"/>
    </xf>
    <xf numFmtId="0" fontId="91" fillId="43" borderId="14" xfId="0" applyFont="1" applyFill="1" applyBorder="1" applyAlignment="1">
      <alignment vertical="center"/>
    </xf>
    <xf numFmtId="0" fontId="91" fillId="43" borderId="30" xfId="0" applyFont="1" applyFill="1" applyBorder="1" applyAlignment="1">
      <alignment vertical="center"/>
    </xf>
    <xf numFmtId="0" fontId="0" fillId="45" borderId="30" xfId="0" applyFill="1" applyBorder="1" applyAlignment="1"/>
    <xf numFmtId="164" fontId="99" fillId="43" borderId="14" xfId="0" applyNumberFormat="1" applyFont="1" applyFill="1" applyBorder="1" applyAlignment="1">
      <alignment vertical="center"/>
    </xf>
    <xf numFmtId="164" fontId="99" fillId="43" borderId="30" xfId="0" applyNumberFormat="1" applyFont="1" applyFill="1" applyBorder="1" applyAlignment="1">
      <alignment vertical="center"/>
    </xf>
    <xf numFmtId="173" fontId="77" fillId="36" borderId="23" xfId="0" applyNumberFormat="1" applyFont="1" applyFill="1" applyBorder="1" applyAlignment="1">
      <alignment horizontal="center"/>
    </xf>
    <xf numFmtId="173" fontId="49" fillId="36" borderId="31" xfId="0" applyNumberFormat="1" applyFont="1" applyFill="1" applyBorder="1" applyAlignment="1">
      <alignment horizontal="center"/>
    </xf>
    <xf numFmtId="173" fontId="49" fillId="0" borderId="0" xfId="0" applyNumberFormat="1" applyFont="1" applyFill="1" applyBorder="1" applyAlignment="1">
      <alignment horizontal="center"/>
    </xf>
    <xf numFmtId="173" fontId="8" fillId="0" borderId="0" xfId="430" applyNumberFormat="1" applyFont="1" applyFill="1" applyBorder="1" applyAlignment="1">
      <alignment horizontal="center" vertical="center"/>
    </xf>
    <xf numFmtId="173" fontId="8" fillId="0" borderId="0" xfId="0" applyNumberFormat="1" applyFont="1" applyFill="1" applyBorder="1" applyAlignment="1">
      <alignment horizontal="center" vertical="center"/>
    </xf>
    <xf numFmtId="0" fontId="210" fillId="0" borderId="0" xfId="0" applyFont="1" applyFill="1" applyBorder="1" applyAlignment="1">
      <alignment horizontal="center" vertical="center"/>
    </xf>
    <xf numFmtId="1" fontId="109" fillId="0" borderId="0" xfId="0" applyNumberFormat="1" applyFont="1" applyFill="1" applyBorder="1" applyAlignment="1">
      <alignment horizontal="center"/>
    </xf>
    <xf numFmtId="1" fontId="108" fillId="0" borderId="0" xfId="0" applyNumberFormat="1" applyFont="1" applyFill="1" applyBorder="1" applyAlignment="1">
      <alignment horizontal="center"/>
    </xf>
    <xf numFmtId="1" fontId="128" fillId="0" borderId="0" xfId="0" applyNumberFormat="1" applyFont="1" applyFill="1" applyBorder="1" applyAlignment="1">
      <alignment horizontal="center"/>
    </xf>
    <xf numFmtId="173" fontId="2" fillId="0" borderId="0" xfId="430" applyNumberFormat="1" applyFont="1" applyFill="1" applyBorder="1" applyAlignment="1">
      <alignment horizontal="center" vertical="center"/>
    </xf>
    <xf numFmtId="20" fontId="179" fillId="0" borderId="0" xfId="0" quotePrefix="1" applyNumberFormat="1" applyFont="1" applyFill="1" applyBorder="1" applyAlignment="1">
      <alignment horizontal="center" vertical="center"/>
    </xf>
    <xf numFmtId="165" fontId="50" fillId="0" borderId="0" xfId="430" quotePrefix="1" applyNumberFormat="1" applyFont="1" applyFill="1" applyBorder="1" applyAlignment="1">
      <alignment horizontal="center" vertical="center"/>
    </xf>
    <xf numFmtId="1" fontId="45" fillId="0" borderId="0" xfId="430" applyNumberFormat="1" applyFont="1" applyFill="1" applyBorder="1" applyAlignment="1">
      <alignment horizontal="center" vertical="center"/>
    </xf>
    <xf numFmtId="165" fontId="50" fillId="0" borderId="0" xfId="430" applyNumberFormat="1" applyFont="1" applyFill="1" applyBorder="1" applyAlignment="1">
      <alignment horizontal="center" vertical="center"/>
    </xf>
    <xf numFmtId="20" fontId="179" fillId="0" borderId="0" xfId="0" applyNumberFormat="1" applyFont="1" applyFill="1" applyBorder="1" applyAlignment="1">
      <alignment horizontal="center" vertical="center"/>
    </xf>
    <xf numFmtId="0" fontId="207" fillId="51" borderId="44" xfId="0" applyNumberFormat="1" applyFont="1" applyFill="1" applyBorder="1" applyAlignment="1">
      <alignment vertical="center" wrapText="1"/>
    </xf>
    <xf numFmtId="173" fontId="42" fillId="51" borderId="44" xfId="0" applyNumberFormat="1" applyFont="1" applyFill="1" applyBorder="1" applyAlignment="1">
      <alignment vertical="center" wrapText="1"/>
    </xf>
    <xf numFmtId="173" fontId="42" fillId="51" borderId="90" xfId="0" applyNumberFormat="1" applyFont="1" applyFill="1" applyBorder="1" applyAlignment="1">
      <alignment vertical="center" wrapText="1"/>
    </xf>
    <xf numFmtId="173" fontId="42" fillId="51" borderId="183" xfId="0" applyNumberFormat="1" applyFont="1" applyFill="1" applyBorder="1" applyAlignment="1">
      <alignment vertical="center" wrapText="1"/>
    </xf>
    <xf numFmtId="173" fontId="42" fillId="51" borderId="43" xfId="0" applyNumberFormat="1" applyFont="1" applyFill="1" applyBorder="1" applyAlignment="1">
      <alignment vertical="center" wrapText="1"/>
    </xf>
    <xf numFmtId="0" fontId="207" fillId="51" borderId="198" xfId="0" applyNumberFormat="1" applyFont="1" applyFill="1" applyBorder="1" applyAlignment="1">
      <alignment vertical="center" wrapText="1"/>
    </xf>
    <xf numFmtId="173" fontId="42" fillId="51" borderId="198" xfId="0" applyNumberFormat="1" applyFont="1" applyFill="1" applyBorder="1" applyAlignment="1">
      <alignment vertical="center" wrapText="1"/>
    </xf>
    <xf numFmtId="173" fontId="42" fillId="51" borderId="199" xfId="0" applyNumberFormat="1" applyFont="1" applyFill="1" applyBorder="1" applyAlignment="1">
      <alignment vertical="center" wrapText="1"/>
    </xf>
    <xf numFmtId="173" fontId="42" fillId="51" borderId="192" xfId="0" applyNumberFormat="1" applyFont="1" applyFill="1" applyBorder="1" applyAlignment="1">
      <alignment vertical="center" wrapText="1"/>
    </xf>
    <xf numFmtId="173" fontId="42" fillId="51" borderId="191" xfId="0" applyNumberFormat="1" applyFont="1" applyFill="1" applyBorder="1" applyAlignment="1">
      <alignment vertical="center" wrapText="1"/>
    </xf>
    <xf numFmtId="173" fontId="77" fillId="0" borderId="0" xfId="430" applyNumberFormat="1" applyFont="1" applyFill="1" applyBorder="1" applyAlignment="1">
      <alignment vertical="center" wrapText="1"/>
    </xf>
    <xf numFmtId="173" fontId="77" fillId="0" borderId="0" xfId="430" applyNumberFormat="1" applyFont="1" applyFill="1" applyBorder="1" applyAlignment="1">
      <alignment vertical="center"/>
    </xf>
    <xf numFmtId="173" fontId="42" fillId="51" borderId="58" xfId="0" applyNumberFormat="1" applyFont="1" applyFill="1" applyBorder="1" applyAlignment="1">
      <alignment horizontal="center" vertical="center" wrapText="1"/>
    </xf>
    <xf numFmtId="1" fontId="214" fillId="0" borderId="0" xfId="428" applyNumberFormat="1" applyFont="1" applyFill="1" applyBorder="1" applyAlignment="1">
      <alignment horizontal="center" vertical="center"/>
    </xf>
    <xf numFmtId="0" fontId="215" fillId="0" borderId="0" xfId="428" applyFont="1" applyFill="1" applyBorder="1" applyAlignment="1">
      <alignment horizontal="center" vertical="center"/>
    </xf>
    <xf numFmtId="1" fontId="216" fillId="0" borderId="0" xfId="428" applyNumberFormat="1" applyFont="1" applyFill="1" applyBorder="1" applyAlignment="1">
      <alignment horizontal="center" vertical="center"/>
    </xf>
    <xf numFmtId="1" fontId="217" fillId="0" borderId="0" xfId="428" applyNumberFormat="1" applyFont="1" applyFill="1" applyBorder="1" applyAlignment="1">
      <alignment horizontal="center" vertical="center"/>
    </xf>
    <xf numFmtId="0" fontId="214" fillId="0" borderId="0" xfId="428" applyFont="1" applyFill="1" applyBorder="1" applyAlignment="1">
      <alignment horizontal="center" vertical="center"/>
    </xf>
    <xf numFmtId="1" fontId="214" fillId="0" borderId="0" xfId="0" applyNumberFormat="1" applyFont="1" applyFill="1" applyBorder="1" applyAlignment="1">
      <alignment horizontal="center" vertical="center"/>
    </xf>
    <xf numFmtId="0" fontId="91" fillId="0" borderId="0" xfId="414" applyNumberFormat="1" applyFont="1" applyFill="1" applyBorder="1" applyAlignment="1">
      <alignment horizontal="center"/>
    </xf>
    <xf numFmtId="1" fontId="49" fillId="0" borderId="0" xfId="428" applyNumberFormat="1" applyFont="1" applyFill="1" applyBorder="1" applyAlignment="1">
      <alignment horizontal="center" vertical="center"/>
    </xf>
    <xf numFmtId="173" fontId="42" fillId="51" borderId="182" xfId="0" applyNumberFormat="1" applyFont="1" applyFill="1" applyBorder="1" applyAlignment="1">
      <alignment horizontal="center" vertical="center" wrapText="1"/>
    </xf>
    <xf numFmtId="173" fontId="42" fillId="51" borderId="190" xfId="0" applyNumberFormat="1" applyFont="1" applyFill="1" applyBorder="1" applyAlignment="1">
      <alignment horizontal="center" vertical="center" wrapText="1"/>
    </xf>
    <xf numFmtId="0" fontId="207" fillId="51" borderId="58" xfId="0" applyNumberFormat="1" applyFont="1" applyFill="1" applyBorder="1" applyAlignment="1">
      <alignment horizontal="center" vertical="center" wrapText="1"/>
    </xf>
    <xf numFmtId="173" fontId="42" fillId="51" borderId="89" xfId="0" applyNumberFormat="1" applyFont="1" applyFill="1" applyBorder="1" applyAlignment="1">
      <alignment horizontal="center" vertical="center" wrapText="1"/>
    </xf>
    <xf numFmtId="1" fontId="45" fillId="81" borderId="31" xfId="430" applyNumberFormat="1" applyFont="1" applyFill="1" applyBorder="1" applyAlignment="1">
      <alignment horizontal="center" vertical="center"/>
    </xf>
    <xf numFmtId="1" fontId="50" fillId="81" borderId="31" xfId="430" applyNumberFormat="1" applyFont="1" applyFill="1" applyBorder="1" applyAlignment="1">
      <alignment horizontal="center" vertical="center"/>
    </xf>
    <xf numFmtId="1" fontId="50" fillId="81" borderId="22" xfId="430" applyNumberFormat="1" applyFont="1" applyFill="1" applyBorder="1" applyAlignment="1">
      <alignment horizontal="center" vertical="center"/>
    </xf>
    <xf numFmtId="1" fontId="45" fillId="81" borderId="10" xfId="430" applyNumberFormat="1" applyFont="1" applyFill="1" applyBorder="1" applyAlignment="1">
      <alignment horizontal="center" vertical="center"/>
    </xf>
    <xf numFmtId="1" fontId="50" fillId="81" borderId="10" xfId="430" applyNumberFormat="1" applyFont="1" applyFill="1" applyBorder="1" applyAlignment="1">
      <alignment horizontal="center" vertical="center"/>
    </xf>
    <xf numFmtId="1" fontId="50" fillId="81" borderId="14" xfId="430" applyNumberFormat="1" applyFont="1" applyFill="1" applyBorder="1" applyAlignment="1">
      <alignment horizontal="center" vertical="center"/>
    </xf>
    <xf numFmtId="20" fontId="179" fillId="81" borderId="112" xfId="0" quotePrefix="1" applyNumberFormat="1" applyFont="1" applyFill="1" applyBorder="1" applyAlignment="1">
      <alignment horizontal="center" vertical="center"/>
    </xf>
    <xf numFmtId="20" fontId="179" fillId="81" borderId="68" xfId="0" quotePrefix="1" applyNumberFormat="1" applyFont="1" applyFill="1" applyBorder="1" applyAlignment="1">
      <alignment horizontal="center" vertical="center"/>
    </xf>
    <xf numFmtId="20" fontId="179" fillId="81" borderId="68" xfId="0" applyNumberFormat="1" applyFont="1" applyFill="1" applyBorder="1" applyAlignment="1">
      <alignment horizontal="center" vertical="center"/>
    </xf>
    <xf numFmtId="20" fontId="179" fillId="82" borderId="68" xfId="0" applyNumberFormat="1" applyFont="1" applyFill="1" applyBorder="1" applyAlignment="1">
      <alignment horizontal="center" vertical="center"/>
    </xf>
    <xf numFmtId="1" fontId="45" fillId="82" borderId="10" xfId="430" applyNumberFormat="1" applyFont="1" applyFill="1" applyBorder="1" applyAlignment="1">
      <alignment horizontal="center" vertical="center"/>
    </xf>
    <xf numFmtId="1" fontId="50" fillId="82" borderId="10" xfId="430" applyNumberFormat="1" applyFont="1" applyFill="1" applyBorder="1" applyAlignment="1">
      <alignment horizontal="center" vertical="center"/>
    </xf>
    <xf numFmtId="1" fontId="50" fillId="82" borderId="14" xfId="430" applyNumberFormat="1" applyFont="1" applyFill="1" applyBorder="1" applyAlignment="1">
      <alignment horizontal="center" vertical="center"/>
    </xf>
    <xf numFmtId="20" fontId="179" fillId="82" borderId="99" xfId="0" quotePrefix="1" applyNumberFormat="1" applyFont="1" applyFill="1" applyBorder="1" applyAlignment="1">
      <alignment horizontal="center" vertical="center"/>
    </xf>
    <xf numFmtId="1" fontId="45" fillId="82" borderId="23" xfId="430" applyNumberFormat="1" applyFont="1" applyFill="1" applyBorder="1" applyAlignment="1">
      <alignment horizontal="center" vertical="center"/>
    </xf>
    <xf numFmtId="1" fontId="50" fillId="82" borderId="23" xfId="430" applyNumberFormat="1" applyFont="1" applyFill="1" applyBorder="1" applyAlignment="1">
      <alignment horizontal="center" vertical="center"/>
    </xf>
    <xf numFmtId="1" fontId="50" fillId="82" borderId="24" xfId="430" applyNumberFormat="1" applyFont="1" applyFill="1" applyBorder="1" applyAlignment="1">
      <alignment horizontal="center" vertical="center"/>
    </xf>
    <xf numFmtId="20" fontId="50" fillId="32" borderId="39" xfId="430" applyNumberFormat="1" applyFont="1" applyFill="1" applyBorder="1" applyAlignment="1">
      <alignment horizontal="center" vertical="center"/>
    </xf>
    <xf numFmtId="1" fontId="50" fillId="81" borderId="66" xfId="430" applyNumberFormat="1" applyFont="1" applyFill="1" applyBorder="1" applyAlignment="1">
      <alignment horizontal="center" vertical="center"/>
    </xf>
    <xf numFmtId="1" fontId="50" fillId="81" borderId="75" xfId="430" applyNumberFormat="1" applyFont="1" applyFill="1" applyBorder="1" applyAlignment="1">
      <alignment horizontal="center" vertical="center"/>
    </xf>
    <xf numFmtId="1" fontId="50" fillId="82" borderId="75" xfId="430" applyNumberFormat="1" applyFont="1" applyFill="1" applyBorder="1" applyAlignment="1">
      <alignment horizontal="center" vertical="center"/>
    </xf>
    <xf numFmtId="1" fontId="50" fillId="82" borderId="76" xfId="430" applyNumberFormat="1" applyFont="1" applyFill="1" applyBorder="1" applyAlignment="1">
      <alignment horizontal="center" vertical="center"/>
    </xf>
    <xf numFmtId="173" fontId="8" fillId="44" borderId="36" xfId="430" applyNumberFormat="1" applyFont="1" applyFill="1" applyBorder="1" applyAlignment="1">
      <alignment horizontal="center" vertical="center"/>
    </xf>
    <xf numFmtId="173" fontId="8" fillId="44" borderId="102" xfId="430" applyNumberFormat="1" applyFont="1" applyFill="1" applyBorder="1" applyAlignment="1">
      <alignment horizontal="center" vertical="center"/>
    </xf>
    <xf numFmtId="165" fontId="50" fillId="81" borderId="103" xfId="430" quotePrefix="1" applyNumberFormat="1" applyFont="1" applyFill="1" applyBorder="1" applyAlignment="1">
      <alignment horizontal="center" vertical="center"/>
    </xf>
    <xf numFmtId="165" fontId="50" fillId="81" borderId="59" xfId="430" applyNumberFormat="1" applyFont="1" applyFill="1" applyBorder="1" applyAlignment="1">
      <alignment horizontal="center" vertical="center"/>
    </xf>
    <xf numFmtId="165" fontId="50" fillId="82" borderId="103" xfId="430" quotePrefix="1" applyNumberFormat="1" applyFont="1" applyFill="1" applyBorder="1" applyAlignment="1">
      <alignment horizontal="center" vertical="center"/>
    </xf>
    <xf numFmtId="165" fontId="50" fillId="82" borderId="90" xfId="430" quotePrefix="1" applyNumberFormat="1" applyFont="1" applyFill="1" applyBorder="1" applyAlignment="1">
      <alignment horizontal="center" vertical="center"/>
    </xf>
    <xf numFmtId="1" fontId="10" fillId="44" borderId="63" xfId="430" applyNumberFormat="1" applyFont="1" applyFill="1" applyBorder="1" applyAlignment="1">
      <alignment horizontal="center" vertical="center"/>
    </xf>
    <xf numFmtId="173" fontId="91" fillId="0" borderId="0" xfId="414" applyNumberFormat="1" applyFont="1" applyBorder="1"/>
    <xf numFmtId="0" fontId="100" fillId="0" borderId="0" xfId="414" applyNumberFormat="1" applyFont="1" applyBorder="1" applyAlignment="1">
      <alignment horizontal="center"/>
    </xf>
    <xf numFmtId="173" fontId="218" fillId="35" borderId="0" xfId="414" applyNumberFormat="1" applyFont="1" applyFill="1" applyAlignment="1">
      <alignment horizontal="center" vertical="center"/>
    </xf>
    <xf numFmtId="166" fontId="140" fillId="54" borderId="48" xfId="271" applyNumberFormat="1" applyFont="1" applyFill="1" applyBorder="1" applyAlignment="1">
      <alignment vertical="center"/>
    </xf>
    <xf numFmtId="0" fontId="91" fillId="0" borderId="0" xfId="0" applyFont="1" applyFill="1" applyBorder="1" applyAlignment="1">
      <alignment vertical="center"/>
    </xf>
    <xf numFmtId="10" fontId="91" fillId="0" borderId="0" xfId="458" applyNumberFormat="1" applyFont="1" applyFill="1" applyBorder="1" applyAlignment="1">
      <alignment horizontal="center" vertical="center"/>
    </xf>
    <xf numFmtId="0" fontId="0" fillId="0" borderId="0" xfId="0" applyFill="1" applyBorder="1" applyAlignment="1"/>
    <xf numFmtId="0" fontId="209" fillId="0" borderId="0" xfId="0" applyFont="1"/>
    <xf numFmtId="0" fontId="220" fillId="0" borderId="0" xfId="0" applyFont="1" applyFill="1"/>
    <xf numFmtId="0" fontId="96" fillId="0" borderId="0" xfId="0" applyFont="1" applyFill="1"/>
    <xf numFmtId="0" fontId="220" fillId="83" borderId="0" xfId="0" applyFont="1" applyFill="1"/>
    <xf numFmtId="0" fontId="99" fillId="0" borderId="0" xfId="0" applyFont="1" applyFill="1"/>
    <xf numFmtId="0" fontId="100" fillId="0" borderId="0" xfId="0" applyFont="1" applyFill="1"/>
    <xf numFmtId="0" fontId="98" fillId="0" borderId="0" xfId="0" applyFont="1" applyFill="1"/>
    <xf numFmtId="0" fontId="209" fillId="0" borderId="0" xfId="0" applyFont="1" applyAlignment="1">
      <alignment horizontal="center"/>
    </xf>
    <xf numFmtId="0" fontId="209" fillId="31" borderId="0" xfId="0" applyFont="1" applyFill="1" applyAlignment="1">
      <alignment horizontal="center"/>
    </xf>
    <xf numFmtId="0" fontId="221" fillId="0" borderId="0" xfId="0" applyFont="1"/>
    <xf numFmtId="0" fontId="221" fillId="0" borderId="0" xfId="0" applyFont="1" applyAlignment="1">
      <alignment horizontal="center"/>
    </xf>
    <xf numFmtId="0" fontId="221" fillId="31" borderId="0" xfId="0" applyFont="1" applyFill="1" applyAlignment="1">
      <alignment horizontal="center"/>
    </xf>
    <xf numFmtId="0" fontId="91" fillId="0" borderId="13" xfId="0" applyFont="1" applyFill="1" applyBorder="1" applyAlignment="1">
      <alignment vertical="center"/>
    </xf>
    <xf numFmtId="0" fontId="92" fillId="0" borderId="0" xfId="0" applyFont="1" applyFill="1"/>
    <xf numFmtId="0" fontId="209" fillId="0" borderId="0" xfId="0" applyFont="1" applyFill="1"/>
    <xf numFmtId="0" fontId="221" fillId="0" borderId="0" xfId="0" applyFont="1" applyFill="1"/>
    <xf numFmtId="0" fontId="221" fillId="0" borderId="0" xfId="0" applyFont="1" applyFill="1" applyBorder="1"/>
    <xf numFmtId="0" fontId="209" fillId="0" borderId="0" xfId="0" applyFont="1" applyFill="1" applyAlignment="1">
      <alignment horizontal="center"/>
    </xf>
    <xf numFmtId="0" fontId="221" fillId="0" borderId="0" xfId="0" applyFont="1" applyFill="1" applyAlignment="1">
      <alignment horizontal="center"/>
    </xf>
    <xf numFmtId="0" fontId="36" fillId="0" borderId="0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Border="1"/>
    <xf numFmtId="0" fontId="55" fillId="0" borderId="0" xfId="0" applyFont="1" applyBorder="1"/>
    <xf numFmtId="0" fontId="91" fillId="54" borderId="10" xfId="0" applyFont="1" applyFill="1" applyBorder="1" applyAlignment="1">
      <alignment horizontal="center" vertical="center"/>
    </xf>
    <xf numFmtId="0" fontId="91" fillId="0" borderId="0" xfId="0" applyFont="1" applyFill="1" applyBorder="1" applyAlignment="1">
      <alignment horizontal="left" vertical="center"/>
    </xf>
    <xf numFmtId="0" fontId="91" fillId="0" borderId="0" xfId="0" applyFont="1" applyFill="1" applyBorder="1" applyAlignment="1">
      <alignment horizontal="center" vertical="center"/>
    </xf>
    <xf numFmtId="0" fontId="220" fillId="0" borderId="0" xfId="0" applyFont="1" applyFill="1" applyBorder="1" applyAlignment="1">
      <alignment horizontal="left"/>
    </xf>
    <xf numFmtId="0" fontId="220" fillId="0" borderId="0" xfId="0" applyFont="1" applyFill="1" applyBorder="1"/>
    <xf numFmtId="173" fontId="77" fillId="44" borderId="40" xfId="430" applyNumberFormat="1" applyFont="1" applyFill="1" applyBorder="1" applyAlignment="1">
      <alignment vertical="center"/>
    </xf>
    <xf numFmtId="173" fontId="77" fillId="44" borderId="49" xfId="430" applyNumberFormat="1" applyFont="1" applyFill="1" applyBorder="1" applyAlignment="1">
      <alignment vertical="center"/>
    </xf>
    <xf numFmtId="173" fontId="77" fillId="44" borderId="45" xfId="430" applyNumberFormat="1" applyFont="1" applyFill="1" applyBorder="1" applyAlignment="1">
      <alignment vertical="center"/>
    </xf>
    <xf numFmtId="165" fontId="91" fillId="45" borderId="10" xfId="271" applyNumberFormat="1" applyFont="1" applyFill="1" applyBorder="1" applyAlignment="1">
      <alignment horizontal="center" vertical="center"/>
    </xf>
    <xf numFmtId="184" fontId="218" fillId="35" borderId="0" xfId="414" applyNumberFormat="1" applyFont="1" applyFill="1" applyAlignment="1">
      <alignment horizontal="center" vertical="center"/>
    </xf>
    <xf numFmtId="0" fontId="91" fillId="48" borderId="10" xfId="0" applyFont="1" applyFill="1" applyBorder="1" applyAlignment="1">
      <alignment vertical="center"/>
    </xf>
    <xf numFmtId="2" fontId="91" fillId="0" borderId="0" xfId="0" applyNumberFormat="1" applyFont="1"/>
    <xf numFmtId="0" fontId="2" fillId="0" borderId="0" xfId="430" applyNumberFormat="1" applyFont="1" applyFill="1" applyBorder="1" applyAlignment="1">
      <alignment horizontal="center" vertical="center"/>
    </xf>
    <xf numFmtId="0" fontId="8" fillId="0" borderId="0" xfId="430" applyNumberFormat="1" applyFont="1" applyFill="1" applyBorder="1" applyAlignment="1">
      <alignment horizontal="center" vertical="center"/>
    </xf>
    <xf numFmtId="1" fontId="109" fillId="0" borderId="0" xfId="0" applyNumberFormat="1" applyFont="1" applyFill="1" applyBorder="1" applyAlignment="1">
      <alignment horizontal="center" vertical="center"/>
    </xf>
    <xf numFmtId="1" fontId="108" fillId="0" borderId="0" xfId="0" applyNumberFormat="1" applyFont="1" applyFill="1" applyBorder="1" applyAlignment="1">
      <alignment horizontal="center" vertical="center"/>
    </xf>
    <xf numFmtId="1" fontId="128" fillId="0" borderId="0" xfId="0" applyNumberFormat="1" applyFont="1" applyFill="1" applyBorder="1" applyAlignment="1">
      <alignment horizontal="center" vertical="center"/>
    </xf>
    <xf numFmtId="20" fontId="50" fillId="0" borderId="0" xfId="430" applyNumberFormat="1" applyFont="1" applyFill="1" applyBorder="1" applyAlignment="1">
      <alignment horizontal="center" vertical="center"/>
    </xf>
    <xf numFmtId="1" fontId="8" fillId="0" borderId="0" xfId="430" applyNumberFormat="1" applyFont="1" applyFill="1" applyBorder="1" applyAlignment="1">
      <alignment horizontal="center" vertical="center"/>
    </xf>
    <xf numFmtId="164" fontId="9" fillId="0" borderId="0" xfId="428" applyNumberFormat="1" applyFont="1"/>
    <xf numFmtId="0" fontId="124" fillId="68" borderId="10" xfId="0" applyFont="1" applyFill="1" applyBorder="1" applyAlignment="1">
      <alignment horizontal="left" vertical="center"/>
    </xf>
    <xf numFmtId="1" fontId="203" fillId="62" borderId="28" xfId="0" applyNumberFormat="1" applyFont="1" applyFill="1" applyBorder="1" applyAlignment="1" applyProtection="1">
      <alignment horizontal="center" vertical="center"/>
      <protection locked="0"/>
    </xf>
    <xf numFmtId="1" fontId="203" fillId="62" borderId="25" xfId="0" applyNumberFormat="1" applyFont="1" applyFill="1" applyBorder="1" applyAlignment="1" applyProtection="1">
      <alignment horizontal="center" vertical="center"/>
      <protection locked="0"/>
    </xf>
    <xf numFmtId="1" fontId="203" fillId="84" borderId="28" xfId="0" applyNumberFormat="1" applyFont="1" applyFill="1" applyBorder="1" applyAlignment="1" applyProtection="1">
      <alignment horizontal="center" vertical="center"/>
      <protection locked="0"/>
    </xf>
    <xf numFmtId="1" fontId="203" fillId="84" borderId="25" xfId="0" applyNumberFormat="1" applyFont="1" applyFill="1" applyBorder="1" applyAlignment="1" applyProtection="1">
      <alignment horizontal="center" vertical="center"/>
      <protection locked="0"/>
    </xf>
    <xf numFmtId="1" fontId="203" fillId="85" borderId="28" xfId="0" applyNumberFormat="1" applyFont="1" applyFill="1" applyBorder="1" applyAlignment="1">
      <alignment horizontal="center" vertical="center"/>
    </xf>
    <xf numFmtId="1" fontId="203" fillId="85" borderId="25" xfId="0" applyNumberFormat="1" applyFont="1" applyFill="1" applyBorder="1" applyAlignment="1">
      <alignment horizontal="center" vertical="center"/>
    </xf>
    <xf numFmtId="1" fontId="97" fillId="0" borderId="0" xfId="0" applyNumberFormat="1" applyFont="1" applyAlignment="1">
      <alignment horizontal="center"/>
    </xf>
    <xf numFmtId="177" fontId="91" fillId="34" borderId="10" xfId="0" applyNumberFormat="1" applyFont="1" applyFill="1" applyBorder="1" applyAlignment="1">
      <alignment vertical="center"/>
    </xf>
    <xf numFmtId="20" fontId="17" fillId="0" borderId="15" xfId="433" applyNumberFormat="1" applyFont="1" applyBorder="1" applyAlignment="1">
      <alignment horizontal="center"/>
    </xf>
    <xf numFmtId="0" fontId="222" fillId="34" borderId="10" xfId="0" applyFont="1" applyFill="1" applyBorder="1" applyAlignment="1">
      <alignment horizontal="center"/>
    </xf>
    <xf numFmtId="20" fontId="223" fillId="34" borderId="10" xfId="0" applyNumberFormat="1" applyFont="1" applyFill="1" applyBorder="1" applyAlignment="1">
      <alignment horizontal="center"/>
    </xf>
    <xf numFmtId="0" fontId="224" fillId="70" borderId="10" xfId="0" applyFont="1" applyFill="1" applyBorder="1" applyAlignment="1">
      <alignment horizontal="center"/>
    </xf>
    <xf numFmtId="0" fontId="10" fillId="70" borderId="10" xfId="0" quotePrefix="1" applyNumberFormat="1" applyFont="1" applyFill="1" applyBorder="1" applyAlignment="1">
      <alignment vertical="center"/>
    </xf>
    <xf numFmtId="1" fontId="222" fillId="70" borderId="10" xfId="0" applyNumberFormat="1" applyFont="1" applyFill="1" applyBorder="1" applyAlignment="1">
      <alignment horizontal="center"/>
    </xf>
    <xf numFmtId="1" fontId="225" fillId="70" borderId="10" xfId="0" applyNumberFormat="1" applyFont="1" applyFill="1" applyBorder="1" applyAlignment="1">
      <alignment horizontal="center"/>
    </xf>
    <xf numFmtId="0" fontId="10" fillId="70" borderId="10" xfId="0" applyNumberFormat="1" applyFont="1" applyFill="1" applyBorder="1" applyAlignment="1">
      <alignment vertical="center"/>
    </xf>
    <xf numFmtId="165" fontId="2" fillId="57" borderId="10" xfId="428" applyNumberFormat="1" applyFont="1" applyFill="1" applyBorder="1" applyAlignment="1">
      <alignment horizontal="center" vertical="center"/>
    </xf>
    <xf numFmtId="165" fontId="2" fillId="48" borderId="10" xfId="428" applyNumberFormat="1" applyFont="1" applyFill="1" applyBorder="1" applyAlignment="1">
      <alignment horizontal="center" vertical="center"/>
    </xf>
    <xf numFmtId="165" fontId="2" fillId="28" borderId="10" xfId="428" applyNumberFormat="1" applyFont="1" applyFill="1" applyBorder="1" applyAlignment="1">
      <alignment horizontal="center"/>
    </xf>
    <xf numFmtId="165" fontId="13" fillId="0" borderId="0" xfId="435" applyNumberFormat="1" applyFont="1" applyAlignment="1">
      <alignment horizontal="center"/>
    </xf>
    <xf numFmtId="165" fontId="13" fillId="0" borderId="0" xfId="435" applyNumberFormat="1" applyFont="1" applyBorder="1" applyAlignment="1">
      <alignment horizontal="center"/>
    </xf>
    <xf numFmtId="0" fontId="124" fillId="0" borderId="0" xfId="0" applyFont="1" applyFill="1" applyAlignment="1">
      <alignment horizontal="center"/>
    </xf>
    <xf numFmtId="0" fontId="124" fillId="0" borderId="0" xfId="0" applyFont="1" applyAlignment="1">
      <alignment horizontal="center"/>
    </xf>
    <xf numFmtId="166" fontId="226" fillId="73" borderId="79" xfId="271" applyNumberFormat="1" applyFont="1" applyFill="1" applyBorder="1" applyAlignment="1">
      <alignment horizontal="center" vertical="center"/>
    </xf>
    <xf numFmtId="0" fontId="227" fillId="0" borderId="0" xfId="436" applyFont="1" applyFill="1" applyBorder="1">
      <alignment vertical="center"/>
    </xf>
    <xf numFmtId="0" fontId="228" fillId="0" borderId="0" xfId="436" applyFont="1" applyFill="1" applyBorder="1">
      <alignment vertical="center"/>
    </xf>
    <xf numFmtId="0" fontId="148" fillId="0" borderId="0" xfId="503" applyFont="1" applyBorder="1"/>
    <xf numFmtId="0" fontId="229" fillId="0" borderId="0" xfId="503"/>
    <xf numFmtId="0" fontId="179" fillId="0" borderId="0" xfId="503" applyFont="1" applyFill="1" applyAlignment="1">
      <alignment horizontal="center" vertical="center"/>
    </xf>
    <xf numFmtId="15" fontId="179" fillId="0" borderId="0" xfId="503" applyNumberFormat="1" applyFont="1" applyFill="1" applyAlignment="1">
      <alignment horizontal="center" vertical="center"/>
    </xf>
    <xf numFmtId="0" fontId="8" fillId="59" borderId="23" xfId="503" applyFont="1" applyFill="1" applyBorder="1" applyAlignment="1">
      <alignment horizontal="center" vertical="center"/>
    </xf>
    <xf numFmtId="0" fontId="8" fillId="59" borderId="10" xfId="503" applyFont="1" applyFill="1" applyBorder="1" applyAlignment="1">
      <alignment horizontal="center" vertical="center"/>
    </xf>
    <xf numFmtId="0" fontId="8" fillId="59" borderId="14" xfId="503" applyFont="1" applyFill="1" applyBorder="1" applyAlignment="1">
      <alignment horizontal="center" vertical="center"/>
    </xf>
    <xf numFmtId="0" fontId="9" fillId="59" borderId="23" xfId="503" applyFont="1" applyFill="1" applyBorder="1" applyAlignment="1">
      <alignment horizontal="center" vertical="center"/>
    </xf>
    <xf numFmtId="0" fontId="9" fillId="59" borderId="41" xfId="503" applyFont="1" applyFill="1" applyBorder="1" applyAlignment="1">
      <alignment horizontal="center" vertical="center"/>
    </xf>
    <xf numFmtId="0" fontId="229" fillId="59" borderId="31" xfId="503" applyFill="1" applyBorder="1" applyAlignment="1">
      <alignment horizontal="center" vertical="center"/>
    </xf>
    <xf numFmtId="0" fontId="7" fillId="59" borderId="17" xfId="503" applyFont="1" applyFill="1" applyBorder="1" applyAlignment="1">
      <alignment horizontal="center" vertical="center"/>
    </xf>
    <xf numFmtId="0" fontId="7" fillId="59" borderId="22" xfId="503" applyFont="1" applyFill="1" applyBorder="1" applyAlignment="1">
      <alignment horizontal="center" vertical="center"/>
    </xf>
    <xf numFmtId="0" fontId="229" fillId="59" borderId="18" xfId="503" applyFill="1" applyBorder="1" applyAlignment="1">
      <alignment horizontal="center" vertical="center"/>
    </xf>
    <xf numFmtId="0" fontId="229" fillId="59" borderId="142" xfId="503" applyFill="1" applyBorder="1" applyAlignment="1">
      <alignment horizontal="left" vertical="center"/>
    </xf>
    <xf numFmtId="1" fontId="7" fillId="0" borderId="10" xfId="436" applyNumberFormat="1" applyFont="1" applyFill="1" applyBorder="1" applyAlignment="1">
      <alignment horizontal="center" vertical="center"/>
    </xf>
    <xf numFmtId="1" fontId="7" fillId="0" borderId="10" xfId="503" applyNumberFormat="1" applyFont="1" applyBorder="1" applyAlignment="1">
      <alignment horizontal="center" vertical="center"/>
    </xf>
    <xf numFmtId="1" fontId="55" fillId="0" borderId="10" xfId="428" quotePrefix="1" applyNumberFormat="1" applyFont="1" applyBorder="1" applyAlignment="1">
      <alignment horizontal="center" vertical="center"/>
    </xf>
    <xf numFmtId="9" fontId="229" fillId="0" borderId="140" xfId="503" applyNumberFormat="1" applyBorder="1" applyAlignment="1">
      <alignment horizontal="center" vertical="center"/>
    </xf>
    <xf numFmtId="0" fontId="229" fillId="0" borderId="41" xfId="503" applyBorder="1"/>
    <xf numFmtId="0" fontId="229" fillId="59" borderId="143" xfId="503" applyFill="1" applyBorder="1" applyAlignment="1">
      <alignment horizontal="left" vertical="center"/>
    </xf>
    <xf numFmtId="0" fontId="229" fillId="0" borderId="19" xfId="503" applyBorder="1"/>
    <xf numFmtId="0" fontId="7" fillId="59" borderId="143" xfId="503" applyFont="1" applyFill="1" applyBorder="1" applyAlignment="1">
      <alignment horizontal="left" vertical="center"/>
    </xf>
    <xf numFmtId="0" fontId="229" fillId="59" borderId="265" xfId="503" applyFill="1" applyBorder="1" applyAlignment="1">
      <alignment horizontal="left" vertical="center"/>
    </xf>
    <xf numFmtId="9" fontId="229" fillId="0" borderId="10" xfId="503" applyNumberFormat="1" applyBorder="1" applyAlignment="1">
      <alignment horizontal="center" vertical="center"/>
    </xf>
    <xf numFmtId="0" fontId="229" fillId="0" borderId="18" xfId="503" applyBorder="1"/>
    <xf numFmtId="0" fontId="9" fillId="59" borderId="31" xfId="503" applyFont="1" applyFill="1" applyBorder="1" applyAlignment="1">
      <alignment horizontal="center" vertical="center"/>
    </xf>
    <xf numFmtId="1" fontId="9" fillId="59" borderId="10" xfId="436" applyNumberFormat="1" applyFont="1" applyFill="1" applyBorder="1" applyAlignment="1">
      <alignment horizontal="center" vertical="center"/>
    </xf>
    <xf numFmtId="10" fontId="9" fillId="59" borderId="31" xfId="503" applyNumberFormat="1" applyFont="1" applyFill="1" applyBorder="1" applyAlignment="1">
      <alignment horizontal="center" vertical="center"/>
    </xf>
    <xf numFmtId="0" fontId="9" fillId="59" borderId="18" xfId="503" applyFont="1" applyFill="1" applyBorder="1"/>
    <xf numFmtId="0" fontId="55" fillId="0" borderId="0" xfId="436" applyFont="1" applyFill="1" applyBorder="1" applyAlignment="1" applyProtection="1">
      <alignment horizontal="left" vertical="center"/>
      <protection locked="0"/>
    </xf>
    <xf numFmtId="1" fontId="55" fillId="0" borderId="0" xfId="428" applyNumberFormat="1" applyFont="1" applyFill="1" applyBorder="1" applyAlignment="1">
      <alignment horizontal="left" vertical="center"/>
    </xf>
    <xf numFmtId="1" fontId="55" fillId="0" borderId="120" xfId="428" applyNumberFormat="1" applyFont="1" applyBorder="1" applyAlignment="1">
      <alignment horizontal="left" vertical="center"/>
    </xf>
    <xf numFmtId="0" fontId="56" fillId="0" borderId="0" xfId="428" applyFont="1" applyFill="1" applyBorder="1" applyAlignment="1">
      <alignment horizontal="left" vertical="center"/>
    </xf>
    <xf numFmtId="1" fontId="55" fillId="0" borderId="0" xfId="428" applyNumberFormat="1" applyFont="1" applyBorder="1" applyAlignment="1">
      <alignment horizontal="left" vertical="center"/>
    </xf>
    <xf numFmtId="0" fontId="55" fillId="0" borderId="0" xfId="0" applyFont="1" applyBorder="1" applyAlignment="1">
      <alignment horizontal="left" vertical="center"/>
    </xf>
    <xf numFmtId="20" fontId="231" fillId="95" borderId="69" xfId="0" quotePrefix="1" applyNumberFormat="1" applyFont="1" applyFill="1" applyBorder="1" applyAlignment="1">
      <alignment horizontal="center" vertical="center"/>
    </xf>
    <xf numFmtId="1" fontId="97" fillId="0" borderId="0" xfId="0" applyNumberFormat="1" applyFont="1" applyFill="1"/>
    <xf numFmtId="0" fontId="97" fillId="0" borderId="0" xfId="0" applyFont="1" applyFill="1"/>
    <xf numFmtId="1" fontId="97" fillId="0" borderId="0" xfId="0" applyNumberFormat="1" applyFont="1"/>
    <xf numFmtId="20" fontId="231" fillId="95" borderId="12" xfId="0" quotePrefix="1" applyNumberFormat="1" applyFont="1" applyFill="1" applyBorder="1" applyAlignment="1">
      <alignment horizontal="center" vertical="center"/>
    </xf>
    <xf numFmtId="20" fontId="231" fillId="95" borderId="12" xfId="0" applyNumberFormat="1" applyFont="1" applyFill="1" applyBorder="1" applyAlignment="1">
      <alignment horizontal="center" vertical="center"/>
    </xf>
    <xf numFmtId="20" fontId="231" fillId="77" borderId="12" xfId="0" applyNumberFormat="1" applyFont="1" applyFill="1" applyBorder="1" applyAlignment="1">
      <alignment horizontal="center" vertical="center"/>
    </xf>
    <xf numFmtId="1" fontId="232" fillId="0" borderId="0" xfId="0" applyNumberFormat="1" applyFont="1" applyFill="1" applyBorder="1" applyAlignment="1" applyProtection="1">
      <alignment horizontal="center" vertical="center"/>
      <protection locked="0"/>
    </xf>
    <xf numFmtId="0" fontId="97" fillId="0" borderId="0" xfId="0" applyFont="1" applyFill="1" applyBorder="1"/>
    <xf numFmtId="1" fontId="233" fillId="0" borderId="0" xfId="0" applyNumberFormat="1" applyFont="1" applyFill="1" applyBorder="1" applyAlignment="1" applyProtection="1">
      <alignment horizontal="center" vertical="center"/>
      <protection locked="0"/>
    </xf>
    <xf numFmtId="20" fontId="231" fillId="26" borderId="12" xfId="0" applyNumberFormat="1" applyFont="1" applyFill="1" applyBorder="1" applyAlignment="1">
      <alignment horizontal="center" vertical="center"/>
    </xf>
    <xf numFmtId="20" fontId="231" fillId="49" borderId="12" xfId="0" applyNumberFormat="1" applyFont="1" applyFill="1" applyBorder="1" applyAlignment="1">
      <alignment horizontal="center" vertical="center"/>
    </xf>
    <xf numFmtId="20" fontId="231" fillId="49" borderId="78" xfId="0" quotePrefix="1" applyNumberFormat="1" applyFont="1" applyFill="1" applyBorder="1" applyAlignment="1">
      <alignment horizontal="center" vertical="center"/>
    </xf>
    <xf numFmtId="1" fontId="10" fillId="45" borderId="73" xfId="430" applyNumberFormat="1" applyFont="1" applyFill="1" applyBorder="1" applyAlignment="1">
      <alignment horizontal="center" vertical="center"/>
    </xf>
    <xf numFmtId="165" fontId="10" fillId="34" borderId="74" xfId="430" applyNumberFormat="1" applyFont="1" applyFill="1" applyBorder="1" applyAlignment="1">
      <alignment horizontal="center" vertical="center"/>
    </xf>
    <xf numFmtId="166" fontId="140" fillId="54" borderId="44" xfId="271" applyNumberFormat="1" applyFont="1" applyFill="1" applyBorder="1" applyAlignment="1">
      <alignment horizontal="center" vertical="center"/>
    </xf>
    <xf numFmtId="1" fontId="235" fillId="53" borderId="79" xfId="0" applyNumberFormat="1" applyFont="1" applyFill="1" applyBorder="1" applyAlignment="1" applyProtection="1">
      <alignment horizontal="center" vertical="center"/>
      <protection locked="0"/>
    </xf>
    <xf numFmtId="1" fontId="235" fillId="53" borderId="62" xfId="0" applyNumberFormat="1" applyFont="1" applyFill="1" applyBorder="1" applyAlignment="1" applyProtection="1">
      <alignment horizontal="center" vertical="center"/>
      <protection locked="0"/>
    </xf>
    <xf numFmtId="0" fontId="237" fillId="0" borderId="0" xfId="0" applyFont="1" applyAlignment="1">
      <alignment horizontal="center" vertical="center"/>
    </xf>
    <xf numFmtId="166" fontId="239" fillId="35" borderId="62" xfId="271" applyNumberFormat="1" applyFont="1" applyFill="1" applyBorder="1" applyAlignment="1">
      <alignment horizontal="center" vertical="center"/>
    </xf>
    <xf numFmtId="166" fontId="124" fillId="0" borderId="0" xfId="271" applyNumberFormat="1" applyFont="1" applyFill="1" applyBorder="1" applyAlignment="1">
      <alignment horizontal="center" vertical="center"/>
    </xf>
    <xf numFmtId="173" fontId="126" fillId="0" borderId="0" xfId="0" applyNumberFormat="1" applyFont="1" applyFill="1" applyBorder="1" applyAlignment="1">
      <alignment horizontal="center"/>
    </xf>
    <xf numFmtId="1" fontId="238" fillId="71" borderId="67" xfId="0" applyNumberFormat="1" applyFont="1" applyFill="1" applyBorder="1" applyAlignment="1" applyProtection="1">
      <alignment horizontal="center" vertical="center"/>
      <protection locked="0"/>
    </xf>
    <xf numFmtId="1" fontId="238" fillId="71" borderId="25" xfId="0" applyNumberFormat="1" applyFont="1" applyFill="1" applyBorder="1" applyAlignment="1" applyProtection="1">
      <alignment horizontal="center" vertical="center"/>
      <protection locked="0"/>
    </xf>
    <xf numFmtId="1" fontId="238" fillId="71" borderId="25" xfId="0" applyNumberFormat="1" applyFont="1" applyFill="1" applyBorder="1" applyAlignment="1">
      <alignment horizontal="center" vertical="center"/>
    </xf>
    <xf numFmtId="1" fontId="238" fillId="84" borderId="25" xfId="0" applyNumberFormat="1" applyFont="1" applyFill="1" applyBorder="1" applyAlignment="1" applyProtection="1">
      <alignment horizontal="center" vertical="center"/>
      <protection locked="0"/>
    </xf>
    <xf numFmtId="1" fontId="238" fillId="69" borderId="25" xfId="0" applyNumberFormat="1" applyFont="1" applyFill="1" applyBorder="1" applyAlignment="1">
      <alignment horizontal="center" vertical="center"/>
    </xf>
    <xf numFmtId="1" fontId="238" fillId="71" borderId="166" xfId="0" applyNumberFormat="1" applyFont="1" applyFill="1" applyBorder="1" applyAlignment="1">
      <alignment horizontal="center" vertical="center"/>
    </xf>
    <xf numFmtId="1" fontId="238" fillId="71" borderId="186" xfId="0" applyNumberFormat="1" applyFont="1" applyFill="1" applyBorder="1" applyAlignment="1">
      <alignment horizontal="center" vertical="center"/>
    </xf>
    <xf numFmtId="1" fontId="238" fillId="32" borderId="25" xfId="0" applyNumberFormat="1" applyFont="1" applyFill="1" applyBorder="1" applyAlignment="1" applyProtection="1">
      <alignment horizontal="center" vertical="center"/>
      <protection locked="0"/>
    </xf>
    <xf numFmtId="1" fontId="238" fillId="39" borderId="25" xfId="0" applyNumberFormat="1" applyFont="1" applyFill="1" applyBorder="1" applyAlignment="1" applyProtection="1">
      <alignment horizontal="center" vertical="center"/>
      <protection locked="0"/>
    </xf>
    <xf numFmtId="1" fontId="238" fillId="62" borderId="25" xfId="0" applyNumberFormat="1" applyFont="1" applyFill="1" applyBorder="1" applyAlignment="1" applyProtection="1">
      <alignment horizontal="center" vertical="center"/>
      <protection locked="0"/>
    </xf>
    <xf numFmtId="1" fontId="238" fillId="39" borderId="166" xfId="0" applyNumberFormat="1" applyFont="1" applyFill="1" applyBorder="1" applyAlignment="1" applyProtection="1">
      <alignment horizontal="center" vertical="center"/>
      <protection locked="0"/>
    </xf>
    <xf numFmtId="1" fontId="238" fillId="39" borderId="187" xfId="0" applyNumberFormat="1" applyFont="1" applyFill="1" applyBorder="1" applyAlignment="1" applyProtection="1">
      <alignment horizontal="center" vertical="center"/>
      <protection locked="0"/>
    </xf>
    <xf numFmtId="1" fontId="55" fillId="0" borderId="0" xfId="0" applyNumberFormat="1" applyFont="1" applyAlignment="1">
      <alignment vertical="center"/>
    </xf>
    <xf numFmtId="1" fontId="55" fillId="0" borderId="0" xfId="0" applyNumberFormat="1" applyFont="1" applyFill="1" applyBorder="1" applyAlignment="1">
      <alignment horizontal="center" vertical="center"/>
    </xf>
    <xf numFmtId="1" fontId="55" fillId="0" borderId="0" xfId="0" applyNumberFormat="1" applyFont="1" applyFill="1" applyBorder="1" applyAlignment="1">
      <alignment vertical="center"/>
    </xf>
    <xf numFmtId="1" fontId="177" fillId="0" borderId="48" xfId="436" applyNumberFormat="1" applyFont="1" applyBorder="1" applyAlignment="1">
      <alignment horizontal="right" vertical="center"/>
    </xf>
    <xf numFmtId="0" fontId="93" fillId="0" borderId="75" xfId="0" applyFont="1" applyBorder="1"/>
    <xf numFmtId="0" fontId="93" fillId="0" borderId="76" xfId="0" applyFont="1" applyBorder="1"/>
    <xf numFmtId="0" fontId="93" fillId="0" borderId="66" xfId="0" applyFont="1" applyBorder="1"/>
    <xf numFmtId="1" fontId="177" fillId="0" borderId="76" xfId="436" applyNumberFormat="1" applyFont="1" applyBorder="1" applyAlignment="1">
      <alignment horizontal="right" vertical="center"/>
    </xf>
    <xf numFmtId="1" fontId="177" fillId="0" borderId="75" xfId="436" applyNumberFormat="1" applyFont="1" applyBorder="1" applyAlignment="1">
      <alignment horizontal="right" vertical="center"/>
    </xf>
    <xf numFmtId="0" fontId="93" fillId="0" borderId="179" xfId="0" applyFont="1" applyBorder="1"/>
    <xf numFmtId="0" fontId="49" fillId="0" borderId="0" xfId="428" applyFont="1" applyBorder="1" applyAlignment="1">
      <alignment vertical="center"/>
    </xf>
    <xf numFmtId="20" fontId="77" fillId="0" borderId="0" xfId="436" applyNumberFormat="1" applyFont="1" applyFill="1" applyBorder="1" applyAlignment="1">
      <alignment horizontal="left" vertical="center"/>
    </xf>
    <xf numFmtId="15" fontId="77" fillId="0" borderId="0" xfId="436" applyNumberFormat="1" applyFont="1" applyFill="1" applyAlignment="1">
      <alignment horizontal="center" vertical="center"/>
    </xf>
    <xf numFmtId="15" fontId="49" fillId="0" borderId="0" xfId="436" applyNumberFormat="1" applyFont="1" applyFill="1" applyAlignment="1">
      <alignment horizontal="center" vertical="center"/>
    </xf>
    <xf numFmtId="0" fontId="49" fillId="0" borderId="0" xfId="436" applyFont="1" applyFill="1" applyBorder="1">
      <alignment vertical="center"/>
    </xf>
    <xf numFmtId="0" fontId="77" fillId="0" borderId="0" xfId="436" applyFont="1" applyFill="1" applyAlignment="1">
      <alignment horizontal="right" vertical="center"/>
    </xf>
    <xf numFmtId="0" fontId="77" fillId="0" borderId="58" xfId="498" applyFont="1" applyBorder="1" applyAlignment="1">
      <alignment horizontal="center" vertical="center" wrapText="1"/>
    </xf>
    <xf numFmtId="0" fontId="77" fillId="0" borderId="85" xfId="498" applyFont="1" applyBorder="1" applyAlignment="1">
      <alignment horizontal="center" vertical="center"/>
    </xf>
    <xf numFmtId="0" fontId="241" fillId="0" borderId="46" xfId="0" applyFont="1" applyBorder="1" applyAlignment="1">
      <alignment horizontal="center" vertical="center"/>
    </xf>
    <xf numFmtId="0" fontId="77" fillId="0" borderId="58" xfId="498" applyFont="1" applyBorder="1" applyAlignment="1">
      <alignment horizontal="center" vertical="center"/>
    </xf>
    <xf numFmtId="0" fontId="77" fillId="0" borderId="44" xfId="498" applyFont="1" applyBorder="1" applyAlignment="1">
      <alignment horizontal="center" vertical="center" wrapText="1"/>
    </xf>
    <xf numFmtId="0" fontId="77" fillId="0" borderId="47" xfId="498" applyFont="1" applyBorder="1" applyAlignment="1">
      <alignment horizontal="left" vertical="center"/>
    </xf>
    <xf numFmtId="0" fontId="241" fillId="0" borderId="48" xfId="0" applyFont="1" applyBorder="1" applyAlignment="1">
      <alignment horizontal="center" vertical="center"/>
    </xf>
    <xf numFmtId="0" fontId="77" fillId="0" borderId="44" xfId="498" applyFont="1" applyBorder="1" applyAlignment="1">
      <alignment horizontal="center" vertical="center"/>
    </xf>
    <xf numFmtId="0" fontId="241" fillId="0" borderId="198" xfId="0" applyFont="1" applyBorder="1" applyAlignment="1">
      <alignment horizontal="center" vertical="center"/>
    </xf>
    <xf numFmtId="0" fontId="241" fillId="0" borderId="153" xfId="0" applyFont="1" applyBorder="1" applyAlignment="1">
      <alignment horizontal="center" vertical="center"/>
    </xf>
    <xf numFmtId="0" fontId="241" fillId="0" borderId="155" xfId="0" applyFont="1" applyBorder="1" applyAlignment="1">
      <alignment horizontal="center" vertical="center"/>
    </xf>
    <xf numFmtId="0" fontId="77" fillId="0" borderId="198" xfId="498" applyFont="1" applyBorder="1" applyAlignment="1">
      <alignment horizontal="center" vertical="center" wrapText="1"/>
    </xf>
    <xf numFmtId="0" fontId="77" fillId="0" borderId="198" xfId="498" applyFont="1" applyBorder="1" applyAlignment="1">
      <alignment horizontal="center" vertical="center"/>
    </xf>
    <xf numFmtId="0" fontId="77" fillId="0" borderId="39" xfId="498" applyFont="1" applyBorder="1" applyAlignment="1">
      <alignment horizontal="center" vertical="center"/>
    </xf>
    <xf numFmtId="176" fontId="77" fillId="0" borderId="37" xfId="498" applyNumberFormat="1" applyFont="1" applyBorder="1" applyAlignment="1">
      <alignment vertical="center"/>
    </xf>
    <xf numFmtId="0" fontId="77" fillId="0" borderId="37" xfId="498" applyFont="1" applyFill="1" applyBorder="1" applyAlignment="1">
      <alignment vertical="center"/>
    </xf>
    <xf numFmtId="0" fontId="77" fillId="0" borderId="38" xfId="498" applyFont="1" applyFill="1" applyBorder="1" applyAlignment="1">
      <alignment horizontal="center" vertical="center"/>
    </xf>
    <xf numFmtId="0" fontId="77" fillId="0" borderId="72" xfId="498" applyFont="1" applyBorder="1" applyAlignment="1">
      <alignment horizontal="center" vertical="center"/>
    </xf>
    <xf numFmtId="14" fontId="77" fillId="0" borderId="198" xfId="498" applyNumberFormat="1" applyFont="1" applyBorder="1" applyAlignment="1">
      <alignment horizontal="center" vertical="center"/>
    </xf>
    <xf numFmtId="0" fontId="49" fillId="0" borderId="104" xfId="428" applyFont="1" applyFill="1" applyBorder="1" applyAlignment="1">
      <alignment horizontal="center" vertical="center"/>
    </xf>
    <xf numFmtId="1" fontId="49" fillId="0" borderId="81" xfId="428" applyNumberFormat="1" applyFont="1" applyFill="1" applyBorder="1" applyAlignment="1">
      <alignment horizontal="center" vertical="center"/>
    </xf>
    <xf numFmtId="1" fontId="49" fillId="0" borderId="107" xfId="428" applyNumberFormat="1" applyFont="1" applyFill="1" applyBorder="1" applyAlignment="1">
      <alignment horizontal="center" vertical="center"/>
    </xf>
    <xf numFmtId="0" fontId="49" fillId="0" borderId="108" xfId="428" applyFont="1" applyFill="1" applyBorder="1" applyAlignment="1">
      <alignment horizontal="center" vertical="center"/>
    </xf>
    <xf numFmtId="0" fontId="49" fillId="0" borderId="12" xfId="429" applyNumberFormat="1" applyFont="1" applyFill="1" applyBorder="1" applyAlignment="1">
      <alignment vertical="center"/>
    </xf>
    <xf numFmtId="0" fontId="49" fillId="0" borderId="110" xfId="428" applyFont="1" applyFill="1" applyBorder="1" applyAlignment="1">
      <alignment vertical="center"/>
    </xf>
    <xf numFmtId="0" fontId="49" fillId="0" borderId="82" xfId="436" applyFont="1" applyFill="1" applyBorder="1" applyAlignment="1">
      <alignment horizontal="center" vertical="center"/>
    </xf>
    <xf numFmtId="1" fontId="49" fillId="0" borderId="82" xfId="428" applyNumberFormat="1" applyFont="1" applyFill="1" applyBorder="1" applyAlignment="1">
      <alignment horizontal="center" vertical="center"/>
    </xf>
    <xf numFmtId="1" fontId="49" fillId="0" borderId="111" xfId="428" applyNumberFormat="1" applyFont="1" applyFill="1" applyBorder="1" applyAlignment="1">
      <alignment horizontal="center" vertical="center"/>
    </xf>
    <xf numFmtId="0" fontId="49" fillId="0" borderId="82" xfId="428" applyFont="1" applyFill="1" applyBorder="1" applyAlignment="1">
      <alignment horizontal="center" vertical="center"/>
    </xf>
    <xf numFmtId="1" fontId="49" fillId="0" borderId="111" xfId="428" applyNumberFormat="1" applyFont="1" applyFill="1" applyBorder="1" applyAlignment="1" applyProtection="1">
      <alignment horizontal="center" vertical="center"/>
    </xf>
    <xf numFmtId="0" fontId="49" fillId="31" borderId="12" xfId="429" applyNumberFormat="1" applyFont="1" applyFill="1" applyBorder="1" applyAlignment="1">
      <alignment vertical="center"/>
    </xf>
    <xf numFmtId="1" fontId="49" fillId="0" borderId="111" xfId="428" applyNumberFormat="1" applyFont="1" applyFill="1" applyBorder="1" applyAlignment="1" applyProtection="1">
      <alignment horizontal="center" vertical="center"/>
      <protection locked="0"/>
    </xf>
    <xf numFmtId="0" fontId="49" fillId="0" borderId="12" xfId="437" applyNumberFormat="1" applyFont="1" applyFill="1" applyBorder="1" applyAlignment="1">
      <alignment vertical="center"/>
    </xf>
    <xf numFmtId="0" fontId="49" fillId="0" borderId="108" xfId="436" applyFont="1" applyFill="1" applyBorder="1" applyAlignment="1">
      <alignment horizontal="center" vertical="center"/>
    </xf>
    <xf numFmtId="1" fontId="49" fillId="0" borderId="111" xfId="436" applyNumberFormat="1" applyFont="1" applyFill="1" applyBorder="1" applyAlignment="1">
      <alignment horizontal="center" vertical="center"/>
    </xf>
    <xf numFmtId="172" fontId="49" fillId="0" borderId="113" xfId="500" applyNumberFormat="1" applyFont="1" applyBorder="1" applyAlignment="1">
      <alignment horizontal="center" vertical="center"/>
    </xf>
    <xf numFmtId="0" fontId="49" fillId="31" borderId="12" xfId="437" applyNumberFormat="1" applyFont="1" applyFill="1" applyBorder="1" applyAlignment="1">
      <alignment vertical="center"/>
    </xf>
    <xf numFmtId="0" fontId="49" fillId="0" borderId="108" xfId="0" applyFont="1" applyFill="1" applyBorder="1" applyAlignment="1">
      <alignment horizontal="center" vertical="center"/>
    </xf>
    <xf numFmtId="0" fontId="49" fillId="0" borderId="82" xfId="0" applyFont="1" applyFill="1" applyBorder="1" applyAlignment="1">
      <alignment horizontal="center" vertical="center"/>
    </xf>
    <xf numFmtId="0" fontId="49" fillId="0" borderId="12" xfId="414" applyNumberFormat="1" applyFont="1" applyFill="1" applyBorder="1" applyAlignment="1">
      <alignment vertical="center"/>
    </xf>
    <xf numFmtId="1" fontId="49" fillId="0" borderId="111" xfId="0" applyNumberFormat="1" applyFont="1" applyFill="1" applyBorder="1" applyAlignment="1">
      <alignment horizontal="center" vertical="center"/>
    </xf>
    <xf numFmtId="1" fontId="49" fillId="0" borderId="109" xfId="428" applyNumberFormat="1" applyFont="1" applyFill="1" applyBorder="1" applyAlignment="1">
      <alignment horizontal="center" vertical="center"/>
    </xf>
    <xf numFmtId="0" fontId="49" fillId="0" borderId="114" xfId="0" applyFont="1" applyFill="1" applyBorder="1" applyAlignment="1">
      <alignment horizontal="center" vertical="center"/>
    </xf>
    <xf numFmtId="0" fontId="49" fillId="0" borderId="44" xfId="0" applyFont="1" applyFill="1" applyBorder="1" applyAlignment="1">
      <alignment horizontal="center" vertical="center"/>
    </xf>
    <xf numFmtId="0" fontId="49" fillId="0" borderId="83" xfId="0" applyFont="1" applyFill="1" applyBorder="1" applyAlignment="1">
      <alignment horizontal="center" vertical="center"/>
    </xf>
    <xf numFmtId="0" fontId="49" fillId="0" borderId="114" xfId="428" applyFont="1" applyFill="1" applyBorder="1" applyAlignment="1">
      <alignment horizontal="center" vertical="center"/>
    </xf>
    <xf numFmtId="1" fontId="49" fillId="0" borderId="117" xfId="428" applyNumberFormat="1" applyFont="1" applyFill="1" applyBorder="1" applyAlignment="1" applyProtection="1">
      <alignment horizontal="center" vertical="center"/>
      <protection locked="0"/>
    </xf>
    <xf numFmtId="0" fontId="49" fillId="0" borderId="44" xfId="428" applyFont="1" applyFill="1" applyBorder="1" applyAlignment="1">
      <alignment horizontal="center" vertical="center"/>
    </xf>
    <xf numFmtId="0" fontId="49" fillId="0" borderId="83" xfId="428" applyFont="1" applyFill="1" applyBorder="1" applyAlignment="1">
      <alignment horizontal="center" vertical="center"/>
    </xf>
    <xf numFmtId="1" fontId="49" fillId="0" borderId="83" xfId="428" applyNumberFormat="1" applyFont="1" applyFill="1" applyBorder="1" applyAlignment="1">
      <alignment horizontal="center" vertical="center"/>
    </xf>
    <xf numFmtId="0" fontId="242" fillId="0" borderId="39" xfId="428" applyFont="1" applyFill="1" applyBorder="1" applyAlignment="1">
      <alignment horizontal="center" vertical="center"/>
    </xf>
    <xf numFmtId="0" fontId="242" fillId="0" borderId="37" xfId="428" applyFont="1" applyFill="1" applyBorder="1" applyAlignment="1">
      <alignment vertical="center"/>
    </xf>
    <xf numFmtId="0" fontId="242" fillId="0" borderId="37" xfId="428" applyFont="1" applyFill="1" applyBorder="1" applyAlignment="1">
      <alignment horizontal="center" vertical="center"/>
    </xf>
    <xf numFmtId="1" fontId="242" fillId="0" borderId="72" xfId="428" applyNumberFormat="1" applyFont="1" applyFill="1" applyBorder="1" applyAlignment="1">
      <alignment horizontal="center" vertical="center"/>
    </xf>
    <xf numFmtId="0" fontId="49" fillId="0" borderId="72" xfId="423" applyNumberFormat="1" applyFont="1" applyBorder="1"/>
    <xf numFmtId="173" fontId="49" fillId="0" borderId="221" xfId="429" applyNumberFormat="1" applyFont="1" applyFill="1" applyBorder="1" applyAlignment="1">
      <alignment vertical="center"/>
    </xf>
    <xf numFmtId="0" fontId="49" fillId="0" borderId="81" xfId="428" applyFont="1" applyFill="1" applyBorder="1" applyAlignment="1">
      <alignment horizontal="center" vertical="center"/>
    </xf>
    <xf numFmtId="0" fontId="49" fillId="0" borderId="105" xfId="428" applyFont="1" applyFill="1" applyBorder="1" applyAlignment="1">
      <alignment horizontal="center" vertical="center"/>
    </xf>
    <xf numFmtId="173" fontId="49" fillId="0" borderId="12" xfId="429" applyNumberFormat="1" applyFont="1" applyFill="1" applyBorder="1" applyAlignment="1">
      <alignment vertical="center"/>
    </xf>
    <xf numFmtId="173" fontId="49" fillId="0" borderId="12" xfId="414" applyNumberFormat="1" applyFont="1" applyFill="1" applyBorder="1" applyAlignment="1">
      <alignment vertical="center"/>
    </xf>
    <xf numFmtId="0" fontId="49" fillId="0" borderId="109" xfId="0" applyFont="1" applyFill="1" applyBorder="1" applyAlignment="1">
      <alignment horizontal="center" vertical="center"/>
    </xf>
    <xf numFmtId="0" fontId="49" fillId="0" borderId="115" xfId="0" applyFont="1" applyFill="1" applyBorder="1" applyAlignment="1">
      <alignment horizontal="center" vertical="center"/>
    </xf>
    <xf numFmtId="173" fontId="49" fillId="31" borderId="12" xfId="414" applyNumberFormat="1" applyFont="1" applyFill="1" applyBorder="1" applyAlignment="1">
      <alignment vertical="center"/>
    </xf>
    <xf numFmtId="0" fontId="49" fillId="0" borderId="0" xfId="0" applyFont="1" applyFill="1" applyBorder="1" applyAlignment="1">
      <alignment horizontal="center" vertical="center"/>
    </xf>
    <xf numFmtId="0" fontId="49" fillId="0" borderId="47" xfId="428" applyFont="1" applyFill="1" applyBorder="1" applyAlignment="1">
      <alignment horizontal="center" vertical="center"/>
    </xf>
    <xf numFmtId="0" fontId="49" fillId="0" borderId="109" xfId="428" applyFont="1" applyFill="1" applyBorder="1" applyAlignment="1">
      <alignment horizontal="center" vertical="center"/>
    </xf>
    <xf numFmtId="173" fontId="77" fillId="0" borderId="68" xfId="429" applyNumberFormat="1" applyFont="1" applyFill="1" applyBorder="1" applyAlignment="1">
      <alignment vertical="center"/>
    </xf>
    <xf numFmtId="173" fontId="49" fillId="0" borderId="78" xfId="429" applyNumberFormat="1" applyFont="1" applyFill="1" applyBorder="1" applyAlignment="1">
      <alignment vertical="center"/>
    </xf>
    <xf numFmtId="0" fontId="242" fillId="0" borderId="38" xfId="428" applyFont="1" applyFill="1" applyBorder="1" applyAlignment="1">
      <alignment horizontal="center" vertical="center"/>
    </xf>
    <xf numFmtId="1" fontId="49" fillId="0" borderId="107" xfId="428" applyNumberFormat="1" applyFont="1" applyFill="1" applyBorder="1" applyAlignment="1" applyProtection="1">
      <alignment horizontal="center" vertical="center"/>
      <protection locked="0"/>
    </xf>
    <xf numFmtId="0" fontId="49" fillId="0" borderId="71" xfId="0" applyFont="1" applyFill="1" applyBorder="1" applyAlignment="1">
      <alignment horizontal="center" vertical="center"/>
    </xf>
    <xf numFmtId="0" fontId="49" fillId="0" borderId="78" xfId="0" applyFont="1" applyFill="1" applyBorder="1" applyAlignment="1">
      <alignment horizontal="center" vertical="center"/>
    </xf>
    <xf numFmtId="0" fontId="49" fillId="0" borderId="78" xfId="428" applyFont="1" applyFill="1" applyBorder="1" applyAlignment="1">
      <alignment horizontal="center" vertical="center"/>
    </xf>
    <xf numFmtId="1" fontId="49" fillId="0" borderId="150" xfId="428" applyNumberFormat="1" applyFont="1" applyFill="1" applyBorder="1" applyAlignment="1">
      <alignment horizontal="center" vertical="center"/>
    </xf>
    <xf numFmtId="1" fontId="49" fillId="0" borderId="78" xfId="428" applyNumberFormat="1" applyFont="1" applyFill="1" applyBorder="1" applyAlignment="1" applyProtection="1">
      <alignment horizontal="center" vertical="center"/>
      <protection locked="0"/>
    </xf>
    <xf numFmtId="0" fontId="49" fillId="0" borderId="115" xfId="428" applyFont="1" applyFill="1" applyBorder="1" applyAlignment="1">
      <alignment horizontal="center" vertical="center"/>
    </xf>
    <xf numFmtId="173" fontId="77" fillId="0" borderId="12" xfId="429" applyNumberFormat="1" applyFont="1" applyFill="1" applyBorder="1" applyAlignment="1">
      <alignment vertical="center"/>
    </xf>
    <xf numFmtId="1" fontId="49" fillId="0" borderId="108" xfId="436" applyNumberFormat="1" applyFont="1" applyFill="1" applyBorder="1" applyAlignment="1">
      <alignment horizontal="center" vertical="center"/>
    </xf>
    <xf numFmtId="173" fontId="49" fillId="31" borderId="12" xfId="429" applyNumberFormat="1" applyFont="1" applyFill="1" applyBorder="1" applyAlignment="1">
      <alignment vertical="center"/>
    </xf>
    <xf numFmtId="1" fontId="49" fillId="0" borderId="228" xfId="428" applyNumberFormat="1" applyFont="1" applyFill="1" applyBorder="1" applyAlignment="1">
      <alignment horizontal="center" vertical="center"/>
    </xf>
    <xf numFmtId="1" fontId="49" fillId="0" borderId="225" xfId="428" applyNumberFormat="1" applyFont="1" applyFill="1" applyBorder="1" applyAlignment="1">
      <alignment horizontal="center" vertical="center"/>
    </xf>
    <xf numFmtId="1" fontId="49" fillId="0" borderId="227" xfId="428" applyNumberFormat="1" applyFont="1" applyFill="1" applyBorder="1" applyAlignment="1">
      <alignment horizontal="center" vertical="center"/>
    </xf>
    <xf numFmtId="1" fontId="49" fillId="0" borderId="226" xfId="428" applyNumberFormat="1" applyFont="1" applyFill="1" applyBorder="1" applyAlignment="1">
      <alignment horizontal="center" vertical="center"/>
    </xf>
    <xf numFmtId="0" fontId="49" fillId="0" borderId="114" xfId="436" applyFont="1" applyFill="1" applyBorder="1" applyAlignment="1">
      <alignment horizontal="center" vertical="center"/>
    </xf>
    <xf numFmtId="173" fontId="49" fillId="0" borderId="68" xfId="429" applyNumberFormat="1" applyFont="1" applyFill="1" applyBorder="1" applyAlignment="1">
      <alignment vertical="center"/>
    </xf>
    <xf numFmtId="173" fontId="49" fillId="0" borderId="112" xfId="429" applyNumberFormat="1" applyFont="1" applyFill="1" applyBorder="1" applyAlignment="1">
      <alignment vertical="center"/>
    </xf>
    <xf numFmtId="0" fontId="243" fillId="0" borderId="0" xfId="428" applyFont="1" applyFill="1" applyBorder="1" applyAlignment="1">
      <alignment horizontal="center" vertical="center"/>
    </xf>
    <xf numFmtId="0" fontId="243" fillId="0" borderId="47" xfId="428" applyFont="1" applyFill="1" applyBorder="1" applyAlignment="1">
      <alignment horizontal="center" vertical="center"/>
    </xf>
    <xf numFmtId="0" fontId="243" fillId="0" borderId="44" xfId="436" applyFont="1" applyFill="1" applyBorder="1" applyAlignment="1">
      <alignment horizontal="center" vertical="center"/>
    </xf>
    <xf numFmtId="1" fontId="243" fillId="0" borderId="13" xfId="436" applyNumberFormat="1" applyFont="1" applyFill="1" applyBorder="1" applyAlignment="1">
      <alignment horizontal="center" vertical="center"/>
    </xf>
    <xf numFmtId="1" fontId="243" fillId="0" borderId="90" xfId="436" applyNumberFormat="1" applyFont="1" applyFill="1" applyBorder="1" applyAlignment="1">
      <alignment horizontal="center" vertical="center"/>
    </xf>
    <xf numFmtId="0" fontId="49" fillId="0" borderId="84" xfId="428" applyFont="1" applyFill="1" applyBorder="1" applyAlignment="1">
      <alignment horizontal="center" vertical="center"/>
    </xf>
    <xf numFmtId="0" fontId="49" fillId="0" borderId="127" xfId="428" applyFont="1" applyFill="1" applyBorder="1" applyAlignment="1">
      <alignment horizontal="center" vertical="center"/>
    </xf>
    <xf numFmtId="0" fontId="49" fillId="0" borderId="126" xfId="428" applyFont="1" applyFill="1" applyBorder="1" applyAlignment="1">
      <alignment horizontal="center" vertical="center"/>
    </xf>
    <xf numFmtId="1" fontId="49" fillId="0" borderId="229" xfId="428" applyNumberFormat="1" applyFont="1" applyFill="1" applyBorder="1" applyAlignment="1">
      <alignment horizontal="center" vertical="center"/>
    </xf>
    <xf numFmtId="1" fontId="49" fillId="0" borderId="230" xfId="428" applyNumberFormat="1" applyFont="1" applyFill="1" applyBorder="1" applyAlignment="1" applyProtection="1">
      <alignment horizontal="center" vertical="center"/>
      <protection locked="0"/>
    </xf>
    <xf numFmtId="0" fontId="242" fillId="0" borderId="175" xfId="428" applyFont="1" applyFill="1" applyBorder="1" applyAlignment="1">
      <alignment vertical="center"/>
    </xf>
    <xf numFmtId="0" fontId="242" fillId="0" borderId="175" xfId="428" applyFont="1" applyFill="1" applyBorder="1" applyAlignment="1">
      <alignment horizontal="center" vertical="center"/>
    </xf>
    <xf numFmtId="0" fontId="242" fillId="0" borderId="58" xfId="428" applyFont="1" applyFill="1" applyBorder="1" applyAlignment="1">
      <alignment horizontal="center" vertical="center"/>
    </xf>
    <xf numFmtId="14" fontId="77" fillId="0" borderId="58" xfId="429" applyNumberFormat="1" applyFont="1" applyFill="1" applyBorder="1" applyAlignment="1">
      <alignment horizontal="left" vertical="center"/>
    </xf>
    <xf numFmtId="14" fontId="242" fillId="0" borderId="38" xfId="428" applyNumberFormat="1" applyFont="1" applyFill="1" applyBorder="1" applyAlignment="1">
      <alignment vertical="center"/>
    </xf>
    <xf numFmtId="182" fontId="49" fillId="0" borderId="85" xfId="436" applyNumberFormat="1" applyFont="1" applyFill="1" applyBorder="1">
      <alignment vertical="center"/>
    </xf>
    <xf numFmtId="0" fontId="49" fillId="0" borderId="175" xfId="436" applyFont="1" applyFill="1" applyBorder="1" applyAlignment="1" applyProtection="1">
      <alignment vertical="center"/>
      <protection locked="0"/>
    </xf>
    <xf numFmtId="0" fontId="49" fillId="0" borderId="46" xfId="436" applyFont="1" applyFill="1" applyBorder="1" applyAlignment="1" applyProtection="1">
      <alignment vertical="center"/>
      <protection locked="0"/>
    </xf>
    <xf numFmtId="182" fontId="49" fillId="0" borderId="39" xfId="436" applyNumberFormat="1" applyFont="1" applyFill="1" applyBorder="1" applyAlignment="1">
      <alignment vertical="center"/>
    </xf>
    <xf numFmtId="182" fontId="49" fillId="0" borderId="37" xfId="436" applyNumberFormat="1" applyFont="1" applyFill="1" applyBorder="1" applyAlignment="1">
      <alignment vertical="center"/>
    </xf>
    <xf numFmtId="1" fontId="49" fillId="0" borderId="72" xfId="436" applyNumberFormat="1" applyFont="1" applyFill="1" applyBorder="1" applyAlignment="1">
      <alignment horizontal="center" vertical="center"/>
    </xf>
    <xf numFmtId="0" fontId="49" fillId="0" borderId="38" xfId="436" applyFont="1" applyFill="1" applyBorder="1" applyProtection="1">
      <alignment vertical="center"/>
      <protection locked="0"/>
    </xf>
    <xf numFmtId="0" fontId="140" fillId="0" borderId="0" xfId="428" applyFont="1" applyFill="1" applyBorder="1" applyAlignment="1">
      <alignment horizontal="left" vertical="center"/>
    </xf>
    <xf numFmtId="20" fontId="10" fillId="0" borderId="0" xfId="0" applyNumberFormat="1" applyFont="1" applyBorder="1" applyAlignment="1">
      <alignment horizontal="center" vertical="center"/>
    </xf>
    <xf numFmtId="0" fontId="108" fillId="0" borderId="0" xfId="0" applyFont="1" applyFill="1"/>
    <xf numFmtId="1" fontId="235" fillId="53" borderId="184" xfId="0" applyNumberFormat="1" applyFont="1" applyFill="1" applyBorder="1" applyAlignment="1" applyProtection="1">
      <alignment horizontal="center" vertical="center"/>
      <protection locked="0"/>
    </xf>
    <xf numFmtId="1" fontId="203" fillId="39" borderId="169" xfId="0" applyNumberFormat="1" applyFont="1" applyFill="1" applyBorder="1" applyAlignment="1" applyProtection="1">
      <alignment horizontal="center" vertical="center"/>
      <protection locked="0"/>
    </xf>
    <xf numFmtId="173" fontId="45" fillId="0" borderId="0" xfId="430" applyNumberFormat="1" applyFont="1" applyBorder="1"/>
    <xf numFmtId="173" fontId="97" fillId="0" borderId="0" xfId="0" applyNumberFormat="1" applyFont="1"/>
    <xf numFmtId="173" fontId="45" fillId="0" borderId="0" xfId="430" applyNumberFormat="1" applyFont="1" applyFill="1" applyBorder="1"/>
    <xf numFmtId="0" fontId="45" fillId="0" borderId="0" xfId="430" applyNumberFormat="1" applyFont="1" applyFill="1" applyBorder="1"/>
    <xf numFmtId="0" fontId="224" fillId="0" borderId="0" xfId="0" applyFont="1"/>
    <xf numFmtId="0" fontId="244" fillId="0" borderId="0" xfId="0" applyFont="1"/>
    <xf numFmtId="0" fontId="224" fillId="0" borderId="0" xfId="0" applyFont="1" applyProtection="1">
      <protection locked="0"/>
    </xf>
    <xf numFmtId="1" fontId="246" fillId="41" borderId="0" xfId="0" applyNumberFormat="1" applyFont="1" applyFill="1" applyBorder="1" applyAlignment="1" applyProtection="1">
      <alignment horizontal="center" vertical="center"/>
      <protection locked="0"/>
    </xf>
    <xf numFmtId="1" fontId="240" fillId="27" borderId="62" xfId="0" applyNumberFormat="1" applyFont="1" applyFill="1" applyBorder="1" applyAlignment="1" applyProtection="1">
      <alignment horizontal="center" vertical="center"/>
      <protection locked="0"/>
    </xf>
    <xf numFmtId="0" fontId="121" fillId="34" borderId="10" xfId="0" applyFont="1" applyFill="1" applyBorder="1"/>
    <xf numFmtId="0" fontId="247" fillId="34" borderId="10" xfId="0" applyFont="1" applyFill="1" applyBorder="1"/>
    <xf numFmtId="0" fontId="121" fillId="34" borderId="10" xfId="0" applyFont="1" applyFill="1" applyBorder="1" applyAlignment="1">
      <alignment horizontal="left" vertical="center"/>
    </xf>
    <xf numFmtId="0" fontId="121" fillId="34" borderId="10" xfId="0" applyFont="1" applyFill="1" applyBorder="1" applyAlignment="1">
      <alignment horizontal="center" vertical="center"/>
    </xf>
    <xf numFmtId="1" fontId="242" fillId="0" borderId="58" xfId="428" applyNumberFormat="1" applyFont="1" applyFill="1" applyBorder="1" applyAlignment="1">
      <alignment horizontal="center" vertical="center"/>
    </xf>
    <xf numFmtId="0" fontId="49" fillId="0" borderId="69" xfId="423" applyNumberFormat="1" applyFont="1" applyBorder="1"/>
    <xf numFmtId="0" fontId="49" fillId="0" borderId="12" xfId="423" applyNumberFormat="1" applyFont="1" applyBorder="1"/>
    <xf numFmtId="0" fontId="49" fillId="0" borderId="270" xfId="423" applyNumberFormat="1" applyFont="1" applyBorder="1"/>
    <xf numFmtId="1" fontId="49" fillId="0" borderId="69" xfId="428" applyNumberFormat="1" applyFont="1" applyFill="1" applyBorder="1" applyAlignment="1">
      <alignment horizontal="center" vertical="center"/>
    </xf>
    <xf numFmtId="1" fontId="49" fillId="0" borderId="12" xfId="428" applyNumberFormat="1" applyFont="1" applyFill="1" applyBorder="1" applyAlignment="1" applyProtection="1">
      <alignment horizontal="center" vertical="center"/>
      <protection locked="0"/>
    </xf>
    <xf numFmtId="165" fontId="91" fillId="45" borderId="10" xfId="0" applyNumberFormat="1" applyFont="1" applyFill="1" applyBorder="1" applyAlignment="1">
      <alignment horizontal="center" vertical="center"/>
    </xf>
    <xf numFmtId="165" fontId="91" fillId="0" borderId="0" xfId="0" applyNumberFormat="1" applyFont="1"/>
    <xf numFmtId="165" fontId="140" fillId="64" borderId="79" xfId="0" applyNumberFormat="1" applyFont="1" applyFill="1" applyBorder="1" applyAlignment="1" applyProtection="1">
      <alignment horizontal="center" vertical="center"/>
      <protection locked="0"/>
    </xf>
    <xf numFmtId="165" fontId="90" fillId="47" borderId="18" xfId="375" applyNumberFormat="1" applyFont="1" applyFill="1" applyBorder="1" applyAlignment="1">
      <alignment horizontal="center"/>
    </xf>
    <xf numFmtId="173" fontId="248" fillId="0" borderId="0" xfId="375" applyNumberFormat="1" applyFont="1" applyAlignment="1">
      <alignment horizontal="left" vertical="top"/>
    </xf>
    <xf numFmtId="173" fontId="248" fillId="0" borderId="0" xfId="375" applyNumberFormat="1" applyFont="1" applyFill="1" applyBorder="1" applyAlignment="1">
      <alignment horizontal="left" vertical="top"/>
    </xf>
    <xf numFmtId="165" fontId="249" fillId="47" borderId="18" xfId="375" applyNumberFormat="1" applyFont="1" applyFill="1" applyBorder="1" applyAlignment="1" applyProtection="1">
      <alignment horizontal="center"/>
    </xf>
    <xf numFmtId="20" fontId="201" fillId="0" borderId="30" xfId="431" applyNumberFormat="1" applyFont="1" applyFill="1" applyBorder="1" applyAlignment="1">
      <alignment horizontal="center" vertical="center"/>
    </xf>
    <xf numFmtId="173" fontId="250" fillId="0" borderId="12" xfId="0" applyNumberFormat="1" applyFont="1" applyBorder="1" applyAlignment="1">
      <alignment vertical="center"/>
    </xf>
    <xf numFmtId="1" fontId="204" fillId="35" borderId="62" xfId="0" applyNumberFormat="1" applyFont="1" applyFill="1" applyBorder="1" applyAlignment="1">
      <alignment horizontal="center" vertical="center"/>
    </xf>
    <xf numFmtId="1" fontId="234" fillId="63" borderId="62" xfId="0" applyNumberFormat="1" applyFont="1" applyFill="1" applyBorder="1" applyAlignment="1" applyProtection="1">
      <alignment horizontal="center" vertical="center"/>
      <protection locked="0"/>
    </xf>
    <xf numFmtId="165" fontId="108" fillId="0" borderId="0" xfId="0" applyNumberFormat="1" applyFont="1"/>
    <xf numFmtId="1" fontId="204" fillId="97" borderId="62" xfId="0" applyNumberFormat="1" applyFont="1" applyFill="1" applyBorder="1" applyAlignment="1" applyProtection="1">
      <alignment horizontal="center" vertical="center"/>
      <protection locked="0"/>
    </xf>
    <xf numFmtId="1" fontId="204" fillId="97" borderId="62" xfId="0" applyNumberFormat="1" applyFont="1" applyFill="1" applyBorder="1" applyAlignment="1">
      <alignment horizontal="center" vertical="center"/>
    </xf>
    <xf numFmtId="1" fontId="204" fillId="33" borderId="62" xfId="0" applyNumberFormat="1" applyFont="1" applyFill="1" applyBorder="1" applyAlignment="1" applyProtection="1">
      <alignment horizontal="center" vertical="center"/>
      <protection locked="0"/>
    </xf>
    <xf numFmtId="1" fontId="204" fillId="33" borderId="184" xfId="0" applyNumberFormat="1" applyFont="1" applyFill="1" applyBorder="1" applyAlignment="1" applyProtection="1">
      <alignment horizontal="center" vertical="center"/>
      <protection locked="0"/>
    </xf>
    <xf numFmtId="1" fontId="204" fillId="33" borderId="63" xfId="0" applyNumberFormat="1" applyFont="1" applyFill="1" applyBorder="1" applyAlignment="1" applyProtection="1">
      <alignment horizontal="center" vertical="center"/>
      <protection locked="0"/>
    </xf>
    <xf numFmtId="166" fontId="204" fillId="33" borderId="222" xfId="271" applyNumberFormat="1" applyFont="1" applyFill="1" applyBorder="1" applyAlignment="1">
      <alignment horizontal="center" vertical="center"/>
    </xf>
    <xf numFmtId="166" fontId="218" fillId="33" borderId="62" xfId="271" applyNumberFormat="1" applyFont="1" applyFill="1" applyBorder="1" applyAlignment="1">
      <alignment horizontal="center" vertical="center"/>
    </xf>
    <xf numFmtId="166" fontId="204" fillId="33" borderId="62" xfId="271" applyNumberFormat="1" applyFont="1" applyFill="1" applyBorder="1" applyAlignment="1">
      <alignment horizontal="center" vertical="center"/>
    </xf>
    <xf numFmtId="166" fontId="239" fillId="33" borderId="62" xfId="271" applyNumberFormat="1" applyFont="1" applyFill="1" applyBorder="1" applyAlignment="1">
      <alignment horizontal="center" vertical="center"/>
    </xf>
    <xf numFmtId="166" fontId="204" fillId="33" borderId="184" xfId="271" applyNumberFormat="1" applyFont="1" applyFill="1" applyBorder="1" applyAlignment="1">
      <alignment horizontal="center" vertical="center"/>
    </xf>
    <xf numFmtId="166" fontId="204" fillId="33" borderId="63" xfId="271" applyNumberFormat="1" applyFont="1" applyFill="1" applyBorder="1" applyAlignment="1">
      <alignment horizontal="center" vertical="center"/>
    </xf>
    <xf numFmtId="1" fontId="204" fillId="97" borderId="222" xfId="0" applyNumberFormat="1" applyFont="1" applyFill="1" applyBorder="1" applyAlignment="1" applyProtection="1">
      <alignment vertical="center"/>
      <protection locked="0"/>
    </xf>
    <xf numFmtId="1" fontId="204" fillId="97" borderId="62" xfId="0" applyNumberFormat="1" applyFont="1" applyFill="1" applyBorder="1" applyAlignment="1" applyProtection="1">
      <alignment vertical="center"/>
      <protection locked="0"/>
    </xf>
    <xf numFmtId="1" fontId="204" fillId="97" borderId="184" xfId="0" applyNumberFormat="1" applyFont="1" applyFill="1" applyBorder="1" applyAlignment="1" applyProtection="1">
      <alignment vertical="center"/>
      <protection locked="0"/>
    </xf>
    <xf numFmtId="1" fontId="204" fillId="97" borderId="63" xfId="0" applyNumberFormat="1" applyFont="1" applyFill="1" applyBorder="1" applyAlignment="1" applyProtection="1">
      <alignment vertical="center"/>
      <protection locked="0"/>
    </xf>
    <xf numFmtId="166" fontId="204" fillId="33" borderId="72" xfId="271" applyNumberFormat="1" applyFont="1" applyFill="1" applyBorder="1" applyAlignment="1">
      <alignment vertical="center"/>
    </xf>
    <xf numFmtId="9" fontId="49" fillId="0" borderId="0" xfId="458" applyFont="1" applyFill="1" applyAlignment="1">
      <alignment vertical="center"/>
    </xf>
    <xf numFmtId="0" fontId="49" fillId="0" borderId="0" xfId="0" applyFont="1" applyFill="1" applyAlignment="1">
      <alignment horizontal="center" vertical="center"/>
    </xf>
    <xf numFmtId="0" fontId="251" fillId="0" borderId="17" xfId="0" applyFont="1" applyFill="1" applyBorder="1" applyAlignment="1">
      <alignment vertical="center"/>
    </xf>
    <xf numFmtId="0" fontId="176" fillId="0" borderId="69" xfId="0" applyFont="1" applyFill="1" applyBorder="1" applyAlignment="1">
      <alignment vertical="center"/>
    </xf>
    <xf numFmtId="20" fontId="175" fillId="34" borderId="261" xfId="0" applyNumberFormat="1" applyFont="1" applyFill="1" applyBorder="1" applyAlignment="1">
      <alignment horizontal="center" vertical="center"/>
    </xf>
    <xf numFmtId="20" fontId="175" fillId="34" borderId="262" xfId="0" applyNumberFormat="1" applyFont="1" applyFill="1" applyBorder="1" applyAlignment="1">
      <alignment horizontal="center" vertical="center"/>
    </xf>
    <xf numFmtId="20" fontId="175" fillId="34" borderId="264" xfId="0" quotePrefix="1" applyNumberFormat="1" applyFont="1" applyFill="1" applyBorder="1" applyAlignment="1">
      <alignment horizontal="center" vertical="center"/>
    </xf>
    <xf numFmtId="0" fontId="176" fillId="0" borderId="78" xfId="0" quotePrefix="1" applyFont="1" applyFill="1" applyBorder="1" applyAlignment="1">
      <alignment horizontal="left" vertical="center"/>
    </xf>
    <xf numFmtId="1" fontId="49" fillId="90" borderId="263" xfId="0" applyNumberFormat="1" applyFont="1" applyFill="1" applyBorder="1" applyAlignment="1" applyProtection="1">
      <alignment horizontal="center" vertical="center"/>
      <protection locked="0"/>
    </xf>
    <xf numFmtId="1" fontId="49" fillId="90" borderId="28" xfId="0" applyNumberFormat="1" applyFont="1" applyFill="1" applyBorder="1" applyAlignment="1" applyProtection="1">
      <alignment horizontal="center" vertical="center"/>
      <protection locked="0"/>
    </xf>
    <xf numFmtId="1" fontId="49" fillId="90" borderId="197" xfId="0" applyNumberFormat="1" applyFont="1" applyFill="1" applyBorder="1" applyAlignment="1" applyProtection="1">
      <alignment horizontal="center" vertical="center"/>
      <protection locked="0"/>
    </xf>
    <xf numFmtId="0" fontId="176" fillId="0" borderId="44" xfId="0" quotePrefix="1" applyFont="1" applyFill="1" applyBorder="1" applyAlignment="1">
      <alignment horizontal="left" vertical="center"/>
    </xf>
    <xf numFmtId="1" fontId="49" fillId="92" borderId="170" xfId="0" applyNumberFormat="1" applyFont="1" applyFill="1" applyBorder="1" applyAlignment="1" applyProtection="1">
      <alignment horizontal="center" vertical="center"/>
      <protection locked="0"/>
    </xf>
    <xf numFmtId="1" fontId="49" fillId="92" borderId="77" xfId="0" applyNumberFormat="1" applyFont="1" applyFill="1" applyBorder="1" applyAlignment="1" applyProtection="1">
      <alignment horizontal="center" vertical="center"/>
      <protection locked="0"/>
    </xf>
    <xf numFmtId="1" fontId="49" fillId="92" borderId="25" xfId="0" applyNumberFormat="1" applyFont="1" applyFill="1" applyBorder="1" applyAlignment="1" applyProtection="1">
      <alignment horizontal="center" vertical="center"/>
      <protection locked="0"/>
    </xf>
    <xf numFmtId="1" fontId="49" fillId="92" borderId="166" xfId="0" applyNumberFormat="1" applyFont="1" applyFill="1" applyBorder="1" applyAlignment="1" applyProtection="1">
      <alignment horizontal="center" vertical="center"/>
      <protection locked="0"/>
    </xf>
    <xf numFmtId="1" fontId="49" fillId="93" borderId="170" xfId="0" applyNumberFormat="1" applyFont="1" applyFill="1" applyBorder="1" applyAlignment="1" applyProtection="1">
      <alignment horizontal="center" vertical="center"/>
      <protection locked="0"/>
    </xf>
    <xf numFmtId="1" fontId="49" fillId="93" borderId="77" xfId="0" applyNumberFormat="1" applyFont="1" applyFill="1" applyBorder="1" applyAlignment="1" applyProtection="1">
      <alignment horizontal="center" vertical="center"/>
      <protection locked="0"/>
    </xf>
    <xf numFmtId="1" fontId="49" fillId="93" borderId="25" xfId="0" applyNumberFormat="1" applyFont="1" applyFill="1" applyBorder="1" applyAlignment="1" applyProtection="1">
      <alignment horizontal="center" vertical="center"/>
      <protection locked="0"/>
    </xf>
    <xf numFmtId="1" fontId="49" fillId="93" borderId="166" xfId="0" applyNumberFormat="1" applyFont="1" applyFill="1" applyBorder="1" applyAlignment="1" applyProtection="1">
      <alignment horizontal="center" vertical="center"/>
      <protection locked="0"/>
    </xf>
    <xf numFmtId="1" fontId="49" fillId="89" borderId="170" xfId="0" applyNumberFormat="1" applyFont="1" applyFill="1" applyBorder="1" applyAlignment="1" applyProtection="1">
      <alignment horizontal="center" vertical="center"/>
      <protection locked="0"/>
    </xf>
    <xf numFmtId="1" fontId="49" fillId="89" borderId="77" xfId="0" applyNumberFormat="1" applyFont="1" applyFill="1" applyBorder="1" applyAlignment="1" applyProtection="1">
      <alignment horizontal="center" vertical="center"/>
      <protection locked="0"/>
    </xf>
    <xf numFmtId="1" fontId="49" fillId="89" borderId="25" xfId="0" applyNumberFormat="1" applyFont="1" applyFill="1" applyBorder="1" applyAlignment="1" applyProtection="1">
      <alignment horizontal="center" vertical="center"/>
      <protection locked="0"/>
    </xf>
    <xf numFmtId="1" fontId="49" fillId="89" borderId="166" xfId="0" applyNumberFormat="1" applyFont="1" applyFill="1" applyBorder="1" applyAlignment="1" applyProtection="1">
      <alignment horizontal="center" vertical="center"/>
      <protection locked="0"/>
    </xf>
    <xf numFmtId="1" fontId="49" fillId="94" borderId="165" xfId="0" applyNumberFormat="1" applyFont="1" applyFill="1" applyBorder="1" applyAlignment="1">
      <alignment horizontal="center" vertical="center"/>
    </xf>
    <xf numFmtId="1" fontId="49" fillId="94" borderId="25" xfId="0" applyNumberFormat="1" applyFont="1" applyFill="1" applyBorder="1" applyAlignment="1">
      <alignment horizontal="center" vertical="center"/>
    </xf>
    <xf numFmtId="1" fontId="49" fillId="94" borderId="166" xfId="0" applyNumberFormat="1" applyFont="1" applyFill="1" applyBorder="1" applyAlignment="1">
      <alignment horizontal="center" vertical="center"/>
    </xf>
    <xf numFmtId="1" fontId="49" fillId="90" borderId="267" xfId="0" applyNumberFormat="1" applyFont="1" applyFill="1" applyBorder="1" applyAlignment="1" applyProtection="1">
      <alignment horizontal="center" vertical="center"/>
      <protection locked="0"/>
    </xf>
    <xf numFmtId="1" fontId="49" fillId="90" borderId="268" xfId="0" applyNumberFormat="1" applyFont="1" applyFill="1" applyBorder="1" applyAlignment="1" applyProtection="1">
      <alignment horizontal="center" vertical="center"/>
      <protection locked="0"/>
    </xf>
    <xf numFmtId="1" fontId="49" fillId="90" borderId="162" xfId="0" applyNumberFormat="1" applyFont="1" applyFill="1" applyBorder="1" applyAlignment="1" applyProtection="1">
      <alignment horizontal="center" vertical="center"/>
      <protection locked="0"/>
    </xf>
    <xf numFmtId="1" fontId="49" fillId="92" borderId="168" xfId="0" applyNumberFormat="1" applyFont="1" applyFill="1" applyBorder="1" applyAlignment="1" applyProtection="1">
      <alignment horizontal="center" vertical="center"/>
      <protection locked="0"/>
    </xf>
    <xf numFmtId="1" fontId="49" fillId="93" borderId="168" xfId="0" applyNumberFormat="1" applyFont="1" applyFill="1" applyBorder="1" applyAlignment="1" applyProtection="1">
      <alignment horizontal="center" vertical="center"/>
      <protection locked="0"/>
    </xf>
    <xf numFmtId="1" fontId="49" fillId="89" borderId="168" xfId="0" applyNumberFormat="1" applyFont="1" applyFill="1" applyBorder="1" applyAlignment="1" applyProtection="1">
      <alignment horizontal="center" vertical="center"/>
      <protection locked="0"/>
    </xf>
    <xf numFmtId="1" fontId="49" fillId="94" borderId="165" xfId="0" applyNumberFormat="1" applyFont="1" applyFill="1" applyBorder="1" applyAlignment="1" applyProtection="1">
      <alignment horizontal="center" vertical="center"/>
    </xf>
    <xf numFmtId="1" fontId="49" fillId="94" borderId="25" xfId="0" applyNumberFormat="1" applyFont="1" applyFill="1" applyBorder="1" applyAlignment="1" applyProtection="1">
      <alignment horizontal="center" vertical="center"/>
    </xf>
    <xf numFmtId="1" fontId="49" fillId="94" borderId="166" xfId="0" applyNumberFormat="1" applyFont="1" applyFill="1" applyBorder="1" applyAlignment="1" applyProtection="1">
      <alignment horizontal="center" vertical="center"/>
    </xf>
    <xf numFmtId="1" fontId="49" fillId="92" borderId="165" xfId="0" applyNumberFormat="1" applyFont="1" applyFill="1" applyBorder="1" applyAlignment="1" applyProtection="1">
      <alignment horizontal="center" vertical="center"/>
      <protection locked="0"/>
    </xf>
    <xf numFmtId="1" fontId="49" fillId="92" borderId="168" xfId="0" quotePrefix="1" applyNumberFormat="1" applyFont="1" applyFill="1" applyBorder="1" applyAlignment="1" applyProtection="1">
      <alignment horizontal="center" vertical="center"/>
      <protection locked="0"/>
    </xf>
    <xf numFmtId="1" fontId="49" fillId="92" borderId="77" xfId="0" quotePrefix="1" applyNumberFormat="1" applyFont="1" applyFill="1" applyBorder="1" applyAlignment="1" applyProtection="1">
      <alignment horizontal="center" vertical="center"/>
      <protection locked="0"/>
    </xf>
    <xf numFmtId="1" fontId="49" fillId="92" borderId="25" xfId="0" quotePrefix="1" applyNumberFormat="1" applyFont="1" applyFill="1" applyBorder="1" applyAlignment="1" applyProtection="1">
      <alignment horizontal="center" vertical="center"/>
      <protection locked="0"/>
    </xf>
    <xf numFmtId="1" fontId="49" fillId="92" borderId="166" xfId="0" quotePrefix="1" applyNumberFormat="1" applyFont="1" applyFill="1" applyBorder="1" applyAlignment="1" applyProtection="1">
      <alignment horizontal="center" vertical="center"/>
      <protection locked="0"/>
    </xf>
    <xf numFmtId="1" fontId="49" fillId="93" borderId="269" xfId="0" applyNumberFormat="1" applyFont="1" applyFill="1" applyBorder="1" applyAlignment="1" applyProtection="1">
      <alignment horizontal="center" vertical="center"/>
      <protection locked="0"/>
    </xf>
    <xf numFmtId="1" fontId="49" fillId="93" borderId="97" xfId="0" applyNumberFormat="1" applyFont="1" applyFill="1" applyBorder="1" applyAlignment="1" applyProtection="1">
      <alignment horizontal="center" vertical="center"/>
      <protection locked="0"/>
    </xf>
    <xf numFmtId="1" fontId="49" fillId="93" borderId="268" xfId="0" applyNumberFormat="1" applyFont="1" applyFill="1" applyBorder="1" applyAlignment="1" applyProtection="1">
      <alignment horizontal="center" vertical="center"/>
      <protection locked="0"/>
    </xf>
    <xf numFmtId="1" fontId="49" fillId="93" borderId="162" xfId="0" applyNumberFormat="1" applyFont="1" applyFill="1" applyBorder="1" applyAlignment="1" applyProtection="1">
      <alignment horizontal="center" vertical="center"/>
      <protection locked="0"/>
    </xf>
    <xf numFmtId="1" fontId="49" fillId="94" borderId="170" xfId="0" quotePrefix="1" applyNumberFormat="1" applyFont="1" applyFill="1" applyBorder="1" applyAlignment="1" applyProtection="1">
      <alignment horizontal="center" vertical="center"/>
    </xf>
    <xf numFmtId="1" fontId="49" fillId="94" borderId="77" xfId="0" quotePrefix="1" applyNumberFormat="1" applyFont="1" applyFill="1" applyBorder="1" applyAlignment="1" applyProtection="1">
      <alignment horizontal="center" vertical="center"/>
    </xf>
    <xf numFmtId="1" fontId="49" fillId="94" borderId="25" xfId="0" quotePrefix="1" applyNumberFormat="1" applyFont="1" applyFill="1" applyBorder="1" applyAlignment="1" applyProtection="1">
      <alignment horizontal="center" vertical="center"/>
    </xf>
    <xf numFmtId="1" fontId="49" fillId="94" borderId="166" xfId="0" quotePrefix="1" applyNumberFormat="1" applyFont="1" applyFill="1" applyBorder="1" applyAlignment="1" applyProtection="1">
      <alignment horizontal="center" vertical="center"/>
    </xf>
    <xf numFmtId="1" fontId="49" fillId="94" borderId="170" xfId="0" applyNumberFormat="1" applyFont="1" applyFill="1" applyBorder="1" applyAlignment="1" applyProtection="1">
      <alignment horizontal="center" vertical="center"/>
    </xf>
    <xf numFmtId="1" fontId="49" fillId="94" borderId="77" xfId="0" applyNumberFormat="1" applyFont="1" applyFill="1" applyBorder="1" applyAlignment="1" applyProtection="1">
      <alignment horizontal="center" vertical="center"/>
    </xf>
    <xf numFmtId="1" fontId="49" fillId="94" borderId="170" xfId="0" applyNumberFormat="1" applyFont="1" applyFill="1" applyBorder="1" applyAlignment="1">
      <alignment horizontal="center" vertical="center"/>
    </xf>
    <xf numFmtId="1" fontId="49" fillId="94" borderId="77" xfId="0" applyNumberFormat="1" applyFont="1" applyFill="1" applyBorder="1" applyAlignment="1">
      <alignment horizontal="center" vertical="center"/>
    </xf>
    <xf numFmtId="1" fontId="49" fillId="89" borderId="170" xfId="0" quotePrefix="1" applyNumberFormat="1" applyFont="1" applyFill="1" applyBorder="1" applyAlignment="1" applyProtection="1">
      <alignment horizontal="center" vertical="center"/>
      <protection locked="0"/>
    </xf>
    <xf numFmtId="1" fontId="49" fillId="89" borderId="77" xfId="0" quotePrefix="1" applyNumberFormat="1" applyFont="1" applyFill="1" applyBorder="1" applyAlignment="1" applyProtection="1">
      <alignment horizontal="center" vertical="center"/>
      <protection locked="0"/>
    </xf>
    <xf numFmtId="1" fontId="49" fillId="89" borderId="25" xfId="0" quotePrefix="1" applyNumberFormat="1" applyFont="1" applyFill="1" applyBorder="1" applyAlignment="1" applyProtection="1">
      <alignment horizontal="center" vertical="center"/>
      <protection locked="0"/>
    </xf>
    <xf numFmtId="1" fontId="49" fillId="89" borderId="166" xfId="0" quotePrefix="1" applyNumberFormat="1" applyFont="1" applyFill="1" applyBorder="1" applyAlignment="1" applyProtection="1">
      <alignment horizontal="center" vertical="center"/>
      <protection locked="0"/>
    </xf>
    <xf numFmtId="1" fontId="49" fillId="94" borderId="165" xfId="0" quotePrefix="1" applyNumberFormat="1" applyFont="1" applyFill="1" applyBorder="1" applyAlignment="1">
      <alignment horizontal="center" vertical="center"/>
    </xf>
    <xf numFmtId="1" fontId="49" fillId="94" borderId="25" xfId="0" quotePrefix="1" applyNumberFormat="1" applyFont="1" applyFill="1" applyBorder="1" applyAlignment="1">
      <alignment horizontal="center" vertical="center"/>
    </xf>
    <xf numFmtId="1" fontId="49" fillId="94" borderId="166" xfId="0" quotePrefix="1" applyNumberFormat="1" applyFont="1" applyFill="1" applyBorder="1" applyAlignment="1">
      <alignment horizontal="center" vertical="center"/>
    </xf>
    <xf numFmtId="1" fontId="49" fillId="90" borderId="267" xfId="0" quotePrefix="1" applyNumberFormat="1" applyFont="1" applyFill="1" applyBorder="1" applyAlignment="1" applyProtection="1">
      <alignment horizontal="center" vertical="center"/>
      <protection locked="0"/>
    </xf>
    <xf numFmtId="1" fontId="49" fillId="90" borderId="268" xfId="0" quotePrefix="1" applyNumberFormat="1" applyFont="1" applyFill="1" applyBorder="1" applyAlignment="1" applyProtection="1">
      <alignment horizontal="center" vertical="center"/>
      <protection locked="0"/>
    </xf>
    <xf numFmtId="1" fontId="49" fillId="90" borderId="162" xfId="0" quotePrefix="1" applyNumberFormat="1" applyFont="1" applyFill="1" applyBorder="1" applyAlignment="1" applyProtection="1">
      <alignment horizontal="center" vertical="center"/>
      <protection locked="0"/>
    </xf>
    <xf numFmtId="1" fontId="49" fillId="93" borderId="168" xfId="0" quotePrefix="1" applyNumberFormat="1" applyFont="1" applyFill="1" applyBorder="1" applyAlignment="1" applyProtection="1">
      <alignment horizontal="center" vertical="center"/>
      <protection locked="0"/>
    </xf>
    <xf numFmtId="1" fontId="49" fillId="93" borderId="77" xfId="0" quotePrefix="1" applyNumberFormat="1" applyFont="1" applyFill="1" applyBorder="1" applyAlignment="1" applyProtection="1">
      <alignment horizontal="center" vertical="center"/>
      <protection locked="0"/>
    </xf>
    <xf numFmtId="1" fontId="49" fillId="93" borderId="25" xfId="0" quotePrefix="1" applyNumberFormat="1" applyFont="1" applyFill="1" applyBorder="1" applyAlignment="1" applyProtection="1">
      <alignment horizontal="center" vertical="center"/>
      <protection locked="0"/>
    </xf>
    <xf numFmtId="1" fontId="49" fillId="93" borderId="166" xfId="0" quotePrefix="1" applyNumberFormat="1" applyFont="1" applyFill="1" applyBorder="1" applyAlignment="1" applyProtection="1">
      <alignment horizontal="center" vertical="center"/>
      <protection locked="0"/>
    </xf>
    <xf numFmtId="1" fontId="49" fillId="94" borderId="269" xfId="0" applyNumberFormat="1" applyFont="1" applyFill="1" applyBorder="1" applyAlignment="1" applyProtection="1">
      <alignment horizontal="center" vertical="center"/>
    </xf>
    <xf numFmtId="1" fontId="49" fillId="94" borderId="97" xfId="0" applyNumberFormat="1" applyFont="1" applyFill="1" applyBorder="1" applyAlignment="1" applyProtection="1">
      <alignment horizontal="center" vertical="center"/>
    </xf>
    <xf numFmtId="1" fontId="49" fillId="94" borderId="268" xfId="0" applyNumberFormat="1" applyFont="1" applyFill="1" applyBorder="1" applyAlignment="1" applyProtection="1">
      <alignment horizontal="center" vertical="center"/>
    </xf>
    <xf numFmtId="1" fontId="49" fillId="94" borderId="162" xfId="0" applyNumberFormat="1" applyFont="1" applyFill="1" applyBorder="1" applyAlignment="1" applyProtection="1">
      <alignment horizontal="center" vertical="center"/>
    </xf>
    <xf numFmtId="1" fontId="49" fillId="94" borderId="170" xfId="0" quotePrefix="1" applyNumberFormat="1" applyFont="1" applyFill="1" applyBorder="1" applyAlignment="1">
      <alignment horizontal="center" vertical="center"/>
    </xf>
    <xf numFmtId="1" fontId="49" fillId="94" borderId="77" xfId="0" quotePrefix="1" applyNumberFormat="1" applyFont="1" applyFill="1" applyBorder="1" applyAlignment="1">
      <alignment horizontal="center" vertical="center"/>
    </xf>
    <xf numFmtId="0" fontId="176" fillId="0" borderId="198" xfId="0" quotePrefix="1" applyFont="1" applyFill="1" applyBorder="1" applyAlignment="1">
      <alignment horizontal="left" vertical="center"/>
    </xf>
    <xf numFmtId="1" fontId="174" fillId="45" borderId="260" xfId="0" quotePrefix="1" applyNumberFormat="1" applyFont="1" applyFill="1" applyBorder="1" applyAlignment="1">
      <alignment horizontal="center" vertical="center"/>
    </xf>
    <xf numFmtId="167" fontId="50" fillId="31" borderId="0" xfId="430" applyNumberFormat="1" applyFont="1" applyFill="1" applyBorder="1" applyAlignment="1">
      <alignment horizontal="center" vertical="center"/>
    </xf>
    <xf numFmtId="167" fontId="50" fillId="0" borderId="0" xfId="430" applyNumberFormat="1" applyFont="1" applyFill="1" applyBorder="1" applyAlignment="1">
      <alignment horizontal="center" vertical="center"/>
    </xf>
    <xf numFmtId="167" fontId="108" fillId="0" borderId="0" xfId="0" applyNumberFormat="1" applyFont="1" applyBorder="1"/>
    <xf numFmtId="1" fontId="204" fillId="35" borderId="184" xfId="0" applyNumberFormat="1" applyFont="1" applyFill="1" applyBorder="1" applyAlignment="1">
      <alignment horizontal="center" vertical="center"/>
    </xf>
    <xf numFmtId="1" fontId="203" fillId="71" borderId="77" xfId="0" applyNumberFormat="1" applyFont="1" applyFill="1" applyBorder="1" applyAlignment="1">
      <alignment horizontal="center" vertical="center"/>
    </xf>
    <xf numFmtId="1" fontId="203" fillId="71" borderId="169" xfId="0" applyNumberFormat="1" applyFont="1" applyFill="1" applyBorder="1" applyAlignment="1">
      <alignment horizontal="center" vertical="center"/>
    </xf>
    <xf numFmtId="0" fontId="49" fillId="0" borderId="68" xfId="428" applyFont="1" applyFill="1" applyBorder="1" applyAlignment="1">
      <alignment horizontal="center" vertical="center"/>
    </xf>
    <xf numFmtId="0" fontId="49" fillId="0" borderId="12" xfId="428" applyFont="1" applyFill="1" applyBorder="1" applyAlignment="1">
      <alignment horizontal="center" vertical="center"/>
    </xf>
    <xf numFmtId="1" fontId="49" fillId="0" borderId="186" xfId="428" applyNumberFormat="1" applyFont="1" applyFill="1" applyBorder="1" applyAlignment="1">
      <alignment horizontal="center" vertical="center"/>
    </xf>
    <xf numFmtId="1" fontId="49" fillId="0" borderId="68" xfId="428" applyNumberFormat="1" applyFont="1" applyFill="1" applyBorder="1" applyAlignment="1" applyProtection="1">
      <alignment horizontal="center" vertical="center"/>
      <protection locked="0"/>
    </xf>
    <xf numFmtId="0" fontId="252" fillId="37" borderId="10" xfId="375" applyNumberFormat="1" applyFont="1" applyFill="1" applyBorder="1" applyAlignment="1">
      <alignment horizontal="center" vertical="center"/>
    </xf>
    <xf numFmtId="0" fontId="217" fillId="51" borderId="39" xfId="0" applyNumberFormat="1" applyFont="1" applyFill="1" applyBorder="1" applyAlignment="1">
      <alignment horizontal="center" vertical="center" wrapText="1"/>
    </xf>
    <xf numFmtId="0" fontId="253" fillId="51" borderId="85" xfId="0" applyNumberFormat="1" applyFont="1" applyFill="1" applyBorder="1" applyAlignment="1">
      <alignment horizontal="center" vertical="center" wrapText="1"/>
    </xf>
    <xf numFmtId="0" fontId="239" fillId="51" borderId="85" xfId="0" applyNumberFormat="1" applyFont="1" applyFill="1" applyBorder="1" applyAlignment="1">
      <alignment horizontal="center" vertical="center" wrapText="1"/>
    </xf>
    <xf numFmtId="182" fontId="55" fillId="0" borderId="47" xfId="436" applyNumberFormat="1" applyFont="1" applyFill="1" applyBorder="1" applyAlignment="1">
      <alignment horizontal="left" vertical="center"/>
    </xf>
    <xf numFmtId="0" fontId="55" fillId="0" borderId="48" xfId="436" applyFont="1" applyFill="1" applyBorder="1" applyProtection="1">
      <alignment vertical="center"/>
      <protection locked="0"/>
    </xf>
    <xf numFmtId="1" fontId="56" fillId="0" borderId="47" xfId="436" applyNumberFormat="1" applyFont="1" applyFill="1" applyBorder="1" applyAlignment="1">
      <alignment horizontal="left" vertical="center"/>
    </xf>
    <xf numFmtId="0" fontId="55" fillId="0" borderId="47" xfId="0" applyFont="1" applyBorder="1"/>
    <xf numFmtId="0" fontId="55" fillId="0" borderId="48" xfId="0" applyFont="1" applyBorder="1"/>
    <xf numFmtId="0" fontId="55" fillId="0" borderId="153" xfId="0" applyFont="1" applyBorder="1"/>
    <xf numFmtId="0" fontId="55" fillId="0" borderId="154" xfId="0" applyFont="1" applyBorder="1"/>
    <xf numFmtId="0" fontId="140" fillId="0" borderId="154" xfId="428" applyFont="1" applyFill="1" applyBorder="1" applyAlignment="1">
      <alignment horizontal="left" vertical="center"/>
    </xf>
    <xf numFmtId="20" fontId="10" fillId="0" borderId="154" xfId="0" applyNumberFormat="1" applyFont="1" applyBorder="1" applyAlignment="1">
      <alignment horizontal="center" vertical="center"/>
    </xf>
    <xf numFmtId="1" fontId="49" fillId="94" borderId="267" xfId="0" applyNumberFormat="1" applyFont="1" applyFill="1" applyBorder="1" applyAlignment="1" applyProtection="1">
      <alignment horizontal="center" vertical="center"/>
    </xf>
    <xf numFmtId="1" fontId="235" fillId="35" borderId="184" xfId="0" applyNumberFormat="1" applyFont="1" applyFill="1" applyBorder="1" applyAlignment="1" applyProtection="1">
      <alignment horizontal="center" vertical="center"/>
      <protection locked="0"/>
    </xf>
    <xf numFmtId="0" fontId="102" fillId="0" borderId="10" xfId="375" applyNumberFormat="1" applyFont="1" applyFill="1" applyBorder="1" applyAlignment="1">
      <alignment horizontal="center" vertical="center"/>
    </xf>
    <xf numFmtId="0" fontId="77" fillId="0" borderId="0" xfId="436" applyFont="1" applyFill="1" applyBorder="1" applyAlignment="1" applyProtection="1">
      <alignment vertical="center"/>
      <protection locked="0"/>
    </xf>
    <xf numFmtId="0" fontId="126" fillId="0" borderId="0" xfId="0" applyFont="1" applyBorder="1" applyAlignment="1"/>
    <xf numFmtId="0" fontId="77" fillId="0" borderId="154" xfId="436" applyFont="1" applyBorder="1" applyAlignment="1">
      <alignment vertical="center"/>
    </xf>
    <xf numFmtId="0" fontId="77" fillId="0" borderId="154" xfId="428" applyFont="1" applyBorder="1" applyAlignment="1">
      <alignment vertical="center"/>
    </xf>
    <xf numFmtId="0" fontId="126" fillId="0" borderId="154" xfId="0" applyFont="1" applyBorder="1" applyAlignment="1"/>
    <xf numFmtId="0" fontId="49" fillId="0" borderId="154" xfId="436" applyFont="1" applyBorder="1" applyAlignment="1">
      <alignment vertical="center"/>
    </xf>
    <xf numFmtId="0" fontId="49" fillId="0" borderId="154" xfId="0" applyFont="1" applyBorder="1" applyAlignment="1">
      <alignment vertical="center"/>
    </xf>
    <xf numFmtId="1" fontId="204" fillId="98" borderId="62" xfId="0" applyNumberFormat="1" applyFont="1" applyFill="1" applyBorder="1" applyAlignment="1">
      <alignment horizontal="center" vertical="center"/>
    </xf>
    <xf numFmtId="166" fontId="204" fillId="46" borderId="62" xfId="271" applyNumberFormat="1" applyFont="1" applyFill="1" applyBorder="1" applyAlignment="1">
      <alignment horizontal="center" vertical="center"/>
    </xf>
    <xf numFmtId="1" fontId="204" fillId="98" borderId="62" xfId="0" applyNumberFormat="1" applyFont="1" applyFill="1" applyBorder="1" applyAlignment="1" applyProtection="1">
      <alignment vertical="center"/>
      <protection locked="0"/>
    </xf>
    <xf numFmtId="166" fontId="140" fillId="46" borderId="44" xfId="271" applyNumberFormat="1" applyFont="1" applyFill="1" applyBorder="1" applyAlignment="1">
      <alignment vertical="center"/>
    </xf>
    <xf numFmtId="166" fontId="140" fillId="46" borderId="72" xfId="271" applyNumberFormat="1" applyFont="1" applyFill="1" applyBorder="1" applyAlignment="1">
      <alignment vertical="center"/>
    </xf>
    <xf numFmtId="1" fontId="235" fillId="35" borderId="184" xfId="0" applyNumberFormat="1" applyFont="1" applyFill="1" applyBorder="1" applyAlignment="1">
      <alignment horizontal="center" vertical="center"/>
    </xf>
    <xf numFmtId="1" fontId="246" fillId="31" borderId="0" xfId="0" applyNumberFormat="1" applyFont="1" applyFill="1" applyBorder="1" applyAlignment="1" applyProtection="1">
      <alignment horizontal="center" vertical="center"/>
      <protection locked="0"/>
    </xf>
    <xf numFmtId="0" fontId="255" fillId="63" borderId="0" xfId="0" applyFont="1" applyFill="1"/>
    <xf numFmtId="0" fontId="91" fillId="63" borderId="0" xfId="0" applyFont="1" applyFill="1"/>
    <xf numFmtId="166" fontId="206" fillId="33" borderId="62" xfId="271" applyNumberFormat="1" applyFont="1" applyFill="1" applyBorder="1" applyAlignment="1">
      <alignment horizontal="center" vertical="center"/>
    </xf>
    <xf numFmtId="173" fontId="93" fillId="0" borderId="0" xfId="414" applyNumberFormat="1" applyFont="1"/>
    <xf numFmtId="0" fontId="49" fillId="0" borderId="273" xfId="423" applyNumberFormat="1" applyFont="1" applyBorder="1"/>
    <xf numFmtId="0" fontId="49" fillId="0" borderId="186" xfId="428" applyFont="1" applyFill="1" applyBorder="1" applyAlignment="1">
      <alignment horizontal="center" vertical="center"/>
    </xf>
    <xf numFmtId="1" fontId="109" fillId="34" borderId="10" xfId="0" applyNumberFormat="1" applyFont="1" applyFill="1" applyBorder="1" applyAlignment="1">
      <alignment horizontal="center"/>
    </xf>
    <xf numFmtId="166" fontId="257" fillId="31" borderId="0" xfId="0" applyNumberFormat="1" applyFont="1" applyFill="1" applyBorder="1"/>
    <xf numFmtId="14" fontId="91" fillId="0" borderId="0" xfId="0" applyNumberFormat="1" applyFont="1" applyBorder="1"/>
    <xf numFmtId="0" fontId="138" fillId="0" borderId="0" xfId="428" applyFont="1" applyBorder="1" applyAlignment="1">
      <alignment horizontal="left" vertical="center"/>
    </xf>
    <xf numFmtId="15" fontId="139" fillId="0" borderId="0" xfId="428" applyNumberFormat="1" applyFont="1" applyBorder="1" applyAlignment="1">
      <alignment horizontal="left" vertical="center"/>
    </xf>
    <xf numFmtId="0" fontId="258" fillId="0" borderId="273" xfId="0" applyFont="1" applyBorder="1" applyAlignment="1">
      <alignment horizontal="left" vertical="center"/>
    </xf>
    <xf numFmtId="1" fontId="259" fillId="93" borderId="269" xfId="0" quotePrefix="1" applyNumberFormat="1" applyFont="1" applyFill="1" applyBorder="1" applyAlignment="1" applyProtection="1">
      <alignment horizontal="center" vertical="center"/>
      <protection locked="0"/>
    </xf>
    <xf numFmtId="1" fontId="259" fillId="93" borderId="97" xfId="0" quotePrefix="1" applyNumberFormat="1" applyFont="1" applyFill="1" applyBorder="1" applyAlignment="1" applyProtection="1">
      <alignment horizontal="center" vertical="center"/>
      <protection locked="0"/>
    </xf>
    <xf numFmtId="1" fontId="259" fillId="93" borderId="268" xfId="0" quotePrefix="1" applyNumberFormat="1" applyFont="1" applyFill="1" applyBorder="1" applyAlignment="1" applyProtection="1">
      <alignment horizontal="center" vertical="center"/>
      <protection locked="0"/>
    </xf>
    <xf numFmtId="1" fontId="259" fillId="93" borderId="162" xfId="0" quotePrefix="1" applyNumberFormat="1" applyFont="1" applyFill="1" applyBorder="1" applyAlignment="1" applyProtection="1">
      <alignment horizontal="center" vertical="center"/>
      <protection locked="0"/>
    </xf>
    <xf numFmtId="1" fontId="259" fillId="94" borderId="166" xfId="0" quotePrefix="1" applyNumberFormat="1" applyFont="1" applyFill="1" applyBorder="1" applyAlignment="1">
      <alignment horizontal="center" vertical="center"/>
    </xf>
    <xf numFmtId="1" fontId="259" fillId="94" borderId="25" xfId="0" quotePrefix="1" applyNumberFormat="1" applyFont="1" applyFill="1" applyBorder="1" applyAlignment="1">
      <alignment horizontal="center" vertical="center"/>
    </xf>
    <xf numFmtId="1" fontId="259" fillId="94" borderId="165" xfId="0" quotePrefix="1" applyNumberFormat="1" applyFont="1" applyFill="1" applyBorder="1" applyAlignment="1">
      <alignment horizontal="center" vertical="center"/>
    </xf>
    <xf numFmtId="1" fontId="259" fillId="89" borderId="166" xfId="0" quotePrefix="1" applyNumberFormat="1" applyFont="1" applyFill="1" applyBorder="1" applyAlignment="1" applyProtection="1">
      <alignment horizontal="center" vertical="center"/>
      <protection locked="0"/>
    </xf>
    <xf numFmtId="1" fontId="259" fillId="89" borderId="25" xfId="0" quotePrefix="1" applyNumberFormat="1" applyFont="1" applyFill="1" applyBorder="1" applyAlignment="1" applyProtection="1">
      <alignment horizontal="center" vertical="center"/>
      <protection locked="0"/>
    </xf>
    <xf numFmtId="1" fontId="259" fillId="89" borderId="77" xfId="0" quotePrefix="1" applyNumberFormat="1" applyFont="1" applyFill="1" applyBorder="1" applyAlignment="1" applyProtection="1">
      <alignment horizontal="center" vertical="center"/>
      <protection locked="0"/>
    </xf>
    <xf numFmtId="1" fontId="259" fillId="89" borderId="170" xfId="0" quotePrefix="1" applyNumberFormat="1" applyFont="1" applyFill="1" applyBorder="1" applyAlignment="1" applyProtection="1">
      <alignment horizontal="center" vertical="center"/>
      <protection locked="0"/>
    </xf>
    <xf numFmtId="1" fontId="259" fillId="93" borderId="166" xfId="0" quotePrefix="1" applyNumberFormat="1" applyFont="1" applyFill="1" applyBorder="1" applyAlignment="1" applyProtection="1">
      <alignment horizontal="center" vertical="center"/>
      <protection locked="0"/>
    </xf>
    <xf numFmtId="1" fontId="259" fillId="93" borderId="25" xfId="0" quotePrefix="1" applyNumberFormat="1" applyFont="1" applyFill="1" applyBorder="1" applyAlignment="1" applyProtection="1">
      <alignment horizontal="center" vertical="center"/>
      <protection locked="0"/>
    </xf>
    <xf numFmtId="1" fontId="259" fillId="93" borderId="77" xfId="0" quotePrefix="1" applyNumberFormat="1" applyFont="1" applyFill="1" applyBorder="1" applyAlignment="1" applyProtection="1">
      <alignment horizontal="center" vertical="center"/>
      <protection locked="0"/>
    </xf>
    <xf numFmtId="1" fontId="259" fillId="93" borderId="170" xfId="0" quotePrefix="1" applyNumberFormat="1" applyFont="1" applyFill="1" applyBorder="1" applyAlignment="1" applyProtection="1">
      <alignment horizontal="center" vertical="center"/>
      <protection locked="0"/>
    </xf>
    <xf numFmtId="1" fontId="259" fillId="92" borderId="166" xfId="0" quotePrefix="1" applyNumberFormat="1" applyFont="1" applyFill="1" applyBorder="1" applyAlignment="1" applyProtection="1">
      <alignment horizontal="center" vertical="center"/>
      <protection locked="0"/>
    </xf>
    <xf numFmtId="1" fontId="259" fillId="92" borderId="25" xfId="0" quotePrefix="1" applyNumberFormat="1" applyFont="1" applyFill="1" applyBorder="1" applyAlignment="1" applyProtection="1">
      <alignment horizontal="center" vertical="center"/>
      <protection locked="0"/>
    </xf>
    <xf numFmtId="1" fontId="259" fillId="92" borderId="77" xfId="0" quotePrefix="1" applyNumberFormat="1" applyFont="1" applyFill="1" applyBorder="1" applyAlignment="1" applyProtection="1">
      <alignment horizontal="center" vertical="center"/>
      <protection locked="0"/>
    </xf>
    <xf numFmtId="1" fontId="259" fillId="92" borderId="170" xfId="0" quotePrefix="1" applyNumberFormat="1" applyFont="1" applyFill="1" applyBorder="1" applyAlignment="1" applyProtection="1">
      <alignment horizontal="center" vertical="center"/>
      <protection locked="0"/>
    </xf>
    <xf numFmtId="164" fontId="260" fillId="35" borderId="0" xfId="0" applyNumberFormat="1" applyFont="1" applyFill="1" applyAlignment="1">
      <alignment horizontal="center" vertical="center"/>
    </xf>
    <xf numFmtId="0" fontId="93" fillId="0" borderId="48" xfId="0" applyFont="1" applyBorder="1" applyAlignment="1">
      <alignment vertical="center"/>
    </xf>
    <xf numFmtId="0" fontId="30" fillId="0" borderId="0" xfId="341" applyFont="1" applyAlignment="1" applyProtection="1">
      <alignment vertical="center"/>
    </xf>
    <xf numFmtId="0" fontId="262" fillId="0" borderId="0" xfId="0" applyFont="1"/>
    <xf numFmtId="1" fontId="263" fillId="0" borderId="0" xfId="0" applyNumberFormat="1" applyFont="1" applyAlignment="1" applyProtection="1">
      <alignment horizontal="center" vertical="center"/>
      <protection locked="0"/>
    </xf>
    <xf numFmtId="1" fontId="262" fillId="0" borderId="0" xfId="0" applyNumberFormat="1" applyFont="1"/>
    <xf numFmtId="1" fontId="264" fillId="0" borderId="0" xfId="0" applyNumberFormat="1" applyFont="1" applyAlignment="1" applyProtection="1">
      <alignment horizontal="center" vertical="center"/>
      <protection locked="0"/>
    </xf>
    <xf numFmtId="0" fontId="7" fillId="0" borderId="0" xfId="503" applyFont="1"/>
    <xf numFmtId="0" fontId="45" fillId="0" borderId="0" xfId="503" applyFont="1"/>
    <xf numFmtId="164" fontId="140" fillId="0" borderId="42" xfId="503" applyNumberFormat="1" applyFont="1" applyBorder="1"/>
    <xf numFmtId="0" fontId="140" fillId="0" borderId="42" xfId="503" applyFont="1" applyBorder="1"/>
    <xf numFmtId="0" fontId="50" fillId="0" borderId="0" xfId="503" applyFont="1"/>
    <xf numFmtId="0" fontId="140" fillId="0" borderId="10" xfId="503" applyFont="1" applyBorder="1" applyAlignment="1">
      <alignment horizontal="center"/>
    </xf>
    <xf numFmtId="0" fontId="81" fillId="0" borderId="0" xfId="503" applyFont="1" applyAlignment="1">
      <alignment horizontal="center"/>
    </xf>
    <xf numFmtId="1" fontId="261" fillId="84" borderId="25" xfId="0" applyNumberFormat="1" applyFont="1" applyFill="1" applyBorder="1" applyAlignment="1" applyProtection="1">
      <alignment horizontal="center" vertical="center"/>
      <protection locked="0"/>
    </xf>
    <xf numFmtId="1" fontId="220" fillId="0" borderId="0" xfId="0" applyNumberFormat="1" applyFont="1" applyFill="1"/>
    <xf numFmtId="0" fontId="265" fillId="0" borderId="0" xfId="0" applyFont="1"/>
    <xf numFmtId="1" fontId="49" fillId="90" borderId="274" xfId="0" applyNumberFormat="1" applyFont="1" applyFill="1" applyBorder="1" applyAlignment="1" applyProtection="1">
      <alignment horizontal="center" vertical="center"/>
      <protection locked="0"/>
    </xf>
    <xf numFmtId="1" fontId="49" fillId="90" borderId="97" xfId="0" applyNumberFormat="1" applyFont="1" applyFill="1" applyBorder="1" applyAlignment="1" applyProtection="1">
      <alignment horizontal="center" vertical="center"/>
      <protection locked="0"/>
    </xf>
    <xf numFmtId="1" fontId="203" fillId="39" borderId="77" xfId="0" applyNumberFormat="1" applyFont="1" applyFill="1" applyBorder="1" applyAlignment="1" applyProtection="1">
      <alignment horizontal="center" vertical="center"/>
      <protection locked="0"/>
    </xf>
    <xf numFmtId="1" fontId="213" fillId="0" borderId="0" xfId="0" applyNumberFormat="1" applyFont="1" applyFill="1" applyBorder="1" applyAlignment="1">
      <alignment horizontal="center" vertical="center"/>
    </xf>
    <xf numFmtId="1" fontId="49" fillId="94" borderId="267" xfId="0" applyNumberFormat="1" applyFont="1" applyFill="1" applyBorder="1" applyAlignment="1">
      <alignment horizontal="center" vertical="center"/>
    </xf>
    <xf numFmtId="1" fontId="49" fillId="94" borderId="268" xfId="0" applyNumberFormat="1" applyFont="1" applyFill="1" applyBorder="1" applyAlignment="1">
      <alignment horizontal="center" vertical="center"/>
    </xf>
    <xf numFmtId="1" fontId="49" fillId="94" borderId="162" xfId="0" applyNumberFormat="1" applyFont="1" applyFill="1" applyBorder="1" applyAlignment="1">
      <alignment horizontal="center" vertical="center"/>
    </xf>
    <xf numFmtId="1" fontId="256" fillId="35" borderId="184" xfId="0" applyNumberFormat="1" applyFont="1" applyFill="1" applyBorder="1" applyAlignment="1">
      <alignment horizontal="center" vertical="center"/>
    </xf>
    <xf numFmtId="1" fontId="49" fillId="94" borderId="267" xfId="0" quotePrefix="1" applyNumberFormat="1" applyFont="1" applyFill="1" applyBorder="1" applyAlignment="1">
      <alignment horizontal="center" vertical="center"/>
    </xf>
    <xf numFmtId="1" fontId="49" fillId="94" borderId="268" xfId="0" quotePrefix="1" applyNumberFormat="1" applyFont="1" applyFill="1" applyBorder="1" applyAlignment="1">
      <alignment horizontal="center" vertical="center"/>
    </xf>
    <xf numFmtId="1" fontId="49" fillId="94" borderId="162" xfId="0" quotePrefix="1" applyNumberFormat="1" applyFont="1" applyFill="1" applyBorder="1" applyAlignment="1">
      <alignment horizontal="center" vertical="center"/>
    </xf>
    <xf numFmtId="173" fontId="0" fillId="0" borderId="0" xfId="401" applyNumberFormat="1" applyFont="1"/>
    <xf numFmtId="166" fontId="91" fillId="0" borderId="0" xfId="271" applyNumberFormat="1" applyFont="1" applyFill="1" applyBorder="1" applyAlignment="1">
      <alignment horizontal="center" vertical="center"/>
    </xf>
    <xf numFmtId="166" fontId="140" fillId="99" borderId="44" xfId="271" applyNumberFormat="1" applyFont="1" applyFill="1" applyBorder="1" applyAlignment="1">
      <alignment vertical="center"/>
    </xf>
    <xf numFmtId="1" fontId="203" fillId="71" borderId="279" xfId="0" applyNumberFormat="1" applyFont="1" applyFill="1" applyBorder="1" applyAlignment="1">
      <alignment horizontal="center" vertical="center"/>
    </xf>
    <xf numFmtId="173" fontId="49" fillId="0" borderId="280" xfId="429" applyNumberFormat="1" applyFont="1" applyFill="1" applyBorder="1" applyAlignment="1">
      <alignment vertical="center"/>
    </xf>
    <xf numFmtId="0" fontId="49" fillId="0" borderId="283" xfId="428" applyFont="1" applyFill="1" applyBorder="1" applyAlignment="1">
      <alignment horizontal="center" vertical="center"/>
    </xf>
    <xf numFmtId="0" fontId="49" fillId="0" borderId="284" xfId="428" applyFont="1" applyFill="1" applyBorder="1" applyAlignment="1">
      <alignment horizontal="center" vertical="center"/>
    </xf>
    <xf numFmtId="0" fontId="49" fillId="0" borderId="282" xfId="436" applyFont="1" applyFill="1" applyBorder="1" applyAlignment="1">
      <alignment horizontal="center" vertical="center"/>
    </xf>
    <xf numFmtId="1" fontId="49" fillId="0" borderId="283" xfId="428" applyNumberFormat="1" applyFont="1" applyFill="1" applyBorder="1" applyAlignment="1">
      <alignment horizontal="center" vertical="center"/>
    </xf>
    <xf numFmtId="1" fontId="49" fillId="0" borderId="286" xfId="428" applyNumberFormat="1" applyFont="1" applyFill="1" applyBorder="1" applyAlignment="1" applyProtection="1">
      <alignment horizontal="center" vertical="center"/>
      <protection locked="0"/>
    </xf>
    <xf numFmtId="0" fontId="49" fillId="0" borderId="280" xfId="423" applyNumberFormat="1" applyFont="1" applyBorder="1"/>
    <xf numFmtId="166" fontId="140" fillId="70" borderId="44" xfId="271" applyNumberFormat="1" applyFont="1" applyFill="1" applyBorder="1" applyAlignment="1">
      <alignment vertical="center"/>
    </xf>
    <xf numFmtId="166" fontId="140" fillId="70" borderId="72" xfId="271" applyNumberFormat="1" applyFont="1" applyFill="1" applyBorder="1" applyAlignment="1">
      <alignment vertical="center"/>
    </xf>
    <xf numFmtId="1" fontId="203" fillId="71" borderId="287" xfId="0" applyNumberFormat="1" applyFont="1" applyFill="1" applyBorder="1" applyAlignment="1">
      <alignment horizontal="center" vertical="center"/>
    </xf>
    <xf numFmtId="1" fontId="267" fillId="35" borderId="184" xfId="0" applyNumberFormat="1" applyFont="1" applyFill="1" applyBorder="1" applyAlignment="1">
      <alignment horizontal="center" vertical="center"/>
    </xf>
    <xf numFmtId="1" fontId="203" fillId="71" borderId="288" xfId="0" applyNumberFormat="1" applyFont="1" applyFill="1" applyBorder="1" applyAlignment="1">
      <alignment horizontal="center" vertical="center"/>
    </xf>
    <xf numFmtId="0" fontId="49" fillId="0" borderId="290" xfId="423" applyNumberFormat="1" applyFont="1" applyBorder="1"/>
    <xf numFmtId="0" fontId="108" fillId="0" borderId="0" xfId="0" applyFont="1" applyFill="1" applyBorder="1"/>
    <xf numFmtId="165" fontId="108" fillId="0" borderId="0" xfId="0" applyNumberFormat="1" applyFont="1" applyFill="1" applyBorder="1"/>
    <xf numFmtId="0" fontId="50" fillId="0" borderId="0" xfId="434" applyNumberFormat="1" applyFont="1" applyFill="1" applyBorder="1" applyAlignment="1">
      <alignment vertical="center"/>
    </xf>
    <xf numFmtId="166" fontId="140" fillId="99" borderId="72" xfId="271" applyNumberFormat="1" applyFont="1" applyFill="1" applyBorder="1" applyAlignment="1">
      <alignment vertical="center"/>
    </xf>
    <xf numFmtId="0" fontId="266" fillId="0" borderId="0" xfId="0" applyNumberFormat="1" applyFont="1" applyFill="1" applyAlignment="1" applyProtection="1"/>
    <xf numFmtId="0" fontId="270" fillId="0" borderId="13" xfId="0" applyFont="1" applyBorder="1"/>
    <xf numFmtId="0" fontId="270" fillId="0" borderId="297" xfId="0" applyFont="1" applyBorder="1"/>
    <xf numFmtId="173" fontId="88" fillId="0" borderId="297" xfId="401" applyNumberFormat="1" applyFont="1" applyBorder="1"/>
    <xf numFmtId="173" fontId="271" fillId="0" borderId="13" xfId="401" applyNumberFormat="1" applyFont="1" applyBorder="1" applyAlignment="1">
      <alignment horizontal="left"/>
    </xf>
    <xf numFmtId="173" fontId="271" fillId="0" borderId="13" xfId="401" applyNumberFormat="1" applyFont="1" applyBorder="1"/>
    <xf numFmtId="1" fontId="203" fillId="79" borderId="298" xfId="0" applyNumberFormat="1" applyFont="1" applyFill="1" applyBorder="1" applyAlignment="1" applyProtection="1">
      <alignment horizontal="center" vertical="center"/>
      <protection locked="0"/>
    </xf>
    <xf numFmtId="166" fontId="203" fillId="79" borderId="298" xfId="271" applyNumberFormat="1" applyFont="1" applyFill="1" applyBorder="1" applyAlignment="1">
      <alignment horizontal="center" vertical="center"/>
    </xf>
    <xf numFmtId="1" fontId="203" fillId="78" borderId="298" xfId="0" applyNumberFormat="1" applyFont="1" applyFill="1" applyBorder="1" applyAlignment="1" applyProtection="1">
      <alignment horizontal="center" vertical="center"/>
      <protection locked="0"/>
    </xf>
    <xf numFmtId="1" fontId="203" fillId="79" borderId="299" xfId="0" applyNumberFormat="1" applyFont="1" applyFill="1" applyBorder="1" applyAlignment="1" applyProtection="1">
      <alignment horizontal="center" vertical="center"/>
      <protection locked="0"/>
    </xf>
    <xf numFmtId="1" fontId="203" fillId="39" borderId="298" xfId="0" applyNumberFormat="1" applyFont="1" applyFill="1" applyBorder="1" applyAlignment="1" applyProtection="1">
      <alignment horizontal="center" vertical="center"/>
      <protection locked="0"/>
    </xf>
    <xf numFmtId="1" fontId="267" fillId="35" borderId="184" xfId="0" applyNumberFormat="1" applyFont="1" applyFill="1" applyBorder="1" applyAlignment="1" applyProtection="1">
      <alignment horizontal="center" vertical="center"/>
      <protection locked="0"/>
    </xf>
    <xf numFmtId="1" fontId="203" fillId="39" borderId="279" xfId="0" applyNumberFormat="1" applyFont="1" applyFill="1" applyBorder="1" applyAlignment="1" applyProtection="1">
      <alignment horizontal="center" vertical="center"/>
      <protection locked="0"/>
    </xf>
    <xf numFmtId="1" fontId="203" fillId="39" borderId="288" xfId="0" applyNumberFormat="1" applyFont="1" applyFill="1" applyBorder="1" applyAlignment="1" applyProtection="1">
      <alignment horizontal="center" vertical="center"/>
      <protection locked="0"/>
    </xf>
    <xf numFmtId="1" fontId="259" fillId="93" borderId="0" xfId="0" quotePrefix="1" applyNumberFormat="1" applyFont="1" applyFill="1" applyBorder="1" applyAlignment="1" applyProtection="1">
      <alignment horizontal="center" vertical="center"/>
      <protection locked="0"/>
    </xf>
    <xf numFmtId="1" fontId="203" fillId="39" borderId="300" xfId="0" applyNumberFormat="1" applyFont="1" applyFill="1" applyBorder="1" applyAlignment="1" applyProtection="1">
      <alignment horizontal="center" vertical="center"/>
      <protection locked="0"/>
    </xf>
    <xf numFmtId="1" fontId="267" fillId="35" borderId="62" xfId="0" applyNumberFormat="1" applyFont="1" applyFill="1" applyBorder="1" applyAlignment="1" applyProtection="1">
      <alignment horizontal="center" vertical="center"/>
      <protection locked="0"/>
    </xf>
    <xf numFmtId="0" fontId="29" fillId="0" borderId="31" xfId="0" applyFont="1" applyBorder="1" applyAlignment="1">
      <alignment horizontal="center" vertical="center"/>
    </xf>
    <xf numFmtId="0" fontId="29" fillId="0" borderId="22" xfId="428" applyFont="1" applyFill="1" applyBorder="1" applyAlignment="1">
      <alignment horizontal="left" vertical="center"/>
    </xf>
    <xf numFmtId="0" fontId="29" fillId="0" borderId="17" xfId="428" applyFont="1" applyFill="1" applyBorder="1" applyAlignment="1">
      <alignment horizontal="left" vertical="center"/>
    </xf>
    <xf numFmtId="0" fontId="29" fillId="0" borderId="18" xfId="428" applyFont="1" applyFill="1" applyBorder="1" applyAlignment="1">
      <alignment horizontal="left" vertical="center"/>
    </xf>
    <xf numFmtId="0" fontId="274" fillId="0" borderId="0" xfId="0" applyFont="1" applyAlignment="1">
      <alignment horizontal="center" vertical="center"/>
    </xf>
    <xf numFmtId="0" fontId="275" fillId="0" borderId="0" xfId="0" applyFont="1" applyAlignment="1">
      <alignment horizontal="center" vertical="center"/>
    </xf>
    <xf numFmtId="0" fontId="167" fillId="0" borderId="14" xfId="0" applyFont="1" applyBorder="1" applyAlignment="1">
      <alignment vertical="center"/>
    </xf>
    <xf numFmtId="0" fontId="167" fillId="0" borderId="15" xfId="0" applyFont="1" applyBorder="1" applyAlignment="1">
      <alignment vertical="center"/>
    </xf>
    <xf numFmtId="0" fontId="167" fillId="0" borderId="30" xfId="0" applyFont="1" applyBorder="1" applyAlignment="1">
      <alignment vertical="center"/>
    </xf>
    <xf numFmtId="0" fontId="93" fillId="0" borderId="10" xfId="0" applyFont="1" applyBorder="1" applyAlignment="1">
      <alignment horizontal="center" vertical="center"/>
    </xf>
    <xf numFmtId="0" fontId="93" fillId="0" borderId="10" xfId="0" applyFont="1" applyBorder="1" applyAlignment="1">
      <alignment horizontal="center"/>
    </xf>
    <xf numFmtId="0" fontId="93" fillId="0" borderId="14" xfId="0" applyFont="1" applyBorder="1" applyAlignment="1"/>
    <xf numFmtId="0" fontId="93" fillId="0" borderId="15" xfId="0" applyFont="1" applyBorder="1" applyAlignment="1"/>
    <xf numFmtId="0" fontId="93" fillId="0" borderId="30" xfId="0" applyFont="1" applyBorder="1" applyAlignment="1"/>
    <xf numFmtId="0" fontId="0" fillId="0" borderId="31" xfId="0" applyBorder="1" applyAlignment="1">
      <alignment horizontal="center"/>
    </xf>
    <xf numFmtId="1" fontId="29" fillId="0" borderId="10" xfId="0" applyNumberFormat="1" applyFont="1" applyBorder="1" applyAlignment="1">
      <alignment horizontal="center" vertical="center"/>
    </xf>
    <xf numFmtId="0" fontId="93" fillId="0" borderId="0" xfId="0" applyFont="1" applyAlignment="1">
      <alignment horizontal="left"/>
    </xf>
    <xf numFmtId="1" fontId="168" fillId="0" borderId="14" xfId="0" applyNumberFormat="1" applyFont="1" applyBorder="1" applyAlignment="1">
      <alignment horizontal="center" vertical="center"/>
    </xf>
    <xf numFmtId="0" fontId="93" fillId="0" borderId="85" xfId="0" applyFont="1" applyBorder="1" applyAlignment="1">
      <alignment horizontal="center" vertical="center"/>
    </xf>
    <xf numFmtId="0" fontId="162" fillId="0" borderId="175" xfId="0" applyFont="1" applyBorder="1" applyAlignment="1">
      <alignment vertical="center"/>
    </xf>
    <xf numFmtId="0" fontId="93" fillId="0" borderId="175" xfId="0" applyFont="1" applyBorder="1" applyAlignment="1">
      <alignment vertical="center"/>
    </xf>
    <xf numFmtId="0" fontId="93" fillId="0" borderId="46" xfId="0" applyFont="1" applyBorder="1" applyAlignment="1">
      <alignment vertical="center"/>
    </xf>
    <xf numFmtId="0" fontId="93" fillId="0" borderId="47" xfId="0" applyFont="1" applyBorder="1" applyAlignment="1">
      <alignment horizontal="center" vertical="center"/>
    </xf>
    <xf numFmtId="0" fontId="163" fillId="0" borderId="0" xfId="0" applyFont="1" applyBorder="1" applyAlignment="1">
      <alignment vertical="center"/>
    </xf>
    <xf numFmtId="0" fontId="164" fillId="0" borderId="0" xfId="0" applyFont="1" applyBorder="1" applyAlignment="1">
      <alignment vertical="center"/>
    </xf>
    <xf numFmtId="0" fontId="165" fillId="0" borderId="0" xfId="0" applyFont="1" applyBorder="1" applyAlignment="1">
      <alignment vertical="center"/>
    </xf>
    <xf numFmtId="15" fontId="165" fillId="0" borderId="0" xfId="0" applyNumberFormat="1" applyFont="1" applyBorder="1" applyAlignment="1">
      <alignment vertical="center"/>
    </xf>
    <xf numFmtId="0" fontId="29" fillId="0" borderId="26" xfId="0" applyFont="1" applyBorder="1" applyAlignment="1">
      <alignment horizontal="center" vertical="center"/>
    </xf>
    <xf numFmtId="0" fontId="29" fillId="31" borderId="103" xfId="0" applyFont="1" applyFill="1" applyBorder="1" applyAlignment="1">
      <alignment horizontal="center" vertical="center"/>
    </xf>
    <xf numFmtId="0" fontId="93" fillId="0" borderId="36" xfId="0" applyFont="1" applyBorder="1" applyAlignment="1">
      <alignment horizontal="center"/>
    </xf>
    <xf numFmtId="0" fontId="174" fillId="0" borderId="34" xfId="428" applyFont="1" applyFill="1" applyBorder="1" applyAlignment="1">
      <alignment horizontal="center" vertical="center"/>
    </xf>
    <xf numFmtId="0" fontId="98" fillId="0" borderId="35" xfId="0" applyFont="1" applyBorder="1" applyAlignment="1">
      <alignment horizontal="center"/>
    </xf>
    <xf numFmtId="0" fontId="224" fillId="58" borderId="0" xfId="0" applyFont="1" applyFill="1" applyAlignment="1">
      <alignment horizontal="center"/>
    </xf>
    <xf numFmtId="0" fontId="29" fillId="0" borderId="103" xfId="0" applyFont="1" applyBorder="1" applyAlignment="1">
      <alignment horizontal="center" vertical="center"/>
    </xf>
    <xf numFmtId="0" fontId="169" fillId="0" borderId="27" xfId="499" applyNumberFormat="1" applyFont="1" applyFill="1" applyBorder="1" applyAlignment="1">
      <alignment horizontal="left" vertical="center"/>
    </xf>
    <xf numFmtId="0" fontId="169" fillId="0" borderId="27" xfId="0" applyNumberFormat="1" applyFont="1" applyBorder="1" applyAlignment="1">
      <alignment horizontal="left" vertical="center"/>
    </xf>
    <xf numFmtId="0" fontId="169" fillId="0" borderId="27" xfId="414" applyNumberFormat="1" applyFont="1" applyFill="1" applyBorder="1" applyAlignment="1">
      <alignment horizontal="left" vertical="center"/>
    </xf>
    <xf numFmtId="0" fontId="169" fillId="0" borderId="102" xfId="0" applyNumberFormat="1" applyFont="1" applyBorder="1" applyAlignment="1">
      <alignment horizontal="left" vertical="center"/>
    </xf>
    <xf numFmtId="0" fontId="166" fillId="0" borderId="89" xfId="0" applyFont="1" applyBorder="1" applyAlignment="1">
      <alignment horizontal="center" vertical="center"/>
    </xf>
    <xf numFmtId="0" fontId="166" fillId="0" borderId="91" xfId="0" applyFont="1" applyBorder="1" applyAlignment="1">
      <alignment vertical="center"/>
    </xf>
    <xf numFmtId="0" fontId="166" fillId="0" borderId="185" xfId="0" applyFont="1" applyBorder="1" applyAlignment="1">
      <alignment vertical="center"/>
    </xf>
    <xf numFmtId="0" fontId="166" fillId="0" borderId="190" xfId="0" applyFont="1" applyBorder="1" applyAlignment="1">
      <alignment horizontal="center" vertical="center"/>
    </xf>
    <xf numFmtId="0" fontId="166" fillId="0" borderId="91" xfId="0" applyFont="1" applyBorder="1" applyAlignment="1">
      <alignment horizontal="center" vertical="center"/>
    </xf>
    <xf numFmtId="0" fontId="167" fillId="0" borderId="302" xfId="0" applyFont="1" applyBorder="1" applyAlignment="1">
      <alignment horizontal="center" vertical="center"/>
    </xf>
    <xf numFmtId="0" fontId="166" fillId="0" borderId="181" xfId="0" applyFont="1" applyBorder="1" applyAlignment="1">
      <alignment vertical="center"/>
    </xf>
    <xf numFmtId="0" fontId="166" fillId="0" borderId="193" xfId="0" applyFont="1" applyBorder="1" applyAlignment="1">
      <alignment horizontal="center" vertical="center"/>
    </xf>
    <xf numFmtId="0" fontId="166" fillId="0" borderId="181" xfId="0" applyFont="1" applyBorder="1" applyAlignment="1">
      <alignment horizontal="center" vertical="center"/>
    </xf>
    <xf numFmtId="0" fontId="55" fillId="0" borderId="155" xfId="0" applyFont="1" applyBorder="1" applyAlignment="1">
      <alignment horizontal="right"/>
    </xf>
    <xf numFmtId="0" fontId="126" fillId="0" borderId="0" xfId="0" applyFont="1" applyBorder="1" applyAlignment="1">
      <alignment horizontal="right"/>
    </xf>
    <xf numFmtId="0" fontId="98" fillId="0" borderId="34" xfId="0" applyFont="1" applyBorder="1" applyAlignment="1">
      <alignment horizontal="center"/>
    </xf>
    <xf numFmtId="0" fontId="169" fillId="0" borderId="57" xfId="499" applyNumberFormat="1" applyFont="1" applyFill="1" applyBorder="1" applyAlignment="1">
      <alignment horizontal="left" vertical="center"/>
    </xf>
    <xf numFmtId="14" fontId="169" fillId="0" borderId="27" xfId="499" applyNumberFormat="1" applyFont="1" applyFill="1" applyBorder="1" applyAlignment="1" applyProtection="1">
      <alignment horizontal="left" vertical="center"/>
    </xf>
    <xf numFmtId="14" fontId="169" fillId="0" borderId="27" xfId="0" applyNumberFormat="1" applyFont="1" applyFill="1" applyBorder="1" applyAlignment="1">
      <alignment horizontal="left" vertical="center"/>
    </xf>
    <xf numFmtId="49" fontId="169" fillId="0" borderId="27" xfId="499" applyNumberFormat="1" applyFont="1" applyFill="1" applyBorder="1" applyAlignment="1">
      <alignment horizontal="left" vertical="center"/>
    </xf>
    <xf numFmtId="0" fontId="169" fillId="0" borderId="183" xfId="0" applyNumberFormat="1" applyFont="1" applyFill="1" applyBorder="1" applyAlignment="1">
      <alignment horizontal="left" vertical="center"/>
    </xf>
    <xf numFmtId="0" fontId="169" fillId="0" borderId="27" xfId="0" applyNumberFormat="1" applyFont="1" applyFill="1" applyBorder="1" applyAlignment="1">
      <alignment horizontal="left" vertical="center"/>
    </xf>
    <xf numFmtId="20" fontId="224" fillId="0" borderId="0" xfId="0" applyNumberFormat="1" applyFont="1"/>
    <xf numFmtId="0" fontId="276" fillId="0" borderId="27" xfId="0" applyNumberFormat="1" applyFont="1" applyBorder="1" applyAlignment="1">
      <alignment horizontal="left" vertical="center"/>
    </xf>
    <xf numFmtId="49" fontId="169" fillId="0" borderId="27" xfId="0" applyNumberFormat="1" applyFont="1" applyBorder="1" applyAlignment="1">
      <alignment horizontal="left" vertical="center"/>
    </xf>
    <xf numFmtId="2" fontId="204" fillId="53" borderId="62" xfId="0" applyNumberFormat="1" applyFont="1" applyFill="1" applyBorder="1" applyAlignment="1" applyProtection="1">
      <alignment horizontal="center" vertical="center"/>
      <protection locked="0"/>
    </xf>
    <xf numFmtId="0" fontId="278" fillId="0" borderId="0" xfId="0" applyFont="1" applyBorder="1"/>
    <xf numFmtId="1" fontId="203" fillId="71" borderId="307" xfId="0" applyNumberFormat="1" applyFont="1" applyFill="1" applyBorder="1" applyAlignment="1">
      <alignment horizontal="center" vertical="center"/>
    </xf>
    <xf numFmtId="1" fontId="203" fillId="71" borderId="314" xfId="0" applyNumberFormat="1" applyFont="1" applyFill="1" applyBorder="1" applyAlignment="1">
      <alignment horizontal="center" vertical="center"/>
    </xf>
    <xf numFmtId="1" fontId="203" fillId="71" borderId="306" xfId="0" applyNumberFormat="1" applyFont="1" applyFill="1" applyBorder="1" applyAlignment="1">
      <alignment horizontal="center" vertical="center"/>
    </xf>
    <xf numFmtId="1" fontId="49" fillId="92" borderId="315" xfId="0" applyNumberFormat="1" applyFont="1" applyFill="1" applyBorder="1" applyAlignment="1" applyProtection="1">
      <alignment horizontal="center" vertical="center"/>
      <protection locked="0"/>
    </xf>
    <xf numFmtId="1" fontId="49" fillId="92" borderId="306" xfId="0" applyNumberFormat="1" applyFont="1" applyFill="1" applyBorder="1" applyAlignment="1" applyProtection="1">
      <alignment horizontal="center" vertical="center"/>
      <protection locked="0"/>
    </xf>
    <xf numFmtId="1" fontId="49" fillId="92" borderId="307" xfId="0" applyNumberFormat="1" applyFont="1" applyFill="1" applyBorder="1" applyAlignment="1" applyProtection="1">
      <alignment horizontal="center" vertical="center"/>
      <protection locked="0"/>
    </xf>
    <xf numFmtId="1" fontId="49" fillId="92" borderId="314" xfId="0" applyNumberFormat="1" applyFont="1" applyFill="1" applyBorder="1" applyAlignment="1" applyProtection="1">
      <alignment horizontal="center" vertical="center"/>
      <protection locked="0"/>
    </xf>
    <xf numFmtId="0" fontId="49" fillId="0" borderId="310" xfId="423" applyNumberFormat="1" applyFont="1" applyBorder="1"/>
    <xf numFmtId="0" fontId="49" fillId="0" borderId="308" xfId="428" applyFont="1" applyFill="1" applyBorder="1" applyAlignment="1">
      <alignment horizontal="center" vertical="center"/>
    </xf>
    <xf numFmtId="0" fontId="49" fillId="0" borderId="308" xfId="423" applyNumberFormat="1" applyFont="1" applyBorder="1"/>
    <xf numFmtId="0" fontId="49" fillId="0" borderId="321" xfId="429" applyNumberFormat="1" applyFont="1" applyFill="1" applyBorder="1" applyAlignment="1">
      <alignment vertical="center"/>
    </xf>
    <xf numFmtId="0" fontId="49" fillId="0" borderId="322" xfId="423" applyNumberFormat="1" applyFont="1" applyBorder="1"/>
    <xf numFmtId="0" fontId="49" fillId="0" borderId="322" xfId="0" applyFont="1" applyFill="1" applyBorder="1" applyAlignment="1">
      <alignment horizontal="center" vertical="center"/>
    </xf>
    <xf numFmtId="0" fontId="49" fillId="0" borderId="322" xfId="428" applyFont="1" applyFill="1" applyBorder="1" applyAlignment="1">
      <alignment horizontal="center" vertical="center"/>
    </xf>
    <xf numFmtId="0" fontId="49" fillId="0" borderId="308" xfId="0" applyFont="1" applyFill="1" applyBorder="1" applyAlignment="1">
      <alignment horizontal="center" vertical="center"/>
    </xf>
    <xf numFmtId="0" fontId="270" fillId="0" borderId="0" xfId="0" applyFont="1" applyBorder="1"/>
    <xf numFmtId="0" fontId="122" fillId="0" borderId="0" xfId="0" applyFont="1"/>
    <xf numFmtId="0" fontId="122" fillId="0" borderId="0" xfId="0" applyFont="1" applyBorder="1"/>
    <xf numFmtId="0" fontId="268" fillId="0" borderId="0" xfId="0" applyFont="1" applyAlignment="1">
      <alignment horizontal="center" vertical="center"/>
    </xf>
    <xf numFmtId="173" fontId="13" fillId="0" borderId="297" xfId="435" applyNumberFormat="1" applyFont="1" applyBorder="1" applyProtection="1"/>
    <xf numFmtId="165" fontId="102" fillId="0" borderId="10" xfId="375" applyNumberFormat="1" applyFont="1" applyFill="1" applyBorder="1" applyAlignment="1">
      <alignment horizontal="center" vertical="center"/>
    </xf>
    <xf numFmtId="165" fontId="102" fillId="0" borderId="10" xfId="375" applyNumberFormat="1" applyFont="1" applyBorder="1" applyAlignment="1">
      <alignment horizontal="center" vertical="center"/>
    </xf>
    <xf numFmtId="0" fontId="122" fillId="0" borderId="0" xfId="0" applyFont="1" applyBorder="1" applyAlignment="1">
      <alignment vertical="center"/>
    </xf>
    <xf numFmtId="0" fontId="49" fillId="34" borderId="0" xfId="0" applyFont="1" applyFill="1" applyAlignment="1">
      <alignment horizontal="center" vertical="center"/>
    </xf>
    <xf numFmtId="1" fontId="49" fillId="42" borderId="28" xfId="0" applyNumberFormat="1" applyFont="1" applyFill="1" applyBorder="1" applyAlignment="1" applyProtection="1">
      <alignment horizontal="center" vertical="center"/>
      <protection locked="0"/>
    </xf>
    <xf numFmtId="1" fontId="49" fillId="42" borderId="77" xfId="0" applyNumberFormat="1" applyFont="1" applyFill="1" applyBorder="1" applyAlignment="1" applyProtection="1">
      <alignment horizontal="center" vertical="center"/>
      <protection locked="0"/>
    </xf>
    <xf numFmtId="1" fontId="49" fillId="42" borderId="25" xfId="0" applyNumberFormat="1" applyFont="1" applyFill="1" applyBorder="1" applyAlignment="1">
      <alignment horizontal="center" vertical="center"/>
    </xf>
    <xf numFmtId="1" fontId="49" fillId="42" borderId="268" xfId="0" applyNumberFormat="1" applyFont="1" applyFill="1" applyBorder="1" applyAlignment="1">
      <alignment horizontal="center" vertical="center"/>
    </xf>
    <xf numFmtId="1" fontId="49" fillId="42" borderId="268" xfId="0" applyNumberFormat="1" applyFont="1" applyFill="1" applyBorder="1" applyAlignment="1" applyProtection="1">
      <alignment horizontal="center" vertical="center"/>
      <protection locked="0"/>
    </xf>
    <xf numFmtId="1" fontId="49" fillId="42" borderId="25" xfId="0" applyNumberFormat="1" applyFont="1" applyFill="1" applyBorder="1" applyAlignment="1" applyProtection="1">
      <alignment horizontal="center" vertical="center"/>
    </xf>
    <xf numFmtId="1" fontId="49" fillId="42" borderId="25" xfId="0" applyNumberFormat="1" applyFont="1" applyFill="1" applyBorder="1" applyAlignment="1" applyProtection="1">
      <alignment horizontal="center" vertical="center"/>
      <protection locked="0"/>
    </xf>
    <xf numFmtId="1" fontId="49" fillId="42" borderId="77" xfId="0" quotePrefix="1" applyNumberFormat="1" applyFont="1" applyFill="1" applyBorder="1" applyAlignment="1" applyProtection="1">
      <alignment horizontal="center" vertical="center"/>
      <protection locked="0"/>
    </xf>
    <xf numFmtId="1" fontId="49" fillId="42" borderId="97" xfId="0" applyNumberFormat="1" applyFont="1" applyFill="1" applyBorder="1" applyAlignment="1" applyProtection="1">
      <alignment horizontal="center" vertical="center"/>
      <protection locked="0"/>
    </xf>
    <xf numFmtId="1" fontId="49" fillId="42" borderId="77" xfId="0" quotePrefix="1" applyNumberFormat="1" applyFont="1" applyFill="1" applyBorder="1" applyAlignment="1" applyProtection="1">
      <alignment horizontal="center" vertical="center"/>
    </xf>
    <xf numFmtId="1" fontId="49" fillId="42" borderId="77" xfId="0" applyNumberFormat="1" applyFont="1" applyFill="1" applyBorder="1" applyAlignment="1" applyProtection="1">
      <alignment horizontal="center" vertical="center"/>
    </xf>
    <xf numFmtId="1" fontId="49" fillId="42" borderId="77" xfId="0" applyNumberFormat="1" applyFont="1" applyFill="1" applyBorder="1" applyAlignment="1">
      <alignment horizontal="center" vertical="center"/>
    </xf>
    <xf numFmtId="1" fontId="49" fillId="42" borderId="306" xfId="0" applyNumberFormat="1" applyFont="1" applyFill="1" applyBorder="1" applyAlignment="1" applyProtection="1">
      <alignment horizontal="center" vertical="center"/>
      <protection locked="0"/>
    </xf>
    <xf numFmtId="1" fontId="259" fillId="42" borderId="97" xfId="0" quotePrefix="1" applyNumberFormat="1" applyFont="1" applyFill="1" applyBorder="1" applyAlignment="1" applyProtection="1">
      <alignment horizontal="center" vertical="center"/>
      <protection locked="0"/>
    </xf>
    <xf numFmtId="1" fontId="259" fillId="42" borderId="0" xfId="0" quotePrefix="1" applyNumberFormat="1" applyFont="1" applyFill="1" applyBorder="1" applyAlignment="1" applyProtection="1">
      <alignment horizontal="center" vertical="center"/>
      <protection locked="0"/>
    </xf>
    <xf numFmtId="1" fontId="49" fillId="42" borderId="25" xfId="0" quotePrefix="1" applyNumberFormat="1" applyFont="1" applyFill="1" applyBorder="1" applyAlignment="1">
      <alignment horizontal="center" vertical="center"/>
    </xf>
    <xf numFmtId="1" fontId="49" fillId="42" borderId="268" xfId="0" quotePrefix="1" applyNumberFormat="1" applyFont="1" applyFill="1" applyBorder="1" applyAlignment="1">
      <alignment horizontal="center" vertical="center"/>
    </xf>
    <xf numFmtId="1" fontId="49" fillId="42" borderId="268" xfId="0" quotePrefix="1" applyNumberFormat="1" applyFont="1" applyFill="1" applyBorder="1" applyAlignment="1" applyProtection="1">
      <alignment horizontal="center" vertical="center"/>
      <protection locked="0"/>
    </xf>
    <xf numFmtId="1" fontId="49" fillId="42" borderId="97" xfId="0" applyNumberFormat="1" applyFont="1" applyFill="1" applyBorder="1" applyAlignment="1" applyProtection="1">
      <alignment horizontal="center" vertical="center"/>
    </xf>
    <xf numFmtId="1" fontId="49" fillId="42" borderId="77" xfId="0" quotePrefix="1" applyNumberFormat="1" applyFont="1" applyFill="1" applyBorder="1" applyAlignment="1">
      <alignment horizontal="center" vertical="center"/>
    </xf>
    <xf numFmtId="1" fontId="49" fillId="42" borderId="268" xfId="0" applyNumberFormat="1" applyFont="1" applyFill="1" applyBorder="1" applyAlignment="1" applyProtection="1">
      <alignment horizontal="center" vertical="center"/>
    </xf>
    <xf numFmtId="1" fontId="259" fillId="42" borderId="77" xfId="0" quotePrefix="1" applyNumberFormat="1" applyFont="1" applyFill="1" applyBorder="1" applyAlignment="1" applyProtection="1">
      <alignment horizontal="center" vertical="center"/>
      <protection locked="0"/>
    </xf>
    <xf numFmtId="1" fontId="259" fillId="42" borderId="25" xfId="0" quotePrefix="1" applyNumberFormat="1" applyFont="1" applyFill="1" applyBorder="1" applyAlignment="1">
      <alignment horizontal="center" vertical="center"/>
    </xf>
    <xf numFmtId="1" fontId="174" fillId="34" borderId="260" xfId="0" quotePrefix="1" applyNumberFormat="1" applyFont="1" applyFill="1" applyBorder="1" applyAlignment="1">
      <alignment horizontal="center" vertical="center"/>
    </xf>
    <xf numFmtId="0" fontId="209" fillId="34" borderId="0" xfId="0" applyFont="1" applyFill="1" applyAlignment="1">
      <alignment horizontal="center"/>
    </xf>
    <xf numFmtId="0" fontId="221" fillId="34" borderId="0" xfId="0" applyFont="1" applyFill="1" applyAlignment="1">
      <alignment horizontal="center"/>
    </xf>
    <xf numFmtId="0" fontId="285" fillId="34" borderId="10" xfId="0" applyFont="1" applyFill="1" applyBorder="1"/>
    <xf numFmtId="0" fontId="285" fillId="0" borderId="0" xfId="0" applyFont="1"/>
    <xf numFmtId="0" fontId="285" fillId="0" borderId="0" xfId="0" applyFont="1" applyBorder="1"/>
    <xf numFmtId="9" fontId="285" fillId="0" borderId="0" xfId="0" applyNumberFormat="1" applyFont="1"/>
    <xf numFmtId="0" fontId="285" fillId="0" borderId="0" xfId="0" applyFont="1" applyAlignment="1">
      <alignment vertical="center"/>
    </xf>
    <xf numFmtId="0" fontId="122" fillId="0" borderId="0" xfId="0" applyFont="1" applyAlignment="1">
      <alignment vertical="center"/>
    </xf>
    <xf numFmtId="0" fontId="229" fillId="0" borderId="0" xfId="503" applyBorder="1"/>
    <xf numFmtId="0" fontId="50" fillId="0" borderId="0" xfId="503" applyFont="1" applyBorder="1"/>
    <xf numFmtId="0" fontId="140" fillId="0" borderId="30" xfId="503" applyFont="1" applyBorder="1" applyAlignment="1">
      <alignment horizontal="center"/>
    </xf>
    <xf numFmtId="164" fontId="140" fillId="0" borderId="30" xfId="503" applyNumberFormat="1" applyFont="1" applyBorder="1" applyAlignment="1">
      <alignment horizontal="center"/>
    </xf>
    <xf numFmtId="0" fontId="140" fillId="0" borderId="14" xfId="503" applyFont="1" applyBorder="1" applyAlignment="1">
      <alignment horizontal="center"/>
    </xf>
    <xf numFmtId="0" fontId="140" fillId="0" borderId="24" xfId="503" applyFont="1" applyBorder="1" applyAlignment="1">
      <alignment horizontal="center"/>
    </xf>
    <xf numFmtId="0" fontId="140" fillId="0" borderId="13" xfId="503" applyFont="1" applyBorder="1" applyAlignment="1">
      <alignment horizontal="center"/>
    </xf>
    <xf numFmtId="0" fontId="140" fillId="0" borderId="22" xfId="503" applyFont="1" applyBorder="1" applyAlignment="1">
      <alignment horizontal="center"/>
    </xf>
    <xf numFmtId="0" fontId="287" fillId="0" borderId="10" xfId="375" applyNumberFormat="1" applyFont="1" applyBorder="1" applyAlignment="1">
      <alignment horizontal="center" vertical="center"/>
    </xf>
    <xf numFmtId="0" fontId="288" fillId="0" borderId="0" xfId="430" applyNumberFormat="1" applyFont="1" applyFill="1" applyBorder="1" applyAlignment="1">
      <alignment vertical="center"/>
    </xf>
    <xf numFmtId="1" fontId="49" fillId="92" borderId="323" xfId="0" applyNumberFormat="1" applyFont="1" applyFill="1" applyBorder="1" applyAlignment="1" applyProtection="1">
      <alignment horizontal="center" vertical="center"/>
      <protection locked="0"/>
    </xf>
    <xf numFmtId="1" fontId="49" fillId="42" borderId="323" xfId="0" applyNumberFormat="1" applyFont="1" applyFill="1" applyBorder="1" applyAlignment="1" applyProtection="1">
      <alignment horizontal="center" vertical="center"/>
      <protection locked="0"/>
    </xf>
    <xf numFmtId="1" fontId="49" fillId="92" borderId="324" xfId="0" applyNumberFormat="1" applyFont="1" applyFill="1" applyBorder="1" applyAlignment="1" applyProtection="1">
      <alignment horizontal="center" vertical="center"/>
      <protection locked="0"/>
    </xf>
    <xf numFmtId="1" fontId="49" fillId="92" borderId="325" xfId="0" applyNumberFormat="1" applyFont="1" applyFill="1" applyBorder="1" applyAlignment="1" applyProtection="1">
      <alignment horizontal="center" vertical="center"/>
      <protection locked="0"/>
    </xf>
    <xf numFmtId="166" fontId="290" fillId="31" borderId="0" xfId="0" applyNumberFormat="1" applyFont="1" applyFill="1" applyBorder="1" applyAlignment="1" applyProtection="1">
      <alignment horizontal="center" vertical="center"/>
    </xf>
    <xf numFmtId="173" fontId="49" fillId="0" borderId="327" xfId="414" applyNumberFormat="1" applyFont="1" applyFill="1" applyBorder="1" applyAlignment="1">
      <alignment vertical="center"/>
    </xf>
    <xf numFmtId="0" fontId="49" fillId="0" borderId="329" xfId="428" applyFont="1" applyFill="1" applyBorder="1" applyAlignment="1">
      <alignment horizontal="center" vertical="center"/>
    </xf>
    <xf numFmtId="0" fontId="49" fillId="0" borderId="330" xfId="0" applyFont="1" applyFill="1" applyBorder="1" applyAlignment="1">
      <alignment horizontal="left" vertical="center"/>
    </xf>
    <xf numFmtId="0" fontId="49" fillId="0" borderId="326" xfId="0" applyFont="1" applyFill="1" applyBorder="1" applyAlignment="1">
      <alignment horizontal="center" vertical="center"/>
    </xf>
    <xf numFmtId="1" fontId="49" fillId="0" borderId="329" xfId="428" applyNumberFormat="1" applyFont="1" applyFill="1" applyBorder="1" applyAlignment="1">
      <alignment horizontal="center" vertical="center"/>
    </xf>
    <xf numFmtId="1" fontId="49" fillId="0" borderId="332" xfId="0" applyNumberFormat="1" applyFont="1" applyFill="1" applyBorder="1" applyAlignment="1">
      <alignment horizontal="center" vertical="center"/>
    </xf>
    <xf numFmtId="0" fontId="49" fillId="0" borderId="327" xfId="423" applyNumberFormat="1" applyFont="1" applyBorder="1"/>
    <xf numFmtId="1" fontId="203" fillId="71" borderId="334" xfId="0" applyNumberFormat="1" applyFont="1" applyFill="1" applyBorder="1" applyAlignment="1">
      <alignment horizontal="center" vertical="center"/>
    </xf>
    <xf numFmtId="1" fontId="49" fillId="92" borderId="336" xfId="0" applyNumberFormat="1" applyFont="1" applyFill="1" applyBorder="1" applyAlignment="1" applyProtection="1">
      <alignment horizontal="center" vertical="center"/>
      <protection locked="0"/>
    </xf>
    <xf numFmtId="1" fontId="49" fillId="92" borderId="335" xfId="0" applyNumberFormat="1" applyFont="1" applyFill="1" applyBorder="1" applyAlignment="1" applyProtection="1">
      <alignment horizontal="center" vertical="center"/>
      <protection locked="0"/>
    </xf>
    <xf numFmtId="1" fontId="49" fillId="42" borderId="335" xfId="0" applyNumberFormat="1" applyFont="1" applyFill="1" applyBorder="1" applyAlignment="1" applyProtection="1">
      <alignment horizontal="center" vertical="center"/>
      <protection locked="0"/>
    </xf>
    <xf numFmtId="1" fontId="49" fillId="92" borderId="334" xfId="0" applyNumberFormat="1" applyFont="1" applyFill="1" applyBorder="1" applyAlignment="1" applyProtection="1">
      <alignment horizontal="center" vertical="center"/>
      <protection locked="0"/>
    </xf>
    <xf numFmtId="1" fontId="49" fillId="92" borderId="337" xfId="0" applyNumberFormat="1" applyFont="1" applyFill="1" applyBorder="1" applyAlignment="1" applyProtection="1">
      <alignment horizontal="center" vertical="center"/>
      <protection locked="0"/>
    </xf>
    <xf numFmtId="1" fontId="203" fillId="71" borderId="337" xfId="0" applyNumberFormat="1" applyFont="1" applyFill="1" applyBorder="1" applyAlignment="1">
      <alignment horizontal="center" vertical="center"/>
    </xf>
    <xf numFmtId="1" fontId="289" fillId="35" borderId="184" xfId="0" applyNumberFormat="1" applyFont="1" applyFill="1" applyBorder="1" applyAlignment="1">
      <alignment horizontal="center" vertical="center"/>
    </xf>
    <xf numFmtId="1" fontId="203" fillId="71" borderId="335" xfId="0" applyNumberFormat="1" applyFont="1" applyFill="1" applyBorder="1" applyAlignment="1">
      <alignment horizontal="center" vertical="center"/>
    </xf>
    <xf numFmtId="1" fontId="49" fillId="0" borderId="47" xfId="428" applyNumberFormat="1" applyFont="1" applyFill="1" applyBorder="1" applyAlignment="1" applyProtection="1">
      <alignment horizontal="center" vertical="center"/>
      <protection locked="0"/>
    </xf>
    <xf numFmtId="1" fontId="203" fillId="39" borderId="301" xfId="0" applyNumberFormat="1" applyFont="1" applyFill="1" applyBorder="1" applyAlignment="1" applyProtection="1">
      <alignment horizontal="center" vertical="center"/>
      <protection locked="0"/>
    </xf>
    <xf numFmtId="0" fontId="49" fillId="0" borderId="44" xfId="423" applyNumberFormat="1" applyFont="1" applyBorder="1"/>
    <xf numFmtId="0" fontId="49" fillId="0" borderId="273" xfId="428" applyFont="1" applyFill="1" applyBorder="1" applyAlignment="1">
      <alignment horizontal="center" vertical="center"/>
    </xf>
    <xf numFmtId="166" fontId="265" fillId="100" borderId="44" xfId="271" applyNumberFormat="1" applyFont="1" applyFill="1" applyBorder="1" applyAlignment="1">
      <alignment vertical="center"/>
    </xf>
    <xf numFmtId="14" fontId="285" fillId="34" borderId="10" xfId="0" applyNumberFormat="1" applyFont="1" applyFill="1" applyBorder="1"/>
    <xf numFmtId="0" fontId="285" fillId="34" borderId="10" xfId="0" applyFont="1" applyFill="1" applyBorder="1" applyAlignment="1">
      <alignment horizontal="center"/>
    </xf>
    <xf numFmtId="20" fontId="285" fillId="34" borderId="10" xfId="0" applyNumberFormat="1" applyFont="1" applyFill="1" applyBorder="1" applyAlignment="1">
      <alignment horizontal="center"/>
    </xf>
    <xf numFmtId="0" fontId="282" fillId="0" borderId="0" xfId="0" applyFont="1" applyFill="1" applyBorder="1" applyAlignment="1"/>
    <xf numFmtId="0" fontId="283" fillId="0" borderId="0" xfId="0" applyFont="1" applyBorder="1" applyAlignment="1"/>
    <xf numFmtId="0" fontId="277" fillId="0" borderId="0" xfId="0" applyFont="1" applyBorder="1" applyAlignment="1">
      <alignment horizontal="center"/>
    </xf>
    <xf numFmtId="0" fontId="7" fillId="0" borderId="70" xfId="429" applyNumberFormat="1" applyFont="1" applyFill="1" applyBorder="1" applyAlignment="1">
      <alignment vertical="center"/>
    </xf>
    <xf numFmtId="0" fontId="7" fillId="0" borderId="70" xfId="437" applyNumberFormat="1" applyFont="1" applyFill="1" applyBorder="1" applyAlignment="1">
      <alignment vertical="center"/>
    </xf>
    <xf numFmtId="0" fontId="92" fillId="31" borderId="70" xfId="437" applyNumberFormat="1" applyFont="1" applyFill="1" applyBorder="1" applyAlignment="1">
      <alignment vertical="center"/>
    </xf>
    <xf numFmtId="0" fontId="7" fillId="0" borderId="70" xfId="414" applyNumberFormat="1" applyFont="1" applyFill="1" applyBorder="1" applyAlignment="1">
      <alignment vertical="center"/>
    </xf>
    <xf numFmtId="173" fontId="7" fillId="0" borderId="70" xfId="429" applyNumberFormat="1" applyFont="1" applyFill="1" applyBorder="1" applyAlignment="1">
      <alignment vertical="center"/>
    </xf>
    <xf numFmtId="173" fontId="7" fillId="0" borderId="71" xfId="429" applyNumberFormat="1" applyFont="1" applyFill="1" applyBorder="1" applyAlignment="1">
      <alignment vertical="center"/>
    </xf>
    <xf numFmtId="173" fontId="7" fillId="0" borderId="71" xfId="414" applyNumberFormat="1" applyFont="1" applyFill="1" applyBorder="1" applyAlignment="1">
      <alignment vertical="center"/>
    </xf>
    <xf numFmtId="173" fontId="7" fillId="0" borderId="27" xfId="429" applyNumberFormat="1" applyFont="1" applyFill="1" applyBorder="1" applyAlignment="1">
      <alignment vertical="center"/>
    </xf>
    <xf numFmtId="173" fontId="7" fillId="0" borderId="61" xfId="429" applyNumberFormat="1" applyFont="1" applyFill="1" applyBorder="1" applyAlignment="1">
      <alignment vertical="center"/>
    </xf>
    <xf numFmtId="173" fontId="293" fillId="30" borderId="92" xfId="0" applyNumberFormat="1" applyFont="1" applyFill="1" applyBorder="1" applyAlignment="1">
      <alignment horizontal="center" vertical="center" wrapText="1"/>
    </xf>
    <xf numFmtId="1" fontId="284" fillId="71" borderId="100" xfId="0" applyNumberFormat="1" applyFont="1" applyFill="1" applyBorder="1" applyAlignment="1" applyProtection="1">
      <alignment horizontal="center" vertical="center"/>
      <protection locked="0"/>
    </xf>
    <xf numFmtId="1" fontId="284" fillId="71" borderId="28" xfId="0" applyNumberFormat="1" applyFont="1" applyFill="1" applyBorder="1" applyAlignment="1" applyProtection="1">
      <alignment horizontal="center" vertical="center"/>
      <protection locked="0"/>
    </xf>
    <xf numFmtId="1" fontId="284" fillId="71" borderId="349" xfId="0" applyNumberFormat="1" applyFont="1" applyFill="1" applyBorder="1" applyAlignment="1" applyProtection="1">
      <alignment horizontal="center" vertical="center"/>
      <protection locked="0"/>
    </xf>
    <xf numFmtId="1" fontId="284" fillId="71" borderId="348" xfId="0" applyNumberFormat="1" applyFont="1" applyFill="1" applyBorder="1" applyAlignment="1" applyProtection="1">
      <alignment horizontal="center" vertical="center"/>
      <protection locked="0"/>
    </xf>
    <xf numFmtId="166" fontId="284" fillId="77" borderId="349" xfId="271" applyNumberFormat="1" applyFont="1" applyFill="1" applyBorder="1" applyAlignment="1">
      <alignment horizontal="center" vertical="center"/>
    </xf>
    <xf numFmtId="166" fontId="284" fillId="77" borderId="348" xfId="271" applyNumberFormat="1" applyFont="1" applyFill="1" applyBorder="1" applyAlignment="1">
      <alignment horizontal="center" vertical="center"/>
    </xf>
    <xf numFmtId="1" fontId="292" fillId="71" borderId="349" xfId="0" applyNumberFormat="1" applyFont="1" applyFill="1" applyBorder="1" applyAlignment="1" applyProtection="1">
      <alignment horizontal="center" vertical="center"/>
      <protection locked="0"/>
    </xf>
    <xf numFmtId="1" fontId="292" fillId="71" borderId="348" xfId="0" applyNumberFormat="1" applyFont="1" applyFill="1" applyBorder="1" applyAlignment="1" applyProtection="1">
      <alignment horizontal="center" vertical="center"/>
      <protection locked="0"/>
    </xf>
    <xf numFmtId="1" fontId="292" fillId="71" borderId="353" xfId="0" applyNumberFormat="1" applyFont="1" applyFill="1" applyBorder="1" applyAlignment="1" applyProtection="1">
      <alignment horizontal="center" vertical="center"/>
      <protection locked="0"/>
    </xf>
    <xf numFmtId="1" fontId="292" fillId="71" borderId="313" xfId="0" applyNumberFormat="1" applyFont="1" applyFill="1" applyBorder="1" applyAlignment="1" applyProtection="1">
      <alignment horizontal="center" vertical="center"/>
      <protection locked="0"/>
    </xf>
    <xf numFmtId="1" fontId="284" fillId="71" borderId="28" xfId="0" applyNumberFormat="1" applyFont="1" applyFill="1" applyBorder="1" applyAlignment="1">
      <alignment horizontal="center" vertical="center"/>
    </xf>
    <xf numFmtId="1" fontId="284" fillId="71" borderId="348" xfId="0" applyNumberFormat="1" applyFont="1" applyFill="1" applyBorder="1" applyAlignment="1">
      <alignment horizontal="center" vertical="center"/>
    </xf>
    <xf numFmtId="1" fontId="292" fillId="71" borderId="348" xfId="0" applyNumberFormat="1" applyFont="1" applyFill="1" applyBorder="1" applyAlignment="1">
      <alignment horizontal="center" vertical="center"/>
    </xf>
    <xf numFmtId="1" fontId="292" fillId="71" borderId="313" xfId="0" applyNumberFormat="1" applyFont="1" applyFill="1" applyBorder="1" applyAlignment="1">
      <alignment horizontal="center" vertical="center"/>
    </xf>
    <xf numFmtId="1" fontId="289" fillId="97" borderId="222" xfId="0" applyNumberFormat="1" applyFont="1" applyFill="1" applyBorder="1" applyAlignment="1" applyProtection="1">
      <alignment horizontal="center" vertical="center"/>
      <protection locked="0"/>
    </xf>
    <xf numFmtId="1" fontId="289" fillId="97" borderId="62" xfId="0" applyNumberFormat="1" applyFont="1" applyFill="1" applyBorder="1" applyAlignment="1" applyProtection="1">
      <alignment horizontal="center" vertical="center"/>
      <protection locked="0"/>
    </xf>
    <xf numFmtId="1" fontId="289" fillId="97" borderId="62" xfId="0" applyNumberFormat="1" applyFont="1" applyFill="1" applyBorder="1" applyAlignment="1">
      <alignment horizontal="center" vertical="center"/>
    </xf>
    <xf numFmtId="1" fontId="284" fillId="71" borderId="313" xfId="0" applyNumberFormat="1" applyFont="1" applyFill="1" applyBorder="1" applyAlignment="1">
      <alignment horizontal="center" vertical="center"/>
    </xf>
    <xf numFmtId="1" fontId="284" fillId="71" borderId="313" xfId="0" applyNumberFormat="1" applyFont="1" applyFill="1" applyBorder="1" applyAlignment="1" applyProtection="1">
      <alignment horizontal="center" vertical="center"/>
      <protection locked="0"/>
    </xf>
    <xf numFmtId="166" fontId="284" fillId="77" borderId="348" xfId="0" applyNumberFormat="1" applyFont="1" applyFill="1" applyBorder="1" applyAlignment="1">
      <alignment horizontal="center" vertical="center"/>
    </xf>
    <xf numFmtId="1" fontId="284" fillId="69" borderId="28" xfId="0" applyNumberFormat="1" applyFont="1" applyFill="1" applyBorder="1" applyAlignment="1">
      <alignment horizontal="center" vertical="center"/>
    </xf>
    <xf numFmtId="1" fontId="284" fillId="69" borderId="348" xfId="0" applyNumberFormat="1" applyFont="1" applyFill="1" applyBorder="1" applyAlignment="1">
      <alignment horizontal="center" vertical="center"/>
    </xf>
    <xf numFmtId="166" fontId="284" fillId="32" borderId="348" xfId="271" applyNumberFormat="1" applyFont="1" applyFill="1" applyBorder="1" applyAlignment="1">
      <alignment horizontal="center" vertical="center"/>
    </xf>
    <xf numFmtId="1" fontId="284" fillId="69" borderId="348" xfId="0" applyNumberFormat="1" applyFont="1" applyFill="1" applyBorder="1" applyAlignment="1" applyProtection="1">
      <alignment horizontal="center" vertical="center"/>
      <protection locked="0"/>
    </xf>
    <xf numFmtId="1" fontId="284" fillId="69" borderId="313" xfId="0" applyNumberFormat="1" applyFont="1" applyFill="1" applyBorder="1" applyAlignment="1">
      <alignment horizontal="center" vertical="center"/>
    </xf>
    <xf numFmtId="1" fontId="284" fillId="97" borderId="62" xfId="0" applyNumberFormat="1" applyFont="1" applyFill="1" applyBorder="1" applyAlignment="1">
      <alignment horizontal="center" vertical="center"/>
    </xf>
    <xf numFmtId="165" fontId="284" fillId="71" borderId="28" xfId="0" applyNumberFormat="1" applyFont="1" applyFill="1" applyBorder="1" applyAlignment="1">
      <alignment horizontal="center" vertical="center"/>
    </xf>
    <xf numFmtId="165" fontId="284" fillId="71" borderId="348" xfId="0" applyNumberFormat="1" applyFont="1" applyFill="1" applyBorder="1" applyAlignment="1">
      <alignment horizontal="center" vertical="center"/>
    </xf>
    <xf numFmtId="165" fontId="284" fillId="77" borderId="348" xfId="271" applyNumberFormat="1" applyFont="1" applyFill="1" applyBorder="1" applyAlignment="1">
      <alignment horizontal="center" vertical="center"/>
    </xf>
    <xf numFmtId="165" fontId="284" fillId="71" borderId="348" xfId="0" applyNumberFormat="1" applyFont="1" applyFill="1" applyBorder="1" applyAlignment="1" applyProtection="1">
      <alignment horizontal="center" vertical="center"/>
      <protection locked="0"/>
    </xf>
    <xf numFmtId="2" fontId="284" fillId="71" borderId="28" xfId="0" applyNumberFormat="1" applyFont="1" applyFill="1" applyBorder="1" applyAlignment="1">
      <alignment horizontal="center" vertical="center"/>
    </xf>
    <xf numFmtId="2" fontId="284" fillId="71" borderId="348" xfId="0" applyNumberFormat="1" applyFont="1" applyFill="1" applyBorder="1" applyAlignment="1">
      <alignment horizontal="center" vertical="center"/>
    </xf>
    <xf numFmtId="2" fontId="284" fillId="77" borderId="348" xfId="271" applyNumberFormat="1" applyFont="1" applyFill="1" applyBorder="1" applyAlignment="1">
      <alignment horizontal="center" vertical="center"/>
    </xf>
    <xf numFmtId="2" fontId="284" fillId="71" borderId="348" xfId="0" applyNumberFormat="1" applyFont="1" applyFill="1" applyBorder="1" applyAlignment="1" applyProtection="1">
      <alignment horizontal="center" vertical="center"/>
      <protection locked="0"/>
    </xf>
    <xf numFmtId="2" fontId="284" fillId="71" borderId="313" xfId="0" applyNumberFormat="1" applyFont="1" applyFill="1" applyBorder="1" applyAlignment="1">
      <alignment horizontal="center" vertical="center"/>
    </xf>
    <xf numFmtId="1" fontId="284" fillId="32" borderId="28" xfId="0" applyNumberFormat="1" applyFont="1" applyFill="1" applyBorder="1" applyAlignment="1" applyProtection="1">
      <alignment horizontal="center" vertical="center"/>
      <protection locked="0"/>
    </xf>
    <xf numFmtId="1" fontId="284" fillId="32" borderId="348" xfId="0" applyNumberFormat="1" applyFont="1" applyFill="1" applyBorder="1" applyAlignment="1" applyProtection="1">
      <alignment horizontal="center" vertical="center"/>
      <protection locked="0"/>
    </xf>
    <xf numFmtId="1" fontId="284" fillId="32" borderId="313" xfId="0" applyNumberFormat="1" applyFont="1" applyFill="1" applyBorder="1" applyAlignment="1" applyProtection="1">
      <alignment horizontal="center" vertical="center"/>
      <protection locked="0"/>
    </xf>
    <xf numFmtId="1" fontId="284" fillId="33" borderId="62" xfId="0" applyNumberFormat="1" applyFont="1" applyFill="1" applyBorder="1" applyAlignment="1" applyProtection="1">
      <alignment horizontal="center" vertical="center"/>
      <protection locked="0"/>
    </xf>
    <xf numFmtId="1" fontId="284" fillId="79" borderId="28" xfId="0" applyNumberFormat="1" applyFont="1" applyFill="1" applyBorder="1" applyAlignment="1" applyProtection="1">
      <alignment horizontal="center" vertical="center"/>
      <protection locked="0"/>
    </xf>
    <xf numFmtId="1" fontId="284" fillId="79" borderId="348" xfId="0" applyNumberFormat="1" applyFont="1" applyFill="1" applyBorder="1" applyAlignment="1" applyProtection="1">
      <alignment horizontal="center" vertical="center"/>
      <protection locked="0"/>
    </xf>
    <xf numFmtId="166" fontId="284" fillId="79" borderId="348" xfId="271" applyNumberFormat="1" applyFont="1" applyFill="1" applyBorder="1" applyAlignment="1">
      <alignment horizontal="center" vertical="center"/>
    </xf>
    <xf numFmtId="1" fontId="284" fillId="78" borderId="348" xfId="0" applyNumberFormat="1" applyFont="1" applyFill="1" applyBorder="1" applyAlignment="1" applyProtection="1">
      <alignment horizontal="center" vertical="center"/>
      <protection locked="0"/>
    </xf>
    <xf numFmtId="1" fontId="284" fillId="79" borderId="313" xfId="0" applyNumberFormat="1" applyFont="1" applyFill="1" applyBorder="1" applyAlignment="1" applyProtection="1">
      <alignment horizontal="center" vertical="center"/>
      <protection locked="0"/>
    </xf>
    <xf numFmtId="1" fontId="289" fillId="33" borderId="62" xfId="0" applyNumberFormat="1" applyFont="1" applyFill="1" applyBorder="1" applyAlignment="1" applyProtection="1">
      <alignment horizontal="center" vertical="center"/>
      <protection locked="0"/>
    </xf>
    <xf numFmtId="166" fontId="284" fillId="79" borderId="348" xfId="0" applyNumberFormat="1" applyFont="1" applyFill="1" applyBorder="1" applyAlignment="1">
      <alignment horizontal="center" vertical="center"/>
    </xf>
    <xf numFmtId="1" fontId="284" fillId="79" borderId="197" xfId="0" applyNumberFormat="1" applyFont="1" applyFill="1" applyBorder="1" applyAlignment="1" applyProtection="1">
      <alignment horizontal="center" vertical="center"/>
      <protection locked="0"/>
    </xf>
    <xf numFmtId="1" fontId="284" fillId="79" borderId="354" xfId="0" applyNumberFormat="1" applyFont="1" applyFill="1" applyBorder="1" applyAlignment="1" applyProtection="1">
      <alignment horizontal="center" vertical="center"/>
      <protection locked="0"/>
    </xf>
    <xf numFmtId="166" fontId="284" fillId="79" borderId="354" xfId="271" applyNumberFormat="1" applyFont="1" applyFill="1" applyBorder="1" applyAlignment="1">
      <alignment horizontal="center" vertical="center"/>
    </xf>
    <xf numFmtId="1" fontId="284" fillId="78" borderId="354" xfId="0" applyNumberFormat="1" applyFont="1" applyFill="1" applyBorder="1" applyAlignment="1" applyProtection="1">
      <alignment horizontal="center" vertical="center"/>
      <protection locked="0"/>
    </xf>
    <xf numFmtId="1" fontId="284" fillId="79" borderId="355" xfId="0" applyNumberFormat="1" applyFont="1" applyFill="1" applyBorder="1" applyAlignment="1" applyProtection="1">
      <alignment horizontal="center" vertical="center"/>
      <protection locked="0"/>
    </xf>
    <xf numFmtId="1" fontId="289" fillId="33" borderId="184" xfId="0" applyNumberFormat="1" applyFont="1" applyFill="1" applyBorder="1" applyAlignment="1" applyProtection="1">
      <alignment horizontal="center" vertical="center"/>
      <protection locked="0"/>
    </xf>
    <xf numFmtId="0" fontId="294" fillId="0" borderId="0" xfId="0" applyFont="1"/>
    <xf numFmtId="164" fontId="222" fillId="34" borderId="10" xfId="0" applyNumberFormat="1" applyFont="1" applyFill="1" applyBorder="1"/>
    <xf numFmtId="0" fontId="91" fillId="31" borderId="0" xfId="0" applyNumberFormat="1" applyFont="1" applyFill="1" applyBorder="1" applyAlignment="1">
      <alignment wrapText="1"/>
    </xf>
    <xf numFmtId="1" fontId="203" fillId="39" borderId="358" xfId="0" applyNumberFormat="1" applyFont="1" applyFill="1" applyBorder="1" applyAlignment="1" applyProtection="1">
      <alignment horizontal="center" vertical="center"/>
      <protection locked="0"/>
    </xf>
    <xf numFmtId="1" fontId="203" fillId="39" borderId="359" xfId="0" applyNumberFormat="1" applyFont="1" applyFill="1" applyBorder="1" applyAlignment="1" applyProtection="1">
      <alignment horizontal="center" vertical="center"/>
      <protection locked="0"/>
    </xf>
    <xf numFmtId="1" fontId="203" fillId="39" borderId="357" xfId="0" applyNumberFormat="1" applyFont="1" applyFill="1" applyBorder="1" applyAlignment="1" applyProtection="1">
      <alignment horizontal="center" vertical="center"/>
      <protection locked="0"/>
    </xf>
    <xf numFmtId="1" fontId="203" fillId="39" borderId="356" xfId="0" applyNumberFormat="1" applyFont="1" applyFill="1" applyBorder="1" applyAlignment="1" applyProtection="1">
      <alignment horizontal="center" vertical="center"/>
      <protection locked="0"/>
    </xf>
    <xf numFmtId="1" fontId="284" fillId="79" borderId="358" xfId="0" applyNumberFormat="1" applyFont="1" applyFill="1" applyBorder="1" applyAlignment="1" applyProtection="1">
      <alignment horizontal="center" vertical="center"/>
      <protection locked="0"/>
    </xf>
    <xf numFmtId="166" fontId="284" fillId="79" borderId="358" xfId="271" applyNumberFormat="1" applyFont="1" applyFill="1" applyBorder="1" applyAlignment="1">
      <alignment horizontal="center" vertical="center"/>
    </xf>
    <xf numFmtId="1" fontId="284" fillId="78" borderId="358" xfId="0" applyNumberFormat="1" applyFont="1" applyFill="1" applyBorder="1" applyAlignment="1" applyProtection="1">
      <alignment horizontal="center" vertical="center"/>
      <protection locked="0"/>
    </xf>
    <xf numFmtId="1" fontId="284" fillId="79" borderId="363" xfId="0" applyNumberFormat="1" applyFont="1" applyFill="1" applyBorder="1" applyAlignment="1" applyProtection="1">
      <alignment horizontal="center" vertical="center"/>
      <protection locked="0"/>
    </xf>
    <xf numFmtId="173" fontId="49" fillId="0" borderId="352" xfId="429" applyNumberFormat="1" applyFont="1" applyFill="1" applyBorder="1" applyAlignment="1">
      <alignment vertical="center"/>
    </xf>
    <xf numFmtId="0" fontId="49" fillId="0" borderId="364" xfId="423" applyNumberFormat="1" applyFont="1" applyBorder="1"/>
    <xf numFmtId="1" fontId="49" fillId="0" borderId="365" xfId="428" applyNumberFormat="1" applyFont="1" applyFill="1" applyBorder="1" applyAlignment="1" applyProtection="1">
      <alignment horizontal="center" vertical="center"/>
      <protection locked="0"/>
    </xf>
    <xf numFmtId="1" fontId="49" fillId="0" borderId="366" xfId="428" applyNumberFormat="1" applyFont="1" applyFill="1" applyBorder="1" applyAlignment="1">
      <alignment horizontal="center" vertical="center"/>
    </xf>
    <xf numFmtId="0" fontId="49" fillId="0" borderId="368" xfId="428" applyFont="1" applyFill="1" applyBorder="1" applyAlignment="1">
      <alignment horizontal="center" vertical="center"/>
    </xf>
    <xf numFmtId="0" fontId="49" fillId="0" borderId="369" xfId="428" applyFont="1" applyFill="1" applyBorder="1" applyAlignment="1">
      <alignment horizontal="center" vertical="center"/>
    </xf>
    <xf numFmtId="0" fontId="49" fillId="0" borderId="367" xfId="428" applyFont="1" applyFill="1" applyBorder="1" applyAlignment="1">
      <alignment horizontal="center" vertical="center"/>
    </xf>
    <xf numFmtId="173" fontId="49" fillId="0" borderId="371" xfId="429" applyNumberFormat="1" applyFont="1" applyFill="1" applyBorder="1" applyAlignment="1">
      <alignment vertical="center"/>
    </xf>
    <xf numFmtId="0" fontId="49" fillId="0" borderId="361" xfId="423" applyNumberFormat="1" applyFont="1" applyBorder="1"/>
    <xf numFmtId="1" fontId="49" fillId="0" borderId="372" xfId="428" applyNumberFormat="1" applyFont="1" applyFill="1" applyBorder="1" applyAlignment="1" applyProtection="1">
      <alignment horizontal="center" vertical="center"/>
      <protection locked="0"/>
    </xf>
    <xf numFmtId="1" fontId="49" fillId="0" borderId="373" xfId="428" applyNumberFormat="1" applyFont="1" applyFill="1" applyBorder="1" applyAlignment="1">
      <alignment horizontal="center" vertical="center"/>
    </xf>
    <xf numFmtId="0" fontId="49" fillId="0" borderId="374" xfId="428" applyFont="1" applyFill="1" applyBorder="1" applyAlignment="1">
      <alignment horizontal="center" vertical="center"/>
    </xf>
    <xf numFmtId="0" fontId="49" fillId="0" borderId="375" xfId="428" applyFont="1" applyFill="1" applyBorder="1" applyAlignment="1">
      <alignment horizontal="center" vertical="center"/>
    </xf>
    <xf numFmtId="0" fontId="49" fillId="0" borderId="376" xfId="428" applyFont="1" applyFill="1" applyBorder="1" applyAlignment="1">
      <alignment horizontal="center" vertical="center"/>
    </xf>
    <xf numFmtId="173" fontId="49" fillId="0" borderId="351" xfId="429" applyNumberFormat="1" applyFont="1" applyFill="1" applyBorder="1" applyAlignment="1">
      <alignment vertical="center"/>
    </xf>
    <xf numFmtId="0" fontId="0" fillId="0" borderId="0" xfId="0" applyAlignment="1"/>
    <xf numFmtId="0" fontId="129" fillId="0" borderId="10" xfId="0" applyFont="1" applyBorder="1" applyAlignment="1">
      <alignment horizontal="center" vertical="center"/>
    </xf>
    <xf numFmtId="0" fontId="129" fillId="0" borderId="10" xfId="0" applyFont="1" applyBorder="1" applyAlignment="1">
      <alignment vertical="center"/>
    </xf>
    <xf numFmtId="0" fontId="129" fillId="0" borderId="23" xfId="0" applyFont="1" applyBorder="1" applyAlignment="1">
      <alignment horizontal="center" vertical="center"/>
    </xf>
    <xf numFmtId="0" fontId="129" fillId="0" borderId="43" xfId="0" applyFont="1" applyBorder="1" applyAlignment="1">
      <alignment horizontal="center" vertical="center"/>
    </xf>
    <xf numFmtId="0" fontId="129" fillId="0" borderId="31" xfId="0" applyFont="1" applyBorder="1" applyAlignment="1">
      <alignment horizontal="center" vertical="center"/>
    </xf>
    <xf numFmtId="0" fontId="0" fillId="0" borderId="297" xfId="0" applyBorder="1"/>
    <xf numFmtId="0" fontId="0" fillId="0" borderId="30" xfId="0" applyBorder="1"/>
    <xf numFmtId="0" fontId="129" fillId="0" borderId="15" xfId="0" applyFont="1" applyBorder="1" applyAlignment="1">
      <alignment horizontal="center" vertical="center"/>
    </xf>
    <xf numFmtId="0" fontId="298" fillId="0" borderId="0" xfId="0" applyFont="1" applyAlignment="1">
      <alignment vertical="center"/>
    </xf>
    <xf numFmtId="0" fontId="299" fillId="0" borderId="0" xfId="0" applyFont="1" applyAlignment="1" applyProtection="1">
      <alignment horizontal="center" vertical="top"/>
      <protection locked="0"/>
    </xf>
    <xf numFmtId="0" fontId="299" fillId="0" borderId="0" xfId="0" applyFont="1" applyAlignment="1">
      <alignment horizontal="center" vertical="top"/>
    </xf>
    <xf numFmtId="0" fontId="129" fillId="0" borderId="31" xfId="0" applyFont="1" applyBorder="1" applyAlignment="1">
      <alignment horizontal="center" vertical="top"/>
    </xf>
    <xf numFmtId="0" fontId="0" fillId="0" borderId="0" xfId="0" applyAlignment="1">
      <alignment vertical="top"/>
    </xf>
    <xf numFmtId="0" fontId="118" fillId="0" borderId="0" xfId="0" applyFont="1" applyAlignment="1">
      <alignment horizontal="center" vertical="top"/>
    </xf>
    <xf numFmtId="20" fontId="129" fillId="0" borderId="10" xfId="0" applyNumberFormat="1" applyFont="1" applyBorder="1" applyAlignment="1">
      <alignment horizontal="center" vertical="center"/>
    </xf>
    <xf numFmtId="49" fontId="129" fillId="0" borderId="10" xfId="0" applyNumberFormat="1" applyFont="1" applyBorder="1" applyAlignment="1">
      <alignment horizontal="center" vertical="center"/>
    </xf>
    <xf numFmtId="0" fontId="118" fillId="0" borderId="0" xfId="0" applyFont="1" applyAlignment="1">
      <alignment vertical="top"/>
    </xf>
    <xf numFmtId="0" fontId="129" fillId="0" borderId="10" xfId="0" applyFont="1" applyBorder="1" applyAlignment="1">
      <alignment horizontal="center" vertical="center" wrapText="1"/>
    </xf>
    <xf numFmtId="20" fontId="129" fillId="0" borderId="31" xfId="0" applyNumberFormat="1" applyFont="1" applyBorder="1" applyAlignment="1">
      <alignment horizontal="center" vertical="center"/>
    </xf>
    <xf numFmtId="0" fontId="129" fillId="0" borderId="15" xfId="0" applyFont="1" applyBorder="1" applyAlignment="1">
      <alignment vertical="center"/>
    </xf>
    <xf numFmtId="0" fontId="0" fillId="0" borderId="15" xfId="0" applyBorder="1"/>
    <xf numFmtId="0" fontId="172" fillId="0" borderId="10" xfId="0" applyFont="1" applyBorder="1" applyAlignment="1">
      <alignment horizontal="center" vertical="center"/>
    </xf>
    <xf numFmtId="0" fontId="300" fillId="0" borderId="30" xfId="0" applyFont="1" applyBorder="1" applyAlignment="1">
      <alignment horizontal="center" vertical="center" wrapText="1"/>
    </xf>
    <xf numFmtId="0" fontId="129" fillId="0" borderId="30" xfId="0" applyFont="1" applyBorder="1" applyAlignment="1">
      <alignment horizontal="center" vertical="center" wrapText="1"/>
    </xf>
    <xf numFmtId="0" fontId="172" fillId="0" borderId="31" xfId="0" applyFont="1" applyBorder="1" applyAlignment="1">
      <alignment horizontal="center" vertical="center"/>
    </xf>
    <xf numFmtId="0" fontId="129" fillId="0" borderId="14" xfId="0" applyFont="1" applyBorder="1" applyAlignment="1">
      <alignment horizontal="center" vertical="center"/>
    </xf>
    <xf numFmtId="0" fontId="0" fillId="0" borderId="14" xfId="0" applyBorder="1"/>
    <xf numFmtId="0" fontId="129" fillId="0" borderId="43" xfId="0" applyFont="1" applyBorder="1" applyAlignment="1">
      <alignment horizontal="center" vertical="top"/>
    </xf>
    <xf numFmtId="0" fontId="129" fillId="0" borderId="43" xfId="0" applyFont="1" applyBorder="1" applyAlignment="1">
      <alignment horizontal="center"/>
    </xf>
    <xf numFmtId="0" fontId="300" fillId="0" borderId="41" xfId="0" applyFont="1" applyBorder="1" applyAlignment="1">
      <alignment horizontal="center" vertical="center" wrapText="1"/>
    </xf>
    <xf numFmtId="20" fontId="129" fillId="0" borderId="10" xfId="0" applyNumberFormat="1" applyFont="1" applyBorder="1" applyAlignment="1">
      <alignment horizontal="center" vertical="center" wrapText="1"/>
    </xf>
    <xf numFmtId="20" fontId="129" fillId="0" borderId="15" xfId="0" applyNumberFormat="1" applyFont="1" applyBorder="1" applyAlignment="1">
      <alignment horizontal="center" vertical="center"/>
    </xf>
    <xf numFmtId="0" fontId="0" fillId="0" borderId="23" xfId="0" applyBorder="1"/>
    <xf numFmtId="0" fontId="0" fillId="0" borderId="43" xfId="0" applyBorder="1"/>
    <xf numFmtId="0" fontId="0" fillId="0" borderId="19" xfId="0" applyBorder="1"/>
    <xf numFmtId="1" fontId="284" fillId="71" borderId="383" xfId="0" applyNumberFormat="1" applyFont="1" applyFill="1" applyBorder="1" applyAlignment="1">
      <alignment horizontal="center" vertical="center"/>
    </xf>
    <xf numFmtId="166" fontId="284" fillId="77" borderId="383" xfId="271" applyNumberFormat="1" applyFont="1" applyFill="1" applyBorder="1" applyAlignment="1">
      <alignment horizontal="center" vertical="center"/>
    </xf>
    <xf numFmtId="1" fontId="284" fillId="71" borderId="383" xfId="0" applyNumberFormat="1" applyFont="1" applyFill="1" applyBorder="1" applyAlignment="1" applyProtection="1">
      <alignment horizontal="center" vertical="center"/>
      <protection locked="0"/>
    </xf>
    <xf numFmtId="1" fontId="284" fillId="71" borderId="384" xfId="0" applyNumberFormat="1" applyFont="1" applyFill="1" applyBorder="1" applyAlignment="1">
      <alignment horizontal="center" vertical="center"/>
    </xf>
    <xf numFmtId="1" fontId="49" fillId="92" borderId="386" xfId="0" applyNumberFormat="1" applyFont="1" applyFill="1" applyBorder="1" applyAlignment="1" applyProtection="1">
      <alignment horizontal="center" vertical="center"/>
      <protection locked="0"/>
    </xf>
    <xf numFmtId="1" fontId="49" fillId="92" borderId="385" xfId="0" applyNumberFormat="1" applyFont="1" applyFill="1" applyBorder="1" applyAlignment="1" applyProtection="1">
      <alignment horizontal="center" vertical="center"/>
      <protection locked="0"/>
    </xf>
    <xf numFmtId="1" fontId="49" fillId="42" borderId="385" xfId="0" applyNumberFormat="1" applyFont="1" applyFill="1" applyBorder="1" applyAlignment="1" applyProtection="1">
      <alignment horizontal="center" vertical="center"/>
      <protection locked="0"/>
    </xf>
    <xf numFmtId="1" fontId="49" fillId="92" borderId="383" xfId="0" applyNumberFormat="1" applyFont="1" applyFill="1" applyBorder="1" applyAlignment="1" applyProtection="1">
      <alignment horizontal="center" vertical="center"/>
      <protection locked="0"/>
    </xf>
    <xf numFmtId="1" fontId="49" fillId="92" borderId="387" xfId="0" applyNumberFormat="1" applyFont="1" applyFill="1" applyBorder="1" applyAlignment="1" applyProtection="1">
      <alignment horizontal="center" vertical="center"/>
      <protection locked="0"/>
    </xf>
    <xf numFmtId="1" fontId="203" fillId="71" borderId="387" xfId="0" applyNumberFormat="1" applyFont="1" applyFill="1" applyBorder="1" applyAlignment="1">
      <alignment horizontal="center" vertical="center"/>
    </xf>
    <xf numFmtId="1" fontId="203" fillId="71" borderId="383" xfId="0" applyNumberFormat="1" applyFont="1" applyFill="1" applyBorder="1" applyAlignment="1">
      <alignment horizontal="center" vertical="center"/>
    </xf>
    <xf numFmtId="1" fontId="203" fillId="71" borderId="385" xfId="0" applyNumberFormat="1" applyFont="1" applyFill="1" applyBorder="1" applyAlignment="1">
      <alignment horizontal="center" vertical="center"/>
    </xf>
    <xf numFmtId="1" fontId="284" fillId="71" borderId="389" xfId="0" applyNumberFormat="1" applyFont="1" applyFill="1" applyBorder="1" applyAlignment="1">
      <alignment horizontal="center" vertical="center"/>
    </xf>
    <xf numFmtId="166" fontId="284" fillId="77" borderId="389" xfId="271" applyNumberFormat="1" applyFont="1" applyFill="1" applyBorder="1" applyAlignment="1">
      <alignment horizontal="center" vertical="center"/>
    </xf>
    <xf numFmtId="1" fontId="284" fillId="71" borderId="389" xfId="0" applyNumberFormat="1" applyFont="1" applyFill="1" applyBorder="1" applyAlignment="1" applyProtection="1">
      <alignment horizontal="center" vertical="center"/>
      <protection locked="0"/>
    </xf>
    <xf numFmtId="1" fontId="284" fillId="71" borderId="390" xfId="0" applyNumberFormat="1" applyFont="1" applyFill="1" applyBorder="1" applyAlignment="1">
      <alignment horizontal="center" vertical="center"/>
    </xf>
    <xf numFmtId="1" fontId="49" fillId="92" borderId="392" xfId="0" applyNumberFormat="1" applyFont="1" applyFill="1" applyBorder="1" applyAlignment="1" applyProtection="1">
      <alignment horizontal="center" vertical="center"/>
      <protection locked="0"/>
    </xf>
    <xf numFmtId="1" fontId="49" fillId="92" borderId="391" xfId="0" applyNumberFormat="1" applyFont="1" applyFill="1" applyBorder="1" applyAlignment="1" applyProtection="1">
      <alignment horizontal="center" vertical="center"/>
      <protection locked="0"/>
    </xf>
    <xf numFmtId="1" fontId="49" fillId="42" borderId="391" xfId="0" applyNumberFormat="1" applyFont="1" applyFill="1" applyBorder="1" applyAlignment="1" applyProtection="1">
      <alignment horizontal="center" vertical="center"/>
      <protection locked="0"/>
    </xf>
    <xf numFmtId="1" fontId="49" fillId="92" borderId="389" xfId="0" applyNumberFormat="1" applyFont="1" applyFill="1" applyBorder="1" applyAlignment="1" applyProtection="1">
      <alignment horizontal="center" vertical="center"/>
      <protection locked="0"/>
    </xf>
    <xf numFmtId="1" fontId="49" fillId="92" borderId="393" xfId="0" applyNumberFormat="1" applyFont="1" applyFill="1" applyBorder="1" applyAlignment="1" applyProtection="1">
      <alignment horizontal="center" vertical="center"/>
      <protection locked="0"/>
    </xf>
    <xf numFmtId="1" fontId="203" fillId="71" borderId="389" xfId="0" applyNumberFormat="1" applyFont="1" applyFill="1" applyBorder="1" applyAlignment="1">
      <alignment horizontal="center" vertical="center"/>
    </xf>
    <xf numFmtId="1" fontId="297" fillId="35" borderId="62" xfId="0" applyNumberFormat="1" applyFont="1" applyFill="1" applyBorder="1" applyAlignment="1">
      <alignment horizontal="center" vertical="center"/>
    </xf>
    <xf numFmtId="0" fontId="143" fillId="0" borderId="39" xfId="428" applyFont="1" applyFill="1" applyBorder="1" applyAlignment="1">
      <alignment horizontal="center" vertical="center"/>
    </xf>
    <xf numFmtId="173" fontId="49" fillId="0" borderId="10" xfId="414" applyNumberFormat="1" applyFont="1" applyFill="1" applyBorder="1" applyAlignment="1">
      <alignment vertical="center"/>
    </xf>
    <xf numFmtId="0" fontId="49" fillId="0" borderId="402" xfId="0" applyFont="1" applyFill="1" applyBorder="1" applyAlignment="1">
      <alignment horizontal="center" vertical="center"/>
    </xf>
    <xf numFmtId="0" fontId="49" fillId="0" borderId="402" xfId="428" applyFont="1" applyFill="1" applyBorder="1" applyAlignment="1">
      <alignment horizontal="center" vertical="center"/>
    </xf>
    <xf numFmtId="1" fontId="49" fillId="0" borderId="402" xfId="428" applyNumberFormat="1" applyFont="1" applyFill="1" applyBorder="1" applyAlignment="1">
      <alignment horizontal="center" vertical="center"/>
    </xf>
    <xf numFmtId="1" fontId="49" fillId="0" borderId="402" xfId="428" applyNumberFormat="1" applyFont="1" applyFill="1" applyBorder="1" applyAlignment="1" applyProtection="1">
      <alignment horizontal="center" vertical="center"/>
      <protection locked="0"/>
    </xf>
    <xf numFmtId="0" fontId="49" fillId="0" borderId="403" xfId="0" applyFont="1" applyFill="1" applyBorder="1" applyAlignment="1">
      <alignment horizontal="center" vertical="center"/>
    </xf>
    <xf numFmtId="0" fontId="49" fillId="0" borderId="403" xfId="428" applyFont="1" applyFill="1" applyBorder="1" applyAlignment="1">
      <alignment horizontal="center" vertical="center"/>
    </xf>
    <xf numFmtId="1" fontId="49" fillId="0" borderId="403" xfId="428" applyNumberFormat="1" applyFont="1" applyFill="1" applyBorder="1" applyAlignment="1">
      <alignment horizontal="center" vertical="center"/>
    </xf>
    <xf numFmtId="1" fontId="49" fillId="0" borderId="403" xfId="428" applyNumberFormat="1" applyFont="1" applyFill="1" applyBorder="1" applyAlignment="1" applyProtection="1">
      <alignment horizontal="center" vertical="center"/>
      <protection locked="0"/>
    </xf>
    <xf numFmtId="173" fontId="17" fillId="0" borderId="0" xfId="435" applyNumberFormat="1" applyFont="1" applyBorder="1" applyProtection="1"/>
    <xf numFmtId="1" fontId="303" fillId="0" borderId="0" xfId="0" applyNumberFormat="1" applyFont="1" applyFill="1" applyBorder="1" applyAlignment="1" applyProtection="1">
      <alignment vertical="center"/>
    </xf>
    <xf numFmtId="20" fontId="0" fillId="0" borderId="0" xfId="0" applyNumberFormat="1"/>
    <xf numFmtId="173" fontId="88" fillId="0" borderId="0" xfId="401" applyNumberFormat="1" applyFont="1" applyBorder="1"/>
    <xf numFmtId="0" fontId="281" fillId="0" borderId="0" xfId="0" applyNumberFormat="1" applyFont="1" applyBorder="1" applyAlignment="1">
      <alignment horizontal="center" vertical="center"/>
    </xf>
    <xf numFmtId="0" fontId="104" fillId="0" borderId="0" xfId="0" applyNumberFormat="1" applyFont="1" applyBorder="1" applyAlignment="1">
      <alignment horizontal="center" vertical="center"/>
    </xf>
    <xf numFmtId="173" fontId="0" fillId="0" borderId="0" xfId="401" applyNumberFormat="1" applyFont="1" applyBorder="1"/>
    <xf numFmtId="0" fontId="26" fillId="0" borderId="26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 wrapText="1"/>
    </xf>
    <xf numFmtId="0" fontId="209" fillId="0" borderId="26" xfId="0" applyFont="1" applyBorder="1" applyAlignment="1">
      <alignment horizontal="center" vertical="center"/>
    </xf>
    <xf numFmtId="0" fontId="209" fillId="0" borderId="26" xfId="0" applyFont="1" applyBorder="1" applyAlignment="1">
      <alignment horizontal="center"/>
    </xf>
    <xf numFmtId="0" fontId="166" fillId="0" borderId="10" xfId="0" applyFont="1" applyBorder="1" applyAlignment="1">
      <alignment horizontal="center" vertical="center"/>
    </xf>
    <xf numFmtId="0" fontId="129" fillId="0" borderId="23" xfId="0" applyFont="1" applyBorder="1" applyAlignment="1">
      <alignment horizontal="center" vertical="center" wrapText="1"/>
    </xf>
    <xf numFmtId="0" fontId="91" fillId="0" borderId="0" xfId="0" applyFont="1" applyAlignment="1"/>
    <xf numFmtId="173" fontId="2" fillId="0" borderId="0" xfId="414" applyNumberFormat="1" applyFont="1" applyFill="1" applyBorder="1" applyAlignment="1" applyProtection="1">
      <alignment vertical="center"/>
    </xf>
    <xf numFmtId="0" fontId="56" fillId="0" borderId="0" xfId="434" applyNumberFormat="1" applyFont="1" applyFill="1" applyBorder="1" applyAlignment="1" applyProtection="1">
      <alignment horizontal="left" vertical="center"/>
    </xf>
    <xf numFmtId="15" fontId="56" fillId="0" borderId="0" xfId="434" applyNumberFormat="1" applyFont="1" applyFill="1" applyBorder="1" applyAlignment="1" applyProtection="1">
      <alignment horizontal="left" vertical="center"/>
    </xf>
    <xf numFmtId="164" fontId="56" fillId="0" borderId="0" xfId="434" applyNumberFormat="1" applyFont="1" applyFill="1" applyBorder="1" applyAlignment="1" applyProtection="1">
      <alignment horizontal="left" vertical="center"/>
    </xf>
    <xf numFmtId="14" fontId="54" fillId="0" borderId="0" xfId="434" applyNumberFormat="1" applyFont="1" applyFill="1" applyBorder="1" applyAlignment="1" applyProtection="1">
      <alignment horizontal="left" vertical="center"/>
    </xf>
    <xf numFmtId="187" fontId="254" fillId="0" borderId="0" xfId="434" applyNumberFormat="1" applyFont="1" applyFill="1" applyBorder="1" applyAlignment="1" applyProtection="1">
      <alignment horizontal="left" vertical="center"/>
    </xf>
    <xf numFmtId="164" fontId="55" fillId="0" borderId="0" xfId="434" applyNumberFormat="1" applyFont="1" applyFill="1" applyBorder="1" applyAlignment="1" applyProtection="1">
      <alignment vertical="center"/>
    </xf>
    <xf numFmtId="14" fontId="55" fillId="0" borderId="0" xfId="434" applyNumberFormat="1" applyFont="1" applyFill="1" applyBorder="1" applyAlignment="1" applyProtection="1">
      <alignment vertical="center"/>
    </xf>
    <xf numFmtId="0" fontId="55" fillId="0" borderId="0" xfId="434" applyNumberFormat="1" applyFont="1" applyFill="1" applyBorder="1" applyAlignment="1" applyProtection="1">
      <alignment vertical="center"/>
    </xf>
    <xf numFmtId="0" fontId="56" fillId="0" borderId="0" xfId="434" applyNumberFormat="1" applyFont="1" applyFill="1" applyBorder="1" applyAlignment="1" applyProtection="1">
      <alignment horizontal="center" vertical="center"/>
    </xf>
    <xf numFmtId="167" fontId="56" fillId="0" borderId="0" xfId="414" applyNumberFormat="1" applyFont="1" applyFill="1" applyBorder="1" applyAlignment="1" applyProtection="1">
      <alignment horizontal="left" vertical="center"/>
    </xf>
    <xf numFmtId="173" fontId="91" fillId="0" borderId="0" xfId="414" applyNumberFormat="1" applyFont="1" applyAlignment="1" applyProtection="1"/>
    <xf numFmtId="167" fontId="91" fillId="0" borderId="0" xfId="414" applyNumberFormat="1" applyFont="1" applyBorder="1" applyAlignment="1" applyProtection="1"/>
    <xf numFmtId="173" fontId="91" fillId="0" borderId="0" xfId="414" applyNumberFormat="1" applyFont="1" applyBorder="1" applyAlignment="1" applyProtection="1"/>
    <xf numFmtId="1" fontId="214" fillId="0" borderId="0" xfId="428" applyNumberFormat="1" applyFont="1" applyFill="1" applyBorder="1" applyAlignment="1" applyProtection="1">
      <alignment horizontal="center" vertical="center"/>
    </xf>
    <xf numFmtId="173" fontId="91" fillId="0" borderId="0" xfId="414" applyNumberFormat="1" applyFont="1" applyFill="1" applyBorder="1" applyAlignment="1" applyProtection="1"/>
    <xf numFmtId="0" fontId="91" fillId="0" borderId="0" xfId="414" applyNumberFormat="1" applyFont="1" applyBorder="1" applyAlignment="1" applyProtection="1">
      <alignment horizontal="center"/>
    </xf>
    <xf numFmtId="0" fontId="91" fillId="0" borderId="0" xfId="414" applyNumberFormat="1" applyFont="1" applyFill="1" applyBorder="1" applyAlignment="1" applyProtection="1">
      <alignment horizontal="center"/>
    </xf>
    <xf numFmtId="1" fontId="203" fillId="39" borderId="393" xfId="0" applyNumberFormat="1" applyFont="1" applyFill="1" applyBorder="1" applyAlignment="1" applyProtection="1">
      <alignment horizontal="center" vertical="center"/>
      <protection locked="0"/>
    </xf>
    <xf numFmtId="1" fontId="297" fillId="35" borderId="184" xfId="0" applyNumberFormat="1" applyFont="1" applyFill="1" applyBorder="1" applyAlignment="1" applyProtection="1">
      <alignment horizontal="center" vertical="center"/>
      <protection locked="0"/>
    </xf>
    <xf numFmtId="1" fontId="13" fillId="0" borderId="0" xfId="0" applyNumberFormat="1" applyFont="1" applyFill="1" applyBorder="1" applyAlignment="1">
      <alignment horizontal="center"/>
    </xf>
    <xf numFmtId="0" fontId="296" fillId="0" borderId="13" xfId="0" applyFont="1" applyBorder="1"/>
    <xf numFmtId="1" fontId="284" fillId="79" borderId="408" xfId="0" applyNumberFormat="1" applyFont="1" applyFill="1" applyBorder="1" applyAlignment="1" applyProtection="1">
      <alignment horizontal="center" vertical="center"/>
      <protection locked="0"/>
    </xf>
    <xf numFmtId="166" fontId="284" fillId="79" borderId="408" xfId="271" applyNumberFormat="1" applyFont="1" applyFill="1" applyBorder="1" applyAlignment="1">
      <alignment horizontal="center" vertical="center"/>
    </xf>
    <xf numFmtId="1" fontId="284" fillId="78" borderId="408" xfId="0" applyNumberFormat="1" applyFont="1" applyFill="1" applyBorder="1" applyAlignment="1" applyProtection="1">
      <alignment horizontal="center" vertical="center"/>
      <protection locked="0"/>
    </xf>
    <xf numFmtId="1" fontId="284" fillId="79" borderId="409" xfId="0" applyNumberFormat="1" applyFont="1" applyFill="1" applyBorder="1" applyAlignment="1" applyProtection="1">
      <alignment horizontal="center" vertical="center"/>
      <protection locked="0"/>
    </xf>
    <xf numFmtId="1" fontId="49" fillId="93" borderId="412" xfId="0" applyNumberFormat="1" applyFont="1" applyFill="1" applyBorder="1" applyAlignment="1" applyProtection="1">
      <alignment horizontal="center" vertical="center"/>
      <protection locked="0"/>
    </xf>
    <xf numFmtId="1" fontId="49" fillId="93" borderId="411" xfId="0" applyNumberFormat="1" applyFont="1" applyFill="1" applyBorder="1" applyAlignment="1" applyProtection="1">
      <alignment horizontal="center" vertical="center"/>
      <protection locked="0"/>
    </xf>
    <xf numFmtId="1" fontId="49" fillId="42" borderId="411" xfId="0" applyNumberFormat="1" applyFont="1" applyFill="1" applyBorder="1" applyAlignment="1" applyProtection="1">
      <alignment horizontal="center" vertical="center"/>
      <protection locked="0"/>
    </xf>
    <xf numFmtId="1" fontId="49" fillId="93" borderId="410" xfId="0" applyNumberFormat="1" applyFont="1" applyFill="1" applyBorder="1" applyAlignment="1" applyProtection="1">
      <alignment horizontal="center" vertical="center"/>
      <protection locked="0"/>
    </xf>
    <xf numFmtId="1" fontId="49" fillId="93" borderId="408" xfId="0" applyNumberFormat="1" applyFont="1" applyFill="1" applyBorder="1" applyAlignment="1" applyProtection="1">
      <alignment horizontal="center" vertical="center"/>
      <protection locked="0"/>
    </xf>
    <xf numFmtId="173" fontId="7" fillId="0" borderId="73" xfId="429" applyNumberFormat="1" applyFont="1" applyFill="1" applyBorder="1" applyAlignment="1" applyProtection="1">
      <alignment vertical="center" wrapText="1"/>
    </xf>
    <xf numFmtId="173" fontId="7" fillId="0" borderId="73" xfId="434" applyNumberFormat="1" applyFont="1" applyFill="1" applyBorder="1" applyAlignment="1" applyProtection="1">
      <alignment vertical="center"/>
    </xf>
    <xf numFmtId="173" fontId="7" fillId="0" borderId="73" xfId="434" applyNumberFormat="1" applyFont="1" applyFill="1" applyBorder="1" applyAlignment="1" applyProtection="1">
      <alignment horizontal="center" vertical="center"/>
    </xf>
    <xf numFmtId="173" fontId="7" fillId="0" borderId="58" xfId="429" applyNumberFormat="1" applyFont="1" applyFill="1" applyBorder="1" applyAlignment="1" applyProtection="1">
      <alignment vertical="center"/>
    </xf>
    <xf numFmtId="173" fontId="92" fillId="0" borderId="74" xfId="414" applyNumberFormat="1" applyFont="1" applyBorder="1" applyAlignment="1" applyProtection="1">
      <alignment horizontal="center"/>
    </xf>
    <xf numFmtId="173" fontId="7" fillId="0" borderId="74" xfId="429" applyNumberFormat="1" applyFont="1" applyFill="1" applyBorder="1" applyAlignment="1" applyProtection="1">
      <alignment horizontal="center" vertical="center"/>
    </xf>
    <xf numFmtId="173" fontId="306" fillId="0" borderId="74" xfId="429" applyNumberFormat="1" applyFont="1" applyFill="1" applyBorder="1" applyAlignment="1" applyProtection="1">
      <alignment horizontal="center" vertical="center"/>
    </xf>
    <xf numFmtId="173" fontId="7" fillId="0" borderId="273" xfId="429" applyNumberFormat="1" applyFont="1" applyFill="1" applyBorder="1" applyAlignment="1" applyProtection="1">
      <alignment vertical="center"/>
    </xf>
    <xf numFmtId="173" fontId="7" fillId="0" borderId="65" xfId="429" applyNumberFormat="1" applyFont="1" applyFill="1" applyBorder="1" applyAlignment="1">
      <alignment horizontal="center" vertical="center"/>
    </xf>
    <xf numFmtId="1" fontId="7" fillId="0" borderId="65" xfId="271" applyNumberFormat="1" applyFont="1" applyFill="1" applyBorder="1" applyAlignment="1">
      <alignment horizontal="center" vertical="center"/>
    </xf>
    <xf numFmtId="1" fontId="7" fillId="0" borderId="65" xfId="429" applyNumberFormat="1" applyFont="1" applyFill="1" applyBorder="1" applyAlignment="1" applyProtection="1">
      <alignment horizontal="center" vertical="center"/>
    </xf>
    <xf numFmtId="1" fontId="306" fillId="0" borderId="65" xfId="429" applyNumberFormat="1" applyFont="1" applyFill="1" applyBorder="1" applyAlignment="1" applyProtection="1">
      <alignment horizontal="center" vertical="center"/>
    </xf>
    <xf numFmtId="173" fontId="7" fillId="0" borderId="70" xfId="429" applyNumberFormat="1" applyFont="1" applyFill="1" applyBorder="1" applyAlignment="1">
      <alignment horizontal="center" vertical="center"/>
    </xf>
    <xf numFmtId="0" fontId="92" fillId="0" borderId="70" xfId="414" applyNumberFormat="1" applyFont="1" applyBorder="1" applyAlignment="1">
      <alignment horizontal="center"/>
    </xf>
    <xf numFmtId="1" fontId="7" fillId="0" borderId="75" xfId="429" applyNumberFormat="1" applyFont="1" applyFill="1" applyBorder="1" applyAlignment="1">
      <alignment horizontal="center" vertical="center"/>
    </xf>
    <xf numFmtId="1" fontId="7" fillId="0" borderId="70" xfId="429" applyNumberFormat="1" applyFont="1" applyFill="1" applyBorder="1" applyAlignment="1" applyProtection="1">
      <alignment horizontal="center" vertical="center"/>
    </xf>
    <xf numFmtId="0" fontId="7" fillId="0" borderId="70" xfId="429" applyNumberFormat="1" applyFont="1" applyFill="1" applyBorder="1" applyAlignment="1">
      <alignment horizontal="center" vertical="center"/>
    </xf>
    <xf numFmtId="14" fontId="20" fillId="31" borderId="70" xfId="414" applyNumberFormat="1" applyFont="1" applyFill="1" applyBorder="1" applyAlignment="1">
      <alignment horizontal="left" vertical="center"/>
    </xf>
    <xf numFmtId="1" fontId="7" fillId="0" borderId="75" xfId="437" applyNumberFormat="1" applyFont="1" applyFill="1" applyBorder="1" applyAlignment="1">
      <alignment horizontal="center" vertical="center"/>
    </xf>
    <xf numFmtId="1" fontId="7" fillId="0" borderId="70" xfId="437" applyNumberFormat="1" applyFont="1" applyFill="1" applyBorder="1" applyAlignment="1" applyProtection="1">
      <alignment horizontal="center" vertical="center"/>
    </xf>
    <xf numFmtId="20" fontId="20" fillId="0" borderId="70" xfId="429" applyNumberFormat="1" applyFont="1" applyFill="1" applyBorder="1" applyAlignment="1">
      <alignment vertical="center"/>
    </xf>
    <xf numFmtId="173" fontId="92" fillId="31" borderId="70" xfId="429" applyNumberFormat="1" applyFont="1" applyFill="1" applyBorder="1" applyAlignment="1">
      <alignment horizontal="center" vertical="center"/>
    </xf>
    <xf numFmtId="173" fontId="92" fillId="31" borderId="44" xfId="414" applyNumberFormat="1" applyFont="1" applyFill="1" applyBorder="1" applyAlignment="1">
      <alignment horizontal="center"/>
    </xf>
    <xf numFmtId="1" fontId="92" fillId="31" borderId="75" xfId="437" applyNumberFormat="1" applyFont="1" applyFill="1" applyBorder="1" applyAlignment="1">
      <alignment horizontal="center" vertical="center"/>
    </xf>
    <xf numFmtId="1" fontId="92" fillId="31" borderId="70" xfId="437" applyNumberFormat="1" applyFont="1" applyFill="1" applyBorder="1" applyAlignment="1" applyProtection="1">
      <alignment horizontal="center" vertical="center"/>
    </xf>
    <xf numFmtId="173" fontId="7" fillId="0" borderId="70" xfId="414" applyNumberFormat="1" applyFont="1" applyFill="1" applyBorder="1" applyAlignment="1">
      <alignment horizontal="center" vertical="center"/>
    </xf>
    <xf numFmtId="1" fontId="7" fillId="0" borderId="75" xfId="414" applyNumberFormat="1" applyFont="1" applyFill="1" applyBorder="1" applyAlignment="1">
      <alignment horizontal="center" vertical="center"/>
    </xf>
    <xf numFmtId="1" fontId="7" fillId="0" borderId="70" xfId="414" applyNumberFormat="1" applyFont="1" applyFill="1" applyBorder="1" applyAlignment="1" applyProtection="1">
      <alignment horizontal="center" vertical="center"/>
    </xf>
    <xf numFmtId="1" fontId="92" fillId="0" borderId="70" xfId="414" applyNumberFormat="1" applyFont="1" applyBorder="1" applyAlignment="1">
      <alignment horizontal="center"/>
    </xf>
    <xf numFmtId="1" fontId="7" fillId="0" borderId="70" xfId="429" applyNumberFormat="1" applyFont="1" applyFill="1" applyBorder="1" applyAlignment="1">
      <alignment horizontal="center" vertical="center"/>
    </xf>
    <xf numFmtId="1" fontId="7" fillId="0" borderId="70" xfId="414" applyNumberFormat="1" applyFont="1" applyFill="1" applyBorder="1" applyAlignment="1">
      <alignment horizontal="center" vertical="center"/>
    </xf>
    <xf numFmtId="173" fontId="7" fillId="0" borderId="60" xfId="414" applyNumberFormat="1" applyFont="1" applyFill="1" applyBorder="1" applyAlignment="1">
      <alignment horizontal="center" vertical="center"/>
    </xf>
    <xf numFmtId="1" fontId="7" fillId="0" borderId="15" xfId="429" applyNumberFormat="1" applyFont="1" applyFill="1" applyBorder="1" applyAlignment="1">
      <alignment horizontal="center" vertical="center"/>
    </xf>
    <xf numFmtId="0" fontId="7" fillId="31" borderId="103" xfId="0" applyFont="1" applyFill="1" applyBorder="1" applyAlignment="1">
      <alignment horizontal="center"/>
    </xf>
    <xf numFmtId="173" fontId="7" fillId="0" borderId="71" xfId="429" applyNumberFormat="1" applyFont="1" applyFill="1" applyBorder="1" applyAlignment="1">
      <alignment horizontal="center" vertical="center"/>
    </xf>
    <xf numFmtId="1" fontId="7" fillId="0" borderId="42" xfId="429" applyNumberFormat="1" applyFont="1" applyFill="1" applyBorder="1" applyAlignment="1">
      <alignment horizontal="center" vertical="center"/>
    </xf>
    <xf numFmtId="0" fontId="7" fillId="31" borderId="26" xfId="0" applyFont="1" applyFill="1" applyBorder="1" applyAlignment="1">
      <alignment horizontal="center"/>
    </xf>
    <xf numFmtId="1" fontId="7" fillId="0" borderId="71" xfId="429" applyNumberFormat="1" applyFont="1" applyFill="1" applyBorder="1" applyAlignment="1" applyProtection="1">
      <alignment horizontal="center" vertical="center"/>
    </xf>
    <xf numFmtId="1" fontId="7" fillId="31" borderId="65" xfId="428" applyNumberFormat="1" applyFont="1" applyFill="1" applyBorder="1" applyAlignment="1">
      <alignment horizontal="center" vertical="center"/>
    </xf>
    <xf numFmtId="1" fontId="7" fillId="0" borderId="76" xfId="429" applyNumberFormat="1" applyFont="1" applyFill="1" applyBorder="1" applyAlignment="1" applyProtection="1">
      <alignment horizontal="center" vertical="center"/>
    </xf>
    <xf numFmtId="173" fontId="7" fillId="0" borderId="53" xfId="414" applyNumberFormat="1" applyFont="1" applyFill="1" applyBorder="1" applyAlignment="1">
      <alignment horizontal="center" vertical="center"/>
    </xf>
    <xf numFmtId="1" fontId="7" fillId="0" borderId="71" xfId="414" applyNumberFormat="1" applyFont="1" applyFill="1" applyBorder="1" applyAlignment="1">
      <alignment horizontal="center" vertical="center"/>
    </xf>
    <xf numFmtId="173" fontId="7" fillId="0" borderId="60" xfId="429" applyNumberFormat="1" applyFont="1" applyFill="1" applyBorder="1" applyAlignment="1">
      <alignment horizontal="center" vertical="center"/>
    </xf>
    <xf numFmtId="1" fontId="7" fillId="0" borderId="65" xfId="428" applyNumberFormat="1" applyFont="1" applyFill="1" applyBorder="1" applyAlignment="1" applyProtection="1">
      <alignment horizontal="center" vertical="center"/>
      <protection locked="0"/>
    </xf>
    <xf numFmtId="1" fontId="7" fillId="0" borderId="75" xfId="429" applyNumberFormat="1" applyFont="1" applyFill="1" applyBorder="1" applyAlignment="1" applyProtection="1">
      <alignment horizontal="center" vertical="center"/>
    </xf>
    <xf numFmtId="1" fontId="7" fillId="0" borderId="70" xfId="428" applyNumberFormat="1" applyFont="1" applyFill="1" applyBorder="1" applyAlignment="1" applyProtection="1">
      <alignment horizontal="center" vertical="center"/>
      <protection locked="0"/>
    </xf>
    <xf numFmtId="1" fontId="306" fillId="0" borderId="70" xfId="429" applyNumberFormat="1" applyFont="1" applyFill="1" applyBorder="1" applyAlignment="1" applyProtection="1">
      <alignment horizontal="center" vertical="center"/>
    </xf>
    <xf numFmtId="1" fontId="7" fillId="0" borderId="76" xfId="429" applyNumberFormat="1" applyFont="1" applyFill="1" applyBorder="1" applyAlignment="1">
      <alignment horizontal="center" vertical="center"/>
    </xf>
    <xf numFmtId="1" fontId="7" fillId="0" borderId="71" xfId="428" applyNumberFormat="1" applyFont="1" applyFill="1" applyBorder="1" applyAlignment="1" applyProtection="1">
      <alignment horizontal="center" vertical="center"/>
      <protection locked="0"/>
    </xf>
    <xf numFmtId="1" fontId="306" fillId="0" borderId="71" xfId="429" applyNumberFormat="1" applyFont="1" applyFill="1" applyBorder="1" applyAlignment="1" applyProtection="1">
      <alignment horizontal="center" vertical="center"/>
    </xf>
    <xf numFmtId="173" fontId="7" fillId="0" borderId="74" xfId="429" applyNumberFormat="1" applyFont="1" applyFill="1" applyBorder="1" applyAlignment="1">
      <alignment horizontal="center" vertical="center"/>
    </xf>
    <xf numFmtId="1" fontId="7" fillId="0" borderId="74" xfId="428" applyNumberFormat="1" applyFont="1" applyFill="1" applyBorder="1" applyAlignment="1" applyProtection="1">
      <alignment horizontal="center" vertical="center"/>
      <protection locked="0"/>
    </xf>
    <xf numFmtId="1" fontId="306" fillId="0" borderId="74" xfId="429" applyNumberFormat="1" applyFont="1" applyFill="1" applyBorder="1" applyAlignment="1" applyProtection="1">
      <alignment horizontal="center" vertical="center"/>
    </xf>
    <xf numFmtId="173" fontId="9" fillId="32" borderId="39" xfId="429" applyNumberFormat="1" applyFont="1" applyFill="1" applyBorder="1" applyAlignment="1">
      <alignment horizontal="center" vertical="center"/>
    </xf>
    <xf numFmtId="1" fontId="9" fillId="32" borderId="38" xfId="429" applyNumberFormat="1" applyFont="1" applyFill="1" applyBorder="1" applyAlignment="1">
      <alignment horizontal="center" vertical="center"/>
    </xf>
    <xf numFmtId="1" fontId="9" fillId="32" borderId="37" xfId="429" applyNumberFormat="1" applyFont="1" applyFill="1" applyBorder="1" applyAlignment="1">
      <alignment horizontal="center" vertical="center"/>
    </xf>
    <xf numFmtId="1" fontId="143" fillId="32" borderId="38" xfId="429" applyNumberFormat="1" applyFont="1" applyFill="1" applyBorder="1" applyAlignment="1">
      <alignment horizontal="center" vertical="center"/>
    </xf>
    <xf numFmtId="1" fontId="307" fillId="32" borderId="38" xfId="429" applyNumberFormat="1" applyFont="1" applyFill="1" applyBorder="1" applyAlignment="1">
      <alignment horizontal="center" vertical="center"/>
    </xf>
    <xf numFmtId="173" fontId="7" fillId="0" borderId="65" xfId="429" applyNumberFormat="1" applyFont="1" applyFill="1" applyBorder="1" applyAlignment="1">
      <alignment vertical="center"/>
    </xf>
    <xf numFmtId="173" fontId="7" fillId="0" borderId="54" xfId="429" applyNumberFormat="1" applyFont="1" applyFill="1" applyBorder="1" applyAlignment="1">
      <alignment horizontal="center" vertical="center"/>
    </xf>
    <xf numFmtId="1" fontId="7" fillId="0" borderId="73" xfId="428" applyNumberFormat="1" applyFont="1" applyFill="1" applyBorder="1" applyAlignment="1">
      <alignment horizontal="center" vertical="center"/>
    </xf>
    <xf numFmtId="1" fontId="7" fillId="0" borderId="66" xfId="429" applyNumberFormat="1" applyFont="1" applyFill="1" applyBorder="1" applyAlignment="1" applyProtection="1">
      <alignment horizontal="center" vertical="center"/>
    </xf>
    <xf numFmtId="1" fontId="7" fillId="0" borderId="70" xfId="428" applyNumberFormat="1" applyFont="1" applyFill="1" applyBorder="1" applyAlignment="1">
      <alignment horizontal="center" vertical="center"/>
    </xf>
    <xf numFmtId="20" fontId="20" fillId="0" borderId="70" xfId="429" applyNumberFormat="1" applyFont="1" applyFill="1" applyBorder="1" applyAlignment="1">
      <alignment horizontal="left" vertical="center"/>
    </xf>
    <xf numFmtId="173" fontId="7" fillId="0" borderId="70" xfId="414" applyNumberFormat="1" applyFont="1" applyFill="1" applyBorder="1" applyAlignment="1">
      <alignment vertical="center"/>
    </xf>
    <xf numFmtId="1" fontId="7" fillId="0" borderId="15" xfId="414" applyNumberFormat="1" applyFont="1" applyFill="1" applyBorder="1" applyAlignment="1">
      <alignment horizontal="center" vertical="center"/>
    </xf>
    <xf numFmtId="1" fontId="7" fillId="0" borderId="75" xfId="414" applyNumberFormat="1" applyFont="1" applyFill="1" applyBorder="1" applyAlignment="1" applyProtection="1">
      <alignment horizontal="center" vertical="center"/>
    </xf>
    <xf numFmtId="173" fontId="7" fillId="31" borderId="71" xfId="414" applyNumberFormat="1" applyFont="1" applyFill="1" applyBorder="1" applyAlignment="1">
      <alignment vertical="center"/>
    </xf>
    <xf numFmtId="173" fontId="7" fillId="31" borderId="71" xfId="429" applyNumberFormat="1" applyFont="1" applyFill="1" applyBorder="1" applyAlignment="1">
      <alignment horizontal="center" vertical="center"/>
    </xf>
    <xf numFmtId="0" fontId="7" fillId="31" borderId="53" xfId="414" applyNumberFormat="1" applyFont="1" applyFill="1" applyBorder="1" applyAlignment="1">
      <alignment horizontal="center" vertical="center"/>
    </xf>
    <xf numFmtId="1" fontId="7" fillId="31" borderId="70" xfId="414" applyNumberFormat="1" applyFont="1" applyFill="1" applyBorder="1" applyAlignment="1">
      <alignment horizontal="center" vertical="center"/>
    </xf>
    <xf numFmtId="1" fontId="7" fillId="31" borderId="42" xfId="429" applyNumberFormat="1" applyFont="1" applyFill="1" applyBorder="1" applyAlignment="1">
      <alignment horizontal="center" vertical="center"/>
    </xf>
    <xf numFmtId="1" fontId="7" fillId="31" borderId="76" xfId="429" applyNumberFormat="1" applyFont="1" applyFill="1" applyBorder="1" applyAlignment="1" applyProtection="1">
      <alignment horizontal="center" vertical="center"/>
    </xf>
    <xf numFmtId="20" fontId="20" fillId="31" borderId="71" xfId="429" applyNumberFormat="1" applyFont="1" applyFill="1" applyBorder="1" applyAlignment="1">
      <alignment vertical="center"/>
    </xf>
    <xf numFmtId="173" fontId="7" fillId="0" borderId="71" xfId="414" applyNumberFormat="1" applyFont="1" applyFill="1" applyBorder="1" applyAlignment="1">
      <alignment horizontal="center" vertical="center"/>
    </xf>
    <xf numFmtId="1" fontId="7" fillId="0" borderId="71" xfId="429" applyNumberFormat="1" applyFont="1" applyFill="1" applyBorder="1" applyAlignment="1">
      <alignment horizontal="center" vertical="center"/>
    </xf>
    <xf numFmtId="1" fontId="7" fillId="0" borderId="71" xfId="428" applyNumberFormat="1" applyFont="1" applyFill="1" applyBorder="1" applyAlignment="1">
      <alignment horizontal="center" vertical="center"/>
    </xf>
    <xf numFmtId="173" fontId="9" fillId="32" borderId="39" xfId="414" applyNumberFormat="1" applyFont="1" applyFill="1" applyBorder="1" applyAlignment="1">
      <alignment horizontal="center" vertical="center"/>
    </xf>
    <xf numFmtId="1" fontId="306" fillId="32" borderId="38" xfId="429" applyNumberFormat="1" applyFont="1" applyFill="1" applyBorder="1" applyAlignment="1">
      <alignment horizontal="center" vertical="center"/>
    </xf>
    <xf numFmtId="1" fontId="7" fillId="0" borderId="15" xfId="437" applyNumberFormat="1" applyFont="1" applyFill="1" applyBorder="1" applyAlignment="1">
      <alignment horizontal="center" vertical="center"/>
    </xf>
    <xf numFmtId="173" fontId="9" fillId="0" borderId="70" xfId="429" applyNumberFormat="1" applyFont="1" applyFill="1" applyBorder="1" applyAlignment="1">
      <alignment vertical="center"/>
    </xf>
    <xf numFmtId="173" fontId="7" fillId="0" borderId="53" xfId="429" applyNumberFormat="1" applyFont="1" applyFill="1" applyBorder="1" applyAlignment="1">
      <alignment horizontal="center" vertical="center"/>
    </xf>
    <xf numFmtId="1" fontId="143" fillId="32" borderId="38" xfId="428" applyNumberFormat="1" applyFont="1" applyFill="1" applyBorder="1" applyAlignment="1">
      <alignment horizontal="center" vertical="center"/>
    </xf>
    <xf numFmtId="1" fontId="307" fillId="32" borderId="38" xfId="428" applyNumberFormat="1" applyFont="1" applyFill="1" applyBorder="1" applyAlignment="1">
      <alignment horizontal="center" vertical="center"/>
    </xf>
    <xf numFmtId="1" fontId="7" fillId="0" borderId="65" xfId="429" applyNumberFormat="1" applyFont="1" applyFill="1" applyBorder="1" applyAlignment="1">
      <alignment horizontal="center" vertical="center"/>
    </xf>
    <xf numFmtId="1" fontId="7" fillId="31" borderId="65" xfId="428" applyNumberFormat="1" applyFont="1" applyFill="1" applyBorder="1" applyAlignment="1" applyProtection="1">
      <alignment horizontal="center" vertical="center"/>
    </xf>
    <xf numFmtId="1" fontId="9" fillId="32" borderId="45" xfId="429" applyNumberFormat="1" applyFont="1" applyFill="1" applyBorder="1" applyAlignment="1">
      <alignment horizontal="center" vertical="center"/>
    </xf>
    <xf numFmtId="1" fontId="9" fillId="32" borderId="40" xfId="429" applyNumberFormat="1" applyFont="1" applyFill="1" applyBorder="1" applyAlignment="1">
      <alignment horizontal="center" vertical="center"/>
    </xf>
    <xf numFmtId="1" fontId="143" fillId="32" borderId="118" xfId="429" applyNumberFormat="1" applyFont="1" applyFill="1" applyBorder="1" applyAlignment="1">
      <alignment horizontal="center" vertical="center"/>
    </xf>
    <xf numFmtId="1" fontId="307" fillId="32" borderId="118" xfId="429" applyNumberFormat="1" applyFont="1" applyFill="1" applyBorder="1" applyAlignment="1">
      <alignment horizontal="center" vertical="center"/>
    </xf>
    <xf numFmtId="1" fontId="7" fillId="0" borderId="75" xfId="437" applyNumberFormat="1" applyFont="1" applyFill="1" applyBorder="1" applyAlignment="1" applyProtection="1">
      <alignment horizontal="center" vertical="center"/>
    </xf>
    <xf numFmtId="173" fontId="7" fillId="0" borderId="71" xfId="429" applyNumberFormat="1" applyFont="1" applyFill="1" applyBorder="1" applyAlignment="1">
      <alignment horizontal="left" vertical="center"/>
    </xf>
    <xf numFmtId="173" fontId="7" fillId="31" borderId="70" xfId="429" applyNumberFormat="1" applyFont="1" applyFill="1" applyBorder="1" applyAlignment="1">
      <alignment vertical="center"/>
    </xf>
    <xf numFmtId="173" fontId="7" fillId="0" borderId="44" xfId="429" applyNumberFormat="1" applyFont="1" applyFill="1" applyBorder="1" applyAlignment="1">
      <alignment vertical="center"/>
    </xf>
    <xf numFmtId="173" fontId="7" fillId="0" borderId="44" xfId="429" applyNumberFormat="1" applyFont="1" applyFill="1" applyBorder="1" applyAlignment="1">
      <alignment horizontal="center" vertical="center"/>
    </xf>
    <xf numFmtId="173" fontId="7" fillId="0" borderId="47" xfId="429" applyNumberFormat="1" applyFont="1" applyFill="1" applyBorder="1" applyAlignment="1">
      <alignment horizontal="center" vertical="center"/>
    </xf>
    <xf numFmtId="1" fontId="7" fillId="0" borderId="44" xfId="429" applyNumberFormat="1" applyFont="1" applyFill="1" applyBorder="1" applyAlignment="1">
      <alignment horizontal="center" vertical="center"/>
    </xf>
    <xf numFmtId="1" fontId="7" fillId="0" borderId="0" xfId="429" applyNumberFormat="1" applyFont="1" applyFill="1" applyBorder="1" applyAlignment="1">
      <alignment horizontal="center" vertical="center"/>
    </xf>
    <xf numFmtId="1" fontId="7" fillId="0" borderId="44" xfId="428" applyNumberFormat="1" applyFont="1" applyFill="1" applyBorder="1" applyAlignment="1" applyProtection="1">
      <alignment horizontal="center" vertical="center"/>
      <protection locked="0"/>
    </xf>
    <xf numFmtId="1" fontId="7" fillId="0" borderId="48" xfId="429" applyNumberFormat="1" applyFont="1" applyFill="1" applyBorder="1" applyAlignment="1" applyProtection="1">
      <alignment horizontal="center" vertical="center"/>
    </xf>
    <xf numFmtId="1" fontId="306" fillId="0" borderId="44" xfId="429" applyNumberFormat="1" applyFont="1" applyFill="1" applyBorder="1" applyAlignment="1" applyProtection="1">
      <alignment horizontal="center" vertical="center"/>
    </xf>
    <xf numFmtId="173" fontId="7" fillId="0" borderId="44" xfId="429" applyNumberFormat="1" applyFont="1" applyFill="1" applyBorder="1" applyAlignment="1">
      <alignment horizontal="left" vertical="center"/>
    </xf>
    <xf numFmtId="0" fontId="92" fillId="0" borderId="42" xfId="0" applyFont="1" applyBorder="1" applyAlignment="1">
      <alignment horizontal="center"/>
    </xf>
    <xf numFmtId="173" fontId="7" fillId="0" borderId="75" xfId="429" applyNumberFormat="1" applyFont="1" applyFill="1" applyBorder="1" applyAlignment="1">
      <alignment vertical="center"/>
    </xf>
    <xf numFmtId="173" fontId="9" fillId="32" borderId="39" xfId="429" applyNumberFormat="1" applyFont="1" applyFill="1" applyBorder="1" applyAlignment="1">
      <alignment vertical="center"/>
    </xf>
    <xf numFmtId="1" fontId="306" fillId="32" borderId="38" xfId="429" applyNumberFormat="1" applyFont="1" applyFill="1" applyBorder="1" applyAlignment="1" applyProtection="1">
      <alignment horizontal="center" vertical="center"/>
    </xf>
    <xf numFmtId="1" fontId="7" fillId="0" borderId="66" xfId="414" applyNumberFormat="1" applyFont="1" applyFill="1" applyBorder="1" applyAlignment="1" applyProtection="1">
      <alignment horizontal="center" vertical="center"/>
    </xf>
    <xf numFmtId="0" fontId="7" fillId="0" borderId="74" xfId="429" applyNumberFormat="1" applyFont="1" applyFill="1" applyBorder="1" applyAlignment="1">
      <alignment vertical="center"/>
    </xf>
    <xf numFmtId="173" fontId="9" fillId="0" borderId="74" xfId="429" applyNumberFormat="1" applyFont="1" applyFill="1" applyBorder="1" applyAlignment="1">
      <alignment vertical="center"/>
    </xf>
    <xf numFmtId="173" fontId="9" fillId="0" borderId="86" xfId="429" applyNumberFormat="1" applyFont="1" applyFill="1" applyBorder="1" applyAlignment="1">
      <alignment vertical="center"/>
    </xf>
    <xf numFmtId="1" fontId="9" fillId="0" borderId="74" xfId="429" applyNumberFormat="1" applyFont="1" applyFill="1" applyBorder="1" applyAlignment="1">
      <alignment horizontal="center" vertical="center"/>
    </xf>
    <xf numFmtId="165" fontId="9" fillId="0" borderId="74" xfId="429" applyNumberFormat="1" applyFont="1" applyFill="1" applyBorder="1" applyAlignment="1">
      <alignment vertical="center"/>
    </xf>
    <xf numFmtId="173" fontId="7" fillId="0" borderId="49" xfId="434" applyNumberFormat="1" applyFont="1" applyFill="1" applyBorder="1" applyAlignment="1">
      <alignment vertical="center"/>
    </xf>
    <xf numFmtId="173" fontId="7" fillId="0" borderId="40" xfId="434" applyNumberFormat="1" applyFont="1" applyFill="1" applyBorder="1" applyAlignment="1">
      <alignment horizontal="left" vertical="center"/>
    </xf>
    <xf numFmtId="165" fontId="7" fillId="0" borderId="40" xfId="434" applyNumberFormat="1" applyFont="1" applyFill="1" applyBorder="1" applyAlignment="1">
      <alignment horizontal="right" vertical="center"/>
    </xf>
    <xf numFmtId="173" fontId="7" fillId="0" borderId="40" xfId="434" applyNumberFormat="1" applyFont="1" applyFill="1" applyBorder="1" applyAlignment="1">
      <alignment vertical="center"/>
    </xf>
    <xf numFmtId="1" fontId="7" fillId="0" borderId="40" xfId="434" applyNumberFormat="1" applyFont="1" applyFill="1" applyBorder="1" applyAlignment="1">
      <alignment vertical="center"/>
    </xf>
    <xf numFmtId="1" fontId="7" fillId="0" borderId="40" xfId="434" applyNumberFormat="1" applyFont="1" applyFill="1" applyBorder="1" applyAlignment="1">
      <alignment horizontal="center" vertical="center"/>
    </xf>
    <xf numFmtId="49" fontId="9" fillId="0" borderId="51" xfId="434" applyNumberFormat="1" applyFont="1" applyFill="1" applyBorder="1" applyAlignment="1" applyProtection="1">
      <alignment horizontal="center" vertical="center"/>
      <protection locked="0"/>
    </xf>
    <xf numFmtId="173" fontId="7" fillId="0" borderId="45" xfId="434" applyNumberFormat="1" applyFont="1" applyFill="1" applyBorder="1" applyAlignment="1">
      <alignment vertical="center"/>
    </xf>
    <xf numFmtId="165" fontId="7" fillId="0" borderId="33" xfId="434" applyNumberFormat="1" applyFont="1" applyFill="1" applyBorder="1" applyAlignment="1">
      <alignment horizontal="right" vertical="center"/>
    </xf>
    <xf numFmtId="173" fontId="7" fillId="0" borderId="49" xfId="434" applyNumberFormat="1" applyFont="1" applyFill="1" applyBorder="1" applyAlignment="1">
      <alignment horizontal="left" vertical="center"/>
    </xf>
    <xf numFmtId="173" fontId="7" fillId="0" borderId="40" xfId="434" applyNumberFormat="1" applyFont="1" applyFill="1" applyBorder="1" applyAlignment="1">
      <alignment horizontal="center" vertical="center"/>
    </xf>
    <xf numFmtId="173" fontId="7" fillId="0" borderId="50" xfId="434" applyNumberFormat="1" applyFont="1" applyFill="1" applyBorder="1" applyAlignment="1">
      <alignment vertical="center"/>
    </xf>
    <xf numFmtId="1" fontId="7" fillId="0" borderId="50" xfId="434" applyNumberFormat="1" applyFont="1" applyFill="1" applyBorder="1" applyAlignment="1">
      <alignment vertical="center"/>
    </xf>
    <xf numFmtId="165" fontId="7" fillId="0" borderId="51" xfId="434" applyNumberFormat="1" applyFont="1" applyFill="1" applyBorder="1" applyAlignment="1">
      <alignment horizontal="center" vertical="center"/>
    </xf>
    <xf numFmtId="173" fontId="7" fillId="0" borderId="51" xfId="434" applyNumberFormat="1" applyFont="1" applyFill="1" applyBorder="1" applyAlignment="1">
      <alignment vertical="center"/>
    </xf>
    <xf numFmtId="168" fontId="20" fillId="0" borderId="52" xfId="434" quotePrefix="1" applyNumberFormat="1" applyFont="1" applyFill="1" applyBorder="1" applyAlignment="1">
      <alignment horizontal="left" vertical="center"/>
    </xf>
    <xf numFmtId="173" fontId="7" fillId="0" borderId="46" xfId="434" applyNumberFormat="1" applyFont="1" applyFill="1" applyBorder="1" applyAlignment="1">
      <alignment vertical="center"/>
    </xf>
    <xf numFmtId="1" fontId="7" fillId="0" borderId="53" xfId="434" applyNumberFormat="1" applyFont="1" applyFill="1" applyBorder="1" applyAlignment="1">
      <alignment horizontal="left" vertical="center"/>
    </xf>
    <xf numFmtId="1" fontId="7" fillId="0" borderId="42" xfId="434" applyNumberFormat="1" applyFont="1" applyFill="1" applyBorder="1" applyAlignment="1">
      <alignment horizontal="center" vertical="center"/>
    </xf>
    <xf numFmtId="1" fontId="7" fillId="0" borderId="24" xfId="434" applyNumberFormat="1" applyFont="1" applyFill="1" applyBorder="1" applyAlignment="1">
      <alignment horizontal="center" vertical="center"/>
    </xf>
    <xf numFmtId="1" fontId="7" fillId="0" borderId="41" xfId="434" applyNumberFormat="1" applyFont="1" applyFill="1" applyBorder="1" applyAlignment="1">
      <alignment horizontal="center" vertical="center"/>
    </xf>
    <xf numFmtId="1" fontId="7" fillId="0" borderId="23" xfId="434" applyNumberFormat="1" applyFont="1" applyFill="1" applyBorder="1" applyAlignment="1">
      <alignment horizontal="center" vertical="center"/>
    </xf>
    <xf numFmtId="173" fontId="7" fillId="0" borderId="23" xfId="434" applyNumberFormat="1" applyFont="1" applyFill="1" applyBorder="1" applyAlignment="1">
      <alignment vertical="center"/>
    </xf>
    <xf numFmtId="168" fontId="20" fillId="0" borderId="0" xfId="434" quotePrefix="1" applyNumberFormat="1" applyFont="1" applyFill="1" applyBorder="1" applyAlignment="1">
      <alignment horizontal="left" vertical="center"/>
    </xf>
    <xf numFmtId="173" fontId="7" fillId="0" borderId="48" xfId="434" applyNumberFormat="1" applyFont="1" applyFill="1" applyBorder="1" applyAlignment="1">
      <alignment vertical="center"/>
    </xf>
    <xf numFmtId="1" fontId="7" fillId="0" borderId="54" xfId="434" applyNumberFormat="1" applyFont="1" applyFill="1" applyBorder="1" applyAlignment="1">
      <alignment horizontal="left" vertical="center"/>
    </xf>
    <xf numFmtId="1" fontId="7" fillId="0" borderId="17" xfId="434" applyNumberFormat="1" applyFont="1" applyFill="1" applyBorder="1" applyAlignment="1">
      <alignment horizontal="center" vertical="center"/>
    </xf>
    <xf numFmtId="1" fontId="7" fillId="0" borderId="22" xfId="434" applyNumberFormat="1" applyFont="1" applyFill="1" applyBorder="1" applyAlignment="1">
      <alignment horizontal="center" vertical="center"/>
    </xf>
    <xf numFmtId="1" fontId="7" fillId="0" borderId="18" xfId="434" applyNumberFormat="1" applyFont="1" applyFill="1" applyBorder="1" applyAlignment="1">
      <alignment horizontal="center" vertical="center"/>
    </xf>
    <xf numFmtId="1" fontId="7" fillId="0" borderId="31" xfId="434" applyNumberFormat="1" applyFont="1" applyFill="1" applyBorder="1" applyAlignment="1">
      <alignment horizontal="center" vertical="center"/>
    </xf>
    <xf numFmtId="173" fontId="7" fillId="0" borderId="31" xfId="434" applyNumberFormat="1" applyFont="1" applyFill="1" applyBorder="1" applyAlignment="1">
      <alignment vertical="center"/>
    </xf>
    <xf numFmtId="1" fontId="7" fillId="0" borderId="55" xfId="434" applyNumberFormat="1" applyFont="1" applyFill="1" applyBorder="1" applyAlignment="1" applyProtection="1">
      <alignment horizontal="left" vertical="center"/>
    </xf>
    <xf numFmtId="1" fontId="7" fillId="0" borderId="56" xfId="434" applyNumberFormat="1" applyFont="1" applyFill="1" applyBorder="1" applyAlignment="1" applyProtection="1">
      <alignment horizontal="center" vertical="center"/>
    </xf>
    <xf numFmtId="1" fontId="7" fillId="0" borderId="34" xfId="434" applyNumberFormat="1" applyFont="1" applyFill="1" applyBorder="1" applyAlignment="1" applyProtection="1">
      <alignment horizontal="center" vertical="center"/>
    </xf>
    <xf numFmtId="1" fontId="7" fillId="0" borderId="35" xfId="434" applyNumberFormat="1" applyFont="1" applyFill="1" applyBorder="1" applyAlignment="1" applyProtection="1">
      <alignment horizontal="center" vertical="center"/>
    </xf>
    <xf numFmtId="173" fontId="7" fillId="0" borderId="35" xfId="434" applyNumberFormat="1" applyFont="1" applyFill="1" applyBorder="1" applyAlignment="1" applyProtection="1">
      <alignment vertical="center"/>
    </xf>
    <xf numFmtId="168" fontId="20" fillId="0" borderId="56" xfId="434" quotePrefix="1" applyNumberFormat="1" applyFont="1" applyFill="1" applyBorder="1" applyAlignment="1" applyProtection="1">
      <alignment horizontal="left" vertical="center"/>
    </xf>
    <xf numFmtId="173" fontId="7" fillId="0" borderId="276" xfId="434" applyNumberFormat="1" applyFont="1" applyFill="1" applyBorder="1" applyAlignment="1" applyProtection="1">
      <alignment vertical="center"/>
    </xf>
    <xf numFmtId="49" fontId="7" fillId="0" borderId="32" xfId="434" applyNumberFormat="1" applyFont="1" applyFill="1" applyBorder="1" applyAlignment="1" applyProtection="1">
      <alignment horizontal="left" vertical="center"/>
    </xf>
    <xf numFmtId="49" fontId="7" fillId="0" borderId="0" xfId="434" applyNumberFormat="1" applyFont="1" applyFill="1" applyBorder="1" applyAlignment="1" applyProtection="1">
      <alignment horizontal="left" vertical="center"/>
    </xf>
    <xf numFmtId="49" fontId="7" fillId="0" borderId="0" xfId="434" applyNumberFormat="1" applyFont="1" applyFill="1" applyBorder="1" applyAlignment="1" applyProtection="1">
      <alignment vertical="center"/>
    </xf>
    <xf numFmtId="1" fontId="7" fillId="0" borderId="0" xfId="434" applyNumberFormat="1" applyFont="1" applyFill="1" applyBorder="1" applyAlignment="1" applyProtection="1">
      <alignment vertical="center"/>
    </xf>
    <xf numFmtId="168" fontId="20" fillId="0" borderId="0" xfId="434" quotePrefix="1" applyNumberFormat="1" applyFont="1" applyFill="1" applyBorder="1" applyAlignment="1" applyProtection="1">
      <alignment horizontal="left" vertical="center"/>
    </xf>
    <xf numFmtId="49" fontId="7" fillId="0" borderId="46" xfId="434" applyNumberFormat="1" applyFont="1" applyFill="1" applyBorder="1" applyAlignment="1" applyProtection="1">
      <alignment vertical="center"/>
    </xf>
    <xf numFmtId="0" fontId="53" fillId="34" borderId="72" xfId="0" applyFont="1" applyFill="1" applyBorder="1" applyAlignment="1">
      <alignment horizontal="center" vertical="center"/>
    </xf>
    <xf numFmtId="0" fontId="55" fillId="38" borderId="26" xfId="0" quotePrefix="1" applyFont="1" applyFill="1" applyBorder="1" applyAlignment="1">
      <alignment vertical="center"/>
    </xf>
    <xf numFmtId="0" fontId="55" fillId="91" borderId="26" xfId="0" quotePrefix="1" applyFont="1" applyFill="1" applyBorder="1" applyAlignment="1">
      <alignment vertical="center"/>
    </xf>
    <xf numFmtId="0" fontId="55" fillId="80" borderId="26" xfId="0" quotePrefix="1" applyFont="1" applyFill="1" applyBorder="1" applyAlignment="1">
      <alignment vertical="center"/>
    </xf>
    <xf numFmtId="0" fontId="55" fillId="68" borderId="26" xfId="0" quotePrefix="1" applyFont="1" applyFill="1" applyBorder="1" applyAlignment="1">
      <alignment vertical="center"/>
    </xf>
    <xf numFmtId="0" fontId="55" fillId="49" borderId="26" xfId="0" applyFont="1" applyFill="1" applyBorder="1" applyAlignment="1">
      <alignment vertical="center"/>
    </xf>
    <xf numFmtId="0" fontId="55" fillId="38" borderId="26" xfId="0" applyFont="1" applyFill="1" applyBorder="1" applyAlignment="1">
      <alignment vertical="center"/>
    </xf>
    <xf numFmtId="0" fontId="55" fillId="91" borderId="26" xfId="0" applyFont="1" applyFill="1" applyBorder="1" applyAlignment="1">
      <alignment vertical="center"/>
    </xf>
    <xf numFmtId="0" fontId="55" fillId="49" borderId="26" xfId="0" quotePrefix="1" applyFont="1" applyFill="1" applyBorder="1" applyAlignment="1">
      <alignment vertical="center"/>
    </xf>
    <xf numFmtId="0" fontId="55" fillId="80" borderId="26" xfId="0" applyFont="1" applyFill="1" applyBorder="1" applyAlignment="1">
      <alignment vertical="center"/>
    </xf>
    <xf numFmtId="0" fontId="55" fillId="68" borderId="26" xfId="0" applyFont="1" applyFill="1" applyBorder="1" applyAlignment="1">
      <alignment vertical="center"/>
    </xf>
    <xf numFmtId="0" fontId="0" fillId="80" borderId="0" xfId="0" applyFont="1" applyFill="1" applyAlignment="1">
      <alignment vertical="center"/>
    </xf>
    <xf numFmtId="0" fontId="55" fillId="91" borderId="26" xfId="0" applyNumberFormat="1" applyFont="1" applyFill="1" applyBorder="1" applyAlignment="1">
      <alignment vertical="center"/>
    </xf>
    <xf numFmtId="0" fontId="55" fillId="80" borderId="26" xfId="0" applyNumberFormat="1" applyFont="1" applyFill="1" applyBorder="1" applyAlignment="1">
      <alignment vertical="center"/>
    </xf>
    <xf numFmtId="0" fontId="55" fillId="68" borderId="26" xfId="0" applyNumberFormat="1" applyFont="1" applyFill="1" applyBorder="1" applyAlignment="1">
      <alignment vertical="center"/>
    </xf>
    <xf numFmtId="0" fontId="55" fillId="49" borderId="26" xfId="0" applyNumberFormat="1" applyFont="1" applyFill="1" applyBorder="1" applyAlignment="1">
      <alignment vertical="center"/>
    </xf>
    <xf numFmtId="0" fontId="55" fillId="38" borderId="26" xfId="0" applyNumberFormat="1" applyFont="1" applyFill="1" applyBorder="1" applyAlignment="1">
      <alignment vertical="center"/>
    </xf>
    <xf numFmtId="0" fontId="55" fillId="80" borderId="90" xfId="0" applyFont="1" applyFill="1" applyBorder="1" applyAlignment="1">
      <alignment vertical="center"/>
    </xf>
    <xf numFmtId="0" fontId="56" fillId="82" borderId="89" xfId="0" quotePrefix="1" applyFont="1" applyFill="1" applyBorder="1" applyAlignment="1">
      <alignment vertical="center"/>
    </xf>
    <xf numFmtId="0" fontId="310" fillId="45" borderId="257" xfId="0" applyNumberFormat="1" applyFont="1" applyFill="1" applyBorder="1" applyAlignment="1">
      <alignment vertical="center"/>
    </xf>
    <xf numFmtId="0" fontId="0" fillId="0" borderId="0" xfId="0" applyFont="1"/>
    <xf numFmtId="1" fontId="7" fillId="0" borderId="44" xfId="428" applyNumberFormat="1" applyFont="1" applyFill="1" applyBorder="1" applyAlignment="1">
      <alignment horizontal="center" vertical="center"/>
    </xf>
    <xf numFmtId="0" fontId="7" fillId="0" borderId="58" xfId="428" applyFont="1" applyFill="1" applyBorder="1" applyAlignment="1">
      <alignment horizontal="center" vertical="center"/>
    </xf>
    <xf numFmtId="0" fontId="7" fillId="0" borderId="44" xfId="428" applyFont="1" applyFill="1" applyBorder="1" applyAlignment="1">
      <alignment horizontal="center" vertical="center"/>
    </xf>
    <xf numFmtId="0" fontId="221" fillId="0" borderId="44" xfId="0" applyFont="1" applyBorder="1" applyAlignment="1">
      <alignment horizontal="center"/>
    </xf>
    <xf numFmtId="166" fontId="313" fillId="54" borderId="72" xfId="271" applyNumberFormat="1" applyFont="1" applyFill="1" applyBorder="1" applyAlignment="1">
      <alignment vertical="center"/>
    </xf>
    <xf numFmtId="0" fontId="280" fillId="0" borderId="0" xfId="0" applyFont="1" applyBorder="1"/>
    <xf numFmtId="1" fontId="284" fillId="71" borderId="410" xfId="0" applyNumberFormat="1" applyFont="1" applyFill="1" applyBorder="1" applyAlignment="1">
      <alignment horizontal="center" vertical="center"/>
    </xf>
    <xf numFmtId="166" fontId="284" fillId="77" borderId="410" xfId="271" applyNumberFormat="1" applyFont="1" applyFill="1" applyBorder="1" applyAlignment="1">
      <alignment horizontal="center" vertical="center"/>
    </xf>
    <xf numFmtId="1" fontId="284" fillId="71" borderId="410" xfId="0" applyNumberFormat="1" applyFont="1" applyFill="1" applyBorder="1" applyAlignment="1" applyProtection="1">
      <alignment horizontal="center" vertical="center"/>
      <protection locked="0"/>
    </xf>
    <xf numFmtId="1" fontId="284" fillId="71" borderId="421" xfId="0" applyNumberFormat="1" applyFont="1" applyFill="1" applyBorder="1" applyAlignment="1">
      <alignment horizontal="center" vertical="center"/>
    </xf>
    <xf numFmtId="1" fontId="49" fillId="89" borderId="422" xfId="0" applyNumberFormat="1" applyFont="1" applyFill="1" applyBorder="1" applyAlignment="1" applyProtection="1">
      <alignment horizontal="center" vertical="center"/>
      <protection locked="0"/>
    </xf>
    <xf numFmtId="1" fontId="49" fillId="89" borderId="420" xfId="0" applyNumberFormat="1" applyFont="1" applyFill="1" applyBorder="1" applyAlignment="1" applyProtection="1">
      <alignment horizontal="center" vertical="center"/>
      <protection locked="0"/>
    </xf>
    <xf numFmtId="1" fontId="49" fillId="42" borderId="420" xfId="0" applyNumberFormat="1" applyFont="1" applyFill="1" applyBorder="1" applyAlignment="1" applyProtection="1">
      <alignment horizontal="center" vertical="center"/>
      <protection locked="0"/>
    </xf>
    <xf numFmtId="1" fontId="49" fillId="89" borderId="410" xfId="0" applyNumberFormat="1" applyFont="1" applyFill="1" applyBorder="1" applyAlignment="1" applyProtection="1">
      <alignment horizontal="center" vertical="center"/>
      <protection locked="0"/>
    </xf>
    <xf numFmtId="1" fontId="49" fillId="89" borderId="408" xfId="0" applyNumberFormat="1" applyFont="1" applyFill="1" applyBorder="1" applyAlignment="1" applyProtection="1">
      <alignment horizontal="center" vertical="center"/>
      <protection locked="0"/>
    </xf>
    <xf numFmtId="1" fontId="316" fillId="68" borderId="424" xfId="0" applyNumberFormat="1" applyFont="1" applyFill="1" applyBorder="1" applyAlignment="1" applyProtection="1">
      <alignment horizontal="center" vertical="center"/>
      <protection locked="0"/>
    </xf>
    <xf numFmtId="165" fontId="320" fillId="68" borderId="424" xfId="0" applyNumberFormat="1" applyFont="1" applyFill="1" applyBorder="1" applyAlignment="1" applyProtection="1">
      <alignment horizontal="center" vertical="center"/>
      <protection locked="0"/>
    </xf>
    <xf numFmtId="165" fontId="319" fillId="82" borderId="423" xfId="0" applyNumberFormat="1" applyFont="1" applyFill="1" applyBorder="1" applyAlignment="1" applyProtection="1">
      <alignment horizontal="center" vertical="center"/>
      <protection locked="0"/>
    </xf>
    <xf numFmtId="1" fontId="320" fillId="68" borderId="424" xfId="0" applyNumberFormat="1" applyFont="1" applyFill="1" applyBorder="1" applyAlignment="1" applyProtection="1">
      <alignment horizontal="center" vertical="center"/>
      <protection locked="0"/>
    </xf>
    <xf numFmtId="20" fontId="322" fillId="26" borderId="12" xfId="0" applyNumberFormat="1" applyFont="1" applyFill="1" applyBorder="1" applyAlignment="1">
      <alignment horizontal="center" vertical="center"/>
    </xf>
    <xf numFmtId="1" fontId="323" fillId="89" borderId="425" xfId="0" applyNumberFormat="1" applyFont="1" applyFill="1" applyBorder="1" applyAlignment="1" applyProtection="1">
      <alignment horizontal="center" vertical="center"/>
      <protection locked="0"/>
    </xf>
    <xf numFmtId="1" fontId="25" fillId="68" borderId="405" xfId="0" applyNumberFormat="1" applyFont="1" applyFill="1" applyBorder="1" applyAlignment="1" applyProtection="1">
      <alignment horizontal="center" vertical="center"/>
      <protection locked="0"/>
    </xf>
    <xf numFmtId="1" fontId="316" fillId="58" borderId="431" xfId="0" applyNumberFormat="1" applyFont="1" applyFill="1" applyBorder="1" applyAlignment="1" applyProtection="1">
      <alignment horizontal="center" vertical="center"/>
      <protection locked="0"/>
    </xf>
    <xf numFmtId="1" fontId="45" fillId="68" borderId="424" xfId="0" applyNumberFormat="1" applyFont="1" applyFill="1" applyBorder="1" applyAlignment="1" applyProtection="1">
      <alignment horizontal="center" vertical="center"/>
      <protection locked="0"/>
    </xf>
    <xf numFmtId="0" fontId="312" fillId="0" borderId="0" xfId="0" applyFont="1" applyBorder="1"/>
    <xf numFmtId="49" fontId="9" fillId="26" borderId="10" xfId="0" applyNumberFormat="1" applyFont="1" applyFill="1" applyBorder="1" applyAlignment="1">
      <alignment horizontal="center" vertical="center"/>
    </xf>
    <xf numFmtId="43" fontId="9" fillId="26" borderId="10" xfId="271" applyFont="1" applyFill="1" applyBorder="1" applyAlignment="1">
      <alignment horizontal="left" vertical="center"/>
    </xf>
    <xf numFmtId="43" fontId="9" fillId="26" borderId="14" xfId="271" applyFont="1" applyFill="1" applyBorder="1" applyAlignment="1">
      <alignment horizontal="left" vertical="center"/>
    </xf>
    <xf numFmtId="43" fontId="9" fillId="26" borderId="22" xfId="271" applyFont="1" applyFill="1" applyBorder="1" applyAlignment="1">
      <alignment horizontal="left" vertical="center"/>
    </xf>
    <xf numFmtId="49" fontId="9" fillId="32" borderId="103" xfId="0" applyNumberFormat="1" applyFont="1" applyFill="1" applyBorder="1" applyAlignment="1">
      <alignment horizontal="left" vertical="center"/>
    </xf>
    <xf numFmtId="49" fontId="9" fillId="32" borderId="31" xfId="0" applyNumberFormat="1" applyFont="1" applyFill="1" applyBorder="1" applyAlignment="1">
      <alignment horizontal="left" vertical="center"/>
    </xf>
    <xf numFmtId="49" fontId="9" fillId="32" borderId="200" xfId="0" applyNumberFormat="1" applyFont="1" applyFill="1" applyBorder="1" applyAlignment="1">
      <alignment horizontal="center" vertical="center"/>
    </xf>
    <xf numFmtId="49" fontId="9" fillId="32" borderId="200" xfId="0" applyNumberFormat="1" applyFont="1" applyFill="1" applyBorder="1" applyAlignment="1">
      <alignment horizontal="center" vertical="center" wrapText="1"/>
    </xf>
    <xf numFmtId="49" fontId="9" fillId="32" borderId="57" xfId="0" applyNumberFormat="1" applyFont="1" applyFill="1" applyBorder="1" applyAlignment="1">
      <alignment horizontal="left" vertical="center"/>
    </xf>
    <xf numFmtId="20" fontId="9" fillId="25" borderId="26" xfId="0" applyNumberFormat="1" applyFont="1" applyFill="1" applyBorder="1" applyAlignment="1">
      <alignment horizontal="center" vertical="center"/>
    </xf>
    <xf numFmtId="0" fontId="209" fillId="0" borderId="0" xfId="0" applyFont="1" applyAlignment="1">
      <alignment vertical="center"/>
    </xf>
    <xf numFmtId="0" fontId="326" fillId="0" borderId="0" xfId="0" applyFont="1" applyBorder="1" applyAlignment="1">
      <alignment vertical="center"/>
    </xf>
    <xf numFmtId="0" fontId="209" fillId="0" borderId="0" xfId="0" applyFont="1" applyBorder="1" applyAlignment="1">
      <alignment vertical="center"/>
    </xf>
    <xf numFmtId="20" fontId="209" fillId="0" borderId="0" xfId="0" applyNumberFormat="1" applyFont="1" applyAlignment="1">
      <alignment vertical="center"/>
    </xf>
    <xf numFmtId="0" fontId="209" fillId="34" borderId="0" xfId="0" applyFont="1" applyFill="1" applyAlignment="1">
      <alignment vertical="center"/>
    </xf>
    <xf numFmtId="1" fontId="209" fillId="0" borderId="0" xfId="0" applyNumberFormat="1" applyFont="1" applyAlignment="1">
      <alignment vertical="center"/>
    </xf>
    <xf numFmtId="0" fontId="280" fillId="0" borderId="0" xfId="0" applyFont="1" applyBorder="1" applyAlignment="1">
      <alignment vertical="center"/>
    </xf>
    <xf numFmtId="0" fontId="329" fillId="0" borderId="0" xfId="0" applyFont="1"/>
    <xf numFmtId="171" fontId="327" fillId="0" borderId="0" xfId="401" applyFont="1" applyFill="1" applyBorder="1" applyAlignment="1">
      <alignment horizontal="center" vertical="center" wrapText="1"/>
    </xf>
    <xf numFmtId="0" fontId="328" fillId="0" borderId="0" xfId="0" applyFont="1" applyFill="1" applyBorder="1" applyAlignment="1">
      <alignment horizontal="center" vertical="center" wrapText="1"/>
    </xf>
    <xf numFmtId="0" fontId="327" fillId="0" borderId="0" xfId="0" applyFont="1" applyFill="1" applyBorder="1" applyAlignment="1">
      <alignment horizontal="center" vertical="center" wrapText="1"/>
    </xf>
    <xf numFmtId="171" fontId="327" fillId="0" borderId="0" xfId="414" applyFont="1" applyFill="1" applyBorder="1" applyAlignment="1">
      <alignment horizontal="center" vertical="center" wrapText="1"/>
    </xf>
    <xf numFmtId="171" fontId="328" fillId="0" borderId="0" xfId="414" applyFont="1" applyFill="1" applyBorder="1" applyAlignment="1">
      <alignment horizontal="center" vertical="center" wrapText="1"/>
    </xf>
    <xf numFmtId="0" fontId="269" fillId="88" borderId="0" xfId="0" applyFont="1" applyFill="1" applyBorder="1" applyAlignment="1"/>
    <xf numFmtId="0" fontId="269" fillId="88" borderId="0" xfId="0" applyNumberFormat="1" applyFont="1" applyFill="1" applyBorder="1" applyAlignment="1"/>
    <xf numFmtId="0" fontId="91" fillId="88" borderId="0" xfId="0" applyFont="1" applyFill="1"/>
    <xf numFmtId="0" fontId="280" fillId="0" borderId="0" xfId="0" applyFont="1" applyFill="1" applyBorder="1"/>
    <xf numFmtId="0" fontId="280" fillId="0" borderId="0" xfId="0" applyFont="1" applyBorder="1" applyAlignment="1"/>
    <xf numFmtId="0" fontId="91" fillId="31" borderId="0" xfId="0" applyFont="1" applyFill="1" applyAlignment="1">
      <alignment horizontal="center"/>
    </xf>
    <xf numFmtId="0" fontId="91" fillId="0" borderId="0" xfId="0" applyNumberFormat="1" applyFont="1" applyBorder="1" applyAlignment="1">
      <alignment horizontal="center"/>
    </xf>
    <xf numFmtId="0" fontId="91" fillId="31" borderId="0" xfId="0" applyFont="1" applyFill="1" applyBorder="1" applyAlignment="1">
      <alignment horizontal="center"/>
    </xf>
    <xf numFmtId="20" fontId="119" fillId="34" borderId="10" xfId="0" applyNumberFormat="1" applyFont="1" applyFill="1" applyBorder="1" applyAlignment="1">
      <alignment horizontal="center"/>
    </xf>
    <xf numFmtId="20" fontId="119" fillId="88" borderId="10" xfId="0" applyNumberFormat="1" applyFont="1" applyFill="1" applyBorder="1" applyAlignment="1">
      <alignment horizontal="center"/>
    </xf>
    <xf numFmtId="165" fontId="316" fillId="58" borderId="431" xfId="0" applyNumberFormat="1" applyFont="1" applyFill="1" applyBorder="1" applyAlignment="1">
      <alignment horizontal="center" vertical="center"/>
    </xf>
    <xf numFmtId="165" fontId="319" fillId="82" borderId="445" xfId="0" applyNumberFormat="1" applyFont="1" applyFill="1" applyBorder="1" applyAlignment="1" applyProtection="1">
      <alignment horizontal="center" vertical="center"/>
      <protection locked="0"/>
    </xf>
    <xf numFmtId="165" fontId="317" fillId="72" borderId="25" xfId="0" applyNumberFormat="1" applyFont="1" applyFill="1" applyBorder="1" applyAlignment="1">
      <alignment horizontal="center" vertical="center"/>
    </xf>
    <xf numFmtId="1" fontId="316" fillId="58" borderId="25" xfId="0" applyNumberFormat="1" applyFont="1" applyFill="1" applyBorder="1" applyAlignment="1" applyProtection="1">
      <alignment horizontal="center" vertical="center"/>
      <protection locked="0"/>
    </xf>
    <xf numFmtId="165" fontId="316" fillId="58" borderId="25" xfId="0" applyNumberFormat="1" applyFont="1" applyFill="1" applyBorder="1" applyAlignment="1" applyProtection="1">
      <alignment horizontal="center" vertical="center"/>
      <protection locked="0"/>
    </xf>
    <xf numFmtId="165" fontId="316" fillId="88" borderId="25" xfId="0" applyNumberFormat="1" applyFont="1" applyFill="1" applyBorder="1" applyAlignment="1">
      <alignment horizontal="center" vertical="center"/>
    </xf>
    <xf numFmtId="1" fontId="316" fillId="88" borderId="25" xfId="0" applyNumberFormat="1" applyFont="1" applyFill="1" applyBorder="1" applyAlignment="1" applyProtection="1">
      <alignment horizontal="center" vertical="center"/>
      <protection locked="0"/>
    </xf>
    <xf numFmtId="165" fontId="316" fillId="88" borderId="25" xfId="0" applyNumberFormat="1" applyFont="1" applyFill="1" applyBorder="1" applyAlignment="1" applyProtection="1">
      <alignment horizontal="center" vertical="center"/>
      <protection locked="0"/>
    </xf>
    <xf numFmtId="1" fontId="317" fillId="46" borderId="25" xfId="0" applyNumberFormat="1" applyFont="1" applyFill="1" applyBorder="1" applyAlignment="1" applyProtection="1">
      <alignment horizontal="center" vertical="center"/>
      <protection locked="0"/>
    </xf>
    <xf numFmtId="165" fontId="316" fillId="89" borderId="25" xfId="0" applyNumberFormat="1" applyFont="1" applyFill="1" applyBorder="1" applyAlignment="1">
      <alignment horizontal="center" vertical="center"/>
    </xf>
    <xf numFmtId="165" fontId="316" fillId="68" borderId="25" xfId="0" applyNumberFormat="1" applyFont="1" applyFill="1" applyBorder="1" applyAlignment="1">
      <alignment horizontal="center" vertical="center"/>
    </xf>
    <xf numFmtId="1" fontId="316" fillId="68" borderId="25" xfId="0" applyNumberFormat="1" applyFont="1" applyFill="1" applyBorder="1" applyAlignment="1" applyProtection="1">
      <alignment horizontal="center" vertical="center"/>
      <protection locked="0"/>
    </xf>
    <xf numFmtId="165" fontId="316" fillId="68" borderId="25" xfId="0" applyNumberFormat="1" applyFont="1" applyFill="1" applyBorder="1" applyAlignment="1" applyProtection="1">
      <alignment horizontal="center" vertical="center"/>
      <protection locked="0"/>
    </xf>
    <xf numFmtId="1" fontId="316" fillId="68" borderId="25" xfId="0" applyNumberFormat="1" applyFont="1" applyFill="1" applyBorder="1" applyAlignment="1" applyProtection="1">
      <alignment horizontal="center" vertical="center" wrapText="1"/>
      <protection locked="0"/>
    </xf>
    <xf numFmtId="1" fontId="45" fillId="88" borderId="25" xfId="0" applyNumberFormat="1" applyFont="1" applyFill="1" applyBorder="1" applyAlignment="1" applyProtection="1">
      <alignment horizontal="center" vertical="center"/>
      <protection locked="0"/>
    </xf>
    <xf numFmtId="0" fontId="333" fillId="0" borderId="0" xfId="0" applyFont="1" applyBorder="1"/>
    <xf numFmtId="164" fontId="334" fillId="35" borderId="0" xfId="0" applyNumberFormat="1" applyFont="1" applyFill="1" applyAlignment="1">
      <alignment horizontal="center" vertical="center"/>
    </xf>
    <xf numFmtId="1" fontId="284" fillId="71" borderId="300" xfId="0" applyNumberFormat="1" applyFont="1" applyFill="1" applyBorder="1" applyAlignment="1">
      <alignment horizontal="center" vertical="center"/>
    </xf>
    <xf numFmtId="166" fontId="284" fillId="77" borderId="300" xfId="271" applyNumberFormat="1" applyFont="1" applyFill="1" applyBorder="1" applyAlignment="1">
      <alignment horizontal="center" vertical="center"/>
    </xf>
    <xf numFmtId="1" fontId="284" fillId="71" borderId="300" xfId="0" applyNumberFormat="1" applyFont="1" applyFill="1" applyBorder="1" applyAlignment="1" applyProtection="1">
      <alignment horizontal="center" vertical="center"/>
      <protection locked="0"/>
    </xf>
    <xf numFmtId="1" fontId="284" fillId="71" borderId="446" xfId="0" applyNumberFormat="1" applyFont="1" applyFill="1" applyBorder="1" applyAlignment="1">
      <alignment horizontal="center" vertical="center"/>
    </xf>
    <xf numFmtId="1" fontId="49" fillId="89" borderId="447" xfId="0" applyNumberFormat="1" applyFont="1" applyFill="1" applyBorder="1" applyAlignment="1" applyProtection="1">
      <alignment horizontal="center" vertical="center"/>
      <protection locked="0"/>
    </xf>
    <xf numFmtId="1" fontId="49" fillId="89" borderId="431" xfId="0" applyNumberFormat="1" applyFont="1" applyFill="1" applyBorder="1" applyAlignment="1" applyProtection="1">
      <alignment horizontal="center" vertical="center"/>
      <protection locked="0"/>
    </xf>
    <xf numFmtId="1" fontId="49" fillId="42" borderId="431" xfId="0" applyNumberFormat="1" applyFont="1" applyFill="1" applyBorder="1" applyAlignment="1" applyProtection="1">
      <alignment horizontal="center" vertical="center"/>
      <protection locked="0"/>
    </xf>
    <xf numFmtId="1" fontId="49" fillId="89" borderId="300" xfId="0" applyNumberFormat="1" applyFont="1" applyFill="1" applyBorder="1" applyAlignment="1" applyProtection="1">
      <alignment horizontal="center" vertical="center"/>
      <protection locked="0"/>
    </xf>
    <xf numFmtId="1" fontId="203" fillId="71" borderId="408" xfId="0" applyNumberFormat="1" applyFont="1" applyFill="1" applyBorder="1" applyAlignment="1">
      <alignment horizontal="center" vertical="center"/>
    </xf>
    <xf numFmtId="1" fontId="203" fillId="71" borderId="300" xfId="0" applyNumberFormat="1" applyFont="1" applyFill="1" applyBorder="1" applyAlignment="1">
      <alignment horizontal="center" vertical="center"/>
    </xf>
    <xf numFmtId="1" fontId="316" fillId="87" borderId="425" xfId="0" applyNumberFormat="1" applyFont="1" applyFill="1" applyBorder="1" applyAlignment="1" applyProtection="1">
      <alignment horizontal="center" vertical="center"/>
      <protection locked="0"/>
    </xf>
    <xf numFmtId="165" fontId="325" fillId="72" borderId="25" xfId="0" applyNumberFormat="1" applyFont="1" applyFill="1" applyBorder="1" applyAlignment="1">
      <alignment horizontal="center" vertical="center"/>
    </xf>
    <xf numFmtId="1" fontId="45" fillId="34" borderId="25" xfId="0" applyNumberFormat="1" applyFont="1" applyFill="1" applyBorder="1" applyAlignment="1" applyProtection="1">
      <alignment horizontal="center" vertical="center"/>
      <protection locked="0"/>
    </xf>
    <xf numFmtId="0" fontId="171" fillId="0" borderId="0" xfId="0" applyFont="1" applyFill="1" applyBorder="1" applyAlignment="1">
      <alignment horizontal="center" vertical="center" wrapText="1"/>
    </xf>
    <xf numFmtId="0" fontId="92" fillId="0" borderId="0" xfId="0" applyFont="1" applyFill="1" applyBorder="1" applyAlignment="1">
      <alignment horizontal="center" vertical="center" wrapText="1"/>
    </xf>
    <xf numFmtId="171" fontId="171" fillId="0" borderId="0" xfId="401" applyFont="1" applyFill="1" applyBorder="1" applyAlignment="1">
      <alignment horizontal="center" vertical="center" wrapText="1"/>
    </xf>
    <xf numFmtId="171" fontId="92" fillId="0" borderId="0" xfId="401" applyFont="1" applyFill="1" applyBorder="1" applyAlignment="1">
      <alignment horizontal="center" vertical="center" wrapText="1"/>
    </xf>
    <xf numFmtId="1" fontId="316" fillId="89" borderId="425" xfId="0" applyNumberFormat="1" applyFont="1" applyFill="1" applyBorder="1" applyAlignment="1" applyProtection="1">
      <alignment horizontal="center" vertical="center"/>
      <protection locked="0"/>
    </xf>
    <xf numFmtId="165" fontId="317" fillId="68" borderId="25" xfId="0" applyNumberFormat="1" applyFont="1" applyFill="1" applyBorder="1" applyAlignment="1">
      <alignment horizontal="center" vertical="center"/>
    </xf>
    <xf numFmtId="1" fontId="320" fillId="68" borderId="25" xfId="0" applyNumberFormat="1" applyFont="1" applyFill="1" applyBorder="1" applyAlignment="1" applyProtection="1">
      <alignment horizontal="center" vertical="center"/>
      <protection locked="0"/>
    </xf>
    <xf numFmtId="165" fontId="323" fillId="68" borderId="25" xfId="0" applyNumberFormat="1" applyFont="1" applyFill="1" applyBorder="1" applyAlignment="1">
      <alignment horizontal="center" vertical="center"/>
    </xf>
    <xf numFmtId="1" fontId="323" fillId="68" borderId="25" xfId="0" applyNumberFormat="1" applyFont="1" applyFill="1" applyBorder="1" applyAlignment="1" applyProtection="1">
      <alignment horizontal="center" vertical="center"/>
      <protection locked="0"/>
    </xf>
    <xf numFmtId="1" fontId="323" fillId="68" borderId="25" xfId="0" applyNumberFormat="1" applyFont="1" applyFill="1" applyBorder="1" applyAlignment="1" applyProtection="1">
      <alignment horizontal="center" vertical="center" wrapText="1"/>
      <protection locked="0"/>
    </xf>
    <xf numFmtId="165" fontId="323" fillId="68" borderId="25" xfId="0" applyNumberFormat="1" applyFont="1" applyFill="1" applyBorder="1" applyAlignment="1" applyProtection="1">
      <alignment horizontal="center" vertical="center"/>
      <protection locked="0"/>
    </xf>
    <xf numFmtId="165" fontId="45" fillId="88" borderId="25" xfId="0" applyNumberFormat="1" applyFont="1" applyFill="1" applyBorder="1" applyAlignment="1">
      <alignment horizontal="center" vertical="center"/>
    </xf>
    <xf numFmtId="165" fontId="45" fillId="88" borderId="25" xfId="0" applyNumberFormat="1" applyFont="1" applyFill="1" applyBorder="1" applyAlignment="1" applyProtection="1">
      <alignment horizontal="center" vertical="center"/>
      <protection locked="0"/>
    </xf>
    <xf numFmtId="0" fontId="49" fillId="0" borderId="426" xfId="423" applyNumberFormat="1" applyFont="1" applyBorder="1"/>
    <xf numFmtId="20" fontId="321" fillId="26" borderId="426" xfId="0" applyNumberFormat="1" applyFont="1" applyFill="1" applyBorder="1" applyAlignment="1">
      <alignment horizontal="center" vertical="center"/>
    </xf>
    <xf numFmtId="20" fontId="321" fillId="26" borderId="407" xfId="0" applyNumberFormat="1" applyFont="1" applyFill="1" applyBorder="1" applyAlignment="1">
      <alignment horizontal="center" vertical="center"/>
    </xf>
    <xf numFmtId="165" fontId="45" fillId="68" borderId="25" xfId="0" applyNumberFormat="1" applyFont="1" applyFill="1" applyBorder="1" applyAlignment="1">
      <alignment horizontal="center" vertical="center"/>
    </xf>
    <xf numFmtId="1" fontId="45" fillId="68" borderId="25" xfId="0" applyNumberFormat="1" applyFont="1" applyFill="1" applyBorder="1" applyAlignment="1" applyProtection="1">
      <alignment horizontal="center" vertical="center"/>
      <protection locked="0"/>
    </xf>
    <xf numFmtId="1" fontId="45" fillId="68" borderId="25" xfId="0" applyNumberFormat="1" applyFont="1" applyFill="1" applyBorder="1" applyAlignment="1" applyProtection="1">
      <alignment horizontal="center" vertical="center" wrapText="1"/>
      <protection locked="0"/>
    </xf>
    <xf numFmtId="165" fontId="45" fillId="68" borderId="25" xfId="0" applyNumberFormat="1" applyFont="1" applyFill="1" applyBorder="1" applyAlignment="1" applyProtection="1">
      <alignment horizontal="center" vertical="center"/>
      <protection locked="0"/>
    </xf>
    <xf numFmtId="173" fontId="7" fillId="0" borderId="73" xfId="434" applyNumberFormat="1" applyFont="1" applyFill="1" applyBorder="1" applyAlignment="1" applyProtection="1">
      <alignment horizontal="center" vertical="center" wrapText="1"/>
    </xf>
    <xf numFmtId="173" fontId="7" fillId="0" borderId="73" xfId="434" applyNumberFormat="1" applyFont="1" applyFill="1" applyBorder="1" applyAlignment="1" applyProtection="1">
      <alignment vertical="center" wrapText="1"/>
    </xf>
    <xf numFmtId="1" fontId="316" fillId="86" borderId="47" xfId="0" applyNumberFormat="1" applyFont="1" applyFill="1" applyBorder="1" applyAlignment="1" applyProtection="1">
      <alignment horizontal="center" vertical="center"/>
      <protection locked="0"/>
    </xf>
    <xf numFmtId="1" fontId="316" fillId="86" borderId="97" xfId="0" applyNumberFormat="1" applyFont="1" applyFill="1" applyBorder="1" applyAlignment="1">
      <alignment horizontal="center" vertical="center"/>
    </xf>
    <xf numFmtId="165" fontId="316" fillId="86" borderId="97" xfId="0" applyNumberFormat="1" applyFont="1" applyFill="1" applyBorder="1" applyAlignment="1">
      <alignment horizontal="center" vertical="center"/>
    </xf>
    <xf numFmtId="0" fontId="316" fillId="86" borderId="97" xfId="0" applyFont="1" applyFill="1" applyBorder="1" applyAlignment="1">
      <alignment horizontal="center" vertical="center"/>
    </xf>
    <xf numFmtId="1" fontId="316" fillId="58" borderId="97" xfId="0" applyNumberFormat="1" applyFont="1" applyFill="1" applyBorder="1" applyAlignment="1" applyProtection="1">
      <alignment horizontal="center" vertical="center"/>
      <protection locked="0"/>
    </xf>
    <xf numFmtId="0" fontId="314" fillId="0" borderId="0" xfId="0" applyFont="1" applyBorder="1"/>
    <xf numFmtId="0" fontId="314" fillId="0" borderId="0" xfId="0" applyFont="1" applyFill="1" applyBorder="1"/>
    <xf numFmtId="171" fontId="328" fillId="0" borderId="0" xfId="401" applyFont="1" applyFill="1" applyBorder="1" applyAlignment="1">
      <alignment horizontal="center" vertical="center" wrapText="1"/>
    </xf>
    <xf numFmtId="173" fontId="88" fillId="0" borderId="0" xfId="401" applyNumberFormat="1" applyFont="1" applyFill="1" applyBorder="1"/>
    <xf numFmtId="165" fontId="97" fillId="0" borderId="0" xfId="0" applyNumberFormat="1" applyFont="1"/>
    <xf numFmtId="1" fontId="284" fillId="79" borderId="448" xfId="0" applyNumberFormat="1" applyFont="1" applyFill="1" applyBorder="1" applyAlignment="1" applyProtection="1">
      <alignment horizontal="center" vertical="center"/>
      <protection locked="0"/>
    </xf>
    <xf numFmtId="1" fontId="203" fillId="39" borderId="408" xfId="0" applyNumberFormat="1" applyFont="1" applyFill="1" applyBorder="1" applyAlignment="1" applyProtection="1">
      <alignment horizontal="center" vertical="center"/>
      <protection locked="0"/>
    </xf>
    <xf numFmtId="1" fontId="305" fillId="35" borderId="184" xfId="0" applyNumberFormat="1" applyFont="1" applyFill="1" applyBorder="1" applyAlignment="1" applyProtection="1">
      <alignment horizontal="center" vertical="center"/>
      <protection locked="0"/>
    </xf>
    <xf numFmtId="1" fontId="203" fillId="39" borderId="431" xfId="0" applyNumberFormat="1" applyFont="1" applyFill="1" applyBorder="1" applyAlignment="1" applyProtection="1">
      <alignment horizontal="center" vertical="center"/>
      <protection locked="0"/>
    </xf>
    <xf numFmtId="1" fontId="37" fillId="74" borderId="62" xfId="0" applyNumberFormat="1" applyFont="1" applyFill="1" applyBorder="1" applyAlignment="1" applyProtection="1">
      <alignment horizontal="center" vertical="center"/>
      <protection locked="0"/>
    </xf>
    <xf numFmtId="1" fontId="37" fillId="42" borderId="62" xfId="0" applyNumberFormat="1" applyFont="1" applyFill="1" applyBorder="1" applyAlignment="1" applyProtection="1">
      <alignment horizontal="center" vertical="center"/>
      <protection locked="0"/>
    </xf>
    <xf numFmtId="1" fontId="37" fillId="74" borderId="0" xfId="0" applyNumberFormat="1" applyFont="1" applyFill="1" applyAlignment="1" applyProtection="1">
      <alignment horizontal="center" vertical="center"/>
      <protection locked="0"/>
    </xf>
    <xf numFmtId="165" fontId="45" fillId="58" borderId="25" xfId="0" applyNumberFormat="1" applyFont="1" applyFill="1" applyBorder="1" applyAlignment="1">
      <alignment horizontal="center" vertical="center"/>
    </xf>
    <xf numFmtId="1" fontId="45" fillId="58" borderId="25" xfId="0" applyNumberFormat="1" applyFont="1" applyFill="1" applyBorder="1" applyAlignment="1" applyProtection="1">
      <alignment horizontal="center" vertical="center"/>
      <protection locked="0"/>
    </xf>
    <xf numFmtId="1" fontId="45" fillId="58" borderId="25" xfId="0" applyNumberFormat="1" applyFont="1" applyFill="1" applyBorder="1" applyAlignment="1" applyProtection="1">
      <alignment horizontal="center" vertical="center" wrapText="1"/>
      <protection locked="0"/>
    </xf>
    <xf numFmtId="1" fontId="45" fillId="58" borderId="431" xfId="0" applyNumberFormat="1" applyFont="1" applyFill="1" applyBorder="1" applyAlignment="1" applyProtection="1">
      <alignment horizontal="center" vertical="center"/>
      <protection locked="0"/>
    </xf>
    <xf numFmtId="165" fontId="45" fillId="58" borderId="25" xfId="0" applyNumberFormat="1" applyFont="1" applyFill="1" applyBorder="1" applyAlignment="1" applyProtection="1">
      <alignment horizontal="center" vertical="center"/>
      <protection locked="0"/>
    </xf>
    <xf numFmtId="1" fontId="325" fillId="46" borderId="25" xfId="0" applyNumberFormat="1" applyFont="1" applyFill="1" applyBorder="1" applyAlignment="1" applyProtection="1">
      <alignment horizontal="center" vertical="center"/>
      <protection locked="0"/>
    </xf>
    <xf numFmtId="165" fontId="339" fillId="82" borderId="445" xfId="0" applyNumberFormat="1" applyFont="1" applyFill="1" applyBorder="1" applyAlignment="1" applyProtection="1">
      <alignment horizontal="center" vertical="center"/>
      <protection locked="0"/>
    </xf>
    <xf numFmtId="165" fontId="45" fillId="58" borderId="431" xfId="0" applyNumberFormat="1" applyFont="1" applyFill="1" applyBorder="1" applyAlignment="1">
      <alignment horizontal="center" vertical="center"/>
    </xf>
    <xf numFmtId="165" fontId="45" fillId="58" borderId="431" xfId="0" applyNumberFormat="1" applyFont="1" applyFill="1" applyBorder="1" applyAlignment="1" applyProtection="1">
      <alignment horizontal="center" vertical="center"/>
      <protection locked="0"/>
    </xf>
    <xf numFmtId="165" fontId="203" fillId="73" borderId="72" xfId="0" applyNumberFormat="1" applyFont="1" applyFill="1" applyBorder="1" applyAlignment="1">
      <alignment horizontal="center" vertical="center"/>
    </xf>
    <xf numFmtId="1" fontId="203" fillId="73" borderId="222" xfId="0" applyNumberFormat="1" applyFont="1" applyFill="1" applyBorder="1" applyAlignment="1" applyProtection="1">
      <alignment horizontal="center" vertical="center"/>
      <protection locked="0"/>
    </xf>
    <xf numFmtId="1" fontId="203" fillId="73" borderId="62" xfId="0" applyNumberFormat="1" applyFont="1" applyFill="1" applyBorder="1" applyAlignment="1" applyProtection="1">
      <alignment horizontal="center" vertical="center"/>
      <protection locked="0"/>
    </xf>
    <xf numFmtId="1" fontId="340" fillId="73" borderId="62" xfId="0" applyNumberFormat="1" applyFont="1" applyFill="1" applyBorder="1" applyAlignment="1" applyProtection="1">
      <alignment horizontal="center" vertical="center"/>
      <protection locked="0"/>
    </xf>
    <xf numFmtId="165" fontId="203" fillId="73" borderId="184" xfId="0" applyNumberFormat="1" applyFont="1" applyFill="1" applyBorder="1" applyAlignment="1" applyProtection="1">
      <alignment horizontal="center" vertical="center"/>
      <protection locked="0"/>
    </xf>
    <xf numFmtId="1" fontId="203" fillId="73" borderId="79" xfId="0" applyNumberFormat="1" applyFont="1" applyFill="1" applyBorder="1" applyAlignment="1" applyProtection="1">
      <alignment horizontal="center" vertical="center"/>
      <protection locked="0"/>
    </xf>
    <xf numFmtId="173" fontId="88" fillId="0" borderId="0" xfId="401" applyNumberFormat="1" applyFont="1" applyFill="1"/>
    <xf numFmtId="0" fontId="100" fillId="0" borderId="0" xfId="414" applyNumberFormat="1" applyFont="1" applyFill="1" applyBorder="1" applyAlignment="1">
      <alignment horizontal="center"/>
    </xf>
    <xf numFmtId="0" fontId="342" fillId="0" borderId="0" xfId="0" applyFont="1"/>
    <xf numFmtId="0" fontId="343" fillId="0" borderId="17" xfId="0" applyFont="1" applyFill="1" applyBorder="1" applyAlignment="1">
      <alignment vertical="center"/>
    </xf>
    <xf numFmtId="20" fontId="344" fillId="34" borderId="63" xfId="0" applyNumberFormat="1" applyFont="1" applyFill="1" applyBorder="1" applyAlignment="1">
      <alignment horizontal="center" vertical="center"/>
    </xf>
    <xf numFmtId="1" fontId="2" fillId="90" borderId="57" xfId="0" applyNumberFormat="1" applyFont="1" applyFill="1" applyBorder="1" applyAlignment="1" applyProtection="1">
      <alignment horizontal="center" vertical="center"/>
      <protection locked="0"/>
    </xf>
    <xf numFmtId="1" fontId="2" fillId="92" borderId="27" xfId="0" applyNumberFormat="1" applyFont="1" applyFill="1" applyBorder="1" applyAlignment="1" applyProtection="1">
      <alignment horizontal="center" vertical="center"/>
      <protection locked="0"/>
    </xf>
    <xf numFmtId="1" fontId="2" fillId="93" borderId="27" xfId="0" applyNumberFormat="1" applyFont="1" applyFill="1" applyBorder="1" applyAlignment="1" applyProtection="1">
      <alignment horizontal="center" vertical="center"/>
      <protection locked="0"/>
    </xf>
    <xf numFmtId="1" fontId="2" fillId="89" borderId="27" xfId="0" applyNumberFormat="1" applyFont="1" applyFill="1" applyBorder="1" applyAlignment="1" applyProtection="1">
      <alignment horizontal="center" vertical="center"/>
      <protection locked="0"/>
    </xf>
    <xf numFmtId="1" fontId="2" fillId="94" borderId="266" xfId="0" applyNumberFormat="1" applyFont="1" applyFill="1" applyBorder="1" applyAlignment="1">
      <alignment horizontal="center" vertical="center"/>
    </xf>
    <xf numFmtId="1" fontId="2" fillId="94" borderId="183" xfId="0" applyNumberFormat="1" applyFont="1" applyFill="1" applyBorder="1" applyAlignment="1">
      <alignment horizontal="center" vertical="center"/>
    </xf>
    <xf numFmtId="1" fontId="2" fillId="90" borderId="59" xfId="0" applyNumberFormat="1" applyFont="1" applyFill="1" applyBorder="1" applyAlignment="1" applyProtection="1">
      <alignment horizontal="center" vertical="center"/>
      <protection locked="0"/>
    </xf>
    <xf numFmtId="1" fontId="2" fillId="94" borderId="266" xfId="0" applyNumberFormat="1" applyFont="1" applyFill="1" applyBorder="1" applyAlignment="1" applyProtection="1">
      <alignment horizontal="center" vertical="center"/>
    </xf>
    <xf numFmtId="1" fontId="2" fillId="92" borderId="266" xfId="0" applyNumberFormat="1" applyFont="1" applyFill="1" applyBorder="1" applyAlignment="1" applyProtection="1">
      <alignment horizontal="center" vertical="center"/>
      <protection locked="0"/>
    </xf>
    <xf numFmtId="1" fontId="2" fillId="92" borderId="61" xfId="0" applyNumberFormat="1" applyFont="1" applyFill="1" applyBorder="1" applyAlignment="1" applyProtection="1">
      <alignment horizontal="center" vertical="center"/>
      <protection locked="0"/>
    </xf>
    <xf numFmtId="1" fontId="2" fillId="92" borderId="27" xfId="0" quotePrefix="1" applyNumberFormat="1" applyFont="1" applyFill="1" applyBorder="1" applyAlignment="1" applyProtection="1">
      <alignment horizontal="center" vertical="center"/>
      <protection locked="0"/>
    </xf>
    <xf numFmtId="1" fontId="2" fillId="93" borderId="59" xfId="0" applyNumberFormat="1" applyFont="1" applyFill="1" applyBorder="1" applyAlignment="1" applyProtection="1">
      <alignment horizontal="center" vertical="center"/>
      <protection locked="0"/>
    </xf>
    <xf numFmtId="1" fontId="2" fillId="94" borderId="27" xfId="0" quotePrefix="1" applyNumberFormat="1" applyFont="1" applyFill="1" applyBorder="1" applyAlignment="1" applyProtection="1">
      <alignment horizontal="center" vertical="center"/>
    </xf>
    <xf numFmtId="1" fontId="2" fillId="94" borderId="27" xfId="0" applyNumberFormat="1" applyFont="1" applyFill="1" applyBorder="1" applyAlignment="1" applyProtection="1">
      <alignment horizontal="center" vertical="center"/>
    </xf>
    <xf numFmtId="1" fontId="2" fillId="89" borderId="61" xfId="0" applyNumberFormat="1" applyFont="1" applyFill="1" applyBorder="1" applyAlignment="1" applyProtection="1">
      <alignment horizontal="center" vertical="center"/>
      <protection locked="0"/>
    </xf>
    <xf numFmtId="1" fontId="2" fillId="94" borderId="27" xfId="0" applyNumberFormat="1" applyFont="1" applyFill="1" applyBorder="1" applyAlignment="1">
      <alignment horizontal="center" vertical="center"/>
    </xf>
    <xf numFmtId="1" fontId="2" fillId="93" borderId="59" xfId="0" quotePrefix="1" applyNumberFormat="1" applyFont="1" applyFill="1" applyBorder="1" applyAlignment="1" applyProtection="1">
      <alignment horizontal="center" vertical="center"/>
      <protection locked="0"/>
    </xf>
    <xf numFmtId="1" fontId="2" fillId="93" borderId="183" xfId="0" quotePrefix="1" applyNumberFormat="1" applyFont="1" applyFill="1" applyBorder="1" applyAlignment="1" applyProtection="1">
      <alignment horizontal="center" vertical="center"/>
      <protection locked="0"/>
    </xf>
    <xf numFmtId="1" fontId="8" fillId="82" borderId="63" xfId="0" applyNumberFormat="1" applyFont="1" applyFill="1" applyBorder="1" applyAlignment="1" applyProtection="1">
      <alignment horizontal="center" vertical="center"/>
    </xf>
    <xf numFmtId="1" fontId="2" fillId="89" borderId="27" xfId="0" quotePrefix="1" applyNumberFormat="1" applyFont="1" applyFill="1" applyBorder="1" applyAlignment="1" applyProtection="1">
      <alignment horizontal="center" vertical="center"/>
      <protection locked="0"/>
    </xf>
    <xf numFmtId="1" fontId="2" fillId="94" borderId="266" xfId="0" quotePrefix="1" applyNumberFormat="1" applyFont="1" applyFill="1" applyBorder="1" applyAlignment="1">
      <alignment horizontal="center" vertical="center"/>
    </xf>
    <xf numFmtId="1" fontId="2" fillId="94" borderId="183" xfId="0" quotePrefix="1" applyNumberFormat="1" applyFont="1" applyFill="1" applyBorder="1" applyAlignment="1">
      <alignment horizontal="center" vertical="center"/>
    </xf>
    <xf numFmtId="1" fontId="2" fillId="90" borderId="59" xfId="0" quotePrefix="1" applyNumberFormat="1" applyFont="1" applyFill="1" applyBorder="1" applyAlignment="1" applyProtection="1">
      <alignment horizontal="center" vertical="center"/>
      <protection locked="0"/>
    </xf>
    <xf numFmtId="1" fontId="2" fillId="93" borderId="27" xfId="0" quotePrefix="1" applyNumberFormat="1" applyFont="1" applyFill="1" applyBorder="1" applyAlignment="1" applyProtection="1">
      <alignment horizontal="center" vertical="center"/>
      <protection locked="0"/>
    </xf>
    <xf numFmtId="1" fontId="2" fillId="94" borderId="183" xfId="0" applyNumberFormat="1" applyFont="1" applyFill="1" applyBorder="1" applyAlignment="1" applyProtection="1">
      <alignment horizontal="center" vertical="center"/>
    </xf>
    <xf numFmtId="1" fontId="2" fillId="94" borderId="27" xfId="0" quotePrefix="1" applyNumberFormat="1" applyFont="1" applyFill="1" applyBorder="1" applyAlignment="1">
      <alignment horizontal="center" vertical="center"/>
    </xf>
    <xf numFmtId="1" fontId="2" fillId="92" borderId="166" xfId="0" applyNumberFormat="1" applyFont="1" applyFill="1" applyBorder="1" applyAlignment="1" applyProtection="1">
      <alignment horizontal="center" vertical="center"/>
      <protection locked="0"/>
    </xf>
    <xf numFmtId="1" fontId="27" fillId="45" borderId="260" xfId="0" quotePrefix="1" applyNumberFormat="1" applyFont="1" applyFill="1" applyBorder="1" applyAlignment="1">
      <alignment horizontal="center" vertical="center"/>
    </xf>
    <xf numFmtId="1" fontId="27" fillId="63" borderId="260" xfId="0" applyNumberFormat="1" applyFont="1" applyFill="1" applyBorder="1" applyAlignment="1">
      <alignment horizontal="center" vertical="center"/>
    </xf>
    <xf numFmtId="0" fontId="181" fillId="0" borderId="0" xfId="0" applyFont="1" applyAlignment="1">
      <alignment horizontal="center"/>
    </xf>
    <xf numFmtId="1" fontId="129" fillId="0" borderId="0" xfId="0" applyNumberFormat="1" applyFont="1" applyAlignment="1">
      <alignment horizontal="center"/>
    </xf>
    <xf numFmtId="0" fontId="129" fillId="0" borderId="0" xfId="0" applyFont="1" applyAlignment="1">
      <alignment horizontal="center"/>
    </xf>
    <xf numFmtId="49" fontId="324" fillId="102" borderId="444" xfId="0" applyNumberFormat="1" applyFont="1" applyFill="1" applyBorder="1" applyAlignment="1">
      <alignment horizontal="center" vertical="center" wrapText="1"/>
    </xf>
    <xf numFmtId="0" fontId="346" fillId="0" borderId="39" xfId="428" applyFont="1" applyFill="1" applyBorder="1" applyAlignment="1">
      <alignment horizontal="center" vertical="center"/>
    </xf>
    <xf numFmtId="0" fontId="346" fillId="0" borderId="37" xfId="428" applyFont="1" applyFill="1" applyBorder="1" applyAlignment="1">
      <alignment vertical="center"/>
    </xf>
    <xf numFmtId="0" fontId="346" fillId="0" borderId="37" xfId="428" applyFont="1" applyFill="1" applyBorder="1" applyAlignment="1">
      <alignment horizontal="center" vertical="center"/>
    </xf>
    <xf numFmtId="1" fontId="346" fillId="0" borderId="72" xfId="428" applyNumberFormat="1" applyFont="1" applyFill="1" applyBorder="1" applyAlignment="1">
      <alignment horizontal="center" vertical="center"/>
    </xf>
    <xf numFmtId="165" fontId="346" fillId="0" borderId="72" xfId="428" applyNumberFormat="1" applyFont="1" applyFill="1" applyBorder="1" applyAlignment="1">
      <alignment horizontal="center" vertical="center"/>
    </xf>
    <xf numFmtId="0" fontId="347" fillId="31" borderId="39" xfId="0" applyFont="1" applyFill="1" applyBorder="1"/>
    <xf numFmtId="20" fontId="347" fillId="0" borderId="38" xfId="428" applyNumberFormat="1" applyFont="1" applyFill="1" applyBorder="1" applyAlignment="1">
      <alignment vertical="center"/>
    </xf>
    <xf numFmtId="0" fontId="348" fillId="0" borderId="38" xfId="428" applyFont="1" applyFill="1" applyBorder="1" applyAlignment="1">
      <alignment horizontal="left" vertical="center"/>
    </xf>
    <xf numFmtId="0" fontId="310" fillId="63" borderId="254" xfId="0" applyFont="1" applyFill="1" applyBorder="1" applyAlignment="1">
      <alignment vertical="center"/>
    </xf>
    <xf numFmtId="0" fontId="126" fillId="0" borderId="0" xfId="0" applyFont="1" applyFill="1"/>
    <xf numFmtId="0" fontId="349" fillId="0" borderId="0" xfId="0" applyFont="1"/>
    <xf numFmtId="0" fontId="349" fillId="0" borderId="0" xfId="0" applyFont="1" applyFill="1"/>
    <xf numFmtId="1" fontId="349" fillId="39" borderId="10" xfId="0" applyNumberFormat="1" applyFont="1" applyFill="1" applyBorder="1" applyAlignment="1">
      <alignment horizontal="center"/>
    </xf>
    <xf numFmtId="0" fontId="349" fillId="39" borderId="10" xfId="0" applyFont="1" applyFill="1" applyBorder="1"/>
    <xf numFmtId="0" fontId="315" fillId="0" borderId="0" xfId="0" applyFont="1" applyBorder="1"/>
    <xf numFmtId="0" fontId="293" fillId="24" borderId="96" xfId="0" applyNumberFormat="1" applyFont="1" applyFill="1" applyBorder="1" applyAlignment="1">
      <alignment horizontal="center" vertical="center" wrapText="1"/>
    </xf>
    <xf numFmtId="173" fontId="345" fillId="50" borderId="92" xfId="0" applyNumberFormat="1" applyFont="1" applyFill="1" applyBorder="1" applyAlignment="1">
      <alignment horizontal="center" vertical="center" wrapText="1"/>
    </xf>
    <xf numFmtId="173" fontId="293" fillId="75" borderId="92" xfId="0" applyNumberFormat="1" applyFont="1" applyFill="1" applyBorder="1" applyAlignment="1">
      <alignment horizontal="center" vertical="center" wrapText="1"/>
    </xf>
    <xf numFmtId="173" fontId="154" fillId="96" borderId="92" xfId="0" applyNumberFormat="1" applyFont="1" applyFill="1" applyBorder="1" applyAlignment="1">
      <alignment horizontal="center" vertical="center" wrapText="1"/>
    </xf>
    <xf numFmtId="173" fontId="8" fillId="76" borderId="92" xfId="0" applyNumberFormat="1" applyFont="1" applyFill="1" applyBorder="1" applyAlignment="1">
      <alignment horizontal="center" vertical="center" wrapText="1"/>
    </xf>
    <xf numFmtId="164" fontId="350" fillId="35" borderId="0" xfId="0" applyNumberFormat="1" applyFont="1" applyFill="1" applyAlignment="1">
      <alignment horizontal="center" vertical="center"/>
    </xf>
    <xf numFmtId="14" fontId="119" fillId="44" borderId="17" xfId="0" applyNumberFormat="1" applyFont="1" applyFill="1" applyBorder="1" applyAlignment="1">
      <alignment horizontal="left" vertical="center"/>
    </xf>
    <xf numFmtId="173" fontId="293" fillId="30" borderId="10" xfId="0" applyNumberFormat="1" applyFont="1" applyFill="1" applyBorder="1" applyAlignment="1">
      <alignment horizontal="center" vertical="center" wrapText="1"/>
    </xf>
    <xf numFmtId="14" fontId="35" fillId="103" borderId="17" xfId="0" applyNumberFormat="1" applyFont="1" applyFill="1" applyBorder="1" applyAlignment="1">
      <alignment horizontal="left" vertical="center"/>
    </xf>
    <xf numFmtId="2" fontId="36" fillId="103" borderId="22" xfId="0" applyNumberFormat="1" applyFont="1" applyFill="1" applyBorder="1" applyAlignment="1">
      <alignment horizontal="center" vertical="center"/>
    </xf>
    <xf numFmtId="2" fontId="37" fillId="103" borderId="0" xfId="0" applyNumberFormat="1" applyFont="1" applyFill="1" applyBorder="1" applyAlignment="1">
      <alignment horizontal="center" vertical="center"/>
    </xf>
    <xf numFmtId="2" fontId="35" fillId="103" borderId="17" xfId="0" applyNumberFormat="1" applyFont="1" applyFill="1" applyBorder="1" applyAlignment="1">
      <alignment horizontal="center" vertical="center"/>
    </xf>
    <xf numFmtId="0" fontId="38" fillId="103" borderId="17" xfId="0" applyFont="1" applyFill="1" applyBorder="1" applyAlignment="1">
      <alignment vertical="center"/>
    </xf>
    <xf numFmtId="0" fontId="39" fillId="103" borderId="17" xfId="0" applyFont="1" applyFill="1" applyBorder="1" applyAlignment="1">
      <alignment vertical="center"/>
    </xf>
    <xf numFmtId="0" fontId="1" fillId="103" borderId="17" xfId="0" applyFont="1" applyFill="1" applyBorder="1" applyAlignment="1">
      <alignment vertical="center"/>
    </xf>
    <xf numFmtId="2" fontId="40" fillId="103" borderId="17" xfId="0" applyNumberFormat="1" applyFont="1" applyFill="1" applyBorder="1" applyAlignment="1">
      <alignment vertical="center"/>
    </xf>
    <xf numFmtId="0" fontId="40" fillId="103" borderId="17" xfId="0" applyFont="1" applyFill="1" applyBorder="1" applyAlignment="1">
      <alignment vertical="center"/>
    </xf>
    <xf numFmtId="0" fontId="39" fillId="103" borderId="17" xfId="0" applyFont="1" applyFill="1" applyBorder="1" applyAlignment="1">
      <alignment horizontal="center" vertical="center"/>
    </xf>
    <xf numFmtId="0" fontId="40" fillId="103" borderId="17" xfId="0" applyFont="1" applyFill="1" applyBorder="1" applyAlignment="1">
      <alignment horizontal="center" vertical="center"/>
    </xf>
    <xf numFmtId="0" fontId="2" fillId="103" borderId="17" xfId="0" applyFont="1" applyFill="1" applyBorder="1" applyAlignment="1">
      <alignment vertical="center"/>
    </xf>
    <xf numFmtId="0" fontId="83" fillId="103" borderId="17" xfId="0" applyFont="1" applyFill="1" applyBorder="1" applyAlignment="1">
      <alignment vertical="center"/>
    </xf>
    <xf numFmtId="0" fontId="40" fillId="103" borderId="0" xfId="0" applyFont="1" applyFill="1" applyBorder="1" applyAlignment="1">
      <alignment vertical="center"/>
    </xf>
    <xf numFmtId="0" fontId="38" fillId="103" borderId="17" xfId="0" applyFont="1" applyFill="1" applyBorder="1" applyAlignment="1">
      <alignment horizontal="center" vertical="center"/>
    </xf>
    <xf numFmtId="0" fontId="269" fillId="103" borderId="0" xfId="0" applyFont="1" applyFill="1" applyBorder="1" applyAlignment="1"/>
    <xf numFmtId="0" fontId="269" fillId="103" borderId="0" xfId="0" applyNumberFormat="1" applyFont="1" applyFill="1" applyBorder="1" applyAlignment="1"/>
    <xf numFmtId="1" fontId="316" fillId="86" borderId="459" xfId="0" applyNumberFormat="1" applyFont="1" applyFill="1" applyBorder="1" applyAlignment="1" applyProtection="1">
      <alignment horizontal="center" vertical="center"/>
      <protection locked="0"/>
    </xf>
    <xf numFmtId="1" fontId="316" fillId="87" borderId="424" xfId="0" applyNumberFormat="1" applyFont="1" applyFill="1" applyBorder="1" applyAlignment="1" applyProtection="1">
      <alignment horizontal="center" vertical="center"/>
      <protection locked="0"/>
    </xf>
    <xf numFmtId="1" fontId="316" fillId="89" borderId="424" xfId="0" applyNumberFormat="1" applyFont="1" applyFill="1" applyBorder="1" applyAlignment="1" applyProtection="1">
      <alignment horizontal="center" vertical="center"/>
      <protection locked="0"/>
    </xf>
    <xf numFmtId="1" fontId="323" fillId="89" borderId="424" xfId="0" applyNumberFormat="1" applyFont="1" applyFill="1" applyBorder="1" applyAlignment="1" applyProtection="1">
      <alignment horizontal="center" vertical="center"/>
      <protection locked="0"/>
    </xf>
    <xf numFmtId="1" fontId="316" fillId="86" borderId="459" xfId="0" applyNumberFormat="1" applyFont="1" applyFill="1" applyBorder="1" applyAlignment="1">
      <alignment horizontal="center" vertical="center"/>
    </xf>
    <xf numFmtId="1" fontId="316" fillId="87" borderId="424" xfId="0" applyNumberFormat="1" applyFont="1" applyFill="1" applyBorder="1" applyAlignment="1">
      <alignment horizontal="center" vertical="center"/>
    </xf>
    <xf numFmtId="1" fontId="316" fillId="89" borderId="424" xfId="0" applyNumberFormat="1" applyFont="1" applyFill="1" applyBorder="1" applyAlignment="1">
      <alignment horizontal="center" vertical="center"/>
    </xf>
    <xf numFmtId="1" fontId="323" fillId="89" borderId="424" xfId="0" applyNumberFormat="1" applyFont="1" applyFill="1" applyBorder="1" applyAlignment="1">
      <alignment horizontal="center" vertical="center"/>
    </xf>
    <xf numFmtId="1" fontId="316" fillId="42" borderId="459" xfId="0" applyNumberFormat="1" applyFont="1" applyFill="1" applyBorder="1" applyAlignment="1" applyProtection="1">
      <alignment horizontal="center" vertical="center"/>
      <protection locked="0"/>
    </xf>
    <xf numFmtId="1" fontId="316" fillId="34" borderId="424" xfId="0" applyNumberFormat="1" applyFont="1" applyFill="1" applyBorder="1" applyAlignment="1" applyProtection="1">
      <alignment horizontal="center" vertical="center"/>
      <protection locked="0"/>
    </xf>
    <xf numFmtId="165" fontId="316" fillId="87" borderId="424" xfId="0" applyNumberFormat="1" applyFont="1" applyFill="1" applyBorder="1" applyAlignment="1">
      <alignment horizontal="center" vertical="center"/>
    </xf>
    <xf numFmtId="0" fontId="316" fillId="87" borderId="424" xfId="0" applyFont="1" applyFill="1" applyBorder="1" applyAlignment="1">
      <alignment horizontal="center" vertical="center"/>
    </xf>
    <xf numFmtId="0" fontId="316" fillId="87" borderId="459" xfId="0" applyFont="1" applyFill="1" applyBorder="1" applyAlignment="1">
      <alignment horizontal="center" vertical="center"/>
    </xf>
    <xf numFmtId="165" fontId="316" fillId="88" borderId="424" xfId="0" applyNumberFormat="1" applyFont="1" applyFill="1" applyBorder="1" applyAlignment="1">
      <alignment horizontal="center" vertical="center"/>
    </xf>
    <xf numFmtId="1" fontId="316" fillId="88" borderId="424" xfId="0" applyNumberFormat="1" applyFont="1" applyFill="1" applyBorder="1" applyAlignment="1" applyProtection="1">
      <alignment horizontal="center" vertical="center"/>
      <protection locked="0"/>
    </xf>
    <xf numFmtId="1" fontId="316" fillId="88" borderId="459" xfId="0" applyNumberFormat="1" applyFont="1" applyFill="1" applyBorder="1" applyAlignment="1" applyProtection="1">
      <alignment horizontal="center" vertical="center"/>
      <protection locked="0"/>
    </xf>
    <xf numFmtId="1" fontId="318" fillId="88" borderId="424" xfId="0" applyNumberFormat="1" applyFont="1" applyFill="1" applyBorder="1" applyAlignment="1" applyProtection="1">
      <alignment horizontal="center" vertical="center"/>
      <protection locked="0"/>
    </xf>
    <xf numFmtId="1" fontId="316" fillId="88" borderId="424" xfId="0" applyNumberFormat="1" applyFont="1" applyFill="1" applyBorder="1" applyAlignment="1" applyProtection="1">
      <alignment horizontal="center" vertical="center" wrapText="1"/>
      <protection locked="0"/>
    </xf>
    <xf numFmtId="165" fontId="316" fillId="89" borderId="424" xfId="0" applyNumberFormat="1" applyFont="1" applyFill="1" applyBorder="1" applyAlignment="1">
      <alignment horizontal="center" vertical="center"/>
    </xf>
    <xf numFmtId="1" fontId="316" fillId="42" borderId="424" xfId="0" applyNumberFormat="1" applyFont="1" applyFill="1" applyBorder="1" applyAlignment="1" applyProtection="1">
      <alignment horizontal="center" vertical="center"/>
      <protection locked="0"/>
    </xf>
    <xf numFmtId="0" fontId="316" fillId="89" borderId="424" xfId="0" applyFont="1" applyFill="1" applyBorder="1" applyAlignment="1">
      <alignment horizontal="center" vertical="center"/>
    </xf>
    <xf numFmtId="1" fontId="316" fillId="68" borderId="459" xfId="0" applyNumberFormat="1" applyFont="1" applyFill="1" applyBorder="1" applyAlignment="1" applyProtection="1">
      <alignment horizontal="center" vertical="center"/>
      <protection locked="0"/>
    </xf>
    <xf numFmtId="0" fontId="316" fillId="89" borderId="459" xfId="0" applyFont="1" applyFill="1" applyBorder="1" applyAlignment="1">
      <alignment horizontal="center" vertical="center"/>
    </xf>
    <xf numFmtId="1" fontId="318" fillId="68" borderId="424" xfId="0" applyNumberFormat="1" applyFont="1" applyFill="1" applyBorder="1" applyAlignment="1" applyProtection="1">
      <alignment horizontal="center" vertical="center"/>
      <protection locked="0"/>
    </xf>
    <xf numFmtId="1" fontId="316" fillId="68" borderId="424" xfId="0" applyNumberFormat="1" applyFont="1" applyFill="1" applyBorder="1" applyAlignment="1" applyProtection="1">
      <alignment horizontal="center" vertical="center" wrapText="1"/>
      <protection locked="0"/>
    </xf>
    <xf numFmtId="0" fontId="332" fillId="0" borderId="0" xfId="0" applyFont="1" applyFill="1" applyBorder="1" applyAlignment="1">
      <alignment horizontal="right" wrapText="1"/>
    </xf>
    <xf numFmtId="173" fontId="88" fillId="0" borderId="0" xfId="401" applyNumberFormat="1" applyFont="1" applyFill="1" applyBorder="1" applyAlignment="1">
      <alignment horizontal="center"/>
    </xf>
    <xf numFmtId="1" fontId="316" fillId="86" borderId="425" xfId="0" applyNumberFormat="1" applyFont="1" applyFill="1" applyBorder="1" applyAlignment="1" applyProtection="1">
      <alignment horizontal="center" vertical="center"/>
      <protection locked="0"/>
    </xf>
    <xf numFmtId="1" fontId="316" fillId="86" borderId="424" xfId="0" applyNumberFormat="1" applyFont="1" applyFill="1" applyBorder="1" applyAlignment="1" applyProtection="1">
      <alignment horizontal="center" vertical="center"/>
      <protection locked="0"/>
    </xf>
    <xf numFmtId="1" fontId="316" fillId="86" borderId="424" xfId="0" applyNumberFormat="1" applyFont="1" applyFill="1" applyBorder="1" applyAlignment="1">
      <alignment horizontal="center" vertical="center"/>
    </xf>
    <xf numFmtId="165" fontId="316" fillId="86" borderId="424" xfId="0" applyNumberFormat="1" applyFont="1" applyFill="1" applyBorder="1" applyAlignment="1">
      <alignment horizontal="center" vertical="center"/>
    </xf>
    <xf numFmtId="0" fontId="316" fillId="86" borderId="424" xfId="0" applyFont="1" applyFill="1" applyBorder="1" applyAlignment="1">
      <alignment horizontal="center" vertical="center"/>
    </xf>
    <xf numFmtId="1" fontId="316" fillId="58" borderId="424" xfId="0" applyNumberFormat="1" applyFont="1" applyFill="1" applyBorder="1" applyAlignment="1" applyProtection="1">
      <alignment horizontal="center" vertical="center"/>
      <protection locked="0"/>
    </xf>
    <xf numFmtId="1" fontId="318" fillId="58" borderId="424" xfId="0" applyNumberFormat="1" applyFont="1" applyFill="1" applyBorder="1" applyAlignment="1" applyProtection="1">
      <alignment horizontal="center" vertical="center"/>
      <protection locked="0"/>
    </xf>
    <xf numFmtId="1" fontId="316" fillId="58" borderId="459" xfId="0" applyNumberFormat="1" applyFont="1" applyFill="1" applyBorder="1" applyAlignment="1" applyProtection="1">
      <alignment horizontal="center" vertical="center"/>
      <protection locked="0"/>
    </xf>
    <xf numFmtId="0" fontId="351" fillId="58" borderId="0" xfId="0" applyFont="1" applyFill="1" applyAlignment="1">
      <alignment horizontal="center"/>
    </xf>
    <xf numFmtId="0" fontId="316" fillId="86" borderId="459" xfId="0" applyFont="1" applyFill="1" applyBorder="1" applyAlignment="1">
      <alignment horizontal="center" vertical="center"/>
    </xf>
    <xf numFmtId="165" fontId="316" fillId="86" borderId="459" xfId="0" applyNumberFormat="1" applyFont="1" applyFill="1" applyBorder="1" applyAlignment="1">
      <alignment horizontal="center" vertical="center"/>
    </xf>
    <xf numFmtId="1" fontId="316" fillId="86" borderId="460" xfId="0" applyNumberFormat="1" applyFont="1" applyFill="1" applyBorder="1" applyAlignment="1" applyProtection="1">
      <alignment horizontal="center" vertical="center"/>
      <protection locked="0"/>
    </xf>
    <xf numFmtId="1" fontId="316" fillId="87" borderId="459" xfId="0" applyNumberFormat="1" applyFont="1" applyFill="1" applyBorder="1" applyAlignment="1" applyProtection="1">
      <alignment horizontal="center" vertical="center"/>
      <protection locked="0"/>
    </xf>
    <xf numFmtId="165" fontId="323" fillId="89" borderId="424" xfId="0" applyNumberFormat="1" applyFont="1" applyFill="1" applyBorder="1" applyAlignment="1">
      <alignment horizontal="center" vertical="center"/>
    </xf>
    <xf numFmtId="1" fontId="323" fillId="42" borderId="424" xfId="0" applyNumberFormat="1" applyFont="1" applyFill="1" applyBorder="1" applyAlignment="1" applyProtection="1">
      <alignment horizontal="center" vertical="center"/>
      <protection locked="0"/>
    </xf>
    <xf numFmtId="0" fontId="323" fillId="89" borderId="424" xfId="0" applyFont="1" applyFill="1" applyBorder="1" applyAlignment="1">
      <alignment horizontal="center" vertical="center"/>
    </xf>
    <xf numFmtId="1" fontId="323" fillId="68" borderId="424" xfId="0" applyNumberFormat="1" applyFont="1" applyFill="1" applyBorder="1" applyAlignment="1" applyProtection="1">
      <alignment horizontal="center" vertical="center" wrapText="1"/>
      <protection locked="0"/>
    </xf>
    <xf numFmtId="1" fontId="324" fillId="68" borderId="424" xfId="0" applyNumberFormat="1" applyFont="1" applyFill="1" applyBorder="1" applyAlignment="1" applyProtection="1">
      <alignment horizontal="center" vertical="center"/>
      <protection locked="0"/>
    </xf>
    <xf numFmtId="1" fontId="323" fillId="68" borderId="424" xfId="0" applyNumberFormat="1" applyFont="1" applyFill="1" applyBorder="1" applyAlignment="1" applyProtection="1">
      <alignment horizontal="center" vertical="center"/>
      <protection locked="0"/>
    </xf>
    <xf numFmtId="1" fontId="323" fillId="68" borderId="459" xfId="0" applyNumberFormat="1" applyFont="1" applyFill="1" applyBorder="1" applyAlignment="1" applyProtection="1">
      <alignment horizontal="center" vertical="center"/>
      <protection locked="0"/>
    </xf>
    <xf numFmtId="1" fontId="323" fillId="34" borderId="424" xfId="0" applyNumberFormat="1" applyFont="1" applyFill="1" applyBorder="1" applyAlignment="1" applyProtection="1">
      <alignment horizontal="center" vertical="center"/>
      <protection locked="0"/>
    </xf>
    <xf numFmtId="0" fontId="351" fillId="0" borderId="0" xfId="0" applyFont="1"/>
    <xf numFmtId="0" fontId="335" fillId="0" borderId="0" xfId="0" applyFont="1" applyFill="1" applyBorder="1"/>
    <xf numFmtId="0" fontId="331" fillId="0" borderId="0" xfId="0" applyFont="1" applyBorder="1"/>
    <xf numFmtId="0" fontId="280" fillId="0" borderId="0" xfId="0" applyFont="1" applyBorder="1" applyAlignment="1">
      <alignment vertical="top"/>
    </xf>
    <xf numFmtId="0" fontId="0" fillId="0" borderId="0" xfId="0" applyBorder="1"/>
    <xf numFmtId="0" fontId="300" fillId="0" borderId="0" xfId="0" applyFont="1" applyBorder="1" applyAlignment="1">
      <alignment horizontal="center" vertical="center" wrapText="1"/>
    </xf>
    <xf numFmtId="20" fontId="352" fillId="0" borderId="10" xfId="0" applyNumberFormat="1" applyFont="1" applyBorder="1" applyAlignment="1">
      <alignment horizontal="center"/>
    </xf>
    <xf numFmtId="46" fontId="352" fillId="0" borderId="10" xfId="0" applyNumberFormat="1" applyFont="1" applyBorder="1" applyAlignment="1">
      <alignment horizontal="center"/>
    </xf>
    <xf numFmtId="2" fontId="352" fillId="0" borderId="10" xfId="0" applyNumberFormat="1" applyFont="1" applyBorder="1" applyAlignment="1">
      <alignment horizontal="center"/>
    </xf>
    <xf numFmtId="2" fontId="352" fillId="0" borderId="10" xfId="0" applyNumberFormat="1" applyFont="1" applyBorder="1" applyAlignment="1">
      <alignment horizontal="center" vertical="top"/>
    </xf>
    <xf numFmtId="2" fontId="352" fillId="0" borderId="10" xfId="0" applyNumberFormat="1" applyFont="1" applyBorder="1" applyAlignment="1">
      <alignment horizontal="center" vertical="center"/>
    </xf>
    <xf numFmtId="2" fontId="352" fillId="0" borderId="10" xfId="0" applyNumberFormat="1" applyFont="1" applyBorder="1" applyAlignment="1">
      <alignment horizontal="center" vertical="center" wrapText="1"/>
    </xf>
    <xf numFmtId="1" fontId="352" fillId="0" borderId="10" xfId="0" applyNumberFormat="1" applyFont="1" applyBorder="1" applyAlignment="1">
      <alignment horizontal="center" vertical="center"/>
    </xf>
    <xf numFmtId="1" fontId="352" fillId="0" borderId="10" xfId="0" applyNumberFormat="1" applyFont="1" applyBorder="1" applyAlignment="1">
      <alignment horizontal="center" vertical="top"/>
    </xf>
    <xf numFmtId="0" fontId="353" fillId="35" borderId="10" xfId="0" applyFont="1" applyFill="1" applyBorder="1" applyAlignment="1">
      <alignment vertical="center"/>
    </xf>
    <xf numFmtId="173" fontId="13" fillId="0" borderId="89" xfId="435" applyNumberFormat="1" applyFont="1" applyBorder="1" applyAlignment="1" applyProtection="1"/>
    <xf numFmtId="173" fontId="13" fillId="0" borderId="91" xfId="435" applyNumberFormat="1" applyFont="1" applyBorder="1" applyAlignment="1" applyProtection="1"/>
    <xf numFmtId="173" fontId="13" fillId="0" borderId="190" xfId="435" applyNumberFormat="1" applyFont="1" applyBorder="1" applyAlignment="1" applyProtection="1"/>
    <xf numFmtId="173" fontId="13" fillId="0" borderId="175" xfId="435" applyNumberFormat="1" applyFont="1" applyBorder="1" applyAlignment="1" applyProtection="1"/>
    <xf numFmtId="173" fontId="13" fillId="0" borderId="91" xfId="435" applyNumberFormat="1" applyFont="1" applyBorder="1" applyAlignment="1"/>
    <xf numFmtId="173" fontId="13" fillId="0" borderId="190" xfId="435" applyNumberFormat="1" applyFont="1" applyBorder="1" applyAlignment="1"/>
    <xf numFmtId="173" fontId="13" fillId="0" borderId="90" xfId="435" applyNumberFormat="1" applyFont="1" applyBorder="1" applyAlignment="1" applyProtection="1"/>
    <xf numFmtId="173" fontId="13" fillId="0" borderId="48" xfId="435" applyNumberFormat="1" applyFont="1" applyBorder="1" applyAlignment="1"/>
    <xf numFmtId="173" fontId="13" fillId="0" borderId="26" xfId="435" applyNumberFormat="1" applyFont="1" applyBorder="1" applyAlignment="1" applyProtection="1">
      <alignment horizontal="center"/>
    </xf>
    <xf numFmtId="173" fontId="13" fillId="0" borderId="76" xfId="435" applyNumberFormat="1" applyFont="1" applyBorder="1" applyProtection="1"/>
    <xf numFmtId="173" fontId="104" fillId="0" borderId="297" xfId="401" applyNumberFormat="1" applyFont="1" applyBorder="1" applyAlignment="1"/>
    <xf numFmtId="173" fontId="13" fillId="0" borderId="48" xfId="435" applyNumberFormat="1" applyFont="1" applyBorder="1" applyProtection="1"/>
    <xf numFmtId="173" fontId="13" fillId="0" borderId="297" xfId="435" applyNumberFormat="1" applyFont="1" applyBorder="1" applyAlignment="1" applyProtection="1"/>
    <xf numFmtId="173" fontId="13" fillId="0" borderId="26" xfId="435" applyNumberFormat="1" applyFont="1" applyFill="1" applyBorder="1" applyAlignment="1" applyProtection="1">
      <alignment horizontal="center"/>
    </xf>
    <xf numFmtId="173" fontId="272" fillId="0" borderId="297" xfId="435" applyNumberFormat="1" applyFont="1" applyBorder="1" applyProtection="1"/>
    <xf numFmtId="173" fontId="273" fillId="0" borderId="297" xfId="401" applyNumberFormat="1" applyFont="1" applyBorder="1" applyAlignment="1">
      <alignment vertical="center"/>
    </xf>
    <xf numFmtId="173" fontId="88" fillId="0" borderId="48" xfId="401" applyNumberFormat="1" applyFont="1" applyBorder="1"/>
    <xf numFmtId="173" fontId="15" fillId="0" borderId="311" xfId="435" applyNumberFormat="1" applyFont="1" applyBorder="1"/>
    <xf numFmtId="0" fontId="42" fillId="0" borderId="461" xfId="0" applyNumberFormat="1" applyFont="1" applyFill="1" applyBorder="1" applyAlignment="1">
      <alignment vertical="center" wrapText="1"/>
    </xf>
    <xf numFmtId="1" fontId="284" fillId="71" borderId="462" xfId="0" applyNumberFormat="1" applyFont="1" applyFill="1" applyBorder="1" applyAlignment="1">
      <alignment horizontal="center" vertical="center"/>
    </xf>
    <xf numFmtId="1" fontId="203" fillId="71" borderId="463" xfId="0" applyNumberFormat="1" applyFont="1" applyFill="1" applyBorder="1" applyAlignment="1">
      <alignment horizontal="center" vertical="center"/>
    </xf>
    <xf numFmtId="1" fontId="203" fillId="71" borderId="464" xfId="0" applyNumberFormat="1" applyFont="1" applyFill="1" applyBorder="1" applyAlignment="1">
      <alignment horizontal="center" vertical="center"/>
    </xf>
    <xf numFmtId="1" fontId="203" fillId="71" borderId="459" xfId="0" applyNumberFormat="1" applyFont="1" applyFill="1" applyBorder="1" applyAlignment="1">
      <alignment horizontal="center" vertical="center"/>
    </xf>
    <xf numFmtId="20" fontId="20" fillId="0" borderId="71" xfId="429" applyNumberFormat="1" applyFont="1" applyFill="1" applyBorder="1" applyAlignment="1">
      <alignment vertical="center"/>
    </xf>
    <xf numFmtId="0" fontId="280" fillId="0" borderId="13" xfId="0" applyFont="1" applyBorder="1"/>
    <xf numFmtId="0" fontId="354" fillId="0" borderId="0" xfId="0" applyFont="1" applyFill="1" applyBorder="1" applyAlignment="1">
      <alignment horizontal="center" vertical="center" wrapText="1"/>
    </xf>
    <xf numFmtId="0" fontId="355" fillId="0" borderId="0" xfId="0" applyFont="1" applyFill="1" applyBorder="1" applyAlignment="1">
      <alignment horizontal="center" vertical="center" wrapText="1"/>
    </xf>
    <xf numFmtId="0" fontId="356" fillId="0" borderId="0" xfId="503" applyFont="1"/>
    <xf numFmtId="0" fontId="93" fillId="34" borderId="0" xfId="0" applyFont="1" applyFill="1"/>
    <xf numFmtId="0" fontId="93" fillId="34" borderId="0" xfId="0" applyFont="1" applyFill="1" applyAlignment="1"/>
    <xf numFmtId="1" fontId="209" fillId="0" borderId="0" xfId="0" applyNumberFormat="1" applyFont="1" applyFill="1"/>
    <xf numFmtId="1" fontId="284" fillId="79" borderId="470" xfId="0" applyNumberFormat="1" applyFont="1" applyFill="1" applyBorder="1" applyAlignment="1" applyProtection="1">
      <alignment horizontal="center" vertical="center"/>
      <protection locked="0"/>
    </xf>
    <xf numFmtId="0" fontId="108" fillId="0" borderId="0" xfId="0" applyFont="1" applyAlignment="1">
      <alignment horizontal="center" vertical="center"/>
    </xf>
    <xf numFmtId="0" fontId="107" fillId="0" borderId="0" xfId="0" applyFont="1" applyAlignment="1">
      <alignment horizontal="center" vertical="center"/>
    </xf>
    <xf numFmtId="0" fontId="338" fillId="0" borderId="0" xfId="0" applyFont="1" applyFill="1" applyBorder="1" applyAlignment="1"/>
    <xf numFmtId="0" fontId="154" fillId="58" borderId="437" xfId="0" applyFont="1" applyFill="1" applyBorder="1" applyAlignment="1">
      <alignment horizontal="center" vertical="center" wrapText="1"/>
    </xf>
    <xf numFmtId="20" fontId="154" fillId="58" borderId="439" xfId="0" applyNumberFormat="1" applyFont="1" applyFill="1" applyBorder="1" applyAlignment="1">
      <alignment horizontal="center" vertical="center" wrapText="1"/>
    </xf>
    <xf numFmtId="0" fontId="154" fillId="0" borderId="439" xfId="0" applyFont="1" applyBorder="1" applyAlignment="1">
      <alignment horizontal="center" vertical="center" wrapText="1"/>
    </xf>
    <xf numFmtId="20" fontId="154" fillId="0" borderId="441" xfId="0" applyNumberFormat="1" applyFont="1" applyBorder="1" applyAlignment="1">
      <alignment horizontal="center" vertical="center" wrapText="1"/>
    </xf>
    <xf numFmtId="1" fontId="154" fillId="0" borderId="443" xfId="0" applyNumberFormat="1" applyFont="1" applyBorder="1" applyAlignment="1">
      <alignment horizontal="center" vertical="center"/>
    </xf>
    <xf numFmtId="1" fontId="150" fillId="27" borderId="62" xfId="0" applyNumberFormat="1" applyFont="1" applyFill="1" applyBorder="1" applyAlignment="1" applyProtection="1">
      <alignment horizontal="center" vertical="center"/>
      <protection locked="0"/>
    </xf>
    <xf numFmtId="2" fontId="91" fillId="0" borderId="0" xfId="414" applyNumberFormat="1" applyFont="1"/>
    <xf numFmtId="0" fontId="0" fillId="0" borderId="0" xfId="0" applyFill="1" applyBorder="1"/>
    <xf numFmtId="0" fontId="338" fillId="0" borderId="0" xfId="0" applyFont="1" applyBorder="1" applyAlignment="1"/>
    <xf numFmtId="0" fontId="357" fillId="101" borderId="0" xfId="0" applyFont="1" applyFill="1" applyBorder="1" applyAlignment="1">
      <alignment horizontal="center" vertical="center" wrapText="1"/>
    </xf>
    <xf numFmtId="0" fontId="91" fillId="0" borderId="0" xfId="0" applyFont="1" applyBorder="1" applyAlignment="1">
      <alignment horizontal="center" vertical="center" wrapText="1"/>
    </xf>
    <xf numFmtId="0" fontId="92" fillId="0" borderId="0" xfId="0" applyFont="1" applyBorder="1" applyAlignment="1">
      <alignment horizontal="center" vertical="center" wrapText="1"/>
    </xf>
    <xf numFmtId="171" fontId="92" fillId="0" borderId="0" xfId="401" applyFont="1" applyBorder="1" applyAlignment="1">
      <alignment horizontal="center" vertical="center" wrapText="1"/>
    </xf>
    <xf numFmtId="166" fontId="265" fillId="99" borderId="44" xfId="271" applyNumberFormat="1" applyFont="1" applyFill="1" applyBorder="1" applyAlignment="1">
      <alignment vertical="center"/>
    </xf>
    <xf numFmtId="0" fontId="330" fillId="0" borderId="0" xfId="0" applyFont="1"/>
    <xf numFmtId="1" fontId="284" fillId="71" borderId="470" xfId="0" applyNumberFormat="1" applyFont="1" applyFill="1" applyBorder="1" applyAlignment="1">
      <alignment horizontal="center" vertical="center"/>
    </xf>
    <xf numFmtId="166" fontId="284" fillId="77" borderId="470" xfId="271" applyNumberFormat="1" applyFont="1" applyFill="1" applyBorder="1" applyAlignment="1">
      <alignment horizontal="center" vertical="center"/>
    </xf>
    <xf numFmtId="1" fontId="284" fillId="71" borderId="470" xfId="0" applyNumberFormat="1" applyFont="1" applyFill="1" applyBorder="1" applyAlignment="1" applyProtection="1">
      <alignment horizontal="center" vertical="center"/>
      <protection locked="0"/>
    </xf>
    <xf numFmtId="1" fontId="284" fillId="71" borderId="473" xfId="0" applyNumberFormat="1" applyFont="1" applyFill="1" applyBorder="1" applyAlignment="1">
      <alignment horizontal="center" vertical="center"/>
    </xf>
    <xf numFmtId="1" fontId="49" fillId="93" borderId="474" xfId="0" applyNumberFormat="1" applyFont="1" applyFill="1" applyBorder="1" applyAlignment="1" applyProtection="1">
      <alignment horizontal="center" vertical="center"/>
      <protection locked="0"/>
    </xf>
    <xf numFmtId="1" fontId="49" fillId="93" borderId="469" xfId="0" applyNumberFormat="1" applyFont="1" applyFill="1" applyBorder="1" applyAlignment="1" applyProtection="1">
      <alignment horizontal="center" vertical="center"/>
      <protection locked="0"/>
    </xf>
    <xf numFmtId="1" fontId="49" fillId="42" borderId="469" xfId="0" applyNumberFormat="1" applyFont="1" applyFill="1" applyBorder="1" applyAlignment="1" applyProtection="1">
      <alignment horizontal="center" vertical="center"/>
      <protection locked="0"/>
    </xf>
    <xf numFmtId="1" fontId="49" fillId="93" borderId="470" xfId="0" applyNumberFormat="1" applyFont="1" applyFill="1" applyBorder="1" applyAlignment="1" applyProtection="1">
      <alignment horizontal="center" vertical="center"/>
      <protection locked="0"/>
    </xf>
    <xf numFmtId="1" fontId="49" fillId="93" borderId="475" xfId="0" applyNumberFormat="1" applyFont="1" applyFill="1" applyBorder="1" applyAlignment="1" applyProtection="1">
      <alignment horizontal="center" vertical="center"/>
      <protection locked="0"/>
    </xf>
    <xf numFmtId="14" fontId="20" fillId="0" borderId="71" xfId="429" applyNumberFormat="1" applyFont="1" applyFill="1" applyBorder="1" applyAlignment="1">
      <alignment horizontal="left" vertical="center"/>
    </xf>
    <xf numFmtId="20" fontId="169" fillId="0" borderId="27" xfId="499" applyNumberFormat="1" applyFont="1" applyFill="1" applyBorder="1" applyAlignment="1">
      <alignment horizontal="left" vertical="center"/>
    </xf>
    <xf numFmtId="14" fontId="169" fillId="0" borderId="27" xfId="0" applyNumberFormat="1" applyFont="1" applyBorder="1" applyAlignment="1">
      <alignment horizontal="left" vertical="center"/>
    </xf>
    <xf numFmtId="0" fontId="169" fillId="0" borderId="183" xfId="0" applyNumberFormat="1" applyFont="1" applyBorder="1" applyAlignment="1">
      <alignment horizontal="left" vertical="top"/>
    </xf>
    <xf numFmtId="0" fontId="359" fillId="0" borderId="0" xfId="0" applyFont="1" applyFill="1" applyBorder="1" applyAlignment="1" applyProtection="1">
      <alignment vertical="center"/>
    </xf>
    <xf numFmtId="0" fontId="359" fillId="0" borderId="0" xfId="0" applyFont="1" applyBorder="1" applyAlignment="1" applyProtection="1"/>
    <xf numFmtId="0" fontId="358" fillId="0" borderId="0" xfId="0" applyFont="1" applyBorder="1" applyAlignment="1" applyProtection="1">
      <alignment vertical="center"/>
    </xf>
    <xf numFmtId="20" fontId="360" fillId="34" borderId="10" xfId="0" applyNumberFormat="1" applyFont="1" applyFill="1" applyBorder="1" applyAlignment="1">
      <alignment horizontal="center"/>
    </xf>
    <xf numFmtId="0" fontId="361" fillId="0" borderId="0" xfId="0" applyFont="1"/>
    <xf numFmtId="0" fontId="357" fillId="0" borderId="0" xfId="0" applyFont="1" applyFill="1" applyBorder="1" applyAlignment="1">
      <alignment horizontal="center" vertical="center" wrapText="1"/>
    </xf>
    <xf numFmtId="0" fontId="154" fillId="0" borderId="0" xfId="0" applyFont="1" applyFill="1" applyBorder="1" applyAlignment="1">
      <alignment horizontal="center" vertical="center" wrapText="1"/>
    </xf>
    <xf numFmtId="173" fontId="92" fillId="0" borderId="85" xfId="414" applyNumberFormat="1" applyFont="1" applyBorder="1"/>
    <xf numFmtId="49" fontId="7" fillId="0" borderId="185" xfId="434" applyNumberFormat="1" applyFont="1" applyFill="1" applyBorder="1" applyAlignment="1" applyProtection="1">
      <alignment horizontal="center" vertical="center"/>
    </xf>
    <xf numFmtId="173" fontId="92" fillId="0" borderId="91" xfId="414" applyNumberFormat="1" applyFont="1" applyBorder="1"/>
    <xf numFmtId="49" fontId="7" fillId="0" borderId="190" xfId="434" applyNumberFormat="1" applyFont="1" applyFill="1" applyBorder="1" applyAlignment="1" applyProtection="1">
      <alignment horizontal="center" vertical="center"/>
    </xf>
    <xf numFmtId="49" fontId="7" fillId="0" borderId="185" xfId="434" applyNumberFormat="1" applyFont="1" applyFill="1" applyBorder="1" applyAlignment="1" applyProtection="1">
      <alignment vertical="center"/>
    </xf>
    <xf numFmtId="173" fontId="92" fillId="0" borderId="461" xfId="414" applyNumberFormat="1" applyFont="1" applyBorder="1"/>
    <xf numFmtId="1" fontId="7" fillId="0" borderId="91" xfId="434" applyNumberFormat="1" applyFont="1" applyFill="1" applyBorder="1" applyAlignment="1" applyProtection="1">
      <alignment horizontal="center" vertical="center"/>
    </xf>
    <xf numFmtId="1" fontId="7" fillId="0" borderId="185" xfId="434" applyNumberFormat="1" applyFont="1" applyFill="1" applyBorder="1" applyAlignment="1" applyProtection="1">
      <alignment vertical="center"/>
    </xf>
    <xf numFmtId="49" fontId="7" fillId="0" borderId="91" xfId="434" applyNumberFormat="1" applyFont="1" applyFill="1" applyBorder="1" applyAlignment="1" applyProtection="1">
      <alignment horizontal="left" vertical="center"/>
    </xf>
    <xf numFmtId="49" fontId="7" fillId="0" borderId="46" xfId="434" applyNumberFormat="1" applyFont="1" applyFill="1" applyBorder="1" applyAlignment="1" applyProtection="1">
      <alignment horizontal="left" vertical="center"/>
    </xf>
    <xf numFmtId="49" fontId="7" fillId="0" borderId="58" xfId="434" applyNumberFormat="1" applyFont="1" applyFill="1" applyBorder="1" applyAlignment="1" applyProtection="1">
      <alignment horizontal="center" vertical="center"/>
    </xf>
    <xf numFmtId="0" fontId="301" fillId="0" borderId="0" xfId="0" applyFont="1" applyBorder="1" applyAlignment="1">
      <alignment horizontal="center"/>
    </xf>
    <xf numFmtId="49" fontId="7" fillId="0" borderId="10" xfId="434" applyNumberFormat="1" applyFont="1" applyFill="1" applyBorder="1" applyAlignment="1">
      <alignment horizontal="center" vertical="center"/>
    </xf>
    <xf numFmtId="1" fontId="7" fillId="0" borderId="10" xfId="434" applyNumberFormat="1" applyFont="1" applyFill="1" applyBorder="1" applyAlignment="1" applyProtection="1">
      <alignment vertical="center"/>
    </xf>
    <xf numFmtId="0" fontId="7" fillId="0" borderId="10" xfId="373" applyFont="1" applyBorder="1" applyAlignment="1">
      <alignment vertical="center"/>
    </xf>
    <xf numFmtId="0" fontId="208" fillId="0" borderId="10" xfId="373" applyFont="1" applyBorder="1" applyAlignment="1">
      <alignment horizontal="center" vertical="center"/>
    </xf>
    <xf numFmtId="0" fontId="7" fillId="0" borderId="10" xfId="373" applyFont="1" applyBorder="1" applyAlignment="1">
      <alignment horizontal="center"/>
    </xf>
    <xf numFmtId="49" fontId="7" fillId="0" borderId="26" xfId="434" applyNumberFormat="1" applyFont="1" applyFill="1" applyBorder="1" applyAlignment="1">
      <alignment horizontal="right" vertical="center"/>
    </xf>
    <xf numFmtId="49" fontId="7" fillId="0" borderId="304" xfId="434" applyNumberFormat="1" applyFont="1" applyFill="1" applyBorder="1" applyAlignment="1">
      <alignment horizontal="right" vertical="center"/>
    </xf>
    <xf numFmtId="49" fontId="7" fillId="0" borderId="23" xfId="434" applyNumberFormat="1" applyFont="1" applyFill="1" applyBorder="1" applyAlignment="1">
      <alignment horizontal="center" vertical="center"/>
    </xf>
    <xf numFmtId="0" fontId="7" fillId="0" borderId="23" xfId="373" applyFont="1" applyBorder="1" applyAlignment="1">
      <alignment vertical="center"/>
    </xf>
    <xf numFmtId="0" fontId="208" fillId="0" borderId="23" xfId="373" applyFont="1" applyBorder="1" applyAlignment="1">
      <alignment horizontal="center" vertical="center"/>
    </xf>
    <xf numFmtId="0" fontId="7" fillId="0" borderId="23" xfId="373" applyFont="1" applyBorder="1" applyAlignment="1">
      <alignment horizontal="center"/>
    </xf>
    <xf numFmtId="1" fontId="7" fillId="0" borderId="23" xfId="434" applyNumberFormat="1" applyFont="1" applyFill="1" applyBorder="1" applyAlignment="1" applyProtection="1">
      <alignment vertical="center"/>
    </xf>
    <xf numFmtId="49" fontId="9" fillId="0" borderId="62" xfId="434" applyNumberFormat="1" applyFont="1" applyFill="1" applyBorder="1" applyAlignment="1">
      <alignment horizontal="center" vertical="center"/>
    </xf>
    <xf numFmtId="0" fontId="9" fillId="0" borderId="62" xfId="0" applyFont="1" applyFill="1" applyBorder="1" applyAlignment="1">
      <alignment vertical="center"/>
    </xf>
    <xf numFmtId="0" fontId="9" fillId="0" borderId="62" xfId="0" applyFont="1" applyFill="1" applyBorder="1" applyAlignment="1">
      <alignment horizontal="center" vertical="center"/>
    </xf>
    <xf numFmtId="1" fontId="9" fillId="0" borderId="62" xfId="434" applyNumberFormat="1" applyFont="1" applyFill="1" applyBorder="1" applyAlignment="1" applyProtection="1">
      <alignment vertical="center"/>
    </xf>
    <xf numFmtId="49" fontId="7" fillId="0" borderId="103" xfId="434" applyNumberFormat="1" applyFont="1" applyFill="1" applyBorder="1" applyAlignment="1">
      <alignment horizontal="right" vertical="center"/>
    </xf>
    <xf numFmtId="49" fontId="7" fillId="0" borderId="31" xfId="434" applyNumberFormat="1" applyFont="1" applyFill="1" applyBorder="1" applyAlignment="1">
      <alignment horizontal="center" vertical="center"/>
    </xf>
    <xf numFmtId="0" fontId="7" fillId="31" borderId="31" xfId="373" applyFont="1" applyFill="1" applyBorder="1" applyAlignment="1">
      <alignment vertical="center"/>
    </xf>
    <xf numFmtId="0" fontId="208" fillId="31" borderId="31" xfId="373" applyFont="1" applyFill="1" applyBorder="1" applyAlignment="1">
      <alignment horizontal="center" vertical="center"/>
    </xf>
    <xf numFmtId="0" fontId="7" fillId="31" borderId="31" xfId="373" applyFont="1" applyFill="1" applyBorder="1" applyAlignment="1">
      <alignment horizontal="center"/>
    </xf>
    <xf numFmtId="1" fontId="7" fillId="0" borderId="31" xfId="434" applyNumberFormat="1" applyFont="1" applyFill="1" applyBorder="1" applyAlignment="1" applyProtection="1">
      <alignment horizontal="center" vertical="center"/>
    </xf>
    <xf numFmtId="1" fontId="7" fillId="0" borderId="31" xfId="434" applyNumberFormat="1" applyFont="1" applyFill="1" applyBorder="1" applyAlignment="1" applyProtection="1">
      <alignment vertical="center"/>
    </xf>
    <xf numFmtId="49" fontId="7" fillId="0" borderId="36" xfId="434" applyNumberFormat="1" applyFont="1" applyFill="1" applyBorder="1" applyAlignment="1" applyProtection="1">
      <alignment vertical="center"/>
    </xf>
    <xf numFmtId="49" fontId="7" fillId="0" borderId="35" xfId="434" applyNumberFormat="1" applyFont="1" applyFill="1" applyBorder="1" applyAlignment="1" applyProtection="1">
      <alignment horizontal="center" vertical="center"/>
    </xf>
    <xf numFmtId="173" fontId="92" fillId="0" borderId="35" xfId="414" applyNumberFormat="1" applyFont="1" applyBorder="1"/>
    <xf numFmtId="173" fontId="7" fillId="0" borderId="35" xfId="434" applyNumberFormat="1" applyFont="1" applyFill="1" applyBorder="1" applyAlignment="1">
      <alignment horizontal="center" vertical="center"/>
    </xf>
    <xf numFmtId="49" fontId="7" fillId="0" borderId="35" xfId="434" applyNumberFormat="1" applyFont="1" applyFill="1" applyBorder="1" applyAlignment="1">
      <alignment vertical="center"/>
    </xf>
    <xf numFmtId="1" fontId="7" fillId="0" borderId="35" xfId="434" applyNumberFormat="1" applyFont="1" applyFill="1" applyBorder="1" applyAlignment="1">
      <alignment vertical="center"/>
    </xf>
    <xf numFmtId="173" fontId="7" fillId="0" borderId="35" xfId="434" applyNumberFormat="1" applyFont="1" applyFill="1" applyBorder="1" applyAlignment="1">
      <alignment vertical="center"/>
    </xf>
    <xf numFmtId="171" fontId="7" fillId="0" borderId="102" xfId="434" applyNumberFormat="1" applyFont="1" applyFill="1" applyBorder="1" applyAlignment="1" applyProtection="1">
      <alignment vertical="center"/>
    </xf>
    <xf numFmtId="1" fontId="284" fillId="71" borderId="479" xfId="0" applyNumberFormat="1" applyFont="1" applyFill="1" applyBorder="1" applyAlignment="1">
      <alignment horizontal="center" vertical="center"/>
    </xf>
    <xf numFmtId="166" fontId="284" fillId="77" borderId="479" xfId="271" applyNumberFormat="1" applyFont="1" applyFill="1" applyBorder="1" applyAlignment="1">
      <alignment horizontal="center" vertical="center"/>
    </xf>
    <xf numFmtId="1" fontId="284" fillId="71" borderId="479" xfId="0" applyNumberFormat="1" applyFont="1" applyFill="1" applyBorder="1" applyAlignment="1" applyProtection="1">
      <alignment horizontal="center" vertical="center"/>
      <protection locked="0"/>
    </xf>
    <xf numFmtId="1" fontId="49" fillId="93" borderId="478" xfId="0" applyNumberFormat="1" applyFont="1" applyFill="1" applyBorder="1" applyAlignment="1" applyProtection="1">
      <alignment horizontal="center" vertical="center"/>
      <protection locked="0"/>
    </xf>
    <xf numFmtId="1" fontId="49" fillId="42" borderId="478" xfId="0" applyNumberFormat="1" applyFont="1" applyFill="1" applyBorder="1" applyAlignment="1" applyProtection="1">
      <alignment horizontal="center" vertical="center"/>
      <protection locked="0"/>
    </xf>
    <xf numFmtId="1" fontId="49" fillId="93" borderId="479" xfId="0" applyNumberFormat="1" applyFont="1" applyFill="1" applyBorder="1" applyAlignment="1" applyProtection="1">
      <alignment horizontal="center" vertical="center"/>
      <protection locked="0"/>
    </xf>
    <xf numFmtId="1" fontId="203" fillId="71" borderId="475" xfId="0" applyNumberFormat="1" applyFont="1" applyFill="1" applyBorder="1" applyAlignment="1">
      <alignment horizontal="center" vertical="center"/>
    </xf>
    <xf numFmtId="1" fontId="203" fillId="71" borderId="479" xfId="0" applyNumberFormat="1" applyFont="1" applyFill="1" applyBorder="1" applyAlignment="1">
      <alignment horizontal="center" vertical="center"/>
    </xf>
    <xf numFmtId="1" fontId="203" fillId="71" borderId="478" xfId="0" applyNumberFormat="1" applyFont="1" applyFill="1" applyBorder="1" applyAlignment="1">
      <alignment horizontal="center" vertical="center"/>
    </xf>
    <xf numFmtId="49" fontId="9" fillId="0" borderId="79" xfId="434" applyNumberFormat="1" applyFont="1" applyFill="1" applyBorder="1" applyAlignment="1">
      <alignment horizontal="right" vertical="center"/>
    </xf>
    <xf numFmtId="1" fontId="9" fillId="0" borderId="62" xfId="434" applyNumberFormat="1" applyFont="1" applyFill="1" applyBorder="1" applyAlignment="1" applyProtection="1">
      <alignment horizontal="center" vertical="center"/>
    </xf>
    <xf numFmtId="173" fontId="171" fillId="0" borderId="63" xfId="414" applyNumberFormat="1" applyFont="1" applyBorder="1" applyAlignment="1"/>
    <xf numFmtId="165" fontId="337" fillId="0" borderId="0" xfId="401" applyNumberFormat="1" applyFont="1" applyFill="1" applyBorder="1" applyAlignment="1">
      <alignment horizontal="center" vertical="center"/>
    </xf>
    <xf numFmtId="165" fontId="337" fillId="0" borderId="0" xfId="0" applyNumberFormat="1" applyFont="1" applyFill="1" applyBorder="1" applyAlignment="1">
      <alignment horizontal="center" vertical="center"/>
    </xf>
    <xf numFmtId="173" fontId="7" fillId="0" borderId="76" xfId="429" applyNumberFormat="1" applyFont="1" applyFill="1" applyBorder="1" applyAlignment="1">
      <alignment vertical="center"/>
    </xf>
    <xf numFmtId="0" fontId="365" fillId="0" borderId="0" xfId="0" applyFont="1" applyFill="1" applyBorder="1" applyAlignment="1">
      <alignment horizontal="center" vertical="center" wrapText="1"/>
    </xf>
    <xf numFmtId="1" fontId="245" fillId="0" borderId="0" xfId="430" applyNumberFormat="1" applyFont="1" applyFill="1" applyBorder="1" applyAlignment="1">
      <alignment horizontal="center" vertical="center"/>
    </xf>
    <xf numFmtId="0" fontId="363" fillId="0" borderId="0" xfId="0" applyFont="1" applyFill="1" applyBorder="1" applyAlignment="1">
      <alignment horizontal="center" vertical="center" wrapText="1"/>
    </xf>
    <xf numFmtId="0" fontId="364" fillId="0" borderId="0" xfId="0" applyFont="1" applyFill="1" applyBorder="1" applyAlignment="1">
      <alignment horizontal="center" vertical="center" wrapText="1"/>
    </xf>
    <xf numFmtId="0" fontId="362" fillId="0" borderId="0" xfId="0" applyFont="1" applyFill="1" applyBorder="1" applyAlignment="1">
      <alignment horizontal="center" vertical="center" wrapText="1"/>
    </xf>
    <xf numFmtId="0" fontId="366" fillId="0" borderId="0" xfId="0" applyFont="1" applyFill="1" applyBorder="1" applyAlignment="1">
      <alignment horizontal="center" vertical="center" wrapText="1"/>
    </xf>
    <xf numFmtId="2" fontId="367" fillId="27" borderId="63" xfId="0" applyNumberFormat="1" applyFont="1" applyFill="1" applyBorder="1" applyAlignment="1" applyProtection="1">
      <alignment horizontal="center" vertical="center"/>
      <protection locked="0"/>
    </xf>
    <xf numFmtId="0" fontId="368" fillId="0" borderId="85" xfId="436" applyFont="1" applyFill="1" applyBorder="1" applyAlignment="1">
      <alignment vertical="center"/>
    </xf>
    <xf numFmtId="0" fontId="368" fillId="0" borderId="175" xfId="436" applyFont="1" applyFill="1" applyBorder="1" applyAlignment="1">
      <alignment vertical="center"/>
    </xf>
    <xf numFmtId="0" fontId="336" fillId="0" borderId="175" xfId="0" applyFont="1" applyBorder="1" applyAlignment="1">
      <alignment horizontal="center" vertical="center"/>
    </xf>
    <xf numFmtId="0" fontId="336" fillId="0" borderId="175" xfId="0" applyFont="1" applyBorder="1" applyAlignment="1">
      <alignment vertical="center"/>
    </xf>
    <xf numFmtId="0" fontId="368" fillId="0" borderId="47" xfId="436" applyFont="1" applyFill="1" applyBorder="1" applyAlignment="1">
      <alignment vertical="center"/>
    </xf>
    <xf numFmtId="0" fontId="10" fillId="0" borderId="0" xfId="436" applyFont="1" applyFill="1" applyBorder="1" applyAlignment="1">
      <alignment horizontal="center" vertical="center"/>
    </xf>
    <xf numFmtId="0" fontId="336" fillId="0" borderId="0" xfId="436" applyFont="1" applyFill="1" applyBorder="1" applyAlignment="1">
      <alignment horizontal="center" vertical="center"/>
    </xf>
    <xf numFmtId="0" fontId="336" fillId="0" borderId="0" xfId="436" applyFont="1" applyFill="1" applyBorder="1" applyAlignment="1">
      <alignment vertical="center"/>
    </xf>
    <xf numFmtId="0" fontId="140" fillId="0" borderId="0" xfId="436" applyFont="1" applyFill="1" applyBorder="1" applyAlignment="1">
      <alignment vertical="center"/>
    </xf>
    <xf numFmtId="0" fontId="140" fillId="0" borderId="0" xfId="436" applyFont="1" applyBorder="1" applyAlignment="1">
      <alignment vertical="center"/>
    </xf>
    <xf numFmtId="0" fontId="124" fillId="0" borderId="42" xfId="0" applyFont="1" applyBorder="1" applyAlignment="1">
      <alignment vertical="center"/>
    </xf>
    <xf numFmtId="0" fontId="140" fillId="0" borderId="42" xfId="436" applyFont="1" applyFill="1" applyBorder="1" applyAlignment="1" applyProtection="1">
      <alignment horizontal="left" vertical="center"/>
      <protection locked="0"/>
    </xf>
    <xf numFmtId="0" fontId="140" fillId="0" borderId="42" xfId="436" applyFont="1" applyBorder="1" applyAlignment="1" applyProtection="1">
      <alignment vertical="center"/>
      <protection locked="0"/>
    </xf>
    <xf numFmtId="0" fontId="124" fillId="0" borderId="0" xfId="436" applyFont="1" applyBorder="1" applyAlignment="1">
      <alignment vertical="center"/>
    </xf>
    <xf numFmtId="20" fontId="50" fillId="0" borderId="79" xfId="430" applyNumberFormat="1" applyFont="1" applyFill="1" applyBorder="1" applyAlignment="1">
      <alignment horizontal="center" vertical="center"/>
    </xf>
    <xf numFmtId="173" fontId="181" fillId="0" borderId="13" xfId="401" applyNumberFormat="1" applyFont="1" applyBorder="1" applyAlignment="1"/>
    <xf numFmtId="173" fontId="166" fillId="0" borderId="13" xfId="401" applyNumberFormat="1" applyFont="1" applyBorder="1" applyAlignment="1"/>
    <xf numFmtId="173" fontId="92" fillId="0" borderId="183" xfId="0" applyNumberFormat="1" applyFont="1" applyFill="1" applyBorder="1" applyAlignment="1" applyProtection="1">
      <alignment horizontal="left"/>
    </xf>
    <xf numFmtId="173" fontId="26" fillId="0" borderId="182" xfId="414" applyNumberFormat="1" applyFont="1" applyFill="1" applyBorder="1" applyAlignment="1">
      <alignment vertical="center"/>
    </xf>
    <xf numFmtId="173" fontId="92" fillId="0" borderId="183" xfId="414" applyNumberFormat="1" applyFont="1" applyBorder="1"/>
    <xf numFmtId="173" fontId="92" fillId="0" borderId="183" xfId="414" applyNumberFormat="1" applyFont="1" applyBorder="1" applyAlignment="1">
      <alignment horizontal="left"/>
    </xf>
    <xf numFmtId="173" fontId="92" fillId="0" borderId="183" xfId="414" applyNumberFormat="1" applyFont="1" applyBorder="1" applyAlignment="1">
      <alignment horizontal="left" vertical="top"/>
    </xf>
    <xf numFmtId="0" fontId="122" fillId="0" borderId="13" xfId="0" applyFont="1" applyBorder="1" applyAlignment="1" applyProtection="1">
      <alignment horizontal="left" vertical="center"/>
      <protection locked="0"/>
    </xf>
    <xf numFmtId="0" fontId="122" fillId="0" borderId="13" xfId="0" applyFont="1" applyBorder="1" applyAlignment="1">
      <alignment vertical="center"/>
    </xf>
    <xf numFmtId="173" fontId="126" fillId="50" borderId="92" xfId="0" applyNumberFormat="1" applyFont="1" applyFill="1" applyBorder="1" applyAlignment="1">
      <alignment horizontal="center" vertical="center" wrapText="1"/>
    </xf>
    <xf numFmtId="0" fontId="213" fillId="24" borderId="96" xfId="0" applyNumberFormat="1" applyFont="1" applyFill="1" applyBorder="1" applyAlignment="1">
      <alignment horizontal="center" vertical="center" wrapText="1"/>
    </xf>
    <xf numFmtId="173" fontId="213" fillId="30" borderId="92" xfId="0" applyNumberFormat="1" applyFont="1" applyFill="1" applyBorder="1" applyAlignment="1">
      <alignment horizontal="center" vertical="center" wrapText="1"/>
    </xf>
    <xf numFmtId="173" fontId="213" fillId="30" borderId="10" xfId="0" applyNumberFormat="1" applyFont="1" applyFill="1" applyBorder="1" applyAlignment="1">
      <alignment vertical="center" wrapText="1"/>
    </xf>
    <xf numFmtId="173" fontId="376" fillId="30" borderId="92" xfId="0" applyNumberFormat="1" applyFont="1" applyFill="1" applyBorder="1" applyAlignment="1">
      <alignment horizontal="center" vertical="center" wrapText="1"/>
    </xf>
    <xf numFmtId="173" fontId="213" fillId="30" borderId="442" xfId="0" applyNumberFormat="1" applyFont="1" applyFill="1" applyBorder="1" applyAlignment="1">
      <alignment horizontal="center" vertical="center" wrapText="1"/>
    </xf>
    <xf numFmtId="0" fontId="213" fillId="0" borderId="0" xfId="0" applyFont="1"/>
    <xf numFmtId="20" fontId="212" fillId="95" borderId="12" xfId="0" quotePrefix="1" applyNumberFormat="1" applyFont="1" applyFill="1" applyBorder="1" applyAlignment="1">
      <alignment horizontal="center" vertical="center"/>
    </xf>
    <xf numFmtId="20" fontId="212" fillId="95" borderId="12" xfId="0" applyNumberFormat="1" applyFont="1" applyFill="1" applyBorder="1" applyAlignment="1">
      <alignment horizontal="center" vertical="center"/>
    </xf>
    <xf numFmtId="20" fontId="212" fillId="77" borderId="471" xfId="0" applyNumberFormat="1" applyFont="1" applyFill="1" applyBorder="1" applyAlignment="1">
      <alignment horizontal="center" vertical="center"/>
    </xf>
    <xf numFmtId="20" fontId="212" fillId="26" borderId="471" xfId="0" applyNumberFormat="1" applyFont="1" applyFill="1" applyBorder="1" applyAlignment="1">
      <alignment horizontal="center" vertical="center"/>
    </xf>
    <xf numFmtId="0" fontId="377" fillId="0" borderId="48" xfId="0" applyFont="1" applyBorder="1" applyAlignment="1"/>
    <xf numFmtId="0" fontId="377" fillId="0" borderId="48" xfId="0" applyFont="1" applyBorder="1"/>
    <xf numFmtId="173" fontId="81" fillId="96" borderId="92" xfId="0" applyNumberFormat="1" applyFont="1" applyFill="1" applyBorder="1" applyAlignment="1">
      <alignment horizontal="center" vertical="center" wrapText="1"/>
    </xf>
    <xf numFmtId="173" fontId="236" fillId="76" borderId="92" xfId="0" applyNumberFormat="1" applyFont="1" applyFill="1" applyBorder="1" applyAlignment="1">
      <alignment horizontal="center" vertical="center" wrapText="1"/>
    </xf>
    <xf numFmtId="0" fontId="280" fillId="0" borderId="0" xfId="0" applyFont="1"/>
    <xf numFmtId="0" fontId="280" fillId="0" borderId="297" xfId="0" applyFont="1" applyBorder="1"/>
    <xf numFmtId="0" fontId="280" fillId="0" borderId="0" xfId="0" applyFont="1" applyFill="1"/>
    <xf numFmtId="0" fontId="7" fillId="0" borderId="12" xfId="423" applyNumberFormat="1" applyFont="1" applyBorder="1" applyAlignment="1">
      <alignment wrapText="1"/>
    </xf>
    <xf numFmtId="166" fontId="140" fillId="100" borderId="44" xfId="271" applyNumberFormat="1" applyFont="1" applyFill="1" applyBorder="1" applyAlignment="1">
      <alignment vertical="center"/>
    </xf>
    <xf numFmtId="166" fontId="140" fillId="100" borderId="72" xfId="271" applyNumberFormat="1" applyFont="1" applyFill="1" applyBorder="1" applyAlignment="1">
      <alignment vertical="center"/>
    </xf>
    <xf numFmtId="1" fontId="180" fillId="39" borderId="10" xfId="0" applyNumberFormat="1" applyFont="1" applyFill="1" applyBorder="1" applyAlignment="1">
      <alignment horizontal="center"/>
    </xf>
    <xf numFmtId="173" fontId="378" fillId="0" borderId="32" xfId="435" applyNumberFormat="1" applyFont="1" applyBorder="1" applyProtection="1"/>
    <xf numFmtId="173" fontId="14" fillId="0" borderId="485" xfId="435" applyNumberFormat="1" applyFont="1" applyBorder="1" applyProtection="1"/>
    <xf numFmtId="173" fontId="378" fillId="0" borderId="275" xfId="435" applyNumberFormat="1" applyFont="1" applyBorder="1"/>
    <xf numFmtId="173" fontId="14" fillId="0" borderId="276" xfId="435" applyNumberFormat="1" applyFont="1" applyBorder="1" applyProtection="1"/>
    <xf numFmtId="173" fontId="14" fillId="0" borderId="79" xfId="435" applyNumberFormat="1" applyFont="1" applyBorder="1" applyAlignment="1" applyProtection="1">
      <alignment horizontal="center"/>
    </xf>
    <xf numFmtId="1" fontId="14" fillId="0" borderId="184" xfId="435" applyNumberFormat="1" applyFont="1" applyBorder="1" applyAlignment="1" applyProtection="1">
      <alignment horizontal="center"/>
    </xf>
    <xf numFmtId="1" fontId="14" fillId="0" borderId="62" xfId="435" applyNumberFormat="1" applyFont="1" applyBorder="1" applyAlignment="1" applyProtection="1">
      <alignment horizontal="center"/>
    </xf>
    <xf numFmtId="173" fontId="14" fillId="0" borderId="39" xfId="435" applyNumberFormat="1" applyFont="1" applyFill="1" applyBorder="1" applyAlignment="1" applyProtection="1">
      <alignment horizontal="center"/>
    </xf>
    <xf numFmtId="173" fontId="13" fillId="0" borderId="302" xfId="435" applyNumberFormat="1" applyFont="1" applyBorder="1" applyAlignment="1" applyProtection="1"/>
    <xf numFmtId="173" fontId="13" fillId="0" borderId="32" xfId="435" applyNumberFormat="1" applyFont="1" applyBorder="1" applyAlignment="1" applyProtection="1"/>
    <xf numFmtId="173" fontId="13" fillId="0" borderId="33" xfId="435" applyNumberFormat="1" applyFont="1" applyBorder="1" applyAlignment="1" applyProtection="1"/>
    <xf numFmtId="173" fontId="13" fillId="0" borderId="485" xfId="435" applyNumberFormat="1" applyFont="1" applyBorder="1" applyAlignment="1" applyProtection="1"/>
    <xf numFmtId="173" fontId="13" fillId="0" borderId="311" xfId="435" applyNumberFormat="1" applyFont="1" applyBorder="1" applyAlignment="1" applyProtection="1"/>
    <xf numFmtId="173" fontId="13" fillId="0" borderId="32" xfId="435" applyNumberFormat="1" applyFont="1" applyBorder="1" applyAlignment="1"/>
    <xf numFmtId="173" fontId="13" fillId="0" borderId="33" xfId="435" applyNumberFormat="1" applyFont="1" applyBorder="1" applyAlignment="1"/>
    <xf numFmtId="173" fontId="13" fillId="0" borderId="276" xfId="435" applyNumberFormat="1" applyFont="1" applyBorder="1" applyAlignment="1"/>
    <xf numFmtId="0" fontId="363" fillId="0" borderId="483" xfId="0" applyFont="1" applyBorder="1" applyAlignment="1">
      <alignment horizontal="center" vertical="center" wrapText="1"/>
    </xf>
    <xf numFmtId="0" fontId="100" fillId="34" borderId="483" xfId="0" applyFont="1" applyFill="1" applyBorder="1" applyAlignment="1">
      <alignment horizontal="center" vertical="center" wrapText="1"/>
    </xf>
    <xf numFmtId="0" fontId="280" fillId="0" borderId="13" xfId="0" applyFont="1" applyFill="1" applyBorder="1"/>
    <xf numFmtId="0" fontId="381" fillId="0" borderId="487" xfId="0" applyFont="1" applyBorder="1" applyAlignment="1">
      <alignment wrapText="1"/>
    </xf>
    <xf numFmtId="1" fontId="204" fillId="97" borderId="62" xfId="0" applyNumberFormat="1" applyFont="1" applyFill="1" applyBorder="1" applyAlignment="1" applyProtection="1">
      <protection locked="0"/>
    </xf>
    <xf numFmtId="1" fontId="284" fillId="71" borderId="484" xfId="0" applyNumberFormat="1" applyFont="1" applyFill="1" applyBorder="1" applyAlignment="1">
      <alignment horizontal="center" vertical="center"/>
    </xf>
    <xf numFmtId="166" fontId="284" fillId="77" borderId="484" xfId="271" applyNumberFormat="1" applyFont="1" applyFill="1" applyBorder="1" applyAlignment="1">
      <alignment horizontal="center" vertical="center"/>
    </xf>
    <xf numFmtId="1" fontId="284" fillId="71" borderId="484" xfId="0" applyNumberFormat="1" applyFont="1" applyFill="1" applyBorder="1" applyAlignment="1" applyProtection="1">
      <alignment horizontal="center" vertical="center"/>
      <protection locked="0"/>
    </xf>
    <xf numFmtId="1" fontId="284" fillId="79" borderId="475" xfId="0" applyNumberFormat="1" applyFont="1" applyFill="1" applyBorder="1" applyAlignment="1" applyProtection="1">
      <alignment horizontal="center" vertical="center"/>
      <protection locked="0"/>
    </xf>
    <xf numFmtId="166" fontId="284" fillId="79" borderId="475" xfId="271" applyNumberFormat="1" applyFont="1" applyFill="1" applyBorder="1" applyAlignment="1">
      <alignment horizontal="center" vertical="center"/>
    </xf>
    <xf numFmtId="1" fontId="284" fillId="78" borderId="475" xfId="0" applyNumberFormat="1" applyFont="1" applyFill="1" applyBorder="1" applyAlignment="1" applyProtection="1">
      <alignment horizontal="center" vertical="center"/>
      <protection locked="0"/>
    </xf>
    <xf numFmtId="1" fontId="284" fillId="79" borderId="488" xfId="0" applyNumberFormat="1" applyFont="1" applyFill="1" applyBorder="1" applyAlignment="1" applyProtection="1">
      <alignment horizontal="center" vertical="center"/>
      <protection locked="0"/>
    </xf>
    <xf numFmtId="1" fontId="203" fillId="39" borderId="484" xfId="0" applyNumberFormat="1" applyFont="1" applyFill="1" applyBorder="1" applyAlignment="1" applyProtection="1">
      <alignment horizontal="center" vertical="center"/>
      <protection locked="0"/>
    </xf>
    <xf numFmtId="1" fontId="382" fillId="35" borderId="62" xfId="0" applyNumberFormat="1" applyFont="1" applyFill="1" applyBorder="1" applyAlignment="1" applyProtection="1">
      <alignment horizontal="center" vertical="center"/>
      <protection locked="0"/>
    </xf>
    <xf numFmtId="0" fontId="363" fillId="63" borderId="0" xfId="0" applyFont="1" applyFill="1" applyBorder="1" applyAlignment="1">
      <alignment horizontal="center" vertical="center" wrapText="1"/>
    </xf>
    <xf numFmtId="0" fontId="363" fillId="0" borderId="0" xfId="0" applyFont="1" applyBorder="1" applyAlignment="1">
      <alignment horizontal="center" vertical="center" wrapText="1"/>
    </xf>
    <xf numFmtId="0" fontId="363" fillId="101" borderId="0" xfId="0" applyFont="1" applyFill="1" applyBorder="1" applyAlignment="1">
      <alignment horizontal="center" vertical="center" wrapText="1"/>
    </xf>
    <xf numFmtId="0" fontId="381" fillId="0" borderId="0" xfId="0" applyFont="1" applyBorder="1" applyAlignment="1">
      <alignment horizontal="right" wrapText="1"/>
    </xf>
    <xf numFmtId="0" fontId="100" fillId="34" borderId="0" xfId="0" applyFont="1" applyFill="1" applyBorder="1" applyAlignment="1">
      <alignment horizontal="center" vertical="center" wrapText="1"/>
    </xf>
    <xf numFmtId="0" fontId="121" fillId="0" borderId="0" xfId="0" applyFont="1"/>
    <xf numFmtId="0" fontId="224" fillId="0" borderId="0" xfId="0" quotePrefix="1" applyFont="1"/>
    <xf numFmtId="1" fontId="284" fillId="71" borderId="492" xfId="0" applyNumberFormat="1" applyFont="1" applyFill="1" applyBorder="1" applyAlignment="1">
      <alignment horizontal="center" vertical="center"/>
    </xf>
    <xf numFmtId="166" fontId="284" fillId="77" borderId="492" xfId="271" applyNumberFormat="1" applyFont="1" applyFill="1" applyBorder="1" applyAlignment="1">
      <alignment horizontal="center" vertical="center"/>
    </xf>
    <xf numFmtId="1" fontId="284" fillId="71" borderId="492" xfId="0" applyNumberFormat="1" applyFont="1" applyFill="1" applyBorder="1" applyAlignment="1" applyProtection="1">
      <alignment horizontal="center" vertical="center"/>
      <protection locked="0"/>
    </xf>
    <xf numFmtId="1" fontId="284" fillId="71" borderId="493" xfId="0" applyNumberFormat="1" applyFont="1" applyFill="1" applyBorder="1" applyAlignment="1">
      <alignment horizontal="center" vertical="center"/>
    </xf>
    <xf numFmtId="1" fontId="49" fillId="89" borderId="269" xfId="0" applyNumberFormat="1" applyFont="1" applyFill="1" applyBorder="1" applyAlignment="1" applyProtection="1">
      <alignment horizontal="center" vertical="center"/>
      <protection locked="0"/>
    </xf>
    <xf numFmtId="1" fontId="49" fillId="89" borderId="97" xfId="0" applyNumberFormat="1" applyFont="1" applyFill="1" applyBorder="1" applyAlignment="1" applyProtection="1">
      <alignment horizontal="center" vertical="center"/>
      <protection locked="0"/>
    </xf>
    <xf numFmtId="1" fontId="49" fillId="89" borderId="494" xfId="0" applyNumberFormat="1" applyFont="1" applyFill="1" applyBorder="1" applyAlignment="1" applyProtection="1">
      <alignment horizontal="center" vertical="center"/>
      <protection locked="0"/>
    </xf>
    <xf numFmtId="1" fontId="49" fillId="89" borderId="495" xfId="0" applyNumberFormat="1" applyFont="1" applyFill="1" applyBorder="1" applyAlignment="1" applyProtection="1">
      <alignment horizontal="center" vertical="center"/>
      <protection locked="0"/>
    </xf>
    <xf numFmtId="1" fontId="2" fillId="89" borderId="183" xfId="0" applyNumberFormat="1" applyFont="1" applyFill="1" applyBorder="1" applyAlignment="1" applyProtection="1">
      <alignment horizontal="center" vertical="center"/>
      <protection locked="0"/>
    </xf>
    <xf numFmtId="1" fontId="203" fillId="71" borderId="496" xfId="0" applyNumberFormat="1" applyFont="1" applyFill="1" applyBorder="1" applyAlignment="1">
      <alignment horizontal="center" vertical="center"/>
    </xf>
    <xf numFmtId="1" fontId="382" fillId="35" borderId="184" xfId="0" applyNumberFormat="1" applyFont="1" applyFill="1" applyBorder="1" applyAlignment="1">
      <alignment horizontal="center" vertical="center"/>
    </xf>
    <xf numFmtId="0" fontId="369" fillId="0" borderId="185" xfId="436" applyFont="1" applyBorder="1" applyAlignment="1">
      <alignment vertical="center"/>
    </xf>
    <xf numFmtId="0" fontId="336" fillId="0" borderId="297" xfId="436" applyNumberFormat="1" applyFont="1" applyFill="1" applyBorder="1" applyAlignment="1" applyProtection="1">
      <alignment horizontal="right" vertical="center"/>
      <protection locked="0"/>
    </xf>
    <xf numFmtId="0" fontId="336" fillId="0" borderId="297" xfId="436" applyFont="1" applyFill="1" applyBorder="1" applyAlignment="1">
      <alignment horizontal="right" vertical="center"/>
    </xf>
    <xf numFmtId="0" fontId="368" fillId="0" borderId="297" xfId="436" applyFont="1" applyBorder="1" applyAlignment="1">
      <alignment vertical="center"/>
    </xf>
    <xf numFmtId="0" fontId="368" fillId="0" borderId="41" xfId="436" applyFont="1" applyBorder="1" applyAlignment="1" applyProtection="1">
      <alignment vertical="center"/>
      <protection locked="0"/>
    </xf>
    <xf numFmtId="173" fontId="7" fillId="0" borderId="74" xfId="429" applyNumberFormat="1" applyFont="1" applyFill="1" applyBorder="1" applyAlignment="1">
      <alignment vertical="center"/>
    </xf>
    <xf numFmtId="1" fontId="7" fillId="0" borderId="74" xfId="429" applyNumberFormat="1" applyFont="1" applyFill="1" applyBorder="1" applyAlignment="1">
      <alignment horizontal="center" vertical="center"/>
    </xf>
    <xf numFmtId="20" fontId="20" fillId="0" borderId="74" xfId="429" applyNumberFormat="1" applyFont="1" applyFill="1" applyBorder="1" applyAlignment="1">
      <alignment vertical="center"/>
    </xf>
    <xf numFmtId="166" fontId="140" fillId="54" borderId="72" xfId="271" applyNumberFormat="1" applyFont="1" applyFill="1" applyBorder="1" applyAlignment="1">
      <alignment horizontal="center" vertical="center"/>
    </xf>
    <xf numFmtId="0" fontId="384" fillId="0" borderId="0" xfId="0" applyFont="1" applyBorder="1" applyAlignment="1">
      <alignment vertical="center"/>
    </xf>
    <xf numFmtId="166" fontId="140" fillId="104" borderId="44" xfId="271" applyNumberFormat="1" applyFont="1" applyFill="1" applyBorder="1" applyAlignment="1">
      <alignment vertical="center"/>
    </xf>
    <xf numFmtId="166" fontId="140" fillId="104" borderId="72" xfId="271" applyNumberFormat="1" applyFont="1" applyFill="1" applyBorder="1" applyAlignment="1">
      <alignment vertical="center"/>
    </xf>
    <xf numFmtId="173" fontId="213" fillId="105" borderId="92" xfId="0" applyNumberFormat="1" applyFont="1" applyFill="1" applyBorder="1" applyAlignment="1">
      <alignment horizontal="center" vertical="center" wrapText="1"/>
    </xf>
    <xf numFmtId="0" fontId="384" fillId="0" borderId="0" xfId="0" applyFont="1" applyBorder="1" applyAlignment="1"/>
    <xf numFmtId="0" fontId="384" fillId="0" borderId="0" xfId="0" applyFont="1" applyBorder="1"/>
    <xf numFmtId="1" fontId="284" fillId="79" borderId="496" xfId="0" applyNumberFormat="1" applyFont="1" applyFill="1" applyBorder="1" applyAlignment="1" applyProtection="1">
      <alignment horizontal="center" vertical="center"/>
      <protection locked="0"/>
    </xf>
    <xf numFmtId="166" fontId="284" fillId="79" borderId="496" xfId="271" applyNumberFormat="1" applyFont="1" applyFill="1" applyBorder="1" applyAlignment="1">
      <alignment horizontal="center" vertical="center"/>
    </xf>
    <xf numFmtId="1" fontId="284" fillId="78" borderId="496" xfId="0" applyNumberFormat="1" applyFont="1" applyFill="1" applyBorder="1" applyAlignment="1" applyProtection="1">
      <alignment horizontal="center" vertical="center"/>
      <protection locked="0"/>
    </xf>
    <xf numFmtId="1" fontId="284" fillId="79" borderId="507" xfId="0" applyNumberFormat="1" applyFont="1" applyFill="1" applyBorder="1" applyAlignment="1" applyProtection="1">
      <alignment horizontal="center" vertical="center"/>
      <protection locked="0"/>
    </xf>
    <xf numFmtId="1" fontId="203" fillId="39" borderId="496" xfId="0" applyNumberFormat="1" applyFont="1" applyFill="1" applyBorder="1" applyAlignment="1" applyProtection="1">
      <alignment horizontal="center" vertical="center"/>
      <protection locked="0"/>
    </xf>
    <xf numFmtId="1" fontId="382" fillId="35" borderId="184" xfId="0" applyNumberFormat="1" applyFont="1" applyFill="1" applyBorder="1" applyAlignment="1" applyProtection="1">
      <alignment horizontal="center" vertical="center"/>
      <protection locked="0"/>
    </xf>
    <xf numFmtId="1" fontId="203" fillId="39" borderId="506" xfId="0" applyNumberFormat="1" applyFont="1" applyFill="1" applyBorder="1" applyAlignment="1" applyProtection="1">
      <alignment horizontal="center" vertical="center"/>
      <protection locked="0"/>
    </xf>
    <xf numFmtId="1" fontId="203" fillId="39" borderId="505" xfId="0" applyNumberFormat="1" applyFont="1" applyFill="1" applyBorder="1" applyAlignment="1" applyProtection="1">
      <alignment horizontal="center" vertical="center"/>
      <protection locked="0"/>
    </xf>
    <xf numFmtId="173" fontId="7" fillId="47" borderId="70" xfId="429" applyNumberFormat="1" applyFont="1" applyFill="1" applyBorder="1" applyAlignment="1">
      <alignment vertical="center"/>
    </xf>
    <xf numFmtId="173" fontId="7" fillId="47" borderId="70" xfId="429" applyNumberFormat="1" applyFont="1" applyFill="1" applyBorder="1" applyAlignment="1">
      <alignment horizontal="center" vertical="center"/>
    </xf>
    <xf numFmtId="173" fontId="7" fillId="47" borderId="60" xfId="429" applyNumberFormat="1" applyFont="1" applyFill="1" applyBorder="1" applyAlignment="1">
      <alignment horizontal="center" vertical="center"/>
    </xf>
    <xf numFmtId="1" fontId="7" fillId="47" borderId="70" xfId="429" applyNumberFormat="1" applyFont="1" applyFill="1" applyBorder="1" applyAlignment="1">
      <alignment horizontal="center" vertical="center"/>
    </xf>
    <xf numFmtId="1" fontId="7" fillId="47" borderId="15" xfId="429" applyNumberFormat="1" applyFont="1" applyFill="1" applyBorder="1" applyAlignment="1">
      <alignment horizontal="center" vertical="center"/>
    </xf>
    <xf numFmtId="1" fontId="7" fillId="47" borderId="65" xfId="428" applyNumberFormat="1" applyFont="1" applyFill="1" applyBorder="1" applyAlignment="1" applyProtection="1">
      <alignment horizontal="center" vertical="center"/>
      <protection locked="0"/>
    </xf>
    <xf numFmtId="1" fontId="311" fillId="47" borderId="65" xfId="429" applyNumberFormat="1" applyFont="1" applyFill="1" applyBorder="1" applyAlignment="1" applyProtection="1">
      <alignment horizontal="center" vertical="center"/>
    </xf>
    <xf numFmtId="20" fontId="144" fillId="47" borderId="70" xfId="429" applyNumberFormat="1" applyFont="1" applyFill="1" applyBorder="1" applyAlignment="1">
      <alignment vertical="center"/>
    </xf>
    <xf numFmtId="1" fontId="7" fillId="47" borderId="75" xfId="429" applyNumberFormat="1" applyFont="1" applyFill="1" applyBorder="1" applyAlignment="1" applyProtection="1">
      <alignment horizontal="center" vertical="center"/>
    </xf>
    <xf numFmtId="0" fontId="280" fillId="0" borderId="13" xfId="0" applyFont="1" applyBorder="1" applyAlignment="1"/>
    <xf numFmtId="1" fontId="284" fillId="71" borderId="506" xfId="0" applyNumberFormat="1" applyFont="1" applyFill="1" applyBorder="1" applyAlignment="1">
      <alignment horizontal="center" vertical="center"/>
    </xf>
    <xf numFmtId="166" fontId="284" fillId="77" borderId="506" xfId="271" applyNumberFormat="1" applyFont="1" applyFill="1" applyBorder="1" applyAlignment="1">
      <alignment horizontal="center" vertical="center"/>
    </xf>
    <xf numFmtId="1" fontId="284" fillId="71" borderId="506" xfId="0" applyNumberFormat="1" applyFont="1" applyFill="1" applyBorder="1" applyAlignment="1" applyProtection="1">
      <alignment horizontal="center" vertical="center"/>
      <protection locked="0"/>
    </xf>
    <xf numFmtId="1" fontId="284" fillId="71" borderId="509" xfId="0" applyNumberFormat="1" applyFont="1" applyFill="1" applyBorder="1" applyAlignment="1">
      <alignment horizontal="center" vertical="center"/>
    </xf>
    <xf numFmtId="1" fontId="203" fillId="71" borderId="510" xfId="0" applyNumberFormat="1" applyFont="1" applyFill="1" applyBorder="1" applyAlignment="1">
      <alignment horizontal="center" vertical="center"/>
    </xf>
    <xf numFmtId="1" fontId="203" fillId="71" borderId="511" xfId="0" applyNumberFormat="1" applyFont="1" applyFill="1" applyBorder="1" applyAlignment="1">
      <alignment horizontal="center" vertical="center"/>
    </xf>
    <xf numFmtId="17" fontId="108" fillId="0" borderId="0" xfId="0" applyNumberFormat="1" applyFont="1"/>
    <xf numFmtId="1" fontId="7" fillId="0" borderId="74" xfId="414" applyNumberFormat="1" applyFont="1" applyFill="1" applyBorder="1" applyAlignment="1">
      <alignment horizontal="center" vertical="center"/>
    </xf>
    <xf numFmtId="14" fontId="20" fillId="0" borderId="65" xfId="429" applyNumberFormat="1" applyFont="1" applyFill="1" applyBorder="1" applyAlignment="1">
      <alignment horizontal="left" vertical="center"/>
    </xf>
    <xf numFmtId="173" fontId="7" fillId="0" borderId="66" xfId="429" applyNumberFormat="1" applyFont="1" applyFill="1" applyBorder="1" applyAlignment="1">
      <alignment vertical="center"/>
    </xf>
    <xf numFmtId="0" fontId="387" fillId="0" borderId="0" xfId="0" applyFont="1"/>
    <xf numFmtId="1" fontId="387" fillId="0" borderId="0" xfId="0" applyNumberFormat="1" applyFont="1"/>
    <xf numFmtId="165" fontId="387" fillId="0" borderId="0" xfId="0" applyNumberFormat="1" applyFont="1"/>
    <xf numFmtId="0" fontId="91" fillId="61" borderId="30" xfId="0" applyFont="1" applyFill="1" applyBorder="1" applyAlignment="1">
      <alignment vertical="center"/>
    </xf>
    <xf numFmtId="0" fontId="91" fillId="46" borderId="17" xfId="0" applyFont="1" applyFill="1" applyBorder="1" applyAlignment="1">
      <alignment vertical="center"/>
    </xf>
    <xf numFmtId="1" fontId="7" fillId="46" borderId="30" xfId="0" applyNumberFormat="1" applyFont="1" applyFill="1" applyBorder="1" applyAlignment="1">
      <alignment horizontal="left"/>
    </xf>
    <xf numFmtId="1" fontId="147" fillId="46" borderId="30" xfId="0" applyNumberFormat="1" applyFont="1" applyFill="1" applyBorder="1" applyAlignment="1">
      <alignment horizontal="right"/>
    </xf>
    <xf numFmtId="1" fontId="7" fillId="46" borderId="297" xfId="0" applyNumberFormat="1" applyFont="1" applyFill="1" applyBorder="1" applyAlignment="1">
      <alignment horizontal="left"/>
    </xf>
    <xf numFmtId="1" fontId="147" fillId="46" borderId="30" xfId="428" applyNumberFormat="1" applyFont="1" applyFill="1" applyBorder="1" applyAlignment="1">
      <alignment horizontal="right"/>
    </xf>
    <xf numFmtId="1" fontId="7" fillId="46" borderId="18" xfId="0" applyNumberFormat="1" applyFont="1" applyFill="1" applyBorder="1" applyAlignment="1">
      <alignment horizontal="left"/>
    </xf>
    <xf numFmtId="1" fontId="284" fillId="71" borderId="522" xfId="0" applyNumberFormat="1" applyFont="1" applyFill="1" applyBorder="1" applyAlignment="1">
      <alignment horizontal="center" vertical="center"/>
    </xf>
    <xf numFmtId="166" fontId="284" fillId="77" borderId="522" xfId="271" applyNumberFormat="1" applyFont="1" applyFill="1" applyBorder="1" applyAlignment="1">
      <alignment horizontal="center" vertical="center"/>
    </xf>
    <xf numFmtId="1" fontId="284" fillId="71" borderId="522" xfId="0" applyNumberFormat="1" applyFont="1" applyFill="1" applyBorder="1" applyAlignment="1" applyProtection="1">
      <alignment horizontal="center" vertical="center"/>
      <protection locked="0"/>
    </xf>
    <xf numFmtId="1" fontId="284" fillId="71" borderId="523" xfId="0" applyNumberFormat="1" applyFont="1" applyFill="1" applyBorder="1" applyAlignment="1">
      <alignment horizontal="center" vertical="center"/>
    </xf>
    <xf numFmtId="1" fontId="49" fillId="89" borderId="525" xfId="0" applyNumberFormat="1" applyFont="1" applyFill="1" applyBorder="1" applyAlignment="1" applyProtection="1">
      <alignment horizontal="center" vertical="center"/>
      <protection locked="0"/>
    </xf>
    <xf numFmtId="1" fontId="49" fillId="89" borderId="524" xfId="0" applyNumberFormat="1" applyFont="1" applyFill="1" applyBorder="1" applyAlignment="1" applyProtection="1">
      <alignment horizontal="center" vertical="center"/>
      <protection locked="0"/>
    </xf>
    <xf numFmtId="1" fontId="49" fillId="42" borderId="524" xfId="0" applyNumberFormat="1" applyFont="1" applyFill="1" applyBorder="1" applyAlignment="1" applyProtection="1">
      <alignment horizontal="center" vertical="center"/>
      <protection locked="0"/>
    </xf>
    <xf numFmtId="1" fontId="49" fillId="89" borderId="522" xfId="0" applyNumberFormat="1" applyFont="1" applyFill="1" applyBorder="1" applyAlignment="1" applyProtection="1">
      <alignment horizontal="center" vertical="center"/>
      <protection locked="0"/>
    </xf>
    <xf numFmtId="1" fontId="49" fillId="89" borderId="526" xfId="0" applyNumberFormat="1" applyFont="1" applyFill="1" applyBorder="1" applyAlignment="1" applyProtection="1">
      <alignment horizontal="center" vertical="center"/>
      <protection locked="0"/>
    </xf>
    <xf numFmtId="1" fontId="203" fillId="71" borderId="526" xfId="0" applyNumberFormat="1" applyFont="1" applyFill="1" applyBorder="1" applyAlignment="1">
      <alignment horizontal="center" vertical="center"/>
    </xf>
    <xf numFmtId="1" fontId="203" fillId="71" borderId="527" xfId="0" applyNumberFormat="1" applyFont="1" applyFill="1" applyBorder="1" applyAlignment="1">
      <alignment horizontal="center" vertical="center"/>
    </xf>
    <xf numFmtId="1" fontId="203" fillId="71" borderId="522" xfId="0" applyNumberFormat="1" applyFont="1" applyFill="1" applyBorder="1" applyAlignment="1">
      <alignment horizontal="center" vertical="center"/>
    </xf>
    <xf numFmtId="1" fontId="203" fillId="71" borderId="524" xfId="0" applyNumberFormat="1" applyFont="1" applyFill="1" applyBorder="1" applyAlignment="1">
      <alignment horizontal="center" vertical="center"/>
    </xf>
    <xf numFmtId="0" fontId="49" fillId="0" borderId="404" xfId="428" applyFont="1" applyFill="1" applyBorder="1" applyAlignment="1">
      <alignment horizontal="center" vertical="center"/>
    </xf>
    <xf numFmtId="173" fontId="49" fillId="0" borderId="529" xfId="429" applyNumberFormat="1" applyFont="1" applyFill="1" applyBorder="1" applyAlignment="1">
      <alignment vertical="center"/>
    </xf>
    <xf numFmtId="0" fontId="49" fillId="0" borderId="532" xfId="428" applyFont="1" applyFill="1" applyBorder="1" applyAlignment="1">
      <alignment horizontal="center" vertical="center"/>
    </xf>
    <xf numFmtId="0" fontId="49" fillId="0" borderId="533" xfId="428" applyFont="1" applyFill="1" applyBorder="1" applyAlignment="1">
      <alignment horizontal="center" vertical="center"/>
    </xf>
    <xf numFmtId="0" fontId="49" fillId="0" borderId="531" xfId="436" applyFont="1" applyFill="1" applyBorder="1" applyAlignment="1">
      <alignment horizontal="center" vertical="center"/>
    </xf>
    <xf numFmtId="1" fontId="49" fillId="0" borderId="532" xfId="428" applyNumberFormat="1" applyFont="1" applyFill="1" applyBorder="1" applyAlignment="1">
      <alignment horizontal="center" vertical="center"/>
    </xf>
    <xf numFmtId="1" fontId="49" fillId="0" borderId="535" xfId="428" applyNumberFormat="1" applyFont="1" applyFill="1" applyBorder="1" applyAlignment="1" applyProtection="1">
      <alignment horizontal="center" vertical="center"/>
      <protection locked="0"/>
    </xf>
    <xf numFmtId="0" fontId="49" fillId="0" borderId="529" xfId="423" applyNumberFormat="1" applyFont="1" applyBorder="1"/>
    <xf numFmtId="0" fontId="112" fillId="0" borderId="0" xfId="0" applyFont="1" applyBorder="1" applyAlignment="1">
      <alignment vertical="center"/>
    </xf>
    <xf numFmtId="0" fontId="280" fillId="0" borderId="0" xfId="0" applyFont="1" applyFill="1" applyBorder="1" applyAlignment="1">
      <alignment vertical="top"/>
    </xf>
    <xf numFmtId="0" fontId="280" fillId="0" borderId="0" xfId="0" applyFont="1" applyBorder="1" applyAlignment="1">
      <alignment vertical="top" wrapText="1"/>
    </xf>
    <xf numFmtId="0" fontId="385" fillId="0" borderId="0" xfId="436" applyFont="1" applyBorder="1" applyAlignment="1">
      <alignment vertical="center"/>
    </xf>
    <xf numFmtId="0" fontId="385" fillId="0" borderId="0" xfId="436" applyFont="1" applyFill="1" applyBorder="1" applyAlignment="1" applyProtection="1">
      <alignment vertical="center"/>
      <protection locked="0"/>
    </xf>
    <xf numFmtId="0" fontId="388" fillId="0" borderId="0" xfId="0" applyFont="1" applyBorder="1" applyAlignment="1"/>
    <xf numFmtId="0" fontId="280" fillId="0" borderId="0" xfId="0" applyFont="1" applyAlignment="1"/>
    <xf numFmtId="0" fontId="280" fillId="0" borderId="0" xfId="0" applyFont="1" applyFill="1" applyAlignment="1"/>
    <xf numFmtId="0" fontId="389" fillId="0" borderId="0" xfId="0" applyFont="1" applyBorder="1" applyAlignment="1" applyProtection="1">
      <alignment horizontal="center" vertical="top"/>
      <protection locked="0"/>
    </xf>
    <xf numFmtId="0" fontId="390" fillId="0" borderId="297" xfId="0" applyFont="1" applyBorder="1"/>
    <xf numFmtId="0" fontId="280" fillId="0" borderId="0" xfId="0" applyFont="1" applyFill="1" applyBorder="1" applyAlignment="1">
      <alignment vertical="center"/>
    </xf>
    <xf numFmtId="0" fontId="391" fillId="0" borderId="0" xfId="0" applyFont="1" applyBorder="1"/>
    <xf numFmtId="0" fontId="392" fillId="0" borderId="13" xfId="0" applyFont="1" applyBorder="1"/>
    <xf numFmtId="0" fontId="392" fillId="0" borderId="0" xfId="0" applyFont="1" applyBorder="1"/>
    <xf numFmtId="0" fontId="392" fillId="0" borderId="0" xfId="0" applyFont="1" applyBorder="1" applyAlignment="1"/>
    <xf numFmtId="0" fontId="280" fillId="0" borderId="0" xfId="0" applyFont="1" applyFill="1" applyBorder="1" applyAlignment="1"/>
    <xf numFmtId="0" fontId="122" fillId="0" borderId="13" xfId="0" applyFont="1" applyFill="1" applyBorder="1"/>
    <xf numFmtId="0" fontId="338" fillId="0" borderId="0" xfId="0" applyFont="1" applyFill="1" applyBorder="1"/>
    <xf numFmtId="173" fontId="7" fillId="0" borderId="27" xfId="429" applyNumberFormat="1" applyFont="1" applyFill="1" applyBorder="1" applyAlignment="1">
      <alignment horizontal="left" vertical="center"/>
    </xf>
    <xf numFmtId="166" fontId="394" fillId="54" borderId="44" xfId="271" applyNumberFormat="1" applyFont="1" applyFill="1" applyBorder="1" applyAlignment="1">
      <alignment vertical="center"/>
    </xf>
    <xf numFmtId="0" fontId="304" fillId="0" borderId="175" xfId="436" applyFont="1" applyFill="1" applyBorder="1" applyAlignment="1">
      <alignment vertical="center"/>
    </xf>
    <xf numFmtId="0" fontId="304" fillId="0" borderId="175" xfId="436" applyFont="1" applyFill="1" applyBorder="1" applyAlignment="1">
      <alignment horizontal="center" vertical="center"/>
    </xf>
    <xf numFmtId="0" fontId="385" fillId="0" borderId="175" xfId="0" applyFont="1" applyBorder="1" applyAlignment="1">
      <alignment horizontal="center" vertical="center"/>
    </xf>
    <xf numFmtId="0" fontId="395" fillId="0" borderId="175" xfId="0" applyFont="1" applyBorder="1" applyAlignment="1">
      <alignment horizontal="center" vertical="center"/>
    </xf>
    <xf numFmtId="0" fontId="304" fillId="0" borderId="0" xfId="436" applyFont="1" applyFill="1" applyBorder="1" applyAlignment="1">
      <alignment vertical="center"/>
    </xf>
    <xf numFmtId="0" fontId="304" fillId="0" borderId="0" xfId="436" applyFont="1" applyFill="1" applyBorder="1" applyAlignment="1">
      <alignment horizontal="center" vertical="center"/>
    </xf>
    <xf numFmtId="0" fontId="385" fillId="0" borderId="0" xfId="436" applyFont="1" applyFill="1" applyBorder="1" applyAlignment="1">
      <alignment horizontal="center" vertical="center"/>
    </xf>
    <xf numFmtId="0" fontId="395" fillId="0" borderId="0" xfId="436" applyFont="1" applyFill="1" applyBorder="1" applyAlignment="1">
      <alignment horizontal="center" vertical="center"/>
    </xf>
    <xf numFmtId="0" fontId="93" fillId="0" borderId="0" xfId="0" applyFont="1" applyAlignment="1"/>
    <xf numFmtId="0" fontId="49" fillId="0" borderId="26" xfId="428" applyFont="1" applyFill="1" applyBorder="1" applyAlignment="1">
      <alignment horizontal="center" vertical="center"/>
    </xf>
    <xf numFmtId="0" fontId="242" fillId="0" borderId="542" xfId="428" applyFont="1" applyFill="1" applyBorder="1" applyAlignment="1">
      <alignment horizontal="center" vertical="center"/>
    </xf>
    <xf numFmtId="0" fontId="49" fillId="0" borderId="543" xfId="428" applyFont="1" applyFill="1" applyBorder="1" applyAlignment="1">
      <alignment horizontal="center" vertical="center"/>
    </xf>
    <xf numFmtId="0" fontId="280" fillId="0" borderId="297" xfId="0" applyFont="1" applyBorder="1" applyAlignment="1">
      <alignment vertical="center"/>
    </xf>
    <xf numFmtId="173" fontId="0" fillId="0" borderId="0" xfId="0" applyNumberFormat="1" applyFont="1" applyFill="1" applyBorder="1" applyAlignment="1" applyProtection="1"/>
    <xf numFmtId="49" fontId="88" fillId="0" borderId="0" xfId="401" applyNumberFormat="1" applyFont="1"/>
    <xf numFmtId="43" fontId="311" fillId="26" borderId="10" xfId="271" applyFont="1" applyFill="1" applyBorder="1" applyAlignment="1">
      <alignment horizontal="left" vertical="center"/>
    </xf>
    <xf numFmtId="166" fontId="396" fillId="31" borderId="0" xfId="0" applyNumberFormat="1" applyFont="1" applyFill="1" applyAlignment="1">
      <alignment horizontal="center" vertical="center"/>
    </xf>
    <xf numFmtId="0" fontId="397" fillId="31" borderId="0" xfId="0" applyFont="1" applyFill="1"/>
    <xf numFmtId="166" fontId="265" fillId="99" borderId="72" xfId="271" applyNumberFormat="1" applyFont="1" applyFill="1" applyBorder="1" applyAlignment="1">
      <alignment vertical="center"/>
    </xf>
    <xf numFmtId="0" fontId="7" fillId="47" borderId="70" xfId="429" applyNumberFormat="1" applyFont="1" applyFill="1" applyBorder="1" applyAlignment="1">
      <alignment vertical="center"/>
    </xf>
    <xf numFmtId="0" fontId="92" fillId="47" borderId="70" xfId="414" applyNumberFormat="1" applyFont="1" applyFill="1" applyBorder="1" applyAlignment="1">
      <alignment horizontal="center"/>
    </xf>
    <xf numFmtId="1" fontId="7" fillId="47" borderId="75" xfId="429" applyNumberFormat="1" applyFont="1" applyFill="1" applyBorder="1" applyAlignment="1">
      <alignment horizontal="center" vertical="center"/>
    </xf>
    <xf numFmtId="1" fontId="7" fillId="47" borderId="65" xfId="271" applyNumberFormat="1" applyFont="1" applyFill="1" applyBorder="1" applyAlignment="1">
      <alignment horizontal="center" vertical="center"/>
    </xf>
    <xf numFmtId="1" fontId="7" fillId="47" borderId="70" xfId="429" applyNumberFormat="1" applyFont="1" applyFill="1" applyBorder="1" applyAlignment="1" applyProtection="1">
      <alignment horizontal="center" vertical="center"/>
    </xf>
    <xf numFmtId="1" fontId="306" fillId="47" borderId="65" xfId="429" applyNumberFormat="1" applyFont="1" applyFill="1" applyBorder="1" applyAlignment="1" applyProtection="1">
      <alignment horizontal="center" vertical="center"/>
    </xf>
    <xf numFmtId="0" fontId="89" fillId="0" borderId="0" xfId="414" applyNumberFormat="1" applyFont="1" applyFill="1" applyBorder="1" applyAlignment="1" applyProtection="1"/>
    <xf numFmtId="166" fontId="399" fillId="54" borderId="44" xfId="271" applyNumberFormat="1" applyFont="1" applyFill="1" applyBorder="1" applyAlignment="1">
      <alignment vertical="center"/>
    </xf>
    <xf numFmtId="0" fontId="398" fillId="86" borderId="459" xfId="0" applyFont="1" applyFill="1" applyBorder="1" applyAlignment="1">
      <alignment horizontal="left" vertical="center"/>
    </xf>
    <xf numFmtId="166" fontId="140" fillId="54" borderId="542" xfId="271" applyNumberFormat="1" applyFont="1" applyFill="1" applyBorder="1" applyAlignment="1">
      <alignment vertical="center"/>
    </xf>
    <xf numFmtId="166" fontId="204" fillId="33" borderId="542" xfId="271" applyNumberFormat="1" applyFont="1" applyFill="1" applyBorder="1" applyAlignment="1">
      <alignment vertical="center"/>
    </xf>
    <xf numFmtId="173" fontId="401" fillId="30" borderId="92" xfId="0" applyNumberFormat="1" applyFont="1" applyFill="1" applyBorder="1" applyAlignment="1">
      <alignment horizontal="center" vertical="center" wrapText="1"/>
    </xf>
    <xf numFmtId="1" fontId="284" fillId="71" borderId="545" xfId="0" applyNumberFormat="1" applyFont="1" applyFill="1" applyBorder="1" applyAlignment="1">
      <alignment horizontal="center" vertical="center"/>
    </xf>
    <xf numFmtId="166" fontId="284" fillId="77" borderId="545" xfId="271" applyNumberFormat="1" applyFont="1" applyFill="1" applyBorder="1" applyAlignment="1">
      <alignment horizontal="center" vertical="center"/>
    </xf>
    <xf numFmtId="1" fontId="284" fillId="71" borderId="545" xfId="0" applyNumberFormat="1" applyFont="1" applyFill="1" applyBorder="1" applyAlignment="1" applyProtection="1">
      <alignment horizontal="center" vertical="center"/>
      <protection locked="0"/>
    </xf>
    <xf numFmtId="1" fontId="284" fillId="71" borderId="546" xfId="0" applyNumberFormat="1" applyFont="1" applyFill="1" applyBorder="1" applyAlignment="1">
      <alignment horizontal="center" vertical="center"/>
    </xf>
    <xf numFmtId="1" fontId="203" fillId="71" borderId="547" xfId="0" applyNumberFormat="1" applyFont="1" applyFill="1" applyBorder="1" applyAlignment="1">
      <alignment horizontal="center" vertical="center"/>
    </xf>
    <xf numFmtId="1" fontId="400" fillId="35" borderId="184" xfId="0" applyNumberFormat="1" applyFont="1" applyFill="1" applyBorder="1" applyAlignment="1">
      <alignment horizontal="center" vertical="center"/>
    </xf>
    <xf numFmtId="1" fontId="203" fillId="71" borderId="545" xfId="0" applyNumberFormat="1" applyFont="1" applyFill="1" applyBorder="1" applyAlignment="1">
      <alignment horizontal="center" vertical="center"/>
    </xf>
    <xf numFmtId="0" fontId="402" fillId="0" borderId="47" xfId="436" applyFont="1" applyFill="1" applyBorder="1" applyAlignment="1">
      <alignment vertical="center"/>
    </xf>
    <xf numFmtId="0" fontId="402" fillId="0" borderId="0" xfId="436" applyFont="1" applyFill="1" applyBorder="1" applyAlignment="1">
      <alignment vertical="center"/>
    </xf>
    <xf numFmtId="0" fontId="40" fillId="0" borderId="53" xfId="436" applyFont="1" applyFill="1" applyBorder="1" applyAlignment="1">
      <alignment vertical="center"/>
    </xf>
    <xf numFmtId="0" fontId="40" fillId="0" borderId="42" xfId="436" applyFont="1" applyBorder="1" applyAlignment="1">
      <alignment horizontal="right" vertical="center"/>
    </xf>
    <xf numFmtId="0" fontId="389" fillId="0" borderId="0" xfId="0" applyFont="1" applyBorder="1" applyAlignment="1">
      <alignment horizontal="center" vertical="top"/>
    </xf>
    <xf numFmtId="0" fontId="93" fillId="0" borderId="175" xfId="0" applyFont="1" applyBorder="1"/>
    <xf numFmtId="0" fontId="403" fillId="0" borderId="0" xfId="0" applyFont="1" applyBorder="1" applyAlignment="1">
      <alignment horizontal="center" vertical="center"/>
    </xf>
    <xf numFmtId="0" fontId="404" fillId="0" borderId="48" xfId="0" applyFont="1" applyBorder="1" applyAlignment="1">
      <alignment horizontal="center" vertical="center"/>
    </xf>
    <xf numFmtId="0" fontId="405" fillId="0" borderId="311" xfId="436" applyFont="1" applyBorder="1" applyAlignment="1">
      <alignment horizontal="center" vertical="center"/>
    </xf>
    <xf numFmtId="0" fontId="405" fillId="0" borderId="311" xfId="436" applyFont="1" applyFill="1" applyBorder="1" applyAlignment="1" applyProtection="1">
      <alignment horizontal="center" vertical="center"/>
      <protection locked="0"/>
    </xf>
    <xf numFmtId="0" fontId="403" fillId="0" borderId="311" xfId="0" applyFont="1" applyBorder="1" applyAlignment="1">
      <alignment horizontal="center" vertical="center"/>
    </xf>
    <xf numFmtId="0" fontId="405" fillId="0" borderId="311" xfId="0" applyFont="1" applyBorder="1" applyAlignment="1">
      <alignment horizontal="center" vertical="center"/>
    </xf>
    <xf numFmtId="0" fontId="405" fillId="0" borderId="311" xfId="0" applyFont="1" applyBorder="1" applyAlignment="1" applyProtection="1">
      <alignment horizontal="center" vertical="center"/>
      <protection locked="0"/>
    </xf>
    <xf numFmtId="0" fontId="404" fillId="0" borderId="333" xfId="0" applyFont="1" applyBorder="1" applyAlignment="1">
      <alignment horizontal="center" vertical="center"/>
    </xf>
    <xf numFmtId="0" fontId="245" fillId="0" borderId="47" xfId="436" applyFont="1" applyBorder="1" applyAlignment="1">
      <alignment vertical="center"/>
    </xf>
    <xf numFmtId="0" fontId="245" fillId="0" borderId="0" xfId="436" applyFont="1" applyFill="1" applyBorder="1" applyAlignment="1">
      <alignment vertical="center"/>
    </xf>
    <xf numFmtId="165" fontId="406" fillId="0" borderId="0" xfId="436" applyNumberFormat="1" applyFont="1" applyFill="1" applyBorder="1" applyAlignment="1">
      <alignment horizontal="left" vertical="center"/>
    </xf>
    <xf numFmtId="20" fontId="406" fillId="0" borderId="17" xfId="436" applyNumberFormat="1" applyFont="1" applyFill="1" applyBorder="1" applyAlignment="1">
      <alignment horizontal="right" vertical="center"/>
    </xf>
    <xf numFmtId="180" fontId="406" fillId="0" borderId="17" xfId="436" applyNumberFormat="1" applyFont="1" applyFill="1" applyBorder="1" applyAlignment="1">
      <alignment horizontal="center" vertical="center"/>
    </xf>
    <xf numFmtId="180" fontId="279" fillId="0" borderId="17" xfId="436" applyNumberFormat="1" applyFont="1" applyFill="1" applyBorder="1" applyAlignment="1">
      <alignment horizontal="center" vertical="center"/>
    </xf>
    <xf numFmtId="20" fontId="302" fillId="0" borderId="18" xfId="436" applyNumberFormat="1" applyFont="1" applyFill="1" applyBorder="1" applyAlignment="1">
      <alignment horizontal="center" vertical="center"/>
    </xf>
    <xf numFmtId="0" fontId="245" fillId="0" borderId="60" xfId="436" applyFont="1" applyFill="1" applyBorder="1" applyAlignment="1">
      <alignment vertical="center"/>
    </xf>
    <xf numFmtId="0" fontId="245" fillId="0" borderId="15" xfId="436" applyFont="1" applyFill="1" applyBorder="1" applyAlignment="1">
      <alignment vertical="center"/>
    </xf>
    <xf numFmtId="14" fontId="245" fillId="0" borderId="15" xfId="436" applyNumberFormat="1" applyFont="1" applyFill="1" applyBorder="1" applyAlignment="1">
      <alignment horizontal="left" vertical="center"/>
    </xf>
    <xf numFmtId="14" fontId="245" fillId="0" borderId="15" xfId="436" applyNumberFormat="1" applyFont="1" applyFill="1" applyBorder="1" applyAlignment="1">
      <alignment horizontal="center" vertical="center"/>
    </xf>
    <xf numFmtId="14" fontId="407" fillId="0" borderId="30" xfId="436" applyNumberFormat="1" applyFont="1" applyFill="1" applyBorder="1" applyAlignment="1">
      <alignment horizontal="center" vertical="center"/>
    </xf>
    <xf numFmtId="0" fontId="219" fillId="0" borderId="47" xfId="436" applyFont="1" applyBorder="1" applyAlignment="1">
      <alignment vertical="center"/>
    </xf>
    <xf numFmtId="0" fontId="219" fillId="0" borderId="0" xfId="436" applyFont="1" applyBorder="1" applyAlignment="1">
      <alignment vertical="center"/>
    </xf>
    <xf numFmtId="165" fontId="219" fillId="0" borderId="0" xfId="436" applyNumberFormat="1" applyFont="1" applyBorder="1" applyAlignment="1" applyProtection="1">
      <alignment horizontal="right" vertical="center"/>
    </xf>
    <xf numFmtId="20" fontId="219" fillId="0" borderId="0" xfId="436" applyNumberFormat="1" applyFont="1" applyFill="1" applyBorder="1" applyAlignment="1" applyProtection="1">
      <alignment horizontal="left" vertical="center"/>
    </xf>
    <xf numFmtId="0" fontId="122" fillId="0" borderId="42" xfId="0" applyFont="1" applyBorder="1" applyAlignment="1">
      <alignment vertical="center"/>
    </xf>
    <xf numFmtId="20" fontId="122" fillId="0" borderId="42" xfId="0" applyNumberFormat="1" applyFont="1" applyBorder="1" applyAlignment="1">
      <alignment horizontal="center" vertical="center"/>
    </xf>
    <xf numFmtId="1" fontId="219" fillId="0" borderId="42" xfId="0" applyNumberFormat="1" applyFont="1" applyBorder="1" applyAlignment="1">
      <alignment horizontal="right" vertical="center"/>
    </xf>
    <xf numFmtId="0" fontId="302" fillId="0" borderId="297" xfId="436" applyFont="1" applyFill="1" applyBorder="1" applyAlignment="1">
      <alignment vertical="center"/>
    </xf>
    <xf numFmtId="0" fontId="219" fillId="0" borderId="0" xfId="436" applyFont="1" applyFill="1" applyBorder="1" applyAlignment="1">
      <alignment vertical="center"/>
    </xf>
    <xf numFmtId="165" fontId="219" fillId="0" borderId="0" xfId="436" applyNumberFormat="1" applyFont="1" applyBorder="1" applyAlignment="1">
      <alignment horizontal="right" vertical="center"/>
    </xf>
    <xf numFmtId="1" fontId="219" fillId="0" borderId="0" xfId="436" applyNumberFormat="1" applyFont="1" applyFill="1" applyBorder="1" applyAlignment="1">
      <alignment horizontal="right" vertical="center"/>
    </xf>
    <xf numFmtId="20" fontId="219" fillId="0" borderId="0" xfId="436" applyNumberFormat="1" applyFont="1" applyFill="1" applyBorder="1" applyAlignment="1">
      <alignment horizontal="left" vertical="center"/>
    </xf>
    <xf numFmtId="0" fontId="219" fillId="0" borderId="0" xfId="0" applyFont="1" applyBorder="1" applyAlignment="1">
      <alignment vertical="center"/>
    </xf>
    <xf numFmtId="0" fontId="408" fillId="0" borderId="0" xfId="428" applyFont="1" applyBorder="1" applyAlignment="1">
      <alignment horizontal="center" vertical="center"/>
    </xf>
    <xf numFmtId="0" fontId="219" fillId="0" borderId="54" xfId="436" applyFont="1" applyBorder="1" applyAlignment="1">
      <alignment vertical="center"/>
    </xf>
    <xf numFmtId="0" fontId="219" fillId="0" borderId="17" xfId="436" applyFont="1" applyFill="1" applyBorder="1" applyAlignment="1">
      <alignment vertical="center"/>
    </xf>
    <xf numFmtId="165" fontId="219" fillId="0" borderId="17" xfId="436" applyNumberFormat="1" applyFont="1" applyBorder="1" applyAlignment="1">
      <alignment horizontal="right" vertical="center"/>
    </xf>
    <xf numFmtId="0" fontId="219" fillId="0" borderId="17" xfId="436" applyFont="1" applyBorder="1" applyAlignment="1">
      <alignment horizontal="right"/>
    </xf>
    <xf numFmtId="10" fontId="219" fillId="0" borderId="17" xfId="436" applyNumberFormat="1" applyFont="1" applyFill="1" applyBorder="1" applyAlignment="1">
      <alignment horizontal="left" vertical="center"/>
    </xf>
    <xf numFmtId="1" fontId="219" fillId="0" borderId="17" xfId="436" applyNumberFormat="1" applyFont="1" applyFill="1" applyBorder="1" applyAlignment="1">
      <alignment horizontal="right" vertical="center"/>
    </xf>
    <xf numFmtId="0" fontId="302" fillId="0" borderId="18" xfId="436" applyFont="1" applyFill="1" applyBorder="1" applyAlignment="1">
      <alignment vertical="center"/>
    </xf>
    <xf numFmtId="0" fontId="219" fillId="0" borderId="47" xfId="436" applyFont="1" applyFill="1" applyBorder="1" applyAlignment="1">
      <alignment vertical="center"/>
    </xf>
    <xf numFmtId="0" fontId="245" fillId="0" borderId="0" xfId="436" applyFont="1" applyFill="1" applyBorder="1" applyAlignment="1">
      <alignment horizontal="center" vertical="center"/>
    </xf>
    <xf numFmtId="0" fontId="409" fillId="0" borderId="0" xfId="436" applyFont="1" applyFill="1" applyBorder="1" applyAlignment="1">
      <alignment vertical="center"/>
    </xf>
    <xf numFmtId="0" fontId="219" fillId="0" borderId="0" xfId="436" applyFont="1" applyFill="1" applyBorder="1" applyAlignment="1">
      <alignment horizontal="right" vertical="center"/>
    </xf>
    <xf numFmtId="177" fontId="219" fillId="0" borderId="0" xfId="436" applyNumberFormat="1" applyFont="1" applyFill="1" applyBorder="1" applyAlignment="1">
      <alignment horizontal="right" vertical="center"/>
    </xf>
    <xf numFmtId="0" fontId="302" fillId="0" borderId="297" xfId="271" applyNumberFormat="1" applyFont="1" applyFill="1" applyBorder="1" applyAlignment="1">
      <alignment horizontal="left" vertical="center"/>
    </xf>
    <xf numFmtId="1" fontId="219" fillId="0" borderId="0" xfId="436" applyNumberFormat="1" applyFont="1" applyFill="1" applyBorder="1" applyAlignment="1">
      <alignment vertical="center"/>
    </xf>
    <xf numFmtId="0" fontId="219" fillId="0" borderId="42" xfId="436" applyFont="1" applyBorder="1" applyAlignment="1">
      <alignment horizontal="left" vertical="center"/>
    </xf>
    <xf numFmtId="15" fontId="219" fillId="0" borderId="42" xfId="436" applyNumberFormat="1" applyFont="1" applyBorder="1" applyAlignment="1">
      <alignment horizontal="left" vertical="center"/>
    </xf>
    <xf numFmtId="15" fontId="219" fillId="0" borderId="42" xfId="436" applyNumberFormat="1" applyFont="1" applyBorder="1" applyAlignment="1">
      <alignment horizontal="center" vertical="center"/>
    </xf>
    <xf numFmtId="0" fontId="219" fillId="0" borderId="42" xfId="436" applyFont="1" applyBorder="1" applyAlignment="1">
      <alignment vertical="center"/>
    </xf>
    <xf numFmtId="0" fontId="302" fillId="0" borderId="41" xfId="436" applyFont="1" applyFill="1" applyBorder="1" applyAlignment="1">
      <alignment vertical="center"/>
    </xf>
    <xf numFmtId="0" fontId="219" fillId="0" borderId="54" xfId="436" applyFont="1" applyBorder="1" applyAlignment="1">
      <alignment horizontal="right" vertical="center"/>
    </xf>
    <xf numFmtId="2" fontId="219" fillId="0" borderId="17" xfId="436" applyNumberFormat="1" applyFont="1" applyFill="1" applyBorder="1" applyAlignment="1">
      <alignment horizontal="center" vertical="center"/>
    </xf>
    <xf numFmtId="0" fontId="219" fillId="0" borderId="17" xfId="436" applyFont="1" applyBorder="1" applyAlignment="1">
      <alignment vertical="center"/>
    </xf>
    <xf numFmtId="0" fontId="219" fillId="0" borderId="17" xfId="436" applyFont="1" applyBorder="1" applyAlignment="1">
      <alignment horizontal="right" vertical="center"/>
    </xf>
    <xf numFmtId="2" fontId="219" fillId="0" borderId="17" xfId="436" applyNumberFormat="1" applyFont="1" applyBorder="1" applyAlignment="1">
      <alignment horizontal="center" vertical="center"/>
    </xf>
    <xf numFmtId="0" fontId="410" fillId="0" borderId="0" xfId="436" applyFont="1" applyBorder="1" applyAlignment="1">
      <alignment horizontal="left" vertical="center"/>
    </xf>
    <xf numFmtId="2" fontId="410" fillId="0" borderId="0" xfId="436" applyNumberFormat="1" applyFont="1" applyFill="1" applyBorder="1" applyAlignment="1">
      <alignment horizontal="center" vertical="center"/>
    </xf>
    <xf numFmtId="0" fontId="410" fillId="0" borderId="0" xfId="436" applyFont="1" applyBorder="1" applyAlignment="1">
      <alignment vertical="center"/>
    </xf>
    <xf numFmtId="0" fontId="302" fillId="0" borderId="297" xfId="436" applyFont="1" applyBorder="1" applyAlignment="1">
      <alignment vertical="center"/>
    </xf>
    <xf numFmtId="2" fontId="219" fillId="0" borderId="0" xfId="436" applyNumberFormat="1" applyFont="1" applyFill="1" applyBorder="1" applyAlignment="1">
      <alignment horizontal="right" vertical="center"/>
    </xf>
    <xf numFmtId="0" fontId="219" fillId="0" borderId="0" xfId="436" applyFont="1" applyFill="1" applyBorder="1" applyAlignment="1">
      <alignment horizontal="left" vertical="center"/>
    </xf>
    <xf numFmtId="1" fontId="219" fillId="0" borderId="0" xfId="436" applyNumberFormat="1" applyFont="1" applyFill="1" applyBorder="1" applyAlignment="1">
      <alignment horizontal="center" vertical="center"/>
    </xf>
    <xf numFmtId="0" fontId="122" fillId="0" borderId="47" xfId="0" applyFont="1" applyBorder="1" applyAlignment="1">
      <alignment vertical="center"/>
    </xf>
    <xf numFmtId="0" fontId="386" fillId="0" borderId="0" xfId="0" applyFont="1" applyBorder="1" applyAlignment="1">
      <alignment horizontal="right" vertical="center"/>
    </xf>
    <xf numFmtId="181" fontId="122" fillId="0" borderId="0" xfId="0" applyNumberFormat="1" applyFont="1" applyBorder="1" applyAlignment="1">
      <alignment horizontal="center" vertical="center"/>
    </xf>
    <xf numFmtId="181" fontId="219" fillId="0" borderId="17" xfId="436" applyNumberFormat="1" applyFont="1" applyFill="1" applyBorder="1" applyAlignment="1">
      <alignment vertical="center"/>
    </xf>
    <xf numFmtId="1" fontId="245" fillId="0" borderId="17" xfId="436" applyNumberFormat="1" applyFont="1" applyFill="1" applyBorder="1" applyAlignment="1">
      <alignment horizontal="right" vertical="center"/>
    </xf>
    <xf numFmtId="181" fontId="122" fillId="0" borderId="17" xfId="0" applyNumberFormat="1" applyFont="1" applyBorder="1" applyAlignment="1">
      <alignment horizontal="center" vertical="center"/>
    </xf>
    <xf numFmtId="0" fontId="219" fillId="0" borderId="17" xfId="436" applyFont="1" applyFill="1" applyBorder="1" applyAlignment="1">
      <alignment horizontal="right" vertical="center"/>
    </xf>
    <xf numFmtId="181" fontId="219" fillId="0" borderId="17" xfId="271" applyNumberFormat="1" applyFont="1" applyFill="1" applyBorder="1" applyAlignment="1">
      <alignment horizontal="left" vertical="center"/>
    </xf>
    <xf numFmtId="181" fontId="219" fillId="0" borderId="17" xfId="436" applyNumberFormat="1" applyFont="1" applyBorder="1" applyAlignment="1">
      <alignment horizontal="left" vertical="center"/>
    </xf>
    <xf numFmtId="1" fontId="302" fillId="0" borderId="18" xfId="436" applyNumberFormat="1" applyFont="1" applyFill="1" applyBorder="1" applyAlignment="1">
      <alignment vertical="center"/>
    </xf>
    <xf numFmtId="0" fontId="411" fillId="0" borderId="0" xfId="436" applyFont="1" applyFill="1" applyBorder="1" applyAlignment="1">
      <alignment vertical="center"/>
    </xf>
    <xf numFmtId="0" fontId="302" fillId="0" borderId="297" xfId="436" applyFont="1" applyFill="1" applyBorder="1" applyAlignment="1">
      <alignment horizontal="right" vertical="center"/>
    </xf>
    <xf numFmtId="0" fontId="411" fillId="0" borderId="0" xfId="436" applyFont="1" applyBorder="1" applyAlignment="1">
      <alignment vertical="center"/>
    </xf>
    <xf numFmtId="0" fontId="219" fillId="0" borderId="312" xfId="436" applyFont="1" applyFill="1" applyBorder="1" applyAlignment="1">
      <alignment vertical="center"/>
    </xf>
    <xf numFmtId="0" fontId="219" fillId="0" borderId="141" xfId="436" applyFont="1" applyFill="1" applyBorder="1" applyAlignment="1">
      <alignment horizontal="left" vertical="center"/>
    </xf>
    <xf numFmtId="0" fontId="219" fillId="0" borderId="141" xfId="436" applyFont="1" applyFill="1" applyBorder="1" applyAlignment="1">
      <alignment vertical="center"/>
    </xf>
    <xf numFmtId="0" fontId="219" fillId="0" borderId="141" xfId="436" applyFont="1" applyFill="1" applyBorder="1" applyAlignment="1">
      <alignment horizontal="center" vertical="center"/>
    </xf>
    <xf numFmtId="0" fontId="219" fillId="0" borderId="178" xfId="436" applyFont="1" applyFill="1" applyBorder="1" applyAlignment="1">
      <alignment vertical="center"/>
    </xf>
    <xf numFmtId="0" fontId="219" fillId="0" borderId="178" xfId="436" applyFont="1" applyFill="1" applyBorder="1" applyAlignment="1">
      <alignment horizontal="right" vertical="center"/>
    </xf>
    <xf numFmtId="0" fontId="302" fillId="0" borderId="497" xfId="436" applyFont="1" applyFill="1" applyBorder="1" applyAlignment="1">
      <alignment vertical="center"/>
    </xf>
    <xf numFmtId="0" fontId="219" fillId="0" borderId="0" xfId="436" applyFont="1" applyFill="1" applyBorder="1" applyAlignment="1">
      <alignment horizontal="center" vertical="center"/>
    </xf>
    <xf numFmtId="0" fontId="219" fillId="0" borderId="180" xfId="436" applyFont="1" applyFill="1" applyBorder="1" applyAlignment="1">
      <alignment vertical="center"/>
    </xf>
    <xf numFmtId="0" fontId="219" fillId="0" borderId="0" xfId="436" applyFont="1" applyBorder="1" applyAlignment="1">
      <alignment horizontal="left" vertical="center"/>
    </xf>
    <xf numFmtId="0" fontId="219" fillId="0" borderId="54" xfId="436" applyFont="1" applyFill="1" applyBorder="1" applyAlignment="1">
      <alignment vertical="center"/>
    </xf>
    <xf numFmtId="20" fontId="219" fillId="0" borderId="17" xfId="436" applyNumberFormat="1" applyFont="1" applyFill="1" applyBorder="1" applyAlignment="1">
      <alignment horizontal="center" vertical="center"/>
    </xf>
    <xf numFmtId="0" fontId="219" fillId="0" borderId="17" xfId="436" applyFont="1" applyFill="1" applyBorder="1" applyAlignment="1">
      <alignment horizontal="center" vertical="center"/>
    </xf>
    <xf numFmtId="0" fontId="219" fillId="0" borderId="17" xfId="436" applyFont="1" applyFill="1" applyBorder="1" applyAlignment="1">
      <alignment horizontal="left" vertical="center"/>
    </xf>
    <xf numFmtId="0" fontId="219" fillId="0" borderId="53" xfId="436" applyFont="1" applyBorder="1" applyAlignment="1">
      <alignment horizontal="left" vertical="center"/>
    </xf>
    <xf numFmtId="20" fontId="219" fillId="0" borderId="0" xfId="0" applyNumberFormat="1" applyFont="1" applyBorder="1" applyAlignment="1">
      <alignment horizontal="center" vertical="center"/>
    </xf>
    <xf numFmtId="1" fontId="279" fillId="0" borderId="0" xfId="436" applyNumberFormat="1" applyFont="1" applyFill="1" applyBorder="1" applyAlignment="1">
      <alignment horizontal="center" vertical="center"/>
    </xf>
    <xf numFmtId="1" fontId="122" fillId="0" borderId="42" xfId="0" applyNumberFormat="1" applyFont="1" applyBorder="1" applyAlignment="1">
      <alignment horizontal="center" vertical="center"/>
    </xf>
    <xf numFmtId="9" fontId="219" fillId="0" borderId="0" xfId="458" applyFont="1" applyFill="1" applyBorder="1" applyAlignment="1">
      <alignment horizontal="center" vertical="center"/>
    </xf>
    <xf numFmtId="0" fontId="302" fillId="0" borderId="41" xfId="436" applyFont="1" applyFill="1" applyBorder="1" applyAlignment="1">
      <alignment horizontal="center" vertical="center"/>
    </xf>
    <xf numFmtId="0" fontId="219" fillId="0" borderId="47" xfId="436" applyFont="1" applyBorder="1" applyAlignment="1">
      <alignment horizontal="left" vertical="center"/>
    </xf>
    <xf numFmtId="1" fontId="122" fillId="0" borderId="0" xfId="0" applyNumberFormat="1" applyFont="1" applyBorder="1" applyAlignment="1">
      <alignment horizontal="center" vertical="center"/>
    </xf>
    <xf numFmtId="0" fontId="302" fillId="0" borderId="297" xfId="436" applyFont="1" applyFill="1" applyBorder="1" applyAlignment="1">
      <alignment horizontal="center" vertical="center"/>
    </xf>
    <xf numFmtId="0" fontId="302" fillId="0" borderId="18" xfId="436" applyFont="1" applyFill="1" applyBorder="1" applyAlignment="1">
      <alignment horizontal="center" vertical="center"/>
    </xf>
    <xf numFmtId="0" fontId="245" fillId="0" borderId="60" xfId="436" applyFont="1" applyFill="1" applyBorder="1" applyAlignment="1">
      <alignment horizontal="left" vertical="center"/>
    </xf>
    <xf numFmtId="1" fontId="245" fillId="0" borderId="15" xfId="436" applyNumberFormat="1" applyFont="1" applyFill="1" applyBorder="1" applyAlignment="1">
      <alignment horizontal="center" vertical="center"/>
    </xf>
    <xf numFmtId="0" fontId="219" fillId="0" borderId="15" xfId="436" applyFont="1" applyFill="1" applyBorder="1" applyAlignment="1">
      <alignment horizontal="center" vertical="center"/>
    </xf>
    <xf numFmtId="0" fontId="219" fillId="0" borderId="15" xfId="436" applyFont="1" applyFill="1" applyBorder="1" applyAlignment="1">
      <alignment horizontal="right" vertical="center"/>
    </xf>
    <xf numFmtId="0" fontId="219" fillId="0" borderId="0" xfId="436" applyFont="1" applyBorder="1" applyAlignment="1" applyProtection="1">
      <alignment vertical="center"/>
      <protection locked="0"/>
    </xf>
    <xf numFmtId="0" fontId="302" fillId="0" borderId="297" xfId="436" applyFont="1" applyBorder="1" applyAlignment="1" applyProtection="1">
      <alignment vertical="center"/>
      <protection locked="0"/>
    </xf>
    <xf numFmtId="0" fontId="219" fillId="0" borderId="17" xfId="436" applyFont="1" applyBorder="1" applyAlignment="1" applyProtection="1">
      <alignment vertical="center"/>
      <protection locked="0"/>
    </xf>
    <xf numFmtId="0" fontId="406" fillId="0" borderId="47" xfId="0" applyFont="1" applyBorder="1" applyAlignment="1">
      <alignment vertical="center"/>
    </xf>
    <xf numFmtId="0" fontId="406" fillId="0" borderId="47" xfId="436" applyFont="1" applyBorder="1" applyAlignment="1" applyProtection="1">
      <alignment vertical="center"/>
      <protection locked="0"/>
    </xf>
    <xf numFmtId="0" fontId="279" fillId="0" borderId="0" xfId="0" applyFont="1" applyBorder="1" applyAlignment="1">
      <alignment vertical="center"/>
    </xf>
    <xf numFmtId="0" fontId="406" fillId="0" borderId="0" xfId="436" applyFont="1" applyBorder="1" applyAlignment="1" applyProtection="1">
      <alignment vertical="center"/>
      <protection locked="0"/>
    </xf>
    <xf numFmtId="0" fontId="122" fillId="0" borderId="297" xfId="0" applyFont="1" applyBorder="1" applyAlignment="1">
      <alignment vertical="center"/>
    </xf>
    <xf numFmtId="0" fontId="386" fillId="0" borderId="0" xfId="0" applyFont="1" applyFill="1" applyBorder="1" applyAlignment="1"/>
    <xf numFmtId="0" fontId="278" fillId="0" borderId="297" xfId="0" applyFont="1" applyBorder="1" applyAlignment="1">
      <alignment vertical="center" wrapText="1"/>
    </xf>
    <xf numFmtId="0" fontId="406" fillId="0" borderId="47" xfId="436" applyFont="1" applyFill="1" applyBorder="1" applyAlignment="1" applyProtection="1">
      <alignment vertical="center"/>
      <protection locked="0"/>
    </xf>
    <xf numFmtId="0" fontId="279" fillId="0" borderId="0" xfId="436" applyFont="1" applyBorder="1" applyAlignment="1" applyProtection="1">
      <alignment vertical="center"/>
      <protection locked="0"/>
    </xf>
    <xf numFmtId="0" fontId="386" fillId="0" borderId="0" xfId="0" applyFont="1" applyBorder="1"/>
    <xf numFmtId="0" fontId="278" fillId="0" borderId="297" xfId="0" applyFont="1" applyBorder="1" applyAlignment="1">
      <alignment vertical="center"/>
    </xf>
    <xf numFmtId="0" fontId="413" fillId="0" borderId="297" xfId="0" applyFont="1" applyBorder="1" applyAlignment="1">
      <alignment vertical="center"/>
    </xf>
    <xf numFmtId="0" fontId="414" fillId="0" borderId="297" xfId="0" applyFont="1" applyBorder="1" applyAlignment="1">
      <alignment horizontal="left" vertical="center"/>
    </xf>
    <xf numFmtId="0" fontId="406" fillId="0" borderId="0" xfId="436" applyFont="1" applyFill="1" applyBorder="1" applyAlignment="1" applyProtection="1">
      <alignment vertical="center"/>
      <protection locked="0"/>
    </xf>
    <xf numFmtId="0" fontId="406" fillId="0" borderId="297" xfId="0" applyFont="1" applyFill="1" applyBorder="1" applyAlignment="1">
      <alignment vertical="center"/>
    </xf>
    <xf numFmtId="0" fontId="406" fillId="0" borderId="297" xfId="436" applyFont="1" applyFill="1" applyBorder="1" applyAlignment="1" applyProtection="1">
      <alignment vertical="center"/>
      <protection locked="0"/>
    </xf>
    <xf numFmtId="0" fontId="406" fillId="0" borderId="17" xfId="436" applyFont="1" applyFill="1" applyBorder="1" applyAlignment="1" applyProtection="1">
      <alignment vertical="center"/>
      <protection locked="0"/>
    </xf>
    <xf numFmtId="0" fontId="279" fillId="0" borderId="17" xfId="436" applyFont="1" applyBorder="1" applyAlignment="1" applyProtection="1">
      <alignment vertical="center"/>
      <protection locked="0"/>
    </xf>
    <xf numFmtId="0" fontId="406" fillId="0" borderId="18" xfId="0" applyFont="1" applyFill="1" applyBorder="1" applyAlignment="1">
      <alignment vertical="center"/>
    </xf>
    <xf numFmtId="0" fontId="122" fillId="0" borderId="17" xfId="0" applyFont="1" applyBorder="1"/>
    <xf numFmtId="0" fontId="122" fillId="0" borderId="17" xfId="0" applyFont="1" applyBorder="1" applyAlignment="1"/>
    <xf numFmtId="0" fontId="302" fillId="0" borderId="18" xfId="436" applyFont="1" applyBorder="1" applyAlignment="1" applyProtection="1">
      <alignment vertical="center"/>
      <protection locked="0"/>
    </xf>
    <xf numFmtId="15" fontId="219" fillId="0" borderId="0" xfId="436" applyNumberFormat="1" applyFont="1" applyFill="1" applyBorder="1" applyAlignment="1">
      <alignment horizontal="center" vertical="center"/>
    </xf>
    <xf numFmtId="14" fontId="302" fillId="0" borderId="297" xfId="436" applyNumberFormat="1" applyFont="1" applyFill="1" applyBorder="1" applyAlignment="1">
      <alignment horizontal="left" vertical="center"/>
    </xf>
    <xf numFmtId="164" fontId="40" fillId="0" borderId="15" xfId="436" applyNumberFormat="1" applyFont="1" applyFill="1" applyBorder="1" applyAlignment="1">
      <alignment horizontal="center" vertical="center"/>
    </xf>
    <xf numFmtId="1" fontId="107" fillId="0" borderId="0" xfId="0" applyNumberFormat="1" applyFont="1"/>
    <xf numFmtId="0" fontId="415" fillId="34" borderId="10" xfId="0" applyFont="1" applyFill="1" applyBorder="1" applyAlignment="1">
      <alignment horizontal="center" vertical="center"/>
    </xf>
    <xf numFmtId="1" fontId="265" fillId="0" borderId="37" xfId="0" applyNumberFormat="1" applyFont="1" applyFill="1" applyBorder="1" applyAlignment="1">
      <alignment horizontal="center" vertical="center"/>
    </xf>
    <xf numFmtId="173" fontId="91" fillId="107" borderId="0" xfId="414" applyNumberFormat="1" applyFont="1" applyFill="1"/>
    <xf numFmtId="1" fontId="214" fillId="107" borderId="0" xfId="428" applyNumberFormat="1" applyFont="1" applyFill="1" applyBorder="1" applyAlignment="1">
      <alignment horizontal="center" vertical="center"/>
    </xf>
    <xf numFmtId="173" fontId="91" fillId="107" borderId="0" xfId="414" applyNumberFormat="1" applyFont="1" applyFill="1" applyBorder="1"/>
    <xf numFmtId="0" fontId="122" fillId="0" borderId="13" xfId="0" applyFont="1" applyBorder="1" applyAlignment="1" applyProtection="1"/>
    <xf numFmtId="0" fontId="412" fillId="0" borderId="297" xfId="0" applyFont="1" applyBorder="1" applyAlignment="1">
      <alignment vertical="center"/>
    </xf>
    <xf numFmtId="0" fontId="279" fillId="0" borderId="0" xfId="436" applyFont="1" applyFill="1" applyBorder="1" applyAlignment="1" applyProtection="1">
      <alignment vertical="center"/>
      <protection locked="0"/>
    </xf>
    <xf numFmtId="1" fontId="77" fillId="0" borderId="62" xfId="430" quotePrefix="1" applyNumberFormat="1" applyFont="1" applyFill="1" applyBorder="1" applyAlignment="1">
      <alignment horizontal="center" vertical="center"/>
    </xf>
    <xf numFmtId="1" fontId="77" fillId="0" borderId="62" xfId="430" applyNumberFormat="1" applyFont="1" applyFill="1" applyBorder="1" applyAlignment="1">
      <alignment horizontal="center" vertical="center"/>
    </xf>
    <xf numFmtId="1" fontId="49" fillId="0" borderId="62" xfId="430" applyNumberFormat="1" applyFont="1" applyFill="1" applyBorder="1" applyAlignment="1">
      <alignment horizontal="center" vertical="center"/>
    </xf>
    <xf numFmtId="165" fontId="77" fillId="0" borderId="62" xfId="430" applyNumberFormat="1" applyFont="1" applyFill="1" applyBorder="1" applyAlignment="1">
      <alignment horizontal="center" vertical="center"/>
    </xf>
    <xf numFmtId="1" fontId="100" fillId="0" borderId="0" xfId="0" applyNumberFormat="1" applyFont="1" applyFill="1"/>
    <xf numFmtId="0" fontId="370" fillId="0" borderId="24" xfId="436" applyFont="1" applyBorder="1" applyAlignment="1" applyProtection="1">
      <alignment vertical="center"/>
      <protection locked="0"/>
    </xf>
    <xf numFmtId="0" fontId="140" fillId="0" borderId="13" xfId="436" quotePrefix="1" applyFont="1" applyBorder="1" applyAlignment="1">
      <alignment horizontal="left" vertical="center"/>
    </xf>
    <xf numFmtId="0" fontId="140" fillId="0" borderId="13" xfId="436" applyFont="1" applyBorder="1" applyAlignment="1">
      <alignment vertical="center"/>
    </xf>
    <xf numFmtId="0" fontId="124" fillId="0" borderId="297" xfId="436" applyFont="1" applyBorder="1" applyAlignment="1">
      <alignment vertical="center"/>
    </xf>
    <xf numFmtId="0" fontId="93" fillId="0" borderId="22" xfId="0" applyFont="1" applyBorder="1"/>
    <xf numFmtId="0" fontId="93" fillId="0" borderId="17" xfId="0" applyFont="1" applyBorder="1"/>
    <xf numFmtId="1" fontId="221" fillId="0" borderId="0" xfId="0" applyNumberFormat="1" applyFont="1" applyFill="1"/>
    <xf numFmtId="1" fontId="289" fillId="97" borderId="62" xfId="0" applyNumberFormat="1" applyFont="1" applyFill="1" applyBorder="1" applyAlignment="1" applyProtection="1">
      <alignment vertical="center"/>
      <protection locked="0"/>
    </xf>
    <xf numFmtId="166" fontId="204" fillId="33" borderId="62" xfId="271" applyNumberFormat="1" applyFont="1" applyFill="1" applyBorder="1" applyAlignment="1">
      <alignment vertical="center"/>
    </xf>
    <xf numFmtId="1" fontId="306" fillId="0" borderId="542" xfId="429" applyNumberFormat="1" applyFont="1" applyFill="1" applyBorder="1" applyAlignment="1" applyProtection="1">
      <alignment horizontal="center" vertical="center"/>
    </xf>
    <xf numFmtId="20" fontId="416" fillId="0" borderId="0" xfId="0" applyNumberFormat="1" applyFont="1"/>
    <xf numFmtId="0" fontId="416" fillId="0" borderId="0" xfId="0" applyFont="1"/>
    <xf numFmtId="1" fontId="416" fillId="0" borderId="0" xfId="0" applyNumberFormat="1" applyFont="1"/>
    <xf numFmtId="0" fontId="417" fillId="0" borderId="0" xfId="0" applyFont="1"/>
    <xf numFmtId="165" fontId="416" fillId="0" borderId="0" xfId="0" applyNumberFormat="1" applyFont="1"/>
    <xf numFmtId="1" fontId="417" fillId="0" borderId="0" xfId="0" applyNumberFormat="1" applyFont="1"/>
    <xf numFmtId="1" fontId="91" fillId="0" borderId="0" xfId="0" applyNumberFormat="1" applyFont="1" applyAlignment="1"/>
    <xf numFmtId="0" fontId="91" fillId="47" borderId="0" xfId="0" applyFont="1" applyFill="1" applyBorder="1"/>
    <xf numFmtId="1" fontId="55" fillId="47" borderId="0" xfId="436" applyNumberFormat="1" applyFont="1" applyFill="1" applyBorder="1" applyAlignment="1">
      <alignment horizontal="left" vertical="center"/>
    </xf>
    <xf numFmtId="0" fontId="55" fillId="47" borderId="0" xfId="0" applyFont="1" applyFill="1" applyAlignment="1">
      <alignment vertical="center"/>
    </xf>
    <xf numFmtId="173" fontId="91" fillId="82" borderId="0" xfId="414" applyNumberFormat="1" applyFont="1" applyFill="1"/>
    <xf numFmtId="0" fontId="419" fillId="0" borderId="297" xfId="0" applyFont="1" applyBorder="1"/>
    <xf numFmtId="0" fontId="420" fillId="0" borderId="297" xfId="0" applyFont="1" applyBorder="1"/>
    <xf numFmtId="0" fontId="418" fillId="0" borderId="0" xfId="0" applyFont="1" applyBorder="1" applyAlignment="1">
      <alignment vertical="top"/>
    </xf>
    <xf numFmtId="0" fontId="420" fillId="0" borderId="297" xfId="0" applyFont="1" applyBorder="1" applyAlignment="1">
      <alignment vertical="center"/>
    </xf>
    <xf numFmtId="0" fontId="418" fillId="0" borderId="0" xfId="0" applyFont="1" applyBorder="1" applyAlignment="1"/>
    <xf numFmtId="0" fontId="420" fillId="0" borderId="297" xfId="0" applyFont="1" applyBorder="1" applyAlignment="1"/>
    <xf numFmtId="0" fontId="420" fillId="0" borderId="297" xfId="0" applyFont="1" applyBorder="1" applyAlignment="1">
      <alignment vertical="top"/>
    </xf>
    <xf numFmtId="1" fontId="421" fillId="35" borderId="184" xfId="0" applyNumberFormat="1" applyFont="1" applyFill="1" applyBorder="1" applyAlignment="1">
      <alignment horizontal="center" vertical="center"/>
    </xf>
    <xf numFmtId="165" fontId="108" fillId="0" borderId="0" xfId="0" applyNumberFormat="1" applyFont="1" applyAlignment="1">
      <alignment vertical="center"/>
    </xf>
    <xf numFmtId="0" fontId="49" fillId="0" borderId="552" xfId="423" applyNumberFormat="1" applyFont="1" applyBorder="1"/>
    <xf numFmtId="1" fontId="49" fillId="0" borderId="552" xfId="428" applyNumberFormat="1" applyFont="1" applyFill="1" applyBorder="1" applyAlignment="1" applyProtection="1">
      <alignment horizontal="center" vertical="center"/>
      <protection locked="0"/>
    </xf>
    <xf numFmtId="1" fontId="49" fillId="0" borderId="552" xfId="428" applyNumberFormat="1" applyFont="1" applyFill="1" applyBorder="1" applyAlignment="1">
      <alignment horizontal="center" vertical="center"/>
    </xf>
    <xf numFmtId="0" fontId="49" fillId="0" borderId="552" xfId="428" applyFont="1" applyFill="1" applyBorder="1" applyAlignment="1">
      <alignment horizontal="center" vertical="center"/>
    </xf>
    <xf numFmtId="0" fontId="49" fillId="0" borderId="552" xfId="429" applyNumberFormat="1" applyFont="1" applyFill="1" applyBorder="1" applyAlignment="1">
      <alignment vertical="center"/>
    </xf>
    <xf numFmtId="0" fontId="49" fillId="0" borderId="554" xfId="423" applyNumberFormat="1" applyFont="1" applyBorder="1"/>
    <xf numFmtId="1" fontId="49" fillId="0" borderId="554" xfId="428" applyNumberFormat="1" applyFont="1" applyFill="1" applyBorder="1" applyAlignment="1" applyProtection="1">
      <alignment horizontal="center" vertical="center"/>
      <protection locked="0"/>
    </xf>
    <xf numFmtId="1" fontId="49" fillId="0" borderId="554" xfId="428" applyNumberFormat="1" applyFont="1" applyFill="1" applyBorder="1" applyAlignment="1">
      <alignment horizontal="center" vertical="center"/>
    </xf>
    <xf numFmtId="0" fontId="49" fillId="0" borderId="554" xfId="428" applyFont="1" applyFill="1" applyBorder="1" applyAlignment="1">
      <alignment horizontal="center" vertical="center"/>
    </xf>
    <xf numFmtId="0" fontId="49" fillId="0" borderId="554" xfId="429" applyNumberFormat="1" applyFont="1" applyFill="1" applyBorder="1" applyAlignment="1">
      <alignment vertical="center"/>
    </xf>
    <xf numFmtId="0" fontId="49" fillId="0" borderId="543" xfId="423" applyNumberFormat="1" applyFont="1" applyBorder="1"/>
    <xf numFmtId="1" fontId="49" fillId="0" borderId="549" xfId="428" applyNumberFormat="1" applyFont="1" applyFill="1" applyBorder="1" applyAlignment="1" applyProtection="1">
      <alignment horizontal="center" vertical="center"/>
      <protection locked="0"/>
    </xf>
    <xf numFmtId="1" fontId="49" fillId="0" borderId="551" xfId="428" applyNumberFormat="1" applyFont="1" applyFill="1" applyBorder="1" applyAlignment="1">
      <alignment horizontal="center" vertical="center"/>
    </xf>
    <xf numFmtId="0" fontId="49" fillId="0" borderId="551" xfId="428" applyFont="1" applyFill="1" applyBorder="1" applyAlignment="1">
      <alignment horizontal="center" vertical="center"/>
    </xf>
    <xf numFmtId="0" fontId="49" fillId="0" borderId="550" xfId="429" applyNumberFormat="1" applyFont="1" applyFill="1" applyBorder="1" applyAlignment="1">
      <alignment vertical="center"/>
    </xf>
    <xf numFmtId="0" fontId="49" fillId="0" borderId="555" xfId="428" applyFont="1" applyFill="1" applyBorder="1" applyAlignment="1">
      <alignment horizontal="center" vertical="center"/>
    </xf>
    <xf numFmtId="1" fontId="49" fillId="0" borderId="550" xfId="428" applyNumberFormat="1" applyFont="1" applyFill="1" applyBorder="1" applyAlignment="1" applyProtection="1">
      <alignment horizontal="center" vertical="center"/>
      <protection locked="0"/>
    </xf>
    <xf numFmtId="1" fontId="49" fillId="0" borderId="553" xfId="428" applyNumberFormat="1" applyFont="1" applyFill="1" applyBorder="1" applyAlignment="1">
      <alignment horizontal="center" vertical="center"/>
    </xf>
    <xf numFmtId="0" fontId="49" fillId="0" borderId="553" xfId="428" applyFont="1" applyFill="1" applyBorder="1" applyAlignment="1">
      <alignment horizontal="center" vertical="center"/>
    </xf>
    <xf numFmtId="0" fontId="49" fillId="0" borderId="498" xfId="428" applyFont="1" applyFill="1" applyBorder="1" applyAlignment="1">
      <alignment horizontal="center" vertical="center"/>
    </xf>
    <xf numFmtId="0" fontId="49" fillId="0" borderId="550" xfId="428" applyFont="1" applyFill="1" applyBorder="1" applyAlignment="1">
      <alignment horizontal="center" vertical="center"/>
    </xf>
    <xf numFmtId="0" fontId="49" fillId="0" borderId="550" xfId="414" applyNumberFormat="1" applyFont="1" applyFill="1" applyBorder="1" applyAlignment="1">
      <alignment vertical="center"/>
    </xf>
    <xf numFmtId="0" fontId="49" fillId="0" borderId="554" xfId="0" applyFont="1" applyFill="1" applyBorder="1" applyAlignment="1">
      <alignment horizontal="center" vertical="center"/>
    </xf>
    <xf numFmtId="0" fontId="49" fillId="0" borderId="553" xfId="0" applyFont="1" applyFill="1" applyBorder="1" applyAlignment="1">
      <alignment horizontal="center" vertical="center"/>
    </xf>
    <xf numFmtId="0" fontId="49" fillId="0" borderId="543" xfId="0" applyFont="1" applyFill="1" applyBorder="1" applyAlignment="1">
      <alignment horizontal="center" vertical="center"/>
    </xf>
    <xf numFmtId="0" fontId="49" fillId="0" borderId="551" xfId="0" applyFont="1" applyFill="1" applyBorder="1" applyAlignment="1">
      <alignment horizontal="center" vertical="center"/>
    </xf>
    <xf numFmtId="0" fontId="49" fillId="0" borderId="554" xfId="414" applyNumberFormat="1" applyFont="1" applyFill="1" applyBorder="1" applyAlignment="1">
      <alignment vertical="center"/>
    </xf>
    <xf numFmtId="0" fontId="49" fillId="0" borderId="552" xfId="414" applyNumberFormat="1" applyFont="1" applyFill="1" applyBorder="1" applyAlignment="1">
      <alignment vertical="center"/>
    </xf>
    <xf numFmtId="0" fontId="49" fillId="0" borderId="552" xfId="0" applyFont="1" applyFill="1" applyBorder="1" applyAlignment="1">
      <alignment horizontal="center" vertical="center"/>
    </xf>
    <xf numFmtId="0" fontId="49" fillId="0" borderId="554" xfId="436" applyFont="1" applyFill="1" applyBorder="1" applyAlignment="1">
      <alignment horizontal="center" vertical="center"/>
    </xf>
    <xf numFmtId="0" fontId="49" fillId="0" borderId="543" xfId="436" applyFont="1" applyFill="1" applyBorder="1" applyAlignment="1">
      <alignment horizontal="center" vertical="center"/>
    </xf>
    <xf numFmtId="0" fontId="49" fillId="0" borderId="552" xfId="436" applyFont="1" applyFill="1" applyBorder="1" applyAlignment="1">
      <alignment horizontal="center" vertical="center"/>
    </xf>
    <xf numFmtId="0" fontId="422" fillId="0" borderId="554" xfId="429" applyNumberFormat="1" applyFont="1" applyFill="1" applyBorder="1" applyAlignment="1">
      <alignment vertical="center"/>
    </xf>
    <xf numFmtId="0" fontId="422" fillId="0" borderId="552" xfId="429" applyNumberFormat="1" applyFont="1" applyFill="1" applyBorder="1" applyAlignment="1">
      <alignment vertical="center"/>
    </xf>
    <xf numFmtId="0" fontId="423" fillId="0" borderId="0" xfId="0" applyFont="1" applyFill="1" applyBorder="1" applyAlignment="1">
      <alignment horizontal="center" wrapText="1"/>
    </xf>
    <xf numFmtId="0" fontId="424" fillId="0" borderId="0" xfId="0" applyFont="1" applyFill="1" applyBorder="1"/>
    <xf numFmtId="0" fontId="425" fillId="0" borderId="0" xfId="0" applyFont="1" applyFill="1" applyBorder="1" applyAlignment="1">
      <alignment wrapText="1"/>
    </xf>
    <xf numFmtId="0" fontId="426" fillId="0" borderId="0" xfId="0" applyFont="1" applyFill="1" applyBorder="1" applyAlignment="1">
      <alignment horizontal="center" wrapText="1"/>
    </xf>
    <xf numFmtId="0" fontId="425" fillId="0" borderId="0" xfId="0" applyFont="1" applyFill="1" applyBorder="1" applyAlignment="1">
      <alignment horizontal="right" wrapText="1"/>
    </xf>
    <xf numFmtId="0" fontId="424" fillId="0" borderId="0" xfId="0" applyFont="1" applyFill="1" applyBorder="1" applyAlignment="1">
      <alignment horizontal="center" wrapText="1"/>
    </xf>
    <xf numFmtId="0" fontId="427" fillId="0" borderId="0" xfId="0" applyFont="1" applyFill="1" applyBorder="1" applyAlignment="1">
      <alignment horizontal="center" wrapText="1"/>
    </xf>
    <xf numFmtId="0" fontId="428" fillId="0" borderId="0" xfId="0" applyFont="1" applyFill="1" applyBorder="1" applyAlignment="1">
      <alignment horizontal="center" wrapText="1"/>
    </xf>
    <xf numFmtId="0" fontId="429" fillId="0" borderId="0" xfId="0" applyFont="1" applyFill="1" applyBorder="1" applyAlignment="1">
      <alignment horizontal="center" wrapText="1"/>
    </xf>
    <xf numFmtId="0" fontId="209" fillId="0" borderId="0" xfId="0" applyFont="1" applyFill="1" applyBorder="1" applyAlignment="1">
      <alignment vertical="center"/>
    </xf>
    <xf numFmtId="2" fontId="35" fillId="0" borderId="17" xfId="0" applyNumberFormat="1" applyFont="1" applyFill="1" applyBorder="1" applyAlignment="1">
      <alignment horizontal="left" vertical="center"/>
    </xf>
    <xf numFmtId="2" fontId="35" fillId="63" borderId="17" xfId="0" applyNumberFormat="1" applyFont="1" applyFill="1" applyBorder="1" applyAlignment="1">
      <alignment horizontal="left" vertical="center"/>
    </xf>
    <xf numFmtId="165" fontId="430" fillId="0" borderId="0" xfId="0" applyNumberFormat="1" applyFont="1" applyBorder="1" applyAlignment="1">
      <alignment horizontal="center"/>
    </xf>
    <xf numFmtId="14" fontId="430" fillId="0" borderId="0" xfId="0" applyNumberFormat="1" applyFont="1" applyAlignment="1">
      <alignment horizontal="center"/>
    </xf>
    <xf numFmtId="167" fontId="430" fillId="0" borderId="0" xfId="0" applyNumberFormat="1" applyFont="1" applyAlignment="1">
      <alignment horizontal="center"/>
    </xf>
    <xf numFmtId="0" fontId="430" fillId="0" borderId="0" xfId="0" applyFont="1" applyBorder="1" applyAlignment="1">
      <alignment horizontal="center" vertical="center"/>
    </xf>
    <xf numFmtId="20" fontId="430" fillId="0" borderId="0" xfId="0" applyNumberFormat="1" applyFont="1" applyAlignment="1">
      <alignment horizontal="center"/>
    </xf>
    <xf numFmtId="2" fontId="91" fillId="0" borderId="0" xfId="414" applyNumberFormat="1" applyFont="1" applyFill="1"/>
    <xf numFmtId="173" fontId="91" fillId="0" borderId="0" xfId="414" applyNumberFormat="1" applyFont="1" applyFill="1"/>
    <xf numFmtId="20" fontId="431" fillId="34" borderId="10" xfId="0" applyNumberFormat="1" applyFont="1" applyFill="1" applyBorder="1" applyAlignment="1">
      <alignment horizontal="center"/>
    </xf>
    <xf numFmtId="0" fontId="432" fillId="0" borderId="0" xfId="0" applyFont="1"/>
    <xf numFmtId="164" fontId="231" fillId="0" borderId="17" xfId="436" applyNumberFormat="1" applyFont="1" applyFill="1" applyBorder="1" applyAlignment="1">
      <alignment horizontal="left" vertical="center"/>
    </xf>
    <xf numFmtId="0" fontId="224" fillId="0" borderId="0" xfId="0" applyFont="1" applyFill="1"/>
    <xf numFmtId="0" fontId="160" fillId="0" borderId="0" xfId="0" applyFont="1" applyBorder="1" applyAlignment="1">
      <alignment horizontal="left"/>
    </xf>
    <xf numFmtId="0" fontId="7" fillId="0" borderId="0" xfId="436" applyFont="1" applyBorder="1" applyProtection="1">
      <alignment vertical="center"/>
      <protection locked="0"/>
    </xf>
    <xf numFmtId="0" fontId="7" fillId="0" borderId="0" xfId="436" applyFont="1" applyBorder="1">
      <alignment vertical="center"/>
    </xf>
    <xf numFmtId="0" fontId="20" fillId="0" borderId="0" xfId="436" applyFont="1" applyBorder="1">
      <alignment vertical="center"/>
    </xf>
    <xf numFmtId="0" fontId="298" fillId="0" borderId="0" xfId="0" applyFont="1" applyBorder="1" applyAlignment="1">
      <alignment vertical="center"/>
    </xf>
    <xf numFmtId="0" fontId="0" fillId="0" borderId="0" xfId="0" applyBorder="1" applyAlignment="1"/>
    <xf numFmtId="0" fontId="118" fillId="0" borderId="0" xfId="0" applyFont="1" applyBorder="1" applyAlignment="1">
      <alignment horizontal="center" vertical="top"/>
    </xf>
    <xf numFmtId="0" fontId="129" fillId="0" borderId="0" xfId="0" applyFont="1" applyBorder="1" applyAlignment="1">
      <alignment horizontal="center" vertical="center" wrapText="1"/>
    </xf>
    <xf numFmtId="0" fontId="118" fillId="0" borderId="10" xfId="0" applyFont="1" applyBorder="1" applyAlignment="1" applyProtection="1">
      <alignment horizontal="center" vertical="center"/>
    </xf>
    <xf numFmtId="0" fontId="118" fillId="0" borderId="10" xfId="0" applyFont="1" applyBorder="1" applyAlignment="1" applyProtection="1">
      <alignment horizontal="center" vertical="center" wrapText="1"/>
    </xf>
    <xf numFmtId="1" fontId="241" fillId="0" borderId="10" xfId="0" applyNumberFormat="1" applyFont="1" applyFill="1" applyBorder="1" applyAlignment="1" applyProtection="1">
      <alignment horizontal="center" vertical="center"/>
      <protection locked="0"/>
    </xf>
    <xf numFmtId="0" fontId="108" fillId="0" borderId="10" xfId="0" applyFont="1" applyFill="1" applyBorder="1" applyAlignment="1" applyProtection="1">
      <alignment horizontal="center" vertical="center"/>
    </xf>
    <xf numFmtId="189" fontId="108" fillId="34" borderId="10" xfId="0" applyNumberFormat="1" applyFont="1" applyFill="1" applyBorder="1" applyAlignment="1" applyProtection="1">
      <alignment horizontal="center" vertical="center"/>
    </xf>
    <xf numFmtId="1" fontId="108" fillId="34" borderId="10" xfId="0" applyNumberFormat="1" applyFont="1" applyFill="1" applyBorder="1" applyAlignment="1" applyProtection="1">
      <alignment horizontal="center" vertical="center"/>
    </xf>
    <xf numFmtId="10" fontId="108" fillId="34" borderId="10" xfId="0" applyNumberFormat="1" applyFont="1" applyFill="1" applyBorder="1" applyAlignment="1" applyProtection="1">
      <alignment horizontal="center" vertical="center"/>
    </xf>
    <xf numFmtId="0" fontId="223" fillId="0" borderId="15" xfId="0" applyFont="1" applyBorder="1" applyAlignment="1"/>
    <xf numFmtId="0" fontId="223" fillId="0" borderId="30" xfId="0" applyFont="1" applyBorder="1" applyAlignment="1"/>
    <xf numFmtId="0" fontId="223" fillId="0" borderId="14" xfId="0" applyFont="1" applyBorder="1" applyAlignment="1" applyProtection="1">
      <alignment horizontal="center"/>
    </xf>
    <xf numFmtId="0" fontId="223" fillId="0" borderId="15" xfId="0" applyFont="1" applyBorder="1" applyAlignment="1">
      <alignment vertical="center"/>
    </xf>
    <xf numFmtId="189" fontId="108" fillId="0" borderId="10" xfId="0" applyNumberFormat="1" applyFont="1" applyFill="1" applyBorder="1" applyAlignment="1" applyProtection="1">
      <alignment horizontal="center" vertical="center"/>
    </xf>
    <xf numFmtId="10" fontId="108" fillId="0" borderId="10" xfId="0" applyNumberFormat="1" applyFont="1" applyFill="1" applyBorder="1" applyAlignment="1" applyProtection="1">
      <alignment horizontal="center" vertical="center"/>
    </xf>
    <xf numFmtId="1" fontId="108" fillId="0" borderId="10" xfId="0" applyNumberFormat="1" applyFont="1" applyFill="1" applyBorder="1" applyAlignment="1" applyProtection="1">
      <alignment horizontal="center" vertical="center"/>
    </xf>
    <xf numFmtId="0" fontId="0" fillId="34" borderId="0" xfId="0" applyFill="1"/>
    <xf numFmtId="0" fontId="0" fillId="34" borderId="0" xfId="0" applyFill="1" applyAlignment="1">
      <alignment vertical="center"/>
    </xf>
    <xf numFmtId="0" fontId="0" fillId="34" borderId="0" xfId="0" applyFill="1" applyBorder="1" applyAlignment="1">
      <alignment vertical="center"/>
    </xf>
    <xf numFmtId="0" fontId="0" fillId="99" borderId="0" xfId="0" applyFill="1" applyAlignment="1">
      <alignment horizontal="center"/>
    </xf>
    <xf numFmtId="14" fontId="0" fillId="39" borderId="0" xfId="0" applyNumberFormat="1" applyFill="1" applyAlignment="1">
      <alignment horizontal="center" vertical="center"/>
    </xf>
    <xf numFmtId="1" fontId="214" fillId="82" borderId="0" xfId="428" applyNumberFormat="1" applyFont="1" applyFill="1" applyBorder="1" applyAlignment="1">
      <alignment horizontal="center" vertical="center"/>
    </xf>
    <xf numFmtId="173" fontId="91" fillId="82" borderId="0" xfId="414" applyNumberFormat="1" applyFont="1" applyFill="1" applyBorder="1"/>
    <xf numFmtId="0" fontId="433" fillId="0" borderId="436" xfId="0" applyFont="1" applyBorder="1" applyAlignment="1">
      <alignment horizontal="center" vertical="center" wrapText="1"/>
    </xf>
    <xf numFmtId="0" fontId="363" fillId="0" borderId="483" xfId="0" applyFont="1" applyBorder="1" applyAlignment="1">
      <alignment horizontal="center" wrapText="1"/>
    </xf>
    <xf numFmtId="0" fontId="190" fillId="101" borderId="483" xfId="0" applyFont="1" applyFill="1" applyBorder="1" applyAlignment="1">
      <alignment horizontal="center" wrapText="1"/>
    </xf>
    <xf numFmtId="0" fontId="132" fillId="51" borderId="542" xfId="0" applyNumberFormat="1" applyFont="1" applyFill="1" applyBorder="1" applyAlignment="1">
      <alignment horizontal="center" vertical="center" wrapText="1"/>
    </xf>
    <xf numFmtId="1" fontId="284" fillId="79" borderId="558" xfId="0" applyNumberFormat="1" applyFont="1" applyFill="1" applyBorder="1" applyAlignment="1" applyProtection="1">
      <alignment horizontal="center" vertical="center"/>
      <protection locked="0"/>
    </xf>
    <xf numFmtId="166" fontId="284" fillId="79" borderId="558" xfId="271" applyNumberFormat="1" applyFont="1" applyFill="1" applyBorder="1" applyAlignment="1">
      <alignment horizontal="center" vertical="center"/>
    </xf>
    <xf numFmtId="1" fontId="284" fillId="78" borderId="558" xfId="0" applyNumberFormat="1" applyFont="1" applyFill="1" applyBorder="1" applyAlignment="1" applyProtection="1">
      <alignment horizontal="center" vertical="center"/>
      <protection locked="0"/>
    </xf>
    <xf numFmtId="1" fontId="284" fillId="79" borderId="559" xfId="0" applyNumberFormat="1" applyFont="1" applyFill="1" applyBorder="1" applyAlignment="1" applyProtection="1">
      <alignment horizontal="center" vertical="center"/>
      <protection locked="0"/>
    </xf>
    <xf numFmtId="0" fontId="49" fillId="0" borderId="352" xfId="428" applyFont="1" applyFill="1" applyBorder="1" applyAlignment="1">
      <alignment horizontal="center" vertical="center"/>
    </xf>
    <xf numFmtId="0" fontId="49" fillId="0" borderId="311" xfId="429" applyNumberFormat="1" applyFont="1" applyFill="1" applyBorder="1" applyAlignment="1">
      <alignment vertical="center"/>
    </xf>
    <xf numFmtId="0" fontId="49" fillId="0" borderId="311" xfId="0" applyFont="1" applyFill="1" applyBorder="1" applyAlignment="1">
      <alignment horizontal="center" vertical="center"/>
    </xf>
    <xf numFmtId="1" fontId="49" fillId="0" borderId="273" xfId="428" applyNumberFormat="1" applyFont="1" applyFill="1" applyBorder="1" applyAlignment="1">
      <alignment horizontal="center" vertical="center"/>
    </xf>
    <xf numFmtId="1" fontId="49" fillId="0" borderId="273" xfId="428" applyNumberFormat="1" applyFont="1" applyFill="1" applyBorder="1" applyAlignment="1" applyProtection="1">
      <alignment horizontal="center" vertical="center"/>
      <protection locked="0"/>
    </xf>
    <xf numFmtId="166" fontId="140" fillId="99" borderId="542" xfId="271" applyNumberFormat="1" applyFont="1" applyFill="1" applyBorder="1" applyAlignment="1">
      <alignment vertical="center"/>
    </xf>
    <xf numFmtId="0" fontId="209" fillId="0" borderId="0" xfId="0" applyNumberFormat="1" applyFont="1" applyAlignment="1">
      <alignment vertical="center"/>
    </xf>
    <xf numFmtId="0" fontId="209" fillId="0" borderId="0" xfId="0" applyFont="1" applyAlignment="1">
      <alignment horizontal="center" vertical="center"/>
    </xf>
    <xf numFmtId="1" fontId="88" fillId="0" borderId="0" xfId="401" applyNumberFormat="1" applyFont="1"/>
    <xf numFmtId="1" fontId="81" fillId="0" borderId="62" xfId="430" applyNumberFormat="1" applyFont="1" applyFill="1" applyBorder="1" applyAlignment="1">
      <alignment horizontal="center" vertical="center"/>
    </xf>
    <xf numFmtId="173" fontId="91" fillId="47" borderId="0" xfId="414" applyNumberFormat="1" applyFont="1" applyFill="1"/>
    <xf numFmtId="1" fontId="55" fillId="108" borderId="0" xfId="436" applyNumberFormat="1" applyFont="1" applyFill="1" applyBorder="1" applyAlignment="1">
      <alignment horizontal="left" vertical="center"/>
    </xf>
    <xf numFmtId="0" fontId="55" fillId="108" borderId="0" xfId="0" applyFont="1" applyFill="1" applyAlignment="1">
      <alignment vertical="center"/>
    </xf>
    <xf numFmtId="0" fontId="91" fillId="108" borderId="0" xfId="0" applyFont="1" applyFill="1" applyBorder="1"/>
    <xf numFmtId="173" fontId="7" fillId="81" borderId="70" xfId="429" applyNumberFormat="1" applyFont="1" applyFill="1" applyBorder="1" applyAlignment="1">
      <alignment vertical="center"/>
    </xf>
    <xf numFmtId="173" fontId="7" fillId="81" borderId="70" xfId="429" applyNumberFormat="1" applyFont="1" applyFill="1" applyBorder="1" applyAlignment="1">
      <alignment horizontal="center" vertical="center"/>
    </xf>
    <xf numFmtId="173" fontId="7" fillId="81" borderId="60" xfId="429" applyNumberFormat="1" applyFont="1" applyFill="1" applyBorder="1" applyAlignment="1">
      <alignment horizontal="center" vertical="center"/>
    </xf>
    <xf numFmtId="1" fontId="7" fillId="81" borderId="70" xfId="429" applyNumberFormat="1" applyFont="1" applyFill="1" applyBorder="1" applyAlignment="1">
      <alignment horizontal="center" vertical="center"/>
    </xf>
    <xf numFmtId="1" fontId="7" fillId="81" borderId="75" xfId="429" applyNumberFormat="1" applyFont="1" applyFill="1" applyBorder="1" applyAlignment="1" applyProtection="1">
      <alignment horizontal="center" vertical="center"/>
    </xf>
    <xf numFmtId="1" fontId="306" fillId="81" borderId="65" xfId="429" applyNumberFormat="1" applyFont="1" applyFill="1" applyBorder="1" applyAlignment="1" applyProtection="1">
      <alignment horizontal="center" vertical="center"/>
    </xf>
    <xf numFmtId="173" fontId="2" fillId="31" borderId="0" xfId="414" applyNumberFormat="1" applyFont="1" applyFill="1" applyAlignment="1">
      <alignment vertical="center"/>
    </xf>
    <xf numFmtId="1" fontId="7" fillId="81" borderId="15" xfId="429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25" fillId="0" borderId="0" xfId="0" applyFont="1" applyFill="1" applyBorder="1" applyAlignment="1">
      <alignment horizontal="center" wrapText="1"/>
    </xf>
    <xf numFmtId="0" fontId="219" fillId="0" borderId="312" xfId="436" applyFont="1" applyBorder="1" applyAlignment="1" applyProtection="1">
      <alignment vertical="center"/>
      <protection locked="0"/>
    </xf>
    <xf numFmtId="0" fontId="219" fillId="0" borderId="141" xfId="436" applyFont="1" applyBorder="1" applyAlignment="1" applyProtection="1">
      <alignment vertical="center"/>
      <protection locked="0"/>
    </xf>
    <xf numFmtId="0" fontId="245" fillId="0" borderId="141" xfId="436" applyFont="1" applyBorder="1" applyAlignment="1" applyProtection="1">
      <alignment vertical="center"/>
      <protection locked="0"/>
    </xf>
    <xf numFmtId="0" fontId="302" fillId="0" borderId="176" xfId="436" applyFont="1" applyBorder="1" applyAlignment="1" applyProtection="1">
      <alignment vertical="center"/>
      <protection locked="0"/>
    </xf>
    <xf numFmtId="14" fontId="20" fillId="0" borderId="70" xfId="0" applyNumberFormat="1" applyFont="1" applyFill="1" applyBorder="1" applyAlignment="1">
      <alignment horizontal="left" vertical="center"/>
    </xf>
    <xf numFmtId="0" fontId="285" fillId="0" borderId="0" xfId="0" applyFont="1" applyFill="1" applyBorder="1"/>
    <xf numFmtId="20" fontId="435" fillId="26" borderId="572" xfId="0" applyNumberFormat="1" applyFont="1" applyFill="1" applyBorder="1" applyAlignment="1">
      <alignment horizontal="center" vertical="center"/>
    </xf>
    <xf numFmtId="20" fontId="436" fillId="26" borderId="572" xfId="0" applyNumberFormat="1" applyFont="1" applyFill="1" applyBorder="1" applyAlignment="1">
      <alignment horizontal="center" vertical="center"/>
    </xf>
    <xf numFmtId="20" fontId="435" fillId="49" borderId="572" xfId="0" applyNumberFormat="1" applyFont="1" applyFill="1" applyBorder="1" applyAlignment="1">
      <alignment horizontal="center" vertical="center"/>
    </xf>
    <xf numFmtId="166" fontId="437" fillId="73" borderId="79" xfId="271" applyNumberFormat="1" applyFont="1" applyFill="1" applyBorder="1" applyAlignment="1">
      <alignment horizontal="center" vertical="center"/>
    </xf>
    <xf numFmtId="20" fontId="438" fillId="34" borderId="10" xfId="0" applyNumberFormat="1" applyFont="1" applyFill="1" applyBorder="1" applyAlignment="1">
      <alignment horizontal="center"/>
    </xf>
    <xf numFmtId="0" fontId="21" fillId="0" borderId="0" xfId="458" applyNumberFormat="1" applyFont="1" applyFill="1" applyBorder="1" applyAlignment="1">
      <alignment horizontal="center" vertical="center"/>
    </xf>
    <xf numFmtId="20" fontId="439" fillId="34" borderId="10" xfId="0" applyNumberFormat="1" applyFont="1" applyFill="1" applyBorder="1" applyAlignment="1">
      <alignment horizontal="center"/>
    </xf>
    <xf numFmtId="0" fontId="440" fillId="0" borderId="0" xfId="436" applyFont="1" applyBorder="1" applyAlignment="1" applyProtection="1">
      <alignment horizontal="left" vertical="top"/>
      <protection locked="0"/>
    </xf>
    <xf numFmtId="0" fontId="52" fillId="0" borderId="0" xfId="436" applyFont="1" applyBorder="1" applyAlignment="1">
      <alignment horizontal="left" vertical="top"/>
    </xf>
    <xf numFmtId="0" fontId="440" fillId="0" borderId="0" xfId="436" applyFont="1" applyAlignment="1">
      <alignment horizontal="left"/>
    </xf>
    <xf numFmtId="0" fontId="2" fillId="0" borderId="0" xfId="436" applyFont="1" applyAlignment="1" applyProtection="1">
      <alignment horizontal="left"/>
      <protection locked="0"/>
    </xf>
    <xf numFmtId="0" fontId="2" fillId="0" borderId="0" xfId="436" applyFont="1" applyAlignment="1">
      <alignment horizontal="left"/>
    </xf>
    <xf numFmtId="0" fontId="52" fillId="0" borderId="0" xfId="436" applyFont="1" applyAlignment="1">
      <alignment horizontal="left"/>
    </xf>
    <xf numFmtId="0" fontId="87" fillId="0" borderId="0" xfId="436" applyFont="1" applyAlignment="1">
      <alignment horizontal="left"/>
    </xf>
    <xf numFmtId="0" fontId="91" fillId="0" borderId="48" xfId="0" applyFont="1" applyBorder="1" applyAlignment="1">
      <alignment vertical="center"/>
    </xf>
    <xf numFmtId="0" fontId="280" fillId="0" borderId="0" xfId="0" applyFont="1" applyBorder="1" applyProtection="1"/>
    <xf numFmtId="2" fontId="442" fillId="34" borderId="542" xfId="0" applyNumberFormat="1" applyFont="1" applyFill="1" applyBorder="1" applyAlignment="1">
      <alignment horizontal="center" vertical="center"/>
    </xf>
    <xf numFmtId="0" fontId="112" fillId="0" borderId="13" xfId="0" applyFont="1" applyBorder="1" applyAlignment="1"/>
    <xf numFmtId="173" fontId="42" fillId="51" borderId="297" xfId="0" applyNumberFormat="1" applyFont="1" applyFill="1" applyBorder="1" applyAlignment="1">
      <alignment vertical="center" wrapText="1"/>
    </xf>
    <xf numFmtId="173" fontId="42" fillId="51" borderId="485" xfId="0" applyNumberFormat="1" applyFont="1" applyFill="1" applyBorder="1" applyAlignment="1">
      <alignment vertical="center" wrapText="1"/>
    </xf>
    <xf numFmtId="173" fontId="42" fillId="51" borderId="33" xfId="0" applyNumberFormat="1" applyFont="1" applyFill="1" applyBorder="1" applyAlignment="1">
      <alignment vertical="center" wrapText="1"/>
    </xf>
    <xf numFmtId="0" fontId="212" fillId="0" borderId="0" xfId="0" applyFont="1" applyFill="1" applyAlignment="1">
      <alignment horizontal="center"/>
    </xf>
    <xf numFmtId="2" fontId="212" fillId="0" borderId="0" xfId="0" applyNumberFormat="1" applyFont="1" applyFill="1" applyAlignment="1">
      <alignment horizontal="center"/>
    </xf>
    <xf numFmtId="0" fontId="91" fillId="0" borderId="0" xfId="0" applyFont="1" applyAlignment="1">
      <alignment wrapText="1"/>
    </xf>
    <xf numFmtId="1" fontId="7" fillId="32" borderId="10" xfId="428" quotePrefix="1" applyNumberFormat="1" applyFont="1" applyFill="1" applyBorder="1" applyAlignment="1">
      <alignment horizontal="right"/>
    </xf>
    <xf numFmtId="0" fontId="112" fillId="0" borderId="13" xfId="0" applyFont="1" applyBorder="1"/>
    <xf numFmtId="0" fontId="112" fillId="0" borderId="13" xfId="0" applyFont="1" applyBorder="1" applyAlignment="1">
      <alignment vertical="top"/>
    </xf>
    <xf numFmtId="0" fontId="112" fillId="0" borderId="13" xfId="0" applyFont="1" applyBorder="1" applyAlignment="1">
      <alignment vertical="center"/>
    </xf>
    <xf numFmtId="0" fontId="112" fillId="0" borderId="0" xfId="0" applyFont="1" applyBorder="1" applyAlignment="1"/>
    <xf numFmtId="0" fontId="112" fillId="0" borderId="0" xfId="0" applyFont="1" applyBorder="1" applyAlignment="1">
      <alignment vertical="top"/>
    </xf>
    <xf numFmtId="0" fontId="112" fillId="0" borderId="297" xfId="0" applyFont="1" applyBorder="1"/>
    <xf numFmtId="0" fontId="112" fillId="0" borderId="311" xfId="0" applyFont="1" applyFill="1" applyBorder="1" applyAlignment="1">
      <alignment vertical="top"/>
    </xf>
    <xf numFmtId="0" fontId="112" fillId="0" borderId="297" xfId="0" applyFont="1" applyBorder="1" applyAlignment="1">
      <alignment vertical="center"/>
    </xf>
    <xf numFmtId="0" fontId="112" fillId="0" borderId="297" xfId="0" applyFont="1" applyBorder="1" applyAlignment="1"/>
    <xf numFmtId="0" fontId="112" fillId="0" borderId="297" xfId="0" applyFont="1" applyBorder="1" applyAlignment="1">
      <alignment vertical="top"/>
    </xf>
    <xf numFmtId="1" fontId="371" fillId="109" borderId="103" xfId="430" quotePrefix="1" applyNumberFormat="1" applyFont="1" applyFill="1" applyBorder="1" applyAlignment="1">
      <alignment horizontal="center" vertical="center"/>
    </xf>
    <xf numFmtId="1" fontId="372" fillId="109" borderId="10" xfId="430" applyNumberFormat="1" applyFont="1" applyFill="1" applyBorder="1" applyAlignment="1">
      <alignment horizontal="center" vertical="center"/>
    </xf>
    <xf numFmtId="1" fontId="372" fillId="109" borderId="31" xfId="430" applyNumberFormat="1" applyFont="1" applyFill="1" applyBorder="1" applyAlignment="1">
      <alignment horizontal="center" vertical="center"/>
    </xf>
    <xf numFmtId="1" fontId="371" fillId="109" borderId="31" xfId="430" applyNumberFormat="1" applyFont="1" applyFill="1" applyBorder="1" applyAlignment="1">
      <alignment horizontal="center" vertical="center"/>
    </xf>
    <xf numFmtId="1" fontId="371" fillId="109" borderId="22" xfId="430" applyNumberFormat="1" applyFont="1" applyFill="1" applyBorder="1" applyAlignment="1">
      <alignment horizontal="center" vertical="center"/>
    </xf>
    <xf numFmtId="1" fontId="441" fillId="109" borderId="22" xfId="0" applyNumberFormat="1" applyFont="1" applyFill="1" applyBorder="1" applyAlignment="1">
      <alignment horizontal="center" vertical="center"/>
    </xf>
    <xf numFmtId="1" fontId="373" fillId="110" borderId="31" xfId="430" applyNumberFormat="1" applyFont="1" applyFill="1" applyBorder="1" applyAlignment="1">
      <alignment horizontal="center" vertical="center"/>
    </xf>
    <xf numFmtId="1" fontId="373" fillId="110" borderId="22" xfId="430" applyNumberFormat="1" applyFont="1" applyFill="1" applyBorder="1" applyAlignment="1">
      <alignment horizontal="center" vertical="center"/>
    </xf>
    <xf numFmtId="1" fontId="245" fillId="110" borderId="31" xfId="430" applyNumberFormat="1" applyFont="1" applyFill="1" applyBorder="1" applyAlignment="1">
      <alignment horizontal="center" vertical="center"/>
    </xf>
    <xf numFmtId="1" fontId="245" fillId="110" borderId="22" xfId="430" applyNumberFormat="1" applyFont="1" applyFill="1" applyBorder="1" applyAlignment="1">
      <alignment horizontal="center" vertical="center"/>
    </xf>
    <xf numFmtId="1" fontId="245" fillId="111" borderId="31" xfId="430" applyNumberFormat="1" applyFont="1" applyFill="1" applyBorder="1" applyAlignment="1">
      <alignment horizontal="center" vertical="center"/>
    </xf>
    <xf numFmtId="1" fontId="245" fillId="111" borderId="22" xfId="430" applyNumberFormat="1" applyFont="1" applyFill="1" applyBorder="1" applyAlignment="1">
      <alignment horizontal="center" vertical="center"/>
    </xf>
    <xf numFmtId="49" fontId="444" fillId="113" borderId="444" xfId="0" applyNumberFormat="1" applyFont="1" applyFill="1" applyBorder="1" applyAlignment="1">
      <alignment horizontal="center" vertical="center" wrapText="1"/>
    </xf>
    <xf numFmtId="1" fontId="7" fillId="47" borderId="70" xfId="414" applyNumberFormat="1" applyFont="1" applyFill="1" applyBorder="1" applyAlignment="1" applyProtection="1">
      <alignment horizontal="center" vertical="center"/>
    </xf>
    <xf numFmtId="20" fontId="20" fillId="47" borderId="70" xfId="429" applyNumberFormat="1" applyFont="1" applyFill="1" applyBorder="1" applyAlignment="1">
      <alignment vertical="center"/>
    </xf>
    <xf numFmtId="0" fontId="108" fillId="0" borderId="0" xfId="0" applyNumberFormat="1" applyFont="1" applyFill="1" applyBorder="1" applyAlignment="1"/>
    <xf numFmtId="20" fontId="448" fillId="88" borderId="10" xfId="0" applyNumberFormat="1" applyFont="1" applyFill="1" applyBorder="1" applyAlignment="1">
      <alignment horizontal="center"/>
    </xf>
    <xf numFmtId="0" fontId="449" fillId="0" borderId="0" xfId="0" applyFont="1"/>
    <xf numFmtId="1" fontId="449" fillId="0" borderId="0" xfId="0" applyNumberFormat="1" applyFont="1"/>
    <xf numFmtId="165" fontId="449" fillId="0" borderId="0" xfId="0" applyNumberFormat="1" applyFont="1"/>
    <xf numFmtId="0" fontId="122" fillId="0" borderId="582" xfId="436" applyFont="1" applyFill="1" applyBorder="1" applyAlignment="1" applyProtection="1">
      <alignment horizontal="left" vertical="center"/>
      <protection locked="0"/>
    </xf>
    <xf numFmtId="0" fontId="124" fillId="0" borderId="42" xfId="436" applyFont="1" applyBorder="1" applyAlignment="1" applyProtection="1">
      <alignment vertical="center"/>
      <protection locked="0"/>
    </xf>
    <xf numFmtId="0" fontId="93" fillId="0" borderId="556" xfId="0" applyFont="1" applyBorder="1"/>
    <xf numFmtId="0" fontId="219" fillId="0" borderId="176" xfId="436" applyFont="1" applyBorder="1" applyAlignment="1" applyProtection="1">
      <alignment vertical="center"/>
      <protection locked="0"/>
    </xf>
    <xf numFmtId="0" fontId="122" fillId="0" borderId="297" xfId="0" applyFont="1" applyBorder="1"/>
    <xf numFmtId="0" fontId="122" fillId="0" borderId="297" xfId="0" applyFont="1" applyBorder="1" applyAlignment="1" applyProtection="1">
      <alignment horizontal="left" vertical="center"/>
      <protection locked="0"/>
    </xf>
    <xf numFmtId="0" fontId="122" fillId="0" borderId="18" xfId="0" applyFont="1" applyFill="1" applyBorder="1" applyAlignment="1">
      <alignment vertical="center"/>
    </xf>
    <xf numFmtId="0" fontId="124" fillId="0" borderId="41" xfId="0" applyFont="1" applyBorder="1" applyAlignment="1">
      <alignment vertical="center"/>
    </xf>
    <xf numFmtId="0" fontId="124" fillId="0" borderId="297" xfId="0" applyFont="1" applyBorder="1"/>
    <xf numFmtId="0" fontId="280" fillId="0" borderId="18" xfId="436" applyFont="1" applyBorder="1" applyAlignment="1" applyProtection="1">
      <alignment vertical="center"/>
      <protection locked="0"/>
    </xf>
    <xf numFmtId="0" fontId="440" fillId="0" borderId="0" xfId="0" applyFont="1" applyAlignment="1">
      <alignment horizontal="left" vertical="top"/>
    </xf>
    <xf numFmtId="0" fontId="374" fillId="0" borderId="0" xfId="0" applyNumberFormat="1" applyFont="1" applyBorder="1" applyAlignment="1">
      <alignment horizontal="center" vertical="center" wrapText="1"/>
    </xf>
    <xf numFmtId="1" fontId="284" fillId="71" borderId="583" xfId="0" applyNumberFormat="1" applyFont="1" applyFill="1" applyBorder="1" applyAlignment="1">
      <alignment horizontal="center" vertical="center"/>
    </xf>
    <xf numFmtId="2" fontId="35" fillId="0" borderId="556" xfId="0" applyNumberFormat="1" applyFont="1" applyFill="1" applyBorder="1" applyAlignment="1">
      <alignment horizontal="left" vertical="center"/>
    </xf>
    <xf numFmtId="1" fontId="203" fillId="71" borderId="484" xfId="0" applyNumberFormat="1" applyFont="1" applyFill="1" applyBorder="1" applyAlignment="1">
      <alignment horizontal="center" vertical="center"/>
    </xf>
    <xf numFmtId="0" fontId="49" fillId="0" borderId="311" xfId="428" applyFont="1" applyFill="1" applyBorder="1" applyAlignment="1">
      <alignment horizontal="center" vertical="center"/>
    </xf>
    <xf numFmtId="0" fontId="49" fillId="0" borderId="333" xfId="428" applyFont="1" applyFill="1" applyBorder="1" applyAlignment="1">
      <alignment horizontal="center" vertical="center"/>
    </xf>
    <xf numFmtId="173" fontId="7" fillId="0" borderId="74" xfId="429" applyNumberFormat="1" applyFont="1" applyFill="1" applyBorder="1" applyAlignment="1">
      <alignment horizontal="left" vertical="center"/>
    </xf>
    <xf numFmtId="1" fontId="7" fillId="0" borderId="74" xfId="429" applyNumberFormat="1" applyFont="1" applyFill="1" applyBorder="1" applyAlignment="1" applyProtection="1">
      <alignment horizontal="center" vertical="center"/>
    </xf>
    <xf numFmtId="14" fontId="20" fillId="0" borderId="74" xfId="429" applyNumberFormat="1" applyFont="1" applyFill="1" applyBorder="1" applyAlignment="1">
      <alignment horizontal="left" vertical="center"/>
    </xf>
    <xf numFmtId="0" fontId="108" fillId="0" borderId="0" xfId="0" applyFont="1" applyBorder="1" applyAlignment="1"/>
    <xf numFmtId="0" fontId="77" fillId="0" borderId="0" xfId="430" applyFont="1"/>
    <xf numFmtId="1" fontId="450" fillId="35" borderId="62" xfId="0" applyNumberFormat="1" applyFont="1" applyFill="1" applyBorder="1" applyAlignment="1">
      <alignment horizontal="center" vertical="center"/>
    </xf>
    <xf numFmtId="20" fontId="212" fillId="26" borderId="572" xfId="0" applyNumberFormat="1" applyFont="1" applyFill="1" applyBorder="1" applyAlignment="1">
      <alignment horizontal="center" vertical="center"/>
    </xf>
    <xf numFmtId="0" fontId="451" fillId="0" borderId="0" xfId="0" applyFont="1" applyFill="1" applyBorder="1" applyAlignment="1">
      <alignment horizontal="center" vertical="center" wrapText="1"/>
    </xf>
    <xf numFmtId="20" fontId="451" fillId="0" borderId="0" xfId="0" applyNumberFormat="1" applyFont="1" applyFill="1" applyBorder="1" applyAlignment="1">
      <alignment horizontal="center" vertical="center" wrapText="1"/>
    </xf>
    <xf numFmtId="184" fontId="108" fillId="0" borderId="0" xfId="0" applyNumberFormat="1" applyFont="1" applyAlignment="1">
      <alignment vertical="center"/>
    </xf>
    <xf numFmtId="0" fontId="386" fillId="0" borderId="0" xfId="0" applyFont="1" applyBorder="1" applyAlignment="1">
      <alignment vertical="center"/>
    </xf>
    <xf numFmtId="0" fontId="93" fillId="0" borderId="269" xfId="0" applyFont="1" applyBorder="1"/>
    <xf numFmtId="0" fontId="93" fillId="0" borderId="589" xfId="0" applyFont="1" applyBorder="1"/>
    <xf numFmtId="0" fontId="0" fillId="0" borderId="0" xfId="0" applyFont="1" applyBorder="1"/>
    <xf numFmtId="1" fontId="284" fillId="79" borderId="590" xfId="0" applyNumberFormat="1" applyFont="1" applyFill="1" applyBorder="1" applyAlignment="1" applyProtection="1">
      <alignment horizontal="center" vertical="center"/>
      <protection locked="0"/>
    </xf>
    <xf numFmtId="166" fontId="284" fillId="79" borderId="590" xfId="271" applyNumberFormat="1" applyFont="1" applyFill="1" applyBorder="1" applyAlignment="1">
      <alignment horizontal="center" vertical="center"/>
    </xf>
    <xf numFmtId="1" fontId="284" fillId="78" borderId="590" xfId="0" applyNumberFormat="1" applyFont="1" applyFill="1" applyBorder="1" applyAlignment="1" applyProtection="1">
      <alignment horizontal="center" vertical="center"/>
      <protection locked="0"/>
    </xf>
    <xf numFmtId="1" fontId="203" fillId="39" borderId="590" xfId="0" applyNumberFormat="1" applyFont="1" applyFill="1" applyBorder="1" applyAlignment="1" applyProtection="1">
      <alignment horizontal="center" vertical="center"/>
      <protection locked="0"/>
    </xf>
    <xf numFmtId="1" fontId="203" fillId="39" borderId="591" xfId="0" applyNumberFormat="1" applyFont="1" applyFill="1" applyBorder="1" applyAlignment="1" applyProtection="1">
      <alignment horizontal="center" vertical="center"/>
      <protection locked="0"/>
    </xf>
    <xf numFmtId="20" fontId="20" fillId="0" borderId="70" xfId="0" applyNumberFormat="1" applyFont="1" applyBorder="1" applyAlignment="1">
      <alignment vertical="center"/>
    </xf>
    <xf numFmtId="173" fontId="91" fillId="0" borderId="0" xfId="414" applyNumberFormat="1" applyFont="1" applyAlignment="1">
      <alignment vertical="center"/>
    </xf>
    <xf numFmtId="0" fontId="91" fillId="0" borderId="0" xfId="414" applyNumberFormat="1" applyFont="1" applyBorder="1" applyAlignment="1">
      <alignment horizontal="center" vertical="center"/>
    </xf>
    <xf numFmtId="173" fontId="91" fillId="0" borderId="0" xfId="414" applyNumberFormat="1" applyFont="1" applyFill="1" applyBorder="1" applyAlignment="1">
      <alignment vertical="center"/>
    </xf>
    <xf numFmtId="0" fontId="49" fillId="0" borderId="592" xfId="428" applyFont="1" applyFill="1" applyBorder="1" applyAlignment="1">
      <alignment horizontal="center" vertical="center"/>
    </xf>
    <xf numFmtId="0" fontId="49" fillId="0" borderId="586" xfId="436" applyFont="1" applyFill="1" applyBorder="1" applyAlignment="1">
      <alignment horizontal="center" vertical="center"/>
    </xf>
    <xf numFmtId="1" fontId="49" fillId="0" borderId="586" xfId="428" applyNumberFormat="1" applyFont="1" applyFill="1" applyBorder="1" applyAlignment="1">
      <alignment horizontal="center" vertical="center"/>
    </xf>
    <xf numFmtId="1" fontId="49" fillId="0" borderId="586" xfId="428" applyNumberFormat="1" applyFont="1" applyFill="1" applyBorder="1" applyAlignment="1" applyProtection="1">
      <alignment horizontal="center" vertical="center"/>
      <protection locked="0"/>
    </xf>
    <xf numFmtId="0" fontId="49" fillId="0" borderId="586" xfId="423" applyNumberFormat="1" applyFont="1" applyBorder="1"/>
    <xf numFmtId="0" fontId="49" fillId="0" borderId="586" xfId="428" applyFont="1" applyFill="1" applyBorder="1" applyAlignment="1">
      <alignment horizontal="center" vertical="center"/>
    </xf>
    <xf numFmtId="0" fontId="49" fillId="0" borderId="586" xfId="429" applyNumberFormat="1" applyFont="1" applyFill="1" applyBorder="1" applyAlignment="1">
      <alignment vertical="center"/>
    </xf>
    <xf numFmtId="0" fontId="122" fillId="0" borderId="0" xfId="0" applyFont="1" applyBorder="1" applyAlignment="1" applyProtection="1"/>
    <xf numFmtId="1" fontId="245" fillId="0" borderId="0" xfId="430" quotePrefix="1" applyNumberFormat="1" applyFont="1" applyFill="1" applyBorder="1" applyAlignment="1">
      <alignment horizontal="center" vertical="center"/>
    </xf>
    <xf numFmtId="1" fontId="81" fillId="0" borderId="0" xfId="430" applyNumberFormat="1" applyFont="1" applyFill="1" applyBorder="1" applyAlignment="1">
      <alignment horizontal="center" vertical="center"/>
    </xf>
    <xf numFmtId="165" fontId="10" fillId="0" borderId="0" xfId="430" applyNumberFormat="1" applyFont="1" applyFill="1" applyBorder="1" applyAlignment="1">
      <alignment horizontal="center" vertical="center"/>
    </xf>
    <xf numFmtId="1" fontId="77" fillId="0" borderId="0" xfId="430" applyNumberFormat="1" applyFont="1" applyFill="1" applyBorder="1" applyAlignment="1">
      <alignment horizontal="center" vertical="center"/>
    </xf>
    <xf numFmtId="1" fontId="219" fillId="0" borderId="0" xfId="430" applyNumberFormat="1" applyFont="1" applyFill="1" applyBorder="1" applyAlignment="1">
      <alignment horizontal="center" vertical="center"/>
    </xf>
    <xf numFmtId="165" fontId="245" fillId="0" borderId="0" xfId="430" applyNumberFormat="1" applyFont="1" applyFill="1" applyBorder="1" applyAlignment="1">
      <alignment horizontal="center" vertical="center"/>
    </xf>
    <xf numFmtId="165" fontId="286" fillId="0" borderId="0" xfId="430" applyNumberFormat="1" applyFont="1" applyFill="1" applyBorder="1" applyAlignment="1" applyProtection="1">
      <alignment horizontal="center" vertical="center"/>
    </xf>
    <xf numFmtId="1" fontId="40" fillId="0" borderId="0" xfId="430" applyNumberFormat="1" applyFont="1" applyFill="1" applyBorder="1" applyAlignment="1">
      <alignment horizontal="center" vertical="center"/>
    </xf>
    <xf numFmtId="1" fontId="108" fillId="0" borderId="0" xfId="0" applyNumberFormat="1" applyFont="1" applyBorder="1"/>
    <xf numFmtId="173" fontId="81" fillId="0" borderId="0" xfId="430" applyNumberFormat="1" applyFont="1" applyFill="1" applyBorder="1" applyAlignment="1">
      <alignment horizontal="center"/>
    </xf>
    <xf numFmtId="169" fontId="10" fillId="0" borderId="0" xfId="430" applyNumberFormat="1" applyFont="1" applyFill="1" applyBorder="1" applyAlignment="1">
      <alignment horizontal="center"/>
    </xf>
    <xf numFmtId="173" fontId="236" fillId="0" borderId="0" xfId="430" applyNumberFormat="1" applyFont="1" applyFill="1" applyBorder="1" applyAlignment="1">
      <alignment horizontal="center"/>
    </xf>
    <xf numFmtId="0" fontId="225" fillId="0" borderId="0" xfId="0" applyFont="1" applyAlignment="1"/>
    <xf numFmtId="0" fontId="213" fillId="35" borderId="542" xfId="0" applyNumberFormat="1" applyFont="1" applyFill="1" applyBorder="1" applyAlignment="1">
      <alignment horizontal="center" wrapText="1"/>
    </xf>
    <xf numFmtId="1" fontId="0" fillId="0" borderId="0" xfId="0" applyNumberFormat="1" applyAlignment="1"/>
    <xf numFmtId="0" fontId="393" fillId="35" borderId="542" xfId="0" applyFont="1" applyFill="1" applyBorder="1" applyAlignment="1">
      <alignment horizontal="center" vertical="center"/>
    </xf>
    <xf numFmtId="20" fontId="117" fillId="106" borderId="542" xfId="0" quotePrefix="1" applyNumberFormat="1" applyFont="1" applyFill="1" applyBorder="1" applyAlignment="1">
      <alignment horizontal="center"/>
    </xf>
    <xf numFmtId="20" fontId="117" fillId="106" borderId="542" xfId="0" applyNumberFormat="1" applyFont="1" applyFill="1" applyBorder="1" applyAlignment="1">
      <alignment horizontal="center"/>
    </xf>
    <xf numFmtId="1" fontId="223" fillId="95" borderId="542" xfId="0" applyNumberFormat="1" applyFont="1" applyFill="1" applyBorder="1" applyAlignment="1">
      <alignment horizontal="center" vertical="center"/>
    </xf>
    <xf numFmtId="20" fontId="117" fillId="77" borderId="542" xfId="0" applyNumberFormat="1" applyFont="1" applyFill="1" applyBorder="1" applyAlignment="1">
      <alignment horizontal="center"/>
    </xf>
    <xf numFmtId="1" fontId="223" fillId="77" borderId="542" xfId="0" applyNumberFormat="1" applyFont="1" applyFill="1" applyBorder="1" applyAlignment="1">
      <alignment horizontal="center" vertical="center"/>
    </xf>
    <xf numFmtId="20" fontId="117" fillId="0" borderId="542" xfId="0" applyNumberFormat="1" applyFont="1" applyFill="1" applyBorder="1" applyAlignment="1">
      <alignment horizontal="center"/>
    </xf>
    <xf numFmtId="1" fontId="223" fillId="0" borderId="542" xfId="0" applyNumberFormat="1" applyFont="1" applyFill="1" applyBorder="1" applyAlignment="1">
      <alignment horizontal="center" vertical="center"/>
    </xf>
    <xf numFmtId="20" fontId="117" fillId="0" borderId="542" xfId="0" quotePrefix="1" applyNumberFormat="1" applyFont="1" applyFill="1" applyBorder="1" applyAlignment="1">
      <alignment horizontal="center"/>
    </xf>
    <xf numFmtId="20" fontId="447" fillId="0" borderId="10" xfId="0" applyNumberFormat="1" applyFont="1" applyFill="1" applyBorder="1" applyAlignment="1">
      <alignment horizontal="center"/>
    </xf>
    <xf numFmtId="0" fontId="298" fillId="0" borderId="10" xfId="0" applyFont="1" applyBorder="1" applyAlignment="1">
      <alignment horizontal="center"/>
    </xf>
    <xf numFmtId="1" fontId="453" fillId="110" borderId="10" xfId="430" applyNumberFormat="1" applyFont="1" applyFill="1" applyBorder="1" applyAlignment="1">
      <alignment horizontal="center" vertical="center"/>
    </xf>
    <xf numFmtId="1" fontId="284" fillId="79" borderId="594" xfId="0" applyNumberFormat="1" applyFont="1" applyFill="1" applyBorder="1" applyAlignment="1" applyProtection="1">
      <alignment horizontal="center" vertical="center"/>
      <protection locked="0"/>
    </xf>
    <xf numFmtId="166" fontId="284" fillId="79" borderId="594" xfId="271" applyNumberFormat="1" applyFont="1" applyFill="1" applyBorder="1" applyAlignment="1">
      <alignment horizontal="center" vertical="center"/>
    </xf>
    <xf numFmtId="1" fontId="284" fillId="78" borderId="594" xfId="0" applyNumberFormat="1" applyFont="1" applyFill="1" applyBorder="1" applyAlignment="1" applyProtection="1">
      <alignment horizontal="center" vertical="center"/>
      <protection locked="0"/>
    </xf>
    <xf numFmtId="1" fontId="284" fillId="79" borderId="595" xfId="0" applyNumberFormat="1" applyFont="1" applyFill="1" applyBorder="1" applyAlignment="1" applyProtection="1">
      <alignment horizontal="center" vertical="center"/>
      <protection locked="0"/>
    </xf>
    <xf numFmtId="1" fontId="203" fillId="39" borderId="594" xfId="0" applyNumberFormat="1" applyFont="1" applyFill="1" applyBorder="1" applyAlignment="1" applyProtection="1">
      <alignment horizontal="center" vertical="center"/>
      <protection locked="0"/>
    </xf>
    <xf numFmtId="1" fontId="203" fillId="39" borderId="596" xfId="0" applyNumberFormat="1" applyFont="1" applyFill="1" applyBorder="1" applyAlignment="1" applyProtection="1">
      <alignment horizontal="center" vertical="center"/>
      <protection locked="0"/>
    </xf>
    <xf numFmtId="173" fontId="49" fillId="0" borderId="0" xfId="429" applyNumberFormat="1" applyFont="1" applyFill="1" applyBorder="1" applyAlignment="1">
      <alignment vertical="center"/>
    </xf>
    <xf numFmtId="0" fontId="49" fillId="0" borderId="0" xfId="428" applyFont="1" applyFill="1" applyBorder="1" applyAlignment="1">
      <alignment horizontal="center" vertical="center"/>
    </xf>
    <xf numFmtId="0" fontId="221" fillId="81" borderId="44" xfId="0" applyFont="1" applyFill="1" applyBorder="1" applyAlignment="1">
      <alignment horizontal="center"/>
    </xf>
    <xf numFmtId="1" fontId="7" fillId="81" borderId="65" xfId="428" applyNumberFormat="1" applyFont="1" applyFill="1" applyBorder="1" applyAlignment="1">
      <alignment horizontal="center" vertical="center"/>
    </xf>
    <xf numFmtId="14" fontId="144" fillId="81" borderId="70" xfId="429" applyNumberFormat="1" applyFont="1" applyFill="1" applyBorder="1" applyAlignment="1">
      <alignment horizontal="left" vertical="center"/>
    </xf>
    <xf numFmtId="0" fontId="7" fillId="0" borderId="69" xfId="428" applyFont="1" applyFill="1" applyBorder="1" applyAlignment="1">
      <alignment horizontal="center" vertical="center"/>
    </xf>
    <xf numFmtId="0" fontId="122" fillId="0" borderId="13" xfId="0" applyFont="1" applyBorder="1"/>
    <xf numFmtId="1" fontId="454" fillId="90" borderId="28" xfId="0" applyNumberFormat="1" applyFont="1" applyFill="1" applyBorder="1" applyAlignment="1" applyProtection="1">
      <alignment horizontal="center" vertical="center"/>
      <protection locked="0"/>
    </xf>
    <xf numFmtId="1" fontId="454" fillId="92" borderId="25" xfId="0" applyNumberFormat="1" applyFont="1" applyFill="1" applyBorder="1" applyAlignment="1" applyProtection="1">
      <alignment horizontal="center" vertical="center"/>
      <protection locked="0"/>
    </xf>
    <xf numFmtId="1" fontId="454" fillId="93" borderId="25" xfId="0" applyNumberFormat="1" applyFont="1" applyFill="1" applyBorder="1" applyAlignment="1" applyProtection="1">
      <alignment horizontal="center" vertical="center"/>
      <protection locked="0"/>
    </xf>
    <xf numFmtId="1" fontId="454" fillId="89" borderId="25" xfId="0" applyNumberFormat="1" applyFont="1" applyFill="1" applyBorder="1" applyAlignment="1" applyProtection="1">
      <alignment horizontal="center" vertical="center"/>
      <protection locked="0"/>
    </xf>
    <xf numFmtId="1" fontId="454" fillId="94" borderId="25" xfId="0" applyNumberFormat="1" applyFont="1" applyFill="1" applyBorder="1" applyAlignment="1">
      <alignment horizontal="center" vertical="center"/>
    </xf>
    <xf numFmtId="1" fontId="454" fillId="94" borderId="268" xfId="0" applyNumberFormat="1" applyFont="1" applyFill="1" applyBorder="1" applyAlignment="1">
      <alignment horizontal="center" vertical="center"/>
    </xf>
    <xf numFmtId="1" fontId="454" fillId="90" borderId="268" xfId="0" applyNumberFormat="1" applyFont="1" applyFill="1" applyBorder="1" applyAlignment="1" applyProtection="1">
      <alignment horizontal="center" vertical="center"/>
      <protection locked="0"/>
    </xf>
    <xf numFmtId="1" fontId="454" fillId="94" borderId="25" xfId="0" applyNumberFormat="1" applyFont="1" applyFill="1" applyBorder="1" applyAlignment="1" applyProtection="1">
      <alignment horizontal="center" vertical="center"/>
    </xf>
    <xf numFmtId="1" fontId="454" fillId="92" borderId="324" xfId="0" applyNumberFormat="1" applyFont="1" applyFill="1" applyBorder="1" applyAlignment="1" applyProtection="1">
      <alignment horizontal="center" vertical="center"/>
      <protection locked="0"/>
    </xf>
    <xf numFmtId="1" fontId="454" fillId="92" borderId="25" xfId="0" quotePrefix="1" applyNumberFormat="1" applyFont="1" applyFill="1" applyBorder="1" applyAlignment="1" applyProtection="1">
      <alignment horizontal="center" vertical="center"/>
      <protection locked="0"/>
    </xf>
    <xf numFmtId="1" fontId="454" fillId="93" borderId="268" xfId="0" applyNumberFormat="1" applyFont="1" applyFill="1" applyBorder="1" applyAlignment="1" applyProtection="1">
      <alignment horizontal="center" vertical="center"/>
      <protection locked="0"/>
    </xf>
    <xf numFmtId="1" fontId="454" fillId="94" borderId="25" xfId="0" quotePrefix="1" applyNumberFormat="1" applyFont="1" applyFill="1" applyBorder="1" applyAlignment="1" applyProtection="1">
      <alignment horizontal="center" vertical="center"/>
    </xf>
    <xf numFmtId="1" fontId="454" fillId="89" borderId="522" xfId="0" applyNumberFormat="1" applyFont="1" applyFill="1" applyBorder="1" applyAlignment="1" applyProtection="1">
      <alignment horizontal="center" vertical="center"/>
      <protection locked="0"/>
    </xf>
    <xf numFmtId="1" fontId="454" fillId="93" borderId="470" xfId="0" applyNumberFormat="1" applyFont="1" applyFill="1" applyBorder="1" applyAlignment="1" applyProtection="1">
      <alignment horizontal="center" vertical="center"/>
      <protection locked="0"/>
    </xf>
    <xf numFmtId="1" fontId="454" fillId="89" borderId="410" xfId="0" applyNumberFormat="1" applyFont="1" applyFill="1" applyBorder="1" applyAlignment="1" applyProtection="1">
      <alignment horizontal="center" vertical="center"/>
      <protection locked="0"/>
    </xf>
    <xf numFmtId="1" fontId="454" fillId="89" borderId="300" xfId="0" applyNumberFormat="1" applyFont="1" applyFill="1" applyBorder="1" applyAlignment="1" applyProtection="1">
      <alignment horizontal="center" vertical="center"/>
      <protection locked="0"/>
    </xf>
    <xf numFmtId="1" fontId="454" fillId="89" borderId="268" xfId="0" applyNumberFormat="1" applyFont="1" applyFill="1" applyBorder="1" applyAlignment="1" applyProtection="1">
      <alignment horizontal="center" vertical="center"/>
      <protection locked="0"/>
    </xf>
    <xf numFmtId="1" fontId="454" fillId="92" borderId="307" xfId="0" applyNumberFormat="1" applyFont="1" applyFill="1" applyBorder="1" applyAlignment="1" applyProtection="1">
      <alignment horizontal="center" vertical="center"/>
      <protection locked="0"/>
    </xf>
    <xf numFmtId="1" fontId="454" fillId="92" borderId="334" xfId="0" applyNumberFormat="1" applyFont="1" applyFill="1" applyBorder="1" applyAlignment="1" applyProtection="1">
      <alignment horizontal="center" vertical="center"/>
      <protection locked="0"/>
    </xf>
    <xf numFmtId="1" fontId="454" fillId="92" borderId="383" xfId="0" applyNumberFormat="1" applyFont="1" applyFill="1" applyBorder="1" applyAlignment="1" applyProtection="1">
      <alignment horizontal="center" vertical="center"/>
      <protection locked="0"/>
    </xf>
    <xf numFmtId="1" fontId="454" fillId="92" borderId="389" xfId="0" applyNumberFormat="1" applyFont="1" applyFill="1" applyBorder="1" applyAlignment="1" applyProtection="1">
      <alignment horizontal="center" vertical="center"/>
      <protection locked="0"/>
    </xf>
    <xf numFmtId="1" fontId="454" fillId="93" borderId="479" xfId="0" applyNumberFormat="1" applyFont="1" applyFill="1" applyBorder="1" applyAlignment="1" applyProtection="1">
      <alignment horizontal="center" vertical="center"/>
      <protection locked="0"/>
    </xf>
    <xf numFmtId="1" fontId="454" fillId="93" borderId="268" xfId="0" quotePrefix="1" applyNumberFormat="1" applyFont="1" applyFill="1" applyBorder="1" applyAlignment="1" applyProtection="1">
      <alignment horizontal="center" vertical="center"/>
      <protection locked="0"/>
    </xf>
    <xf numFmtId="1" fontId="454" fillId="93" borderId="0" xfId="0" quotePrefix="1" applyNumberFormat="1" applyFont="1" applyFill="1" applyBorder="1" applyAlignment="1" applyProtection="1">
      <alignment horizontal="center" vertical="center"/>
      <protection locked="0"/>
    </xf>
    <xf numFmtId="1" fontId="455" fillId="82" borderId="63" xfId="0" applyNumberFormat="1" applyFont="1" applyFill="1" applyBorder="1" applyAlignment="1" applyProtection="1">
      <alignment horizontal="center" vertical="center"/>
    </xf>
    <xf numFmtId="1" fontId="454" fillId="89" borderId="25" xfId="0" quotePrefix="1" applyNumberFormat="1" applyFont="1" applyFill="1" applyBorder="1" applyAlignment="1" applyProtection="1">
      <alignment horizontal="center" vertical="center"/>
      <protection locked="0"/>
    </xf>
    <xf numFmtId="1" fontId="454" fillId="94" borderId="268" xfId="0" quotePrefix="1" applyNumberFormat="1" applyFont="1" applyFill="1" applyBorder="1" applyAlignment="1" applyProtection="1">
      <alignment horizontal="center" vertical="center"/>
    </xf>
    <xf numFmtId="1" fontId="454" fillId="90" borderId="268" xfId="0" quotePrefix="1" applyNumberFormat="1" applyFont="1" applyFill="1" applyBorder="1" applyAlignment="1" applyProtection="1">
      <alignment horizontal="center" vertical="center"/>
      <protection locked="0"/>
    </xf>
    <xf numFmtId="1" fontId="454" fillId="93" borderId="25" xfId="0" quotePrefix="1" applyNumberFormat="1" applyFont="1" applyFill="1" applyBorder="1" applyAlignment="1" applyProtection="1">
      <alignment horizontal="center" vertical="center"/>
      <protection locked="0"/>
    </xf>
    <xf numFmtId="1" fontId="454" fillId="94" borderId="268" xfId="0" applyNumberFormat="1" applyFont="1" applyFill="1" applyBorder="1" applyAlignment="1" applyProtection="1">
      <alignment horizontal="center" vertical="center"/>
    </xf>
    <xf numFmtId="1" fontId="454" fillId="93" borderId="410" xfId="0" applyNumberFormat="1" applyFont="1" applyFill="1" applyBorder="1" applyAlignment="1" applyProtection="1">
      <alignment horizontal="center" vertical="center"/>
      <protection locked="0"/>
    </xf>
    <xf numFmtId="1" fontId="456" fillId="45" borderId="260" xfId="0" quotePrefix="1" applyNumberFormat="1" applyFont="1" applyFill="1" applyBorder="1" applyAlignment="1" applyProtection="1">
      <alignment horizontal="center" vertical="center"/>
    </xf>
    <xf numFmtId="1" fontId="457" fillId="63" borderId="260" xfId="0" applyNumberFormat="1" applyFont="1" applyFill="1" applyBorder="1" applyAlignment="1" applyProtection="1">
      <alignment horizontal="center" vertical="center"/>
    </xf>
    <xf numFmtId="173" fontId="341" fillId="0" borderId="0" xfId="401" applyNumberFormat="1" applyFont="1" applyBorder="1"/>
    <xf numFmtId="0" fontId="280" fillId="0" borderId="47" xfId="0" applyFont="1" applyBorder="1" applyAlignment="1"/>
    <xf numFmtId="0" fontId="403" fillId="0" borderId="47" xfId="0" applyFont="1" applyBorder="1" applyAlignment="1">
      <alignment horizontal="center" vertical="center"/>
    </xf>
    <xf numFmtId="0" fontId="403" fillId="0" borderId="352" xfId="0" applyFont="1" applyBorder="1" applyAlignment="1">
      <alignment horizontal="center" vertical="center"/>
    </xf>
    <xf numFmtId="166" fontId="204" fillId="99" borderId="72" xfId="271" applyNumberFormat="1" applyFont="1" applyFill="1" applyBorder="1" applyAlignment="1">
      <alignment vertical="center"/>
    </xf>
    <xf numFmtId="0" fontId="123" fillId="0" borderId="0" xfId="0" applyFont="1" applyBorder="1" applyAlignment="1">
      <alignment vertical="center"/>
    </xf>
    <xf numFmtId="0" fontId="459" fillId="0" borderId="13" xfId="0" applyFont="1" applyBorder="1" applyAlignment="1">
      <alignment vertical="center"/>
    </xf>
    <xf numFmtId="0" fontId="123" fillId="0" borderId="297" xfId="0" applyFont="1" applyBorder="1"/>
    <xf numFmtId="1" fontId="460" fillId="59" borderId="10" xfId="428" applyNumberFormat="1" applyFont="1" applyFill="1" applyBorder="1" applyAlignment="1">
      <alignment horizontal="left"/>
    </xf>
    <xf numFmtId="0" fontId="461" fillId="0" borderId="0" xfId="0" applyFont="1"/>
    <xf numFmtId="0" fontId="123" fillId="0" borderId="0" xfId="0" applyFont="1" applyBorder="1"/>
    <xf numFmtId="0" fontId="462" fillId="0" borderId="0" xfId="0" applyFont="1" applyAlignment="1">
      <alignment horizontal="center" vertical="center"/>
    </xf>
    <xf numFmtId="0" fontId="462" fillId="0" borderId="0" xfId="0" applyFont="1" applyAlignment="1">
      <alignment horizontal="left" vertical="center"/>
    </xf>
    <xf numFmtId="0" fontId="0" fillId="99" borderId="0" xfId="0" applyFill="1"/>
    <xf numFmtId="0" fontId="0" fillId="0" borderId="0" xfId="0" applyFont="1" applyFill="1" applyBorder="1" applyAlignment="1"/>
    <xf numFmtId="0" fontId="122" fillId="0" borderId="0" xfId="0" applyFont="1" applyBorder="1" applyAlignment="1"/>
    <xf numFmtId="0" fontId="0" fillId="0" borderId="0" xfId="0" applyFont="1" applyBorder="1" applyAlignment="1"/>
    <xf numFmtId="14" fontId="0" fillId="99" borderId="599" xfId="0" applyNumberFormat="1" applyFill="1" applyBorder="1" applyAlignment="1">
      <alignment horizontal="center" vertical="center"/>
    </xf>
    <xf numFmtId="0" fontId="0" fillId="99" borderId="599" xfId="0" applyFill="1" applyBorder="1" applyAlignment="1">
      <alignment horizontal="center" vertical="center"/>
    </xf>
    <xf numFmtId="191" fontId="0" fillId="34" borderId="599" xfId="0" applyNumberFormat="1" applyFill="1" applyBorder="1" applyAlignment="1">
      <alignment horizontal="center" vertical="center"/>
    </xf>
    <xf numFmtId="0" fontId="463" fillId="0" borderId="599" xfId="0" applyFont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Border="1" applyAlignment="1"/>
    <xf numFmtId="0" fontId="0" fillId="0" borderId="0" xfId="0" applyFont="1" applyAlignment="1"/>
    <xf numFmtId="0" fontId="29" fillId="0" borderId="0" xfId="0" applyFont="1" applyAlignment="1"/>
    <xf numFmtId="0" fontId="161" fillId="0" borderId="0" xfId="436" applyFont="1" applyBorder="1" applyAlignment="1" applyProtection="1">
      <alignment vertical="center"/>
      <protection locked="0"/>
    </xf>
    <xf numFmtId="0" fontId="55" fillId="0" borderId="0" xfId="436" applyFont="1" applyBorder="1" applyAlignment="1" applyProtection="1">
      <alignment horizontal="center" vertical="top"/>
      <protection locked="0"/>
    </xf>
    <xf numFmtId="0" fontId="55" fillId="0" borderId="0" xfId="436" applyFont="1" applyFill="1" applyAlignment="1">
      <alignment horizontal="center" vertical="top"/>
    </xf>
    <xf numFmtId="0" fontId="161" fillId="0" borderId="0" xfId="436" applyFont="1" applyFill="1" applyProtection="1">
      <alignment vertical="center"/>
      <protection locked="0"/>
    </xf>
    <xf numFmtId="0" fontId="55" fillId="0" borderId="0" xfId="436" applyFont="1" applyFill="1" applyAlignment="1" applyProtection="1">
      <alignment horizontal="center" vertical="top"/>
      <protection locked="0"/>
    </xf>
    <xf numFmtId="171" fontId="465" fillId="114" borderId="600" xfId="401" applyFont="1" applyFill="1" applyBorder="1" applyAlignment="1">
      <alignment horizontal="center" vertical="top" wrapText="1"/>
    </xf>
    <xf numFmtId="14" fontId="20" fillId="0" borderId="70" xfId="429" applyNumberFormat="1" applyFont="1" applyFill="1" applyBorder="1" applyAlignment="1">
      <alignment horizontal="left" vertical="center"/>
    </xf>
    <xf numFmtId="14" fontId="208" fillId="0" borderId="597" xfId="429" applyNumberFormat="1" applyFont="1" applyFill="1" applyBorder="1" applyAlignment="1">
      <alignment horizontal="left" vertical="center"/>
    </xf>
    <xf numFmtId="0" fontId="464" fillId="0" borderId="0" xfId="0" applyFont="1" applyFill="1" applyBorder="1" applyAlignment="1">
      <alignment horizontal="center" vertical="top" wrapText="1"/>
    </xf>
    <xf numFmtId="0" fontId="465" fillId="0" borderId="0" xfId="0" applyFont="1" applyFill="1" applyBorder="1" applyAlignment="1">
      <alignment horizontal="center" wrapText="1"/>
    </xf>
    <xf numFmtId="171" fontId="465" fillId="0" borderId="0" xfId="414" applyFont="1" applyFill="1" applyBorder="1" applyAlignment="1">
      <alignment horizontal="center" wrapText="1"/>
    </xf>
    <xf numFmtId="0" fontId="464" fillId="0" borderId="0" xfId="0" applyFont="1" applyFill="1" applyBorder="1" applyAlignment="1">
      <alignment vertical="top" wrapText="1"/>
    </xf>
    <xf numFmtId="0" fontId="464" fillId="0" borderId="0" xfId="0" applyNumberFormat="1" applyFont="1" applyFill="1" applyBorder="1" applyAlignment="1">
      <alignment horizontal="center" vertical="top" wrapText="1"/>
    </xf>
    <xf numFmtId="0" fontId="464" fillId="0" borderId="0" xfId="0" applyNumberFormat="1" applyFont="1" applyFill="1" applyBorder="1" applyAlignment="1">
      <alignment vertical="top" wrapText="1"/>
    </xf>
    <xf numFmtId="0" fontId="465" fillId="0" borderId="0" xfId="0" applyNumberFormat="1" applyFont="1" applyFill="1" applyBorder="1" applyAlignment="1">
      <alignment horizontal="center" vertical="top" wrapText="1"/>
    </xf>
    <xf numFmtId="171" fontId="464" fillId="0" borderId="0" xfId="414" applyFont="1" applyFill="1" applyBorder="1" applyAlignment="1">
      <alignment horizontal="center" vertical="top" wrapText="1"/>
    </xf>
    <xf numFmtId="171" fontId="465" fillId="0" borderId="0" xfId="414" applyFont="1" applyFill="1" applyBorder="1" applyAlignment="1">
      <alignment horizontal="center" vertical="top" wrapText="1"/>
    </xf>
    <xf numFmtId="0" fontId="465" fillId="0" borderId="0" xfId="0" applyNumberFormat="1" applyFont="1" applyAlignment="1">
      <alignment horizontal="center" vertical="top" wrapText="1"/>
    </xf>
    <xf numFmtId="173" fontId="91" fillId="0" borderId="0" xfId="414" applyNumberFormat="1" applyFont="1" applyBorder="1" applyAlignment="1"/>
    <xf numFmtId="0" fontId="91" fillId="0" borderId="0" xfId="414" applyNumberFormat="1" applyFont="1" applyFill="1" applyAlignment="1">
      <alignment horizontal="center"/>
    </xf>
    <xf numFmtId="0" fontId="91" fillId="0" borderId="0" xfId="0" applyFont="1" applyFill="1" applyBorder="1" applyAlignment="1"/>
    <xf numFmtId="0" fontId="99" fillId="0" borderId="0" xfId="0" applyFont="1" applyFill="1" applyBorder="1" applyAlignment="1">
      <alignment horizontal="center" wrapText="1"/>
    </xf>
    <xf numFmtId="0" fontId="91" fillId="0" borderId="0" xfId="0" applyFont="1" applyFill="1" applyBorder="1" applyAlignment="1">
      <alignment horizontal="center" wrapText="1"/>
    </xf>
    <xf numFmtId="0" fontId="381" fillId="0" borderId="0" xfId="0" applyFont="1" applyFill="1" applyBorder="1" applyAlignment="1"/>
    <xf numFmtId="0" fontId="363" fillId="0" borderId="0" xfId="0" applyFont="1" applyFill="1" applyBorder="1" applyAlignment="1">
      <alignment horizontal="center" wrapText="1"/>
    </xf>
    <xf numFmtId="0" fontId="100" fillId="0" borderId="0" xfId="0" applyFont="1" applyFill="1" applyBorder="1" applyAlignment="1">
      <alignment horizontal="center" vertical="center"/>
    </xf>
    <xf numFmtId="0" fontId="434" fillId="0" borderId="0" xfId="0" applyFont="1" applyFill="1" applyBorder="1" applyAlignment="1">
      <alignment horizontal="center" vertical="center" wrapText="1"/>
    </xf>
    <xf numFmtId="0" fontId="154" fillId="0" borderId="0" xfId="0" applyFont="1" applyFill="1" applyBorder="1" applyAlignment="1">
      <alignment horizontal="center" wrapText="1"/>
    </xf>
    <xf numFmtId="0" fontId="92" fillId="99" borderId="0" xfId="0" applyFont="1" applyFill="1" applyBorder="1" applyAlignment="1">
      <alignment horizontal="center" vertical="center" wrapText="1"/>
    </xf>
    <xf numFmtId="0" fontId="467" fillId="63" borderId="0" xfId="0" applyFont="1" applyFill="1" applyBorder="1" applyAlignment="1"/>
    <xf numFmtId="0" fontId="468" fillId="115" borderId="601" xfId="0" applyFont="1" applyFill="1" applyBorder="1" applyAlignment="1">
      <alignment horizontal="center" wrapText="1"/>
    </xf>
    <xf numFmtId="0" fontId="92" fillId="0" borderId="0" xfId="0" applyNumberFormat="1" applyFont="1" applyAlignment="1">
      <alignment horizontal="center" vertical="center" wrapText="1"/>
    </xf>
    <xf numFmtId="173" fontId="0" fillId="0" borderId="0" xfId="0" applyNumberFormat="1" applyFont="1" applyAlignment="1"/>
    <xf numFmtId="0" fontId="92" fillId="0" borderId="13" xfId="0" applyNumberFormat="1" applyFont="1" applyFill="1" applyBorder="1" applyAlignment="1">
      <alignment horizontal="center" vertical="center" wrapText="1"/>
    </xf>
    <xf numFmtId="0" fontId="92" fillId="0" borderId="0" xfId="0" applyNumberFormat="1" applyFont="1"/>
    <xf numFmtId="0" fontId="92" fillId="99" borderId="0" xfId="401" applyNumberFormat="1" applyFont="1" applyFill="1" applyAlignment="1">
      <alignment horizontal="center" vertical="center" wrapText="1"/>
    </xf>
    <xf numFmtId="0" fontId="129" fillId="99" borderId="0" xfId="0" applyFont="1" applyFill="1" applyBorder="1" applyAlignment="1"/>
    <xf numFmtId="14" fontId="20" fillId="31" borderId="70" xfId="0" applyNumberFormat="1" applyFont="1" applyFill="1" applyBorder="1" applyAlignment="1">
      <alignment horizontal="left" vertical="center"/>
    </xf>
    <xf numFmtId="0" fontId="55" fillId="0" borderId="0" xfId="0" applyFont="1" applyAlignment="1">
      <alignment horizontal="left" vertical="center"/>
    </xf>
    <xf numFmtId="0" fontId="123" fillId="0" borderId="0" xfId="0" applyFont="1" applyBorder="1" applyAlignment="1">
      <alignment vertical="top"/>
    </xf>
    <xf numFmtId="0" fontId="470" fillId="0" borderId="0" xfId="0" applyFont="1"/>
    <xf numFmtId="0" fontId="471" fillId="0" borderId="0" xfId="0" applyFont="1"/>
    <xf numFmtId="0" fontId="278" fillId="0" borderId="0" xfId="0" applyFont="1"/>
    <xf numFmtId="0" fontId="122" fillId="0" borderId="13" xfId="0" applyFont="1" applyFill="1" applyBorder="1" applyAlignment="1">
      <alignment vertical="center"/>
    </xf>
    <xf numFmtId="0" fontId="122" fillId="0" borderId="0" xfId="0" applyFont="1" applyFill="1" applyBorder="1"/>
    <xf numFmtId="0" fontId="219" fillId="0" borderId="0" xfId="0" applyFont="1" applyFill="1" applyBorder="1" applyAlignment="1" applyProtection="1">
      <alignment vertical="center"/>
    </xf>
    <xf numFmtId="0" fontId="219" fillId="0" borderId="0" xfId="0" applyFont="1" applyFill="1" applyBorder="1" applyAlignment="1"/>
    <xf numFmtId="0" fontId="122" fillId="0" borderId="344" xfId="0" applyFont="1" applyBorder="1"/>
    <xf numFmtId="0" fontId="219" fillId="0" borderId="13" xfId="0" applyFont="1" applyFill="1" applyBorder="1" applyAlignment="1"/>
    <xf numFmtId="0" fontId="219" fillId="0" borderId="13" xfId="0" applyFont="1" applyFill="1" applyBorder="1" applyAlignment="1">
      <alignment vertical="center"/>
    </xf>
    <xf numFmtId="0" fontId="219" fillId="0" borderId="0" xfId="0" applyFont="1" applyFill="1"/>
    <xf numFmtId="0" fontId="219" fillId="0" borderId="48" xfId="0" applyFont="1" applyFill="1" applyBorder="1" applyAlignment="1"/>
    <xf numFmtId="0" fontId="472" fillId="0" borderId="0" xfId="0" applyFont="1" applyAlignment="1"/>
    <xf numFmtId="0" fontId="473" fillId="0" borderId="0" xfId="0" applyFont="1" applyBorder="1"/>
    <xf numFmtId="0" fontId="219" fillId="0" borderId="48" xfId="0" applyFont="1" applyBorder="1" applyAlignment="1"/>
    <xf numFmtId="0" fontId="472" fillId="0" borderId="13" xfId="0" applyFont="1" applyBorder="1"/>
    <xf numFmtId="20" fontId="122" fillId="0" borderId="13" xfId="0" applyNumberFormat="1" applyFont="1" applyBorder="1"/>
    <xf numFmtId="0" fontId="219" fillId="0" borderId="0" xfId="0" applyFont="1" applyBorder="1"/>
    <xf numFmtId="0" fontId="219" fillId="0" borderId="42" xfId="0" applyFont="1" applyFill="1" applyBorder="1" applyAlignment="1">
      <alignment vertical="center"/>
    </xf>
    <xf numFmtId="0" fontId="219" fillId="0" borderId="0" xfId="0" applyFont="1" applyFill="1" applyBorder="1" applyAlignment="1">
      <alignment vertical="top"/>
    </xf>
    <xf numFmtId="0" fontId="219" fillId="0" borderId="0" xfId="0" applyFont="1" applyFill="1" applyBorder="1" applyAlignment="1">
      <alignment vertical="center"/>
    </xf>
    <xf numFmtId="0" fontId="219" fillId="0" borderId="0" xfId="0" applyFont="1" applyFill="1" applyBorder="1"/>
    <xf numFmtId="0" fontId="302" fillId="0" borderId="0" xfId="0" applyFont="1" applyFill="1" applyBorder="1" applyAlignment="1">
      <alignment vertical="top"/>
    </xf>
    <xf numFmtId="0" fontId="219" fillId="0" borderId="13" xfId="0" applyFont="1" applyFill="1" applyBorder="1"/>
    <xf numFmtId="0" fontId="219" fillId="0" borderId="344" xfId="0" applyFont="1" applyFill="1" applyBorder="1"/>
    <xf numFmtId="0" fontId="302" fillId="0" borderId="0" xfId="0" applyFont="1" applyFill="1" applyBorder="1"/>
    <xf numFmtId="0" fontId="302" fillId="0" borderId="0" xfId="0" applyFont="1" applyFill="1"/>
    <xf numFmtId="0" fontId="219" fillId="0" borderId="0" xfId="0" applyFont="1" applyFill="1" applyBorder="1" applyAlignment="1" applyProtection="1"/>
    <xf numFmtId="0" fontId="302" fillId="0" borderId="0" xfId="0" applyFont="1" applyFill="1" applyBorder="1" applyAlignment="1" applyProtection="1">
      <alignment vertical="center"/>
    </xf>
    <xf numFmtId="0" fontId="302" fillId="0" borderId="0" xfId="0" applyFont="1" applyFill="1" applyBorder="1" applyAlignment="1"/>
    <xf numFmtId="0" fontId="302" fillId="0" borderId="0" xfId="0" applyFont="1" applyFill="1" applyBorder="1" applyAlignment="1">
      <alignment vertical="center"/>
    </xf>
    <xf numFmtId="0" fontId="219" fillId="0" borderId="0" xfId="0" applyFont="1" applyFill="1" applyBorder="1" applyAlignment="1">
      <alignment horizontal="left" vertical="top"/>
    </xf>
    <xf numFmtId="0" fontId="302" fillId="0" borderId="0" xfId="0" applyFont="1" applyFill="1" applyAlignment="1">
      <alignment vertical="center"/>
    </xf>
    <xf numFmtId="0" fontId="302" fillId="0" borderId="269" xfId="0" applyFont="1" applyFill="1" applyBorder="1" applyAlignment="1">
      <alignment vertical="center"/>
    </xf>
    <xf numFmtId="0" fontId="219" fillId="0" borderId="0" xfId="0" applyFont="1" applyFill="1" applyBorder="1" applyAlignment="1">
      <alignment horizontal="left" vertical="center"/>
    </xf>
    <xf numFmtId="0" fontId="302" fillId="0" borderId="0" xfId="0" applyFont="1" applyFill="1" applyBorder="1" applyAlignment="1">
      <alignment horizontal="left" vertical="center"/>
    </xf>
    <xf numFmtId="0" fontId="219" fillId="0" borderId="41" xfId="0" applyFont="1" applyFill="1" applyBorder="1"/>
    <xf numFmtId="0" fontId="219" fillId="0" borderId="42" xfId="0" applyFont="1" applyFill="1" applyBorder="1"/>
    <xf numFmtId="0" fontId="302" fillId="0" borderId="48" xfId="0" applyFont="1" applyFill="1" applyBorder="1"/>
    <xf numFmtId="0" fontId="302" fillId="0" borderId="297" xfId="0" applyFont="1" applyFill="1" applyBorder="1"/>
    <xf numFmtId="0" fontId="219" fillId="0" borderId="344" xfId="0" applyFont="1" applyFill="1" applyBorder="1" applyAlignment="1"/>
    <xf numFmtId="0" fontId="219" fillId="0" borderId="0" xfId="0" applyFont="1" applyFill="1" applyAlignment="1"/>
    <xf numFmtId="0" fontId="302" fillId="0" borderId="0" xfId="0" applyFont="1" applyFill="1" applyAlignment="1"/>
    <xf numFmtId="0" fontId="302" fillId="0" borderId="297" xfId="0" applyFont="1" applyFill="1" applyBorder="1" applyAlignment="1"/>
    <xf numFmtId="0" fontId="219" fillId="0" borderId="0" xfId="0" applyFont="1" applyFill="1" applyAlignment="1">
      <alignment vertical="center"/>
    </xf>
    <xf numFmtId="0" fontId="302" fillId="0" borderId="297" xfId="0" applyFont="1" applyFill="1" applyBorder="1" applyAlignment="1">
      <alignment vertical="center"/>
    </xf>
    <xf numFmtId="0" fontId="219" fillId="0" borderId="0" xfId="0" applyFont="1" applyFill="1" applyAlignment="1">
      <alignment vertical="top"/>
    </xf>
    <xf numFmtId="0" fontId="219" fillId="0" borderId="0" xfId="0" applyNumberFormat="1" applyFont="1" applyFill="1" applyAlignment="1"/>
    <xf numFmtId="0" fontId="219" fillId="0" borderId="297" xfId="0" applyFont="1" applyFill="1" applyBorder="1"/>
    <xf numFmtId="0" fontId="302" fillId="0" borderId="0" xfId="0" applyFont="1" applyFill="1" applyAlignment="1">
      <alignment horizontal="center" vertical="center"/>
    </xf>
    <xf numFmtId="0" fontId="474" fillId="0" borderId="0" xfId="0" applyFont="1" applyFill="1"/>
    <xf numFmtId="0" fontId="219" fillId="0" borderId="41" xfId="0" applyFont="1" applyFill="1" applyBorder="1" applyAlignment="1"/>
    <xf numFmtId="0" fontId="219" fillId="0" borderId="297" xfId="0" applyFont="1" applyFill="1" applyBorder="1" applyAlignment="1"/>
    <xf numFmtId="0" fontId="219" fillId="0" borderId="297" xfId="0" applyFont="1" applyFill="1" applyBorder="1" applyAlignment="1">
      <alignment vertical="top"/>
    </xf>
    <xf numFmtId="0" fontId="219" fillId="0" borderId="297" xfId="0" applyFont="1" applyFill="1" applyBorder="1" applyAlignment="1">
      <alignment vertical="center"/>
    </xf>
    <xf numFmtId="0" fontId="473" fillId="0" borderId="0" xfId="0" applyFont="1" applyFill="1" applyBorder="1" applyAlignment="1"/>
    <xf numFmtId="0" fontId="473" fillId="0" borderId="0" xfId="0" applyFont="1" applyFill="1" applyBorder="1"/>
    <xf numFmtId="0" fontId="29" fillId="0" borderId="0" xfId="0" applyFont="1" applyFill="1" applyBorder="1"/>
    <xf numFmtId="0" fontId="219" fillId="0" borderId="0" xfId="0" applyFont="1" applyFill="1" applyBorder="1" applyAlignment="1">
      <alignment horizontal="center"/>
    </xf>
    <xf numFmtId="0" fontId="219" fillId="0" borderId="0" xfId="0" applyFont="1" applyFill="1" applyBorder="1" applyAlignment="1" applyProtection="1">
      <alignment horizontal="center" vertical="top"/>
      <protection locked="0"/>
    </xf>
    <xf numFmtId="0" fontId="219" fillId="0" borderId="0" xfId="0" applyFont="1" applyFill="1" applyBorder="1" applyAlignment="1" applyProtection="1">
      <alignment horizontal="center"/>
      <protection locked="0"/>
    </xf>
    <xf numFmtId="0" fontId="219" fillId="0" borderId="0" xfId="436" applyFont="1" applyFill="1" applyBorder="1" applyAlignment="1" applyProtection="1">
      <alignment vertical="center"/>
      <protection locked="0"/>
    </xf>
    <xf numFmtId="0" fontId="219" fillId="0" borderId="0" xfId="0" applyFont="1" applyFill="1" applyBorder="1" applyAlignment="1">
      <alignment horizontal="center" vertical="top"/>
    </xf>
    <xf numFmtId="0" fontId="219" fillId="0" borderId="0" xfId="0" applyFont="1" applyFill="1" applyAlignment="1">
      <alignment horizontal="center"/>
    </xf>
    <xf numFmtId="0" fontId="219" fillId="0" borderId="0" xfId="0" applyFont="1" applyFill="1" applyAlignment="1" applyProtection="1">
      <alignment horizontal="center"/>
      <protection locked="0"/>
    </xf>
    <xf numFmtId="0" fontId="478" fillId="0" borderId="0" xfId="0" applyFont="1"/>
    <xf numFmtId="0" fontId="478" fillId="0" borderId="0" xfId="0" applyFont="1" applyAlignment="1">
      <alignment vertical="center"/>
    </xf>
    <xf numFmtId="0" fontId="479" fillId="0" borderId="0" xfId="0" applyFont="1" applyBorder="1"/>
    <xf numFmtId="0" fontId="479" fillId="0" borderId="0" xfId="0" applyFont="1" applyBorder="1" applyAlignment="1">
      <alignment horizontal="center"/>
    </xf>
    <xf numFmtId="0" fontId="469" fillId="0" borderId="0" xfId="0" applyFont="1" applyBorder="1" applyAlignment="1">
      <alignment horizontal="center" vertical="center"/>
    </xf>
    <xf numFmtId="0" fontId="480" fillId="0" borderId="0" xfId="0" applyFont="1" applyBorder="1" applyAlignment="1">
      <alignment horizontal="center" vertical="center"/>
    </xf>
    <xf numFmtId="0" fontId="481" fillId="0" borderId="0" xfId="0" applyFont="1" applyBorder="1" applyAlignment="1">
      <alignment vertical="center"/>
    </xf>
    <xf numFmtId="0" fontId="478" fillId="0" borderId="0" xfId="0" applyFont="1" applyBorder="1"/>
    <xf numFmtId="0" fontId="482" fillId="0" borderId="0" xfId="436" applyFont="1" applyAlignment="1"/>
    <xf numFmtId="0" fontId="479" fillId="0" borderId="0" xfId="436" applyFont="1" applyAlignment="1">
      <alignment vertical="top"/>
    </xf>
    <xf numFmtId="0" fontId="479" fillId="0" borderId="0" xfId="436" applyFont="1" applyAlignment="1">
      <alignment horizontal="center" vertical="top"/>
    </xf>
    <xf numFmtId="0" fontId="482" fillId="0" borderId="0" xfId="436" applyFont="1" applyAlignment="1">
      <alignment horizontal="center" vertical="top"/>
    </xf>
    <xf numFmtId="0" fontId="480" fillId="0" borderId="0" xfId="436" applyFont="1" applyAlignment="1">
      <alignment horizontal="center" vertical="top"/>
    </xf>
    <xf numFmtId="0" fontId="483" fillId="0" borderId="0" xfId="436" applyFont="1" applyFill="1">
      <alignment vertical="center"/>
    </xf>
    <xf numFmtId="0" fontId="481" fillId="0" borderId="0" xfId="436" applyFont="1" applyFill="1" applyAlignment="1">
      <alignment vertical="center"/>
    </xf>
    <xf numFmtId="0" fontId="479" fillId="0" borderId="0" xfId="0" applyNumberFormat="1" applyFont="1" applyFill="1" applyBorder="1" applyAlignment="1" applyProtection="1">
      <alignment horizontal="center" vertical="center"/>
    </xf>
    <xf numFmtId="0" fontId="480" fillId="0" borderId="0" xfId="436" applyFont="1" applyFill="1" applyAlignment="1">
      <alignment horizontal="center" vertical="center"/>
    </xf>
    <xf numFmtId="0" fontId="484" fillId="0" borderId="0" xfId="436" applyFont="1" applyFill="1">
      <alignment vertical="center"/>
    </xf>
    <xf numFmtId="0" fontId="483" fillId="0" borderId="0" xfId="436" applyFont="1" applyFill="1" applyAlignment="1">
      <alignment vertical="center" wrapText="1"/>
    </xf>
    <xf numFmtId="0" fontId="484" fillId="0" borderId="0" xfId="0" applyNumberFormat="1" applyFont="1" applyFill="1" applyBorder="1" applyAlignment="1" applyProtection="1">
      <alignment vertical="center"/>
    </xf>
    <xf numFmtId="0" fontId="483" fillId="0" borderId="0" xfId="0" applyNumberFormat="1" applyFont="1" applyFill="1" applyBorder="1" applyAlignment="1" applyProtection="1">
      <alignment vertical="center"/>
    </xf>
    <xf numFmtId="0" fontId="483" fillId="0" borderId="0" xfId="436" applyFont="1" applyFill="1" applyAlignment="1">
      <alignment vertical="center"/>
    </xf>
    <xf numFmtId="0" fontId="485" fillId="0" borderId="0" xfId="436" applyFont="1" applyFill="1" applyAlignment="1">
      <alignment vertical="center"/>
    </xf>
    <xf numFmtId="0" fontId="478" fillId="0" borderId="0" xfId="0" applyFont="1" applyAlignment="1"/>
    <xf numFmtId="0" fontId="486" fillId="0" borderId="0" xfId="0" applyFont="1"/>
    <xf numFmtId="20" fontId="487" fillId="0" borderId="0" xfId="436" applyNumberFormat="1" applyFont="1" applyFill="1" applyAlignment="1">
      <alignment horizontal="center" vertical="center"/>
    </xf>
    <xf numFmtId="15" fontId="487" fillId="0" borderId="0" xfId="436" applyNumberFormat="1" applyFont="1" applyFill="1" applyAlignment="1">
      <alignment horizontal="left" vertical="center"/>
    </xf>
    <xf numFmtId="0" fontId="485" fillId="0" borderId="0" xfId="436" applyFont="1" applyFill="1">
      <alignment vertical="center"/>
    </xf>
    <xf numFmtId="0" fontId="488" fillId="0" borderId="39" xfId="436" applyFont="1" applyBorder="1">
      <alignment vertical="center"/>
    </xf>
    <xf numFmtId="0" fontId="488" fillId="0" borderId="37" xfId="436" applyFont="1" applyFill="1" applyBorder="1">
      <alignment vertical="center"/>
    </xf>
    <xf numFmtId="1" fontId="488" fillId="0" borderId="37" xfId="436" applyNumberFormat="1" applyFont="1" applyBorder="1">
      <alignment vertical="center"/>
    </xf>
    <xf numFmtId="0" fontId="488" fillId="0" borderId="38" xfId="436" applyFont="1" applyFill="1" applyBorder="1">
      <alignment vertical="center"/>
    </xf>
    <xf numFmtId="0" fontId="488" fillId="0" borderId="37" xfId="436" applyFont="1" applyBorder="1">
      <alignment vertical="center"/>
    </xf>
    <xf numFmtId="1" fontId="488" fillId="0" borderId="37" xfId="436" applyNumberFormat="1" applyFont="1" applyFill="1" applyBorder="1" applyAlignment="1">
      <alignment horizontal="right" vertical="center"/>
    </xf>
    <xf numFmtId="0" fontId="486" fillId="0" borderId="38" xfId="0" applyFont="1" applyBorder="1"/>
    <xf numFmtId="0" fontId="489" fillId="0" borderId="47" xfId="436" applyFont="1" applyBorder="1">
      <alignment vertical="center"/>
    </xf>
    <xf numFmtId="0" fontId="489" fillId="0" borderId="0" xfId="436" applyFont="1" applyFill="1" applyBorder="1">
      <alignment vertical="center"/>
    </xf>
    <xf numFmtId="1" fontId="489" fillId="0" borderId="52" xfId="436" applyNumberFormat="1" applyFont="1" applyBorder="1">
      <alignment vertical="center"/>
    </xf>
    <xf numFmtId="1" fontId="489" fillId="0" borderId="87" xfId="436" applyNumberFormat="1" applyFont="1" applyFill="1" applyBorder="1" applyAlignment="1">
      <alignment horizontal="left" vertical="center"/>
    </xf>
    <xf numFmtId="0" fontId="489" fillId="0" borderId="0" xfId="436" applyFont="1" applyBorder="1">
      <alignment vertical="center"/>
    </xf>
    <xf numFmtId="0" fontId="488" fillId="0" borderId="0" xfId="436" applyFont="1" applyFill="1" applyBorder="1">
      <alignment vertical="center"/>
    </xf>
    <xf numFmtId="1" fontId="489" fillId="0" borderId="28" xfId="436" applyNumberFormat="1" applyFont="1" applyFill="1" applyBorder="1" applyAlignment="1">
      <alignment horizontal="right" vertical="center"/>
    </xf>
    <xf numFmtId="0" fontId="478" fillId="0" borderId="48" xfId="0" applyFont="1" applyBorder="1"/>
    <xf numFmtId="0" fontId="489" fillId="0" borderId="99" xfId="436" applyFont="1" applyBorder="1">
      <alignment vertical="center"/>
    </xf>
    <xf numFmtId="0" fontId="489" fillId="0" borderId="150" xfId="436" applyFont="1" applyFill="1" applyBorder="1">
      <alignment vertical="center"/>
    </xf>
    <xf numFmtId="1" fontId="489" fillId="0" borderId="0" xfId="436" applyNumberFormat="1" applyFont="1" applyBorder="1">
      <alignment vertical="center"/>
    </xf>
    <xf numFmtId="1" fontId="489" fillId="0" borderId="170" xfId="436" applyNumberFormat="1" applyFont="1" applyFill="1" applyBorder="1" applyAlignment="1">
      <alignment horizontal="left" vertical="center"/>
    </xf>
    <xf numFmtId="0" fontId="489" fillId="0" borderId="150" xfId="436" applyFont="1" applyBorder="1">
      <alignment vertical="center"/>
    </xf>
    <xf numFmtId="0" fontId="488" fillId="0" borderId="150" xfId="436" applyFont="1" applyFill="1" applyBorder="1">
      <alignment vertical="center"/>
    </xf>
    <xf numFmtId="1" fontId="489" fillId="0" borderId="77" xfId="436" applyNumberFormat="1" applyFont="1" applyFill="1" applyBorder="1" applyAlignment="1">
      <alignment horizontal="right" vertical="center"/>
    </xf>
    <xf numFmtId="0" fontId="489" fillId="0" borderId="68" xfId="436" applyFont="1" applyBorder="1">
      <alignment vertical="center"/>
    </xf>
    <xf numFmtId="0" fontId="489" fillId="0" borderId="186" xfId="436" applyFont="1" applyFill="1" applyBorder="1">
      <alignment vertical="center"/>
    </xf>
    <xf numFmtId="1" fontId="489" fillId="0" borderId="300" xfId="436" applyNumberFormat="1" applyFont="1" applyBorder="1" applyAlignment="1">
      <alignment horizontal="right" vertical="top"/>
    </xf>
    <xf numFmtId="1" fontId="489" fillId="0" borderId="29" xfId="436" applyNumberFormat="1" applyFont="1" applyFill="1" applyBorder="1" applyAlignment="1">
      <alignment horizontal="left" vertical="center"/>
    </xf>
    <xf numFmtId="1" fontId="489" fillId="0" borderId="25" xfId="436" applyNumberFormat="1" applyFont="1" applyFill="1" applyBorder="1" applyAlignment="1">
      <alignment horizontal="right" vertical="center"/>
    </xf>
    <xf numFmtId="0" fontId="478" fillId="0" borderId="187" xfId="0" applyFont="1" applyBorder="1"/>
    <xf numFmtId="1" fontId="489" fillId="0" borderId="545" xfId="436" applyNumberFormat="1" applyFont="1" applyBorder="1" applyAlignment="1">
      <alignment horizontal="right" vertical="top"/>
    </xf>
    <xf numFmtId="0" fontId="489" fillId="0" borderId="153" xfId="436" applyFont="1" applyFill="1" applyBorder="1">
      <alignment vertical="center"/>
    </xf>
    <xf numFmtId="0" fontId="489" fillId="0" borderId="154" xfId="436" applyFont="1" applyFill="1" applyBorder="1">
      <alignment vertical="center"/>
    </xf>
    <xf numFmtId="1" fontId="489" fillId="0" borderId="0" xfId="436" applyNumberFormat="1" applyFont="1" applyFill="1" applyBorder="1">
      <alignment vertical="center"/>
    </xf>
    <xf numFmtId="0" fontId="489" fillId="0" borderId="188" xfId="436" applyFont="1" applyFill="1" applyBorder="1">
      <alignment vertical="center"/>
    </xf>
    <xf numFmtId="0" fontId="489" fillId="0" borderId="189" xfId="436" applyFont="1" applyFill="1" applyBorder="1">
      <alignment vertical="center"/>
    </xf>
    <xf numFmtId="0" fontId="478" fillId="0" borderId="155" xfId="0" applyFont="1" applyBorder="1"/>
    <xf numFmtId="0" fontId="483" fillId="0" borderId="39" xfId="436" applyFont="1" applyFill="1" applyBorder="1">
      <alignment vertical="center"/>
    </xf>
    <xf numFmtId="0" fontId="483" fillId="0" borderId="37" xfId="436" applyFont="1" applyFill="1" applyBorder="1">
      <alignment vertical="center"/>
    </xf>
    <xf numFmtId="1" fontId="487" fillId="0" borderId="154" xfId="436" applyNumberFormat="1" applyFont="1" applyFill="1" applyBorder="1">
      <alignment vertical="center"/>
    </xf>
    <xf numFmtId="0" fontId="478" fillId="0" borderId="38" xfId="0" applyFont="1" applyBorder="1"/>
    <xf numFmtId="0" fontId="483" fillId="0" borderId="0" xfId="436" applyFont="1">
      <alignment vertical="center"/>
    </xf>
    <xf numFmtId="0" fontId="490" fillId="0" borderId="0" xfId="436" applyFont="1" applyAlignment="1"/>
    <xf numFmtId="0" fontId="487" fillId="0" borderId="0" xfId="0" applyFont="1" applyFill="1" applyBorder="1" applyAlignment="1">
      <alignment horizontal="center" vertical="center"/>
    </xf>
    <xf numFmtId="0" fontId="487" fillId="0" borderId="0" xfId="0" applyFont="1" applyFill="1" applyBorder="1" applyAlignment="1">
      <alignment horizontal="center" vertical="top"/>
    </xf>
    <xf numFmtId="0" fontId="487" fillId="0" borderId="0" xfId="0" applyFont="1" applyFill="1" applyBorder="1" applyAlignment="1">
      <alignment horizontal="center"/>
    </xf>
    <xf numFmtId="0" fontId="475" fillId="0" borderId="0" xfId="436" applyFont="1">
      <alignment vertical="center"/>
    </xf>
    <xf numFmtId="0" fontId="475" fillId="0" borderId="0" xfId="436" applyFont="1" applyFill="1" applyAlignment="1">
      <alignment vertical="center"/>
    </xf>
    <xf numFmtId="0" fontId="477" fillId="0" borderId="0" xfId="0" applyFont="1"/>
    <xf numFmtId="0" fontId="476" fillId="0" borderId="48" xfId="0" applyFont="1" applyBorder="1" applyAlignment="1">
      <alignment vertical="center"/>
    </xf>
    <xf numFmtId="0" fontId="476" fillId="0" borderId="0" xfId="0" applyFont="1" applyAlignment="1">
      <alignment vertical="center"/>
    </xf>
    <xf numFmtId="0" fontId="476" fillId="0" borderId="66" xfId="0" applyFont="1" applyBorder="1" applyAlignment="1">
      <alignment vertical="center"/>
    </xf>
    <xf numFmtId="0" fontId="491" fillId="0" borderId="37" xfId="0" applyFont="1" applyBorder="1" applyAlignment="1">
      <alignment horizontal="center" vertical="center"/>
    </xf>
    <xf numFmtId="0" fontId="476" fillId="0" borderId="141" xfId="0" applyFont="1" applyBorder="1" applyAlignment="1">
      <alignment horizontal="center" vertical="center"/>
    </xf>
    <xf numFmtId="0" fontId="491" fillId="0" borderId="38" xfId="0" applyFont="1" applyBorder="1" applyAlignment="1">
      <alignment horizontal="center" vertical="center"/>
    </xf>
    <xf numFmtId="0" fontId="476" fillId="0" borderId="195" xfId="0" applyFont="1" applyBorder="1" applyAlignment="1">
      <alignment horizontal="center" vertical="center"/>
    </xf>
    <xf numFmtId="0" fontId="476" fillId="0" borderId="433" xfId="0" applyFont="1" applyBorder="1" applyAlignment="1">
      <alignment horizontal="center" vertical="center"/>
    </xf>
    <xf numFmtId="0" fontId="476" fillId="0" borderId="0" xfId="0" applyFont="1" applyFill="1" applyAlignment="1">
      <alignment vertical="center"/>
    </xf>
    <xf numFmtId="0" fontId="476" fillId="0" borderId="434" xfId="0" applyFont="1" applyBorder="1" applyAlignment="1">
      <alignment horizontal="center" vertical="center"/>
    </xf>
    <xf numFmtId="0" fontId="476" fillId="0" borderId="0" xfId="0" applyFont="1" applyBorder="1" applyAlignment="1">
      <alignment horizontal="center" vertical="center"/>
    </xf>
    <xf numFmtId="0" fontId="490" fillId="0" borderId="0" xfId="436" applyFont="1" applyBorder="1" applyAlignment="1">
      <alignment vertical="center"/>
    </xf>
    <xf numFmtId="0" fontId="476" fillId="0" borderId="0" xfId="0" applyFont="1" applyBorder="1" applyAlignment="1">
      <alignment vertical="center"/>
    </xf>
    <xf numFmtId="0" fontId="55" fillId="0" borderId="0" xfId="436" applyFont="1" applyBorder="1" applyProtection="1">
      <alignment vertical="center"/>
      <protection locked="0"/>
    </xf>
    <xf numFmtId="0" fontId="55" fillId="0" borderId="0" xfId="436" applyFont="1" applyFill="1" applyBorder="1" applyAlignment="1">
      <alignment horizontal="center" vertical="top"/>
    </xf>
    <xf numFmtId="0" fontId="77" fillId="0" borderId="0" xfId="436" applyFont="1" applyBorder="1" applyAlignment="1">
      <alignment horizontal="left" vertical="center"/>
    </xf>
    <xf numFmtId="0" fontId="77" fillId="0" borderId="0" xfId="436" applyFont="1" applyAlignment="1">
      <alignment horizontal="right" vertical="center"/>
    </xf>
    <xf numFmtId="0" fontId="49" fillId="0" borderId="0" xfId="436" applyFont="1">
      <alignment vertical="center"/>
    </xf>
    <xf numFmtId="15" fontId="77" fillId="0" borderId="0" xfId="436" applyNumberFormat="1" applyFont="1" applyAlignment="1">
      <alignment horizontal="left" vertical="center"/>
    </xf>
    <xf numFmtId="0" fontId="77" fillId="0" borderId="190" xfId="436" applyFont="1" applyBorder="1" applyAlignment="1">
      <alignment horizontal="center" vertical="center" wrapText="1"/>
    </xf>
    <xf numFmtId="0" fontId="77" fillId="0" borderId="190" xfId="436" applyFont="1" applyBorder="1" applyAlignment="1">
      <alignment horizontal="center" vertical="center"/>
    </xf>
    <xf numFmtId="0" fontId="77" fillId="0" borderId="182" xfId="436" applyFont="1" applyBorder="1" applyAlignment="1">
      <alignment horizontal="center" vertical="center"/>
    </xf>
    <xf numFmtId="0" fontId="77" fillId="0" borderId="185" xfId="436" applyFont="1" applyBorder="1" applyAlignment="1">
      <alignment horizontal="center" vertical="center"/>
    </xf>
    <xf numFmtId="0" fontId="77" fillId="0" borderId="43" xfId="436" applyFont="1" applyBorder="1" applyAlignment="1">
      <alignment horizontal="center" vertical="center"/>
    </xf>
    <xf numFmtId="0" fontId="77" fillId="0" borderId="183" xfId="436" applyFont="1" applyBorder="1" applyAlignment="1">
      <alignment horizontal="center" vertical="center"/>
    </xf>
    <xf numFmtId="0" fontId="77" fillId="0" borderId="0" xfId="0" applyFont="1" applyBorder="1" applyAlignment="1">
      <alignment horizontal="left" vertical="center"/>
    </xf>
    <xf numFmtId="0" fontId="107" fillId="0" borderId="0" xfId="0" applyFont="1" applyBorder="1"/>
    <xf numFmtId="0" fontId="77" fillId="0" borderId="0" xfId="0" applyFont="1" applyAlignment="1">
      <alignment horizontal="left" vertical="center"/>
    </xf>
    <xf numFmtId="0" fontId="77" fillId="0" borderId="0" xfId="0" applyFont="1" applyBorder="1" applyAlignment="1" applyProtection="1">
      <alignment vertical="center"/>
      <protection locked="0"/>
    </xf>
    <xf numFmtId="0" fontId="107" fillId="0" borderId="0" xfId="0" applyNumberFormat="1" applyFont="1"/>
    <xf numFmtId="0" fontId="126" fillId="0" borderId="0" xfId="0" applyFont="1" applyBorder="1"/>
    <xf numFmtId="0" fontId="77" fillId="0" borderId="432" xfId="436" applyFont="1" applyBorder="1" applyAlignment="1">
      <alignment horizontal="center" vertical="center"/>
    </xf>
    <xf numFmtId="0" fontId="77" fillId="0" borderId="85" xfId="436" applyFont="1" applyFill="1" applyBorder="1" applyAlignment="1">
      <alignment vertical="center"/>
    </xf>
    <xf numFmtId="0" fontId="77" fillId="0" borderId="90" xfId="436" applyFont="1" applyFill="1" applyBorder="1" applyAlignment="1">
      <alignment vertical="center"/>
    </xf>
    <xf numFmtId="0" fontId="77" fillId="0" borderId="432" xfId="436" applyFont="1" applyFill="1" applyBorder="1" applyAlignment="1">
      <alignment vertical="center"/>
    </xf>
    <xf numFmtId="0" fontId="77" fillId="0" borderId="185" xfId="436" applyFont="1" applyFill="1" applyBorder="1" applyAlignment="1">
      <alignment vertical="center"/>
    </xf>
    <xf numFmtId="0" fontId="77" fillId="0" borderId="297" xfId="436" applyFont="1" applyFill="1" applyBorder="1" applyAlignment="1">
      <alignment vertical="center"/>
    </xf>
    <xf numFmtId="0" fontId="194" fillId="34" borderId="436" xfId="0" applyFont="1" applyFill="1" applyBorder="1" applyAlignment="1">
      <alignment horizontal="center" vertical="center" wrapText="1"/>
    </xf>
    <xf numFmtId="0" fontId="91" fillId="101" borderId="483" xfId="0" applyFont="1" applyFill="1" applyBorder="1" applyAlignment="1">
      <alignment horizontal="center" vertical="center" wrapText="1"/>
    </xf>
    <xf numFmtId="166" fontId="124" fillId="56" borderId="44" xfId="271" applyNumberFormat="1" applyFont="1" applyFill="1" applyBorder="1" applyAlignment="1">
      <alignment vertical="center"/>
    </xf>
    <xf numFmtId="0" fontId="430" fillId="0" borderId="0" xfId="0" applyFont="1"/>
    <xf numFmtId="0" fontId="430" fillId="0" borderId="0" xfId="0" applyFont="1" applyAlignment="1">
      <alignment horizontal="center"/>
    </xf>
    <xf numFmtId="0" fontId="430" fillId="0" borderId="599" xfId="0" applyFont="1" applyBorder="1" applyAlignment="1">
      <alignment horizontal="center"/>
    </xf>
    <xf numFmtId="0" fontId="430" fillId="0" borderId="599" xfId="0" applyFont="1" applyBorder="1"/>
    <xf numFmtId="0" fontId="459" fillId="0" borderId="42" xfId="0" applyFont="1" applyBorder="1" applyAlignment="1">
      <alignment vertical="center"/>
    </xf>
    <xf numFmtId="49" fontId="459" fillId="0" borderId="0" xfId="0" applyNumberFormat="1" applyFont="1" applyBorder="1" applyAlignment="1" applyProtection="1">
      <alignment vertical="center"/>
      <protection locked="0"/>
    </xf>
    <xf numFmtId="49" fontId="459" fillId="0" borderId="0" xfId="0" applyNumberFormat="1" applyFont="1" applyAlignment="1" applyProtection="1">
      <alignment vertical="center"/>
      <protection locked="0"/>
    </xf>
    <xf numFmtId="0" fontId="459" fillId="0" borderId="0" xfId="0" applyFont="1" applyBorder="1" applyAlignment="1">
      <alignment vertical="center"/>
    </xf>
    <xf numFmtId="0" fontId="459" fillId="0" borderId="0" xfId="0" applyFont="1" applyAlignment="1">
      <alignment vertical="center"/>
    </xf>
    <xf numFmtId="0" fontId="459" fillId="0" borderId="297" xfId="0" applyFont="1" applyBorder="1" applyAlignment="1">
      <alignment vertical="center"/>
    </xf>
    <xf numFmtId="0" fontId="492" fillId="101" borderId="483" xfId="0" applyFont="1" applyFill="1" applyBorder="1" applyAlignment="1">
      <alignment horizontal="center" vertical="center" wrapText="1"/>
    </xf>
    <xf numFmtId="0" fontId="123" fillId="0" borderId="311" xfId="0" applyFont="1" applyFill="1" applyBorder="1" applyAlignment="1">
      <alignment vertical="top"/>
    </xf>
    <xf numFmtId="0" fontId="459" fillId="0" borderId="0" xfId="0" applyNumberFormat="1" applyFont="1" applyBorder="1" applyAlignment="1" applyProtection="1">
      <alignment vertical="center"/>
    </xf>
    <xf numFmtId="0" fontId="91" fillId="0" borderId="297" xfId="0" applyFont="1" applyBorder="1"/>
    <xf numFmtId="0" fontId="112" fillId="0" borderId="485" xfId="0" applyFont="1" applyBorder="1"/>
    <xf numFmtId="0" fontId="493" fillId="0" borderId="0" xfId="0" applyFont="1" applyBorder="1" applyAlignment="1"/>
    <xf numFmtId="0" fontId="493" fillId="0" borderId="0" xfId="0" applyFont="1" applyFill="1" applyBorder="1" applyAlignment="1"/>
    <xf numFmtId="0" fontId="493" fillId="0" borderId="0" xfId="0" applyNumberFormat="1" applyFont="1" applyFill="1" applyBorder="1" applyAlignment="1"/>
    <xf numFmtId="0" fontId="493" fillId="0" borderId="0" xfId="0" applyNumberFormat="1" applyFont="1" applyBorder="1" applyAlignment="1"/>
    <xf numFmtId="2" fontId="88" fillId="0" borderId="0" xfId="401" applyNumberFormat="1" applyFont="1" applyBorder="1"/>
    <xf numFmtId="0" fontId="0" fillId="0" borderId="0" xfId="0" applyNumberFormat="1" applyFont="1" applyFill="1" applyBorder="1" applyAlignment="1"/>
    <xf numFmtId="0" fontId="0" fillId="0" borderId="0" xfId="0" applyNumberFormat="1" applyFont="1" applyBorder="1" applyAlignment="1"/>
    <xf numFmtId="0" fontId="122" fillId="0" borderId="0" xfId="0" applyFont="1" applyBorder="1" applyAlignment="1" applyProtection="1">
      <alignment vertical="top"/>
    </xf>
    <xf numFmtId="2" fontId="88" fillId="0" borderId="0" xfId="401" applyNumberFormat="1" applyFont="1"/>
    <xf numFmtId="0" fontId="0" fillId="0" borderId="0" xfId="0"/>
    <xf numFmtId="20" fontId="496" fillId="88" borderId="10" xfId="0" applyNumberFormat="1" applyFont="1" applyFill="1" applyBorder="1" applyAlignment="1">
      <alignment horizontal="center"/>
    </xf>
    <xf numFmtId="0" fontId="499" fillId="116" borderId="602" xfId="0" applyFont="1" applyFill="1" applyBorder="1"/>
    <xf numFmtId="0" fontId="499" fillId="116" borderId="602" xfId="0" applyFont="1" applyFill="1" applyBorder="1" applyAlignment="1">
      <alignment horizontal="left" vertical="top"/>
    </xf>
    <xf numFmtId="0" fontId="497" fillId="116" borderId="602" xfId="0" applyFont="1" applyFill="1" applyBorder="1" applyAlignment="1">
      <alignment horizontal="left" vertical="top"/>
    </xf>
    <xf numFmtId="0" fontId="499" fillId="116" borderId="603" xfId="0" applyFont="1" applyFill="1" applyBorder="1" applyAlignment="1">
      <alignment horizontal="left" vertical="top"/>
    </xf>
    <xf numFmtId="0" fontId="500" fillId="116" borderId="602" xfId="0" applyFont="1" applyFill="1" applyBorder="1" applyAlignment="1">
      <alignment horizontal="left" vertical="top"/>
    </xf>
    <xf numFmtId="0" fontId="502" fillId="0" borderId="0" xfId="0" applyFont="1" applyFill="1" applyBorder="1"/>
    <xf numFmtId="0" fontId="502" fillId="0" borderId="0" xfId="0" applyFont="1" applyFill="1" applyBorder="1" applyAlignment="1">
      <alignment horizontal="left" vertical="top"/>
    </xf>
    <xf numFmtId="0" fontId="502" fillId="0" borderId="0" xfId="0" applyFont="1" applyFill="1" applyBorder="1" applyAlignment="1"/>
    <xf numFmtId="0" fontId="502" fillId="0" borderId="0" xfId="0" applyNumberFormat="1" applyFont="1" applyFill="1" applyBorder="1" applyAlignment="1"/>
    <xf numFmtId="0" fontId="503" fillId="0" borderId="0" xfId="0" applyFont="1" applyFill="1" applyBorder="1" applyAlignment="1">
      <alignment horizontal="left" vertical="top"/>
    </xf>
    <xf numFmtId="0" fontId="502" fillId="0" borderId="579" xfId="0" applyFont="1" applyFill="1" applyBorder="1" applyAlignment="1"/>
    <xf numFmtId="0" fontId="502" fillId="0" borderId="581" xfId="0" applyNumberFormat="1" applyFont="1" applyFill="1" applyBorder="1" applyAlignment="1"/>
    <xf numFmtId="0" fontId="502" fillId="0" borderId="579" xfId="0" applyNumberFormat="1" applyFont="1" applyFill="1" applyBorder="1" applyAlignment="1"/>
    <xf numFmtId="0" fontId="502" fillId="0" borderId="581" xfId="0" applyFont="1" applyFill="1" applyBorder="1" applyAlignment="1"/>
    <xf numFmtId="0" fontId="503" fillId="0" borderId="0" xfId="0" applyFont="1" applyFill="1" applyBorder="1" applyAlignment="1"/>
    <xf numFmtId="0" fontId="498" fillId="116" borderId="602" xfId="0" applyFont="1" applyFill="1" applyBorder="1" applyAlignment="1">
      <alignment horizontal="left" vertical="top"/>
    </xf>
    <xf numFmtId="0" fontId="499" fillId="116" borderId="602" xfId="0" applyFont="1" applyFill="1" applyBorder="1" applyAlignment="1"/>
    <xf numFmtId="0" fontId="497" fillId="116" borderId="602" xfId="0" applyFont="1" applyFill="1" applyBorder="1" applyAlignment="1"/>
    <xf numFmtId="0" fontId="499" fillId="0" borderId="0" xfId="0" applyFont="1" applyFill="1" applyBorder="1" applyAlignment="1">
      <alignment horizontal="left" vertical="center"/>
    </xf>
    <xf numFmtId="0" fontId="499" fillId="116" borderId="602" xfId="0" applyFont="1" applyFill="1" applyBorder="1" applyAlignment="1">
      <alignment horizontal="left"/>
    </xf>
    <xf numFmtId="0" fontId="499" fillId="116" borderId="604" xfId="0" applyFont="1" applyFill="1" applyBorder="1" applyAlignment="1">
      <alignment horizontal="left"/>
    </xf>
    <xf numFmtId="0" fontId="504" fillId="34" borderId="436" xfId="0" applyFont="1" applyFill="1" applyBorder="1" applyAlignment="1">
      <alignment horizontal="center" vertical="center" wrapText="1"/>
    </xf>
    <xf numFmtId="0" fontId="501" fillId="101" borderId="483" xfId="0" applyFont="1" applyFill="1" applyBorder="1" applyAlignment="1">
      <alignment horizontal="center" vertical="center" wrapText="1"/>
    </xf>
    <xf numFmtId="0" fontId="505" fillId="34" borderId="483" xfId="0" applyFont="1" applyFill="1" applyBorder="1" applyAlignment="1">
      <alignment horizontal="center" vertical="center" wrapText="1"/>
    </xf>
    <xf numFmtId="0" fontId="498" fillId="101" borderId="483" xfId="0" applyFont="1" applyFill="1" applyBorder="1" applyAlignment="1">
      <alignment horizontal="center" vertical="center" wrapText="1"/>
    </xf>
    <xf numFmtId="166" fontId="124" fillId="54" borderId="44" xfId="271" applyNumberFormat="1" applyFont="1" applyFill="1" applyBorder="1" applyAlignment="1">
      <alignment vertical="center"/>
    </xf>
    <xf numFmtId="166" fontId="124" fillId="54" borderId="72" xfId="271" applyNumberFormat="1" applyFont="1" applyFill="1" applyBorder="1" applyAlignment="1">
      <alignment vertical="center"/>
    </xf>
    <xf numFmtId="0" fontId="112" fillId="0" borderId="17" xfId="436" applyFont="1" applyBorder="1" applyAlignment="1" applyProtection="1">
      <alignment vertical="center"/>
      <protection locked="0"/>
    </xf>
    <xf numFmtId="0" fontId="83" fillId="0" borderId="18" xfId="436" applyFont="1" applyBorder="1" applyAlignment="1" applyProtection="1">
      <alignment vertical="center"/>
      <protection locked="0"/>
    </xf>
    <xf numFmtId="0" fontId="476" fillId="0" borderId="607" xfId="0" applyFont="1" applyBorder="1" applyAlignment="1">
      <alignment horizontal="center" vertical="center"/>
    </xf>
    <xf numFmtId="0" fontId="476" fillId="0" borderId="515" xfId="0" applyFont="1" applyBorder="1" applyAlignment="1">
      <alignment horizontal="center" vertical="center"/>
    </xf>
    <xf numFmtId="0" fontId="92" fillId="0" borderId="70" xfId="414" applyNumberFormat="1" applyFont="1" applyFill="1" applyBorder="1" applyAlignment="1">
      <alignment horizontal="center"/>
    </xf>
    <xf numFmtId="1" fontId="218" fillId="97" borderId="62" xfId="0" applyNumberFormat="1" applyFont="1" applyFill="1" applyBorder="1" applyAlignment="1" applyProtection="1">
      <alignment horizontal="center" vertical="center"/>
      <protection locked="0"/>
    </xf>
    <xf numFmtId="0" fontId="459" fillId="0" borderId="13" xfId="0" applyFont="1" applyFill="1" applyBorder="1" applyAlignment="1">
      <alignment vertical="center"/>
    </xf>
    <xf numFmtId="1" fontId="49" fillId="0" borderId="608" xfId="428" applyNumberFormat="1" applyFont="1" applyFill="1" applyBorder="1" applyAlignment="1" applyProtection="1">
      <alignment horizontal="center" vertical="center"/>
    </xf>
    <xf numFmtId="43" fontId="91" fillId="0" borderId="0" xfId="0" applyNumberFormat="1" applyFont="1"/>
    <xf numFmtId="173" fontId="7" fillId="31" borderId="70" xfId="429" applyNumberFormat="1" applyFont="1" applyFill="1" applyBorder="1" applyAlignment="1">
      <alignment horizontal="center" vertical="center"/>
    </xf>
    <xf numFmtId="173" fontId="7" fillId="31" borderId="60" xfId="429" applyNumberFormat="1" applyFont="1" applyFill="1" applyBorder="1" applyAlignment="1">
      <alignment horizontal="center" vertical="center"/>
    </xf>
    <xf numFmtId="1" fontId="7" fillId="31" borderId="65" xfId="428" applyNumberFormat="1" applyFont="1" applyFill="1" applyBorder="1" applyAlignment="1" applyProtection="1">
      <alignment horizontal="center" vertical="center"/>
      <protection locked="0"/>
    </xf>
    <xf numFmtId="1" fontId="7" fillId="31" borderId="75" xfId="429" applyNumberFormat="1" applyFont="1" applyFill="1" applyBorder="1" applyAlignment="1" applyProtection="1">
      <alignment horizontal="center" vertical="center"/>
    </xf>
    <xf numFmtId="1" fontId="306" fillId="31" borderId="65" xfId="429" applyNumberFormat="1" applyFont="1" applyFill="1" applyBorder="1" applyAlignment="1" applyProtection="1">
      <alignment horizontal="center" vertical="center"/>
    </xf>
    <xf numFmtId="1" fontId="7" fillId="31" borderId="70" xfId="429" applyNumberFormat="1" applyFont="1" applyFill="1" applyBorder="1" applyAlignment="1">
      <alignment horizontal="center" vertical="center"/>
    </xf>
    <xf numFmtId="1" fontId="7" fillId="31" borderId="15" xfId="437" applyNumberFormat="1" applyFont="1" applyFill="1" applyBorder="1" applyAlignment="1">
      <alignment horizontal="center" vertical="center"/>
    </xf>
    <xf numFmtId="173" fontId="91" fillId="31" borderId="0" xfId="414" applyNumberFormat="1" applyFont="1" applyFill="1"/>
    <xf numFmtId="192" fontId="193" fillId="0" borderId="31" xfId="0" applyNumberFormat="1" applyFont="1" applyBorder="1" applyAlignment="1">
      <alignment horizontal="center" vertical="center" wrapText="1"/>
    </xf>
    <xf numFmtId="192" fontId="193" fillId="0" borderId="43" xfId="0" applyNumberFormat="1" applyFont="1" applyBorder="1" applyAlignment="1">
      <alignment horizontal="center" vertical="center" wrapText="1"/>
    </xf>
    <xf numFmtId="192" fontId="208" fillId="0" borderId="31" xfId="0" applyNumberFormat="1" applyFont="1" applyBorder="1" applyAlignment="1">
      <alignment horizontal="center" vertical="center" wrapText="1"/>
    </xf>
    <xf numFmtId="165" fontId="375" fillId="0" borderId="10" xfId="0" applyNumberFormat="1" applyFont="1" applyBorder="1" applyAlignment="1">
      <alignment horizontal="center" vertical="center" wrapText="1"/>
    </xf>
    <xf numFmtId="165" fontId="379" fillId="0" borderId="62" xfId="0" applyNumberFormat="1" applyFont="1" applyBorder="1" applyAlignment="1">
      <alignment horizontal="center" vertical="center" wrapText="1"/>
    </xf>
    <xf numFmtId="165" fontId="374" fillId="0" borderId="10" xfId="0" applyNumberFormat="1" applyFont="1" applyBorder="1" applyAlignment="1">
      <alignment horizontal="center" vertical="center" wrapText="1"/>
    </xf>
    <xf numFmtId="165" fontId="380" fillId="0" borderId="63" xfId="0" applyNumberFormat="1" applyFont="1" applyBorder="1" applyAlignment="1">
      <alignment horizontal="center" vertical="center" wrapText="1"/>
    </xf>
    <xf numFmtId="165" fontId="13" fillId="0" borderId="14" xfId="435" applyNumberFormat="1" applyFont="1" applyBorder="1" applyAlignment="1" applyProtection="1">
      <alignment horizontal="center"/>
    </xf>
    <xf numFmtId="165" fontId="14" fillId="0" borderId="184" xfId="435" applyNumberFormat="1" applyFont="1" applyBorder="1" applyAlignment="1" applyProtection="1">
      <alignment horizontal="center"/>
    </xf>
    <xf numFmtId="0" fontId="298" fillId="0" borderId="10" xfId="0" applyFont="1" applyBorder="1" applyAlignment="1">
      <alignment horizontal="center" vertical="top"/>
    </xf>
    <xf numFmtId="20" fontId="447" fillId="0" borderId="10" xfId="0" applyNumberFormat="1" applyFont="1" applyBorder="1" applyAlignment="1">
      <alignment horizontal="center" vertical="top"/>
    </xf>
    <xf numFmtId="14" fontId="452" fillId="0" borderId="10" xfId="0" applyNumberFormat="1" applyFont="1" applyBorder="1" applyAlignment="1">
      <alignment horizontal="center" vertical="top"/>
    </xf>
    <xf numFmtId="14" fontId="446" fillId="31" borderId="10" xfId="0" applyNumberFormat="1" applyFont="1" applyFill="1" applyBorder="1" applyAlignment="1">
      <alignment horizontal="center"/>
    </xf>
    <xf numFmtId="0" fontId="445" fillId="31" borderId="10" xfId="0" applyFont="1" applyFill="1" applyBorder="1" applyAlignment="1">
      <alignment horizontal="center"/>
    </xf>
    <xf numFmtId="20" fontId="446" fillId="31" borderId="10" xfId="0" applyNumberFormat="1" applyFont="1" applyFill="1" applyBorder="1" applyAlignment="1">
      <alignment horizontal="center"/>
    </xf>
    <xf numFmtId="0" fontId="81" fillId="0" borderId="0" xfId="436" applyFont="1" applyBorder="1" applyAlignment="1">
      <alignment vertical="center"/>
    </xf>
    <xf numFmtId="20" fontId="208" fillId="0" borderId="70" xfId="429" applyNumberFormat="1" applyFont="1" applyFill="1" applyBorder="1" applyAlignment="1">
      <alignment vertical="center"/>
    </xf>
    <xf numFmtId="14" fontId="452" fillId="0" borderId="10" xfId="0" applyNumberFormat="1" applyFont="1" applyBorder="1" applyAlignment="1">
      <alignment horizontal="center"/>
    </xf>
    <xf numFmtId="1" fontId="55" fillId="31" borderId="0" xfId="436" applyNumberFormat="1" applyFont="1" applyFill="1" applyBorder="1" applyAlignment="1">
      <alignment horizontal="left" vertical="center"/>
    </xf>
    <xf numFmtId="0" fontId="55" fillId="31" borderId="0" xfId="0" applyFont="1" applyFill="1" applyBorder="1" applyAlignment="1">
      <alignment vertical="center"/>
    </xf>
    <xf numFmtId="0" fontId="55" fillId="31" borderId="0" xfId="0" applyFont="1" applyFill="1" applyAlignment="1">
      <alignment vertical="center"/>
    </xf>
    <xf numFmtId="0" fontId="91" fillId="31" borderId="0" xfId="414" applyNumberFormat="1" applyFont="1" applyFill="1" applyBorder="1" applyAlignment="1">
      <alignment horizontal="center"/>
    </xf>
    <xf numFmtId="1" fontId="214" fillId="31" borderId="0" xfId="428" applyNumberFormat="1" applyFont="1" applyFill="1" applyBorder="1" applyAlignment="1">
      <alignment horizontal="center" vertical="center"/>
    </xf>
    <xf numFmtId="173" fontId="91" fillId="31" borderId="0" xfId="414" applyNumberFormat="1" applyFont="1" applyFill="1" applyBorder="1"/>
    <xf numFmtId="20" fontId="507" fillId="34" borderId="10" xfId="0" applyNumberFormat="1" applyFont="1" applyFill="1" applyBorder="1" applyAlignment="1">
      <alignment horizontal="center"/>
    </xf>
    <xf numFmtId="0" fontId="459" fillId="0" borderId="0" xfId="0" applyFont="1" applyBorder="1" applyAlignment="1"/>
    <xf numFmtId="0" fontId="142" fillId="0" borderId="46" xfId="0" applyFont="1" applyBorder="1" applyAlignment="1">
      <alignment horizontal="left"/>
    </xf>
    <xf numFmtId="0" fontId="508" fillId="0" borderId="0" xfId="0" applyFont="1" applyBorder="1" applyAlignment="1"/>
    <xf numFmtId="0" fontId="508" fillId="0" borderId="0" xfId="0" applyFont="1" applyFill="1" applyBorder="1" applyAlignment="1"/>
    <xf numFmtId="0" fontId="508" fillId="0" borderId="0" xfId="0" applyNumberFormat="1" applyFont="1" applyFill="1" applyBorder="1" applyAlignment="1"/>
    <xf numFmtId="0" fontId="508" fillId="0" borderId="0" xfId="0" applyNumberFormat="1" applyFont="1" applyBorder="1" applyAlignment="1"/>
    <xf numFmtId="166" fontId="43" fillId="0" borderId="0" xfId="271" applyNumberFormat="1" applyFont="1" applyFill="1" applyBorder="1" applyAlignment="1">
      <alignment horizontal="center" vertical="center"/>
    </xf>
    <xf numFmtId="0" fontId="91" fillId="0" borderId="0" xfId="0" applyNumberFormat="1" applyFont="1" applyFill="1" applyBorder="1"/>
    <xf numFmtId="173" fontId="7" fillId="108" borderId="70" xfId="429" applyNumberFormat="1" applyFont="1" applyFill="1" applyBorder="1" applyAlignment="1">
      <alignment horizontal="center" vertical="center"/>
    </xf>
    <xf numFmtId="1" fontId="306" fillId="108" borderId="65" xfId="429" applyNumberFormat="1" applyFont="1" applyFill="1" applyBorder="1" applyAlignment="1" applyProtection="1">
      <alignment horizontal="center" vertical="center"/>
    </xf>
    <xf numFmtId="173" fontId="7" fillId="108" borderId="60" xfId="429" applyNumberFormat="1" applyFont="1" applyFill="1" applyBorder="1" applyAlignment="1">
      <alignment horizontal="center" vertical="center"/>
    </xf>
    <xf numFmtId="1" fontId="7" fillId="108" borderId="70" xfId="429" applyNumberFormat="1" applyFont="1" applyFill="1" applyBorder="1" applyAlignment="1">
      <alignment horizontal="center" vertical="center"/>
    </xf>
    <xf numFmtId="1" fontId="7" fillId="108" borderId="75" xfId="429" applyNumberFormat="1" applyFont="1" applyFill="1" applyBorder="1" applyAlignment="1" applyProtection="1">
      <alignment horizontal="center" vertical="center"/>
    </xf>
    <xf numFmtId="173" fontId="7" fillId="108" borderId="70" xfId="429" applyNumberFormat="1" applyFont="1" applyFill="1" applyBorder="1" applyAlignment="1">
      <alignment vertical="center"/>
    </xf>
    <xf numFmtId="1" fontId="7" fillId="108" borderId="15" xfId="437" applyNumberFormat="1" applyFont="1" applyFill="1" applyBorder="1" applyAlignment="1">
      <alignment horizontal="center" vertical="center"/>
    </xf>
    <xf numFmtId="1" fontId="7" fillId="108" borderId="65" xfId="428" applyNumberFormat="1" applyFont="1" applyFill="1" applyBorder="1" applyAlignment="1" applyProtection="1">
      <alignment horizontal="center" vertical="center"/>
      <protection locked="0"/>
    </xf>
    <xf numFmtId="14" fontId="20" fillId="108" borderId="70" xfId="429" applyNumberFormat="1" applyFont="1" applyFill="1" applyBorder="1" applyAlignment="1">
      <alignment horizontal="left" vertical="center"/>
    </xf>
    <xf numFmtId="0" fontId="7" fillId="108" borderId="70" xfId="437" applyNumberFormat="1" applyFont="1" applyFill="1" applyBorder="1" applyAlignment="1">
      <alignment vertical="center"/>
    </xf>
    <xf numFmtId="0" fontId="92" fillId="108" borderId="70" xfId="414" applyNumberFormat="1" applyFont="1" applyFill="1" applyBorder="1" applyAlignment="1">
      <alignment horizontal="center"/>
    </xf>
    <xf numFmtId="1" fontId="7" fillId="108" borderId="75" xfId="437" applyNumberFormat="1" applyFont="1" applyFill="1" applyBorder="1" applyAlignment="1">
      <alignment horizontal="center" vertical="center"/>
    </xf>
    <xf numFmtId="1" fontId="7" fillId="108" borderId="65" xfId="271" applyNumberFormat="1" applyFont="1" applyFill="1" applyBorder="1" applyAlignment="1">
      <alignment horizontal="center" vertical="center"/>
    </xf>
    <xf numFmtId="1" fontId="7" fillId="108" borderId="70" xfId="437" applyNumberFormat="1" applyFont="1" applyFill="1" applyBorder="1" applyAlignment="1" applyProtection="1">
      <alignment horizontal="center" vertical="center"/>
    </xf>
    <xf numFmtId="20" fontId="509" fillId="34" borderId="10" xfId="0" applyNumberFormat="1" applyFont="1" applyFill="1" applyBorder="1" applyAlignment="1">
      <alignment horizontal="center"/>
    </xf>
    <xf numFmtId="0" fontId="510" fillId="0" borderId="0" xfId="0" applyFont="1"/>
    <xf numFmtId="20" fontId="208" fillId="31" borderId="70" xfId="429" applyNumberFormat="1" applyFont="1" applyFill="1" applyBorder="1" applyAlignment="1">
      <alignment vertical="center"/>
    </xf>
    <xf numFmtId="173" fontId="7" fillId="108" borderId="71" xfId="429" applyNumberFormat="1" applyFont="1" applyFill="1" applyBorder="1" applyAlignment="1">
      <alignment vertical="center"/>
    </xf>
    <xf numFmtId="173" fontId="7" fillId="108" borderId="71" xfId="429" applyNumberFormat="1" applyFont="1" applyFill="1" applyBorder="1" applyAlignment="1">
      <alignment horizontal="center" vertical="center"/>
    </xf>
    <xf numFmtId="1" fontId="7" fillId="108" borderId="71" xfId="429" applyNumberFormat="1" applyFont="1" applyFill="1" applyBorder="1" applyAlignment="1">
      <alignment horizontal="center" vertical="center"/>
    </xf>
    <xf numFmtId="1" fontId="7" fillId="108" borderId="71" xfId="428" applyNumberFormat="1" applyFont="1" applyFill="1" applyBorder="1" applyAlignment="1" applyProtection="1">
      <alignment horizontal="center" vertical="center"/>
      <protection locked="0"/>
    </xf>
    <xf numFmtId="1" fontId="7" fillId="108" borderId="71" xfId="429" applyNumberFormat="1" applyFont="1" applyFill="1" applyBorder="1" applyAlignment="1" applyProtection="1">
      <alignment horizontal="center" vertical="center"/>
    </xf>
    <xf numFmtId="1" fontId="306" fillId="108" borderId="71" xfId="429" applyNumberFormat="1" applyFont="1" applyFill="1" applyBorder="1" applyAlignment="1" applyProtection="1">
      <alignment horizontal="center" vertical="center"/>
    </xf>
    <xf numFmtId="20" fontId="144" fillId="108" borderId="70" xfId="429" applyNumberFormat="1" applyFont="1" applyFill="1" applyBorder="1" applyAlignment="1">
      <alignment vertical="center"/>
    </xf>
    <xf numFmtId="20" fontId="509" fillId="88" borderId="23" xfId="0" applyNumberFormat="1" applyFont="1" applyFill="1" applyBorder="1" applyAlignment="1">
      <alignment horizontal="center"/>
    </xf>
    <xf numFmtId="165" fontId="511" fillId="32" borderId="26" xfId="0" applyNumberFormat="1" applyFont="1" applyFill="1" applyBorder="1" applyAlignment="1">
      <alignment horizontal="center"/>
    </xf>
    <xf numFmtId="0" fontId="56" fillId="0" borderId="85" xfId="428" applyFont="1" applyFill="1" applyBorder="1" applyAlignment="1">
      <alignment vertical="center"/>
    </xf>
    <xf numFmtId="0" fontId="56" fillId="0" borderId="175" xfId="428" applyFont="1" applyFill="1" applyBorder="1" applyAlignment="1">
      <alignment vertical="center"/>
    </xf>
    <xf numFmtId="0" fontId="56" fillId="0" borderId="175" xfId="428" applyFont="1" applyFill="1" applyBorder="1" applyAlignment="1">
      <alignment horizontal="right" vertical="center"/>
    </xf>
    <xf numFmtId="0" fontId="56" fillId="0" borderId="175" xfId="428" applyFont="1" applyFill="1" applyBorder="1" applyAlignment="1">
      <alignment horizontal="center" vertical="center"/>
    </xf>
    <xf numFmtId="0" fontId="56" fillId="0" borderId="175" xfId="0" applyFont="1" applyFill="1" applyBorder="1" applyAlignment="1">
      <alignment vertical="center"/>
    </xf>
    <xf numFmtId="0" fontId="56" fillId="0" borderId="46" xfId="428" applyFont="1" applyFill="1" applyBorder="1" applyAlignment="1">
      <alignment vertical="center"/>
    </xf>
    <xf numFmtId="0" fontId="56" fillId="0" borderId="58" xfId="498" applyFont="1" applyBorder="1" applyAlignment="1">
      <alignment horizontal="center" vertical="center" wrapText="1"/>
    </xf>
    <xf numFmtId="0" fontId="56" fillId="0" borderId="85" xfId="498" applyFont="1" applyBorder="1" applyAlignment="1">
      <alignment vertical="center" wrapText="1"/>
    </xf>
    <xf numFmtId="0" fontId="88" fillId="0" borderId="46" xfId="0" applyFont="1" applyBorder="1" applyAlignment="1"/>
    <xf numFmtId="0" fontId="56" fillId="0" borderId="58" xfId="498" applyFont="1" applyBorder="1" applyAlignment="1">
      <alignment vertical="center"/>
    </xf>
    <xf numFmtId="0" fontId="56" fillId="0" borderId="85" xfId="498" applyFont="1" applyBorder="1" applyAlignment="1">
      <alignment vertical="center"/>
    </xf>
    <xf numFmtId="0" fontId="56" fillId="0" borderId="185" xfId="498" applyFont="1" applyBorder="1" applyAlignment="1">
      <alignment vertical="center"/>
    </xf>
    <xf numFmtId="0" fontId="56" fillId="0" borderId="91" xfId="498" applyFont="1" applyBorder="1" applyAlignment="1">
      <alignment vertical="center"/>
    </xf>
    <xf numFmtId="0" fontId="56" fillId="0" borderId="89" xfId="498" applyFont="1" applyBorder="1" applyAlignment="1">
      <alignment vertical="center"/>
    </xf>
    <xf numFmtId="0" fontId="56" fillId="0" borderId="91" xfId="498" applyFont="1" applyFill="1" applyBorder="1" applyAlignment="1">
      <alignment vertical="center"/>
    </xf>
    <xf numFmtId="0" fontId="56" fillId="0" borderId="72" xfId="498" applyFont="1" applyBorder="1" applyAlignment="1">
      <alignment vertical="center"/>
    </xf>
    <xf numFmtId="0" fontId="56" fillId="0" borderId="47" xfId="498" applyFont="1" applyBorder="1" applyAlignment="1">
      <alignment vertical="center"/>
    </xf>
    <xf numFmtId="0" fontId="88" fillId="0" borderId="48" xfId="0" applyFont="1" applyBorder="1" applyAlignment="1"/>
    <xf numFmtId="0" fontId="56" fillId="0" borderId="44" xfId="498" applyFont="1" applyBorder="1" applyAlignment="1">
      <alignment horizontal="center" vertical="center"/>
    </xf>
    <xf numFmtId="0" fontId="56" fillId="0" borderId="47" xfId="498" applyFont="1" applyBorder="1" applyAlignment="1">
      <alignment horizontal="center" vertical="center"/>
    </xf>
    <xf numFmtId="0" fontId="56" fillId="0" borderId="39" xfId="498" applyFont="1" applyBorder="1" applyAlignment="1">
      <alignment horizontal="center" vertical="center"/>
    </xf>
    <xf numFmtId="164" fontId="56" fillId="0" borderId="37" xfId="498" applyNumberFormat="1" applyFont="1" applyFill="1" applyBorder="1" applyAlignment="1">
      <alignment horizontal="center" vertical="center"/>
    </xf>
    <xf numFmtId="164" fontId="56" fillId="0" borderId="39" xfId="498" applyNumberFormat="1" applyFont="1" applyBorder="1" applyAlignment="1">
      <alignment horizontal="center" vertical="center"/>
    </xf>
    <xf numFmtId="164" fontId="56" fillId="0" borderId="38" xfId="498" applyNumberFormat="1" applyFont="1" applyFill="1" applyBorder="1" applyAlignment="1">
      <alignment horizontal="center" vertical="center"/>
    </xf>
    <xf numFmtId="0" fontId="56" fillId="0" borderId="44" xfId="498" applyFont="1" applyBorder="1" applyAlignment="1">
      <alignment vertical="center"/>
    </xf>
    <xf numFmtId="0" fontId="88" fillId="0" borderId="198" xfId="0" applyFont="1" applyBorder="1" applyAlignment="1"/>
    <xf numFmtId="0" fontId="88" fillId="0" borderId="153" xfId="0" applyFont="1" applyBorder="1" applyAlignment="1"/>
    <xf numFmtId="0" fontId="88" fillId="0" borderId="155" xfId="0" applyFont="1" applyBorder="1" applyAlignment="1"/>
    <xf numFmtId="0" fontId="56" fillId="0" borderId="198" xfId="498" applyFont="1" applyBorder="1" applyAlignment="1">
      <alignment vertical="center"/>
    </xf>
    <xf numFmtId="0" fontId="56" fillId="0" borderId="0" xfId="498" applyFont="1" applyBorder="1" applyAlignment="1">
      <alignment horizontal="center" vertical="center"/>
    </xf>
    <xf numFmtId="0" fontId="56" fillId="0" borderId="44" xfId="498" applyFont="1" applyFill="1" applyBorder="1" applyAlignment="1">
      <alignment horizontal="center" vertical="center"/>
    </xf>
    <xf numFmtId="0" fontId="56" fillId="0" borderId="153" xfId="498" applyFont="1" applyBorder="1" applyAlignment="1">
      <alignment vertical="center"/>
    </xf>
    <xf numFmtId="0" fontId="56" fillId="0" borderId="72" xfId="498" applyFont="1" applyBorder="1" applyAlignment="1">
      <alignment horizontal="center" vertical="center"/>
    </xf>
    <xf numFmtId="176" fontId="56" fillId="0" borderId="37" xfId="498" applyNumberFormat="1" applyFont="1" applyBorder="1" applyAlignment="1">
      <alignment vertical="center"/>
    </xf>
    <xf numFmtId="0" fontId="56" fillId="0" borderId="72" xfId="498" applyFont="1" applyFill="1" applyBorder="1" applyAlignment="1">
      <alignment vertical="center"/>
    </xf>
    <xf numFmtId="0" fontId="56" fillId="0" borderId="222" xfId="498" applyFont="1" applyFill="1" applyBorder="1" applyAlignment="1">
      <alignment horizontal="center" vertical="center"/>
    </xf>
    <xf numFmtId="0" fontId="56" fillId="0" borderId="184" xfId="498" applyFont="1" applyBorder="1" applyAlignment="1">
      <alignment horizontal="center" vertical="center"/>
    </xf>
    <xf numFmtId="0" fontId="56" fillId="0" borderId="37" xfId="498" applyFont="1" applyBorder="1" applyAlignment="1">
      <alignment horizontal="center" vertical="center"/>
    </xf>
    <xf numFmtId="0" fontId="56" fillId="0" borderId="72" xfId="498" applyFont="1" applyFill="1" applyBorder="1" applyAlignment="1">
      <alignment horizontal="center" vertical="center"/>
    </xf>
    <xf numFmtId="14" fontId="56" fillId="0" borderId="39" xfId="498" applyNumberFormat="1" applyFont="1" applyBorder="1" applyAlignment="1">
      <alignment vertical="center"/>
    </xf>
    <xf numFmtId="0" fontId="88" fillId="0" borderId="38" xfId="0" applyFont="1" applyBorder="1" applyAlignment="1"/>
    <xf numFmtId="0" fontId="55" fillId="0" borderId="108" xfId="428" applyFont="1" applyFill="1" applyBorder="1" applyAlignment="1">
      <alignment horizontal="center" vertical="center"/>
    </xf>
    <xf numFmtId="0" fontId="55" fillId="0" borderId="12" xfId="429" applyNumberFormat="1" applyFont="1" applyFill="1" applyBorder="1" applyAlignment="1">
      <alignment vertical="center"/>
    </xf>
    <xf numFmtId="0" fontId="55" fillId="0" borderId="110" xfId="428" applyFont="1" applyFill="1" applyBorder="1" applyAlignment="1">
      <alignment vertical="center"/>
    </xf>
    <xf numFmtId="0" fontId="55" fillId="0" borderId="105" xfId="428" applyFont="1" applyFill="1" applyBorder="1" applyAlignment="1">
      <alignment horizontal="center" vertical="center"/>
    </xf>
    <xf numFmtId="0" fontId="55" fillId="0" borderId="104" xfId="428" applyFont="1" applyFill="1" applyBorder="1" applyAlignment="1">
      <alignment horizontal="center" vertical="center"/>
    </xf>
    <xf numFmtId="0" fontId="55" fillId="0" borderId="82" xfId="436" applyFont="1" applyFill="1" applyBorder="1" applyAlignment="1">
      <alignment horizontal="center" vertical="center"/>
    </xf>
    <xf numFmtId="0" fontId="55" fillId="0" borderId="110" xfId="428" applyFont="1" applyFill="1" applyBorder="1" applyAlignment="1">
      <alignment horizontal="center" vertical="center"/>
    </xf>
    <xf numFmtId="1" fontId="55" fillId="0" borderId="82" xfId="428" applyNumberFormat="1" applyFont="1" applyFill="1" applyBorder="1" applyAlignment="1">
      <alignment horizontal="center" vertical="center"/>
    </xf>
    <xf numFmtId="1" fontId="55" fillId="0" borderId="108" xfId="428" applyNumberFormat="1" applyFont="1" applyFill="1" applyBorder="1" applyAlignment="1">
      <alignment horizontal="center" vertical="center"/>
    </xf>
    <xf numFmtId="1" fontId="55" fillId="0" borderId="106" xfId="432" applyNumberFormat="1" applyFont="1" applyFill="1" applyBorder="1" applyAlignment="1" applyProtection="1">
      <alignment horizontal="center"/>
      <protection locked="0"/>
    </xf>
    <xf numFmtId="20" fontId="512" fillId="31" borderId="360" xfId="0" applyNumberFormat="1" applyFont="1" applyFill="1" applyBorder="1" applyAlignment="1">
      <alignment vertical="top"/>
    </xf>
    <xf numFmtId="14" fontId="513" fillId="0" borderId="345" xfId="428" applyNumberFormat="1" applyFont="1" applyFill="1" applyBorder="1" applyAlignment="1">
      <alignment vertical="center"/>
    </xf>
    <xf numFmtId="164" fontId="513" fillId="0" borderId="110" xfId="428" applyNumberFormat="1" applyFont="1" applyFill="1" applyBorder="1" applyAlignment="1">
      <alignment horizontal="left" vertical="center"/>
    </xf>
    <xf numFmtId="0" fontId="55" fillId="0" borderId="563" xfId="428" applyFont="1" applyFill="1" applyBorder="1" applyAlignment="1">
      <alignment horizontal="center"/>
    </xf>
    <xf numFmtId="0" fontId="55" fillId="0" borderId="109" xfId="428" applyFont="1" applyFill="1" applyBorder="1" applyAlignment="1">
      <alignment horizontal="center" vertical="center"/>
    </xf>
    <xf numFmtId="14" fontId="513" fillId="0" borderId="110" xfId="428" applyNumberFormat="1" applyFont="1" applyFill="1" applyBorder="1" applyAlignment="1">
      <alignment horizontal="left" vertical="center"/>
    </xf>
    <xf numFmtId="0" fontId="55" fillId="0" borderId="498" xfId="428" applyFont="1" applyFill="1" applyBorder="1" applyAlignment="1">
      <alignment horizontal="center"/>
    </xf>
    <xf numFmtId="14" fontId="514" fillId="0" borderId="110" xfId="428" applyNumberFormat="1" applyFont="1" applyFill="1" applyBorder="1" applyAlignment="1">
      <alignment horizontal="left" vertical="center"/>
    </xf>
    <xf numFmtId="0" fontId="55" fillId="108" borderId="108" xfId="428" applyFont="1" applyFill="1" applyBorder="1" applyAlignment="1">
      <alignment horizontal="center" vertical="center"/>
    </xf>
    <xf numFmtId="0" fontId="55" fillId="108" borderId="12" xfId="429" applyNumberFormat="1" applyFont="1" applyFill="1" applyBorder="1" applyAlignment="1">
      <alignment vertical="center"/>
    </xf>
    <xf numFmtId="0" fontId="55" fillId="108" borderId="110" xfId="428" applyFont="1" applyFill="1" applyBorder="1" applyAlignment="1">
      <alignment vertical="center"/>
    </xf>
    <xf numFmtId="0" fontId="55" fillId="108" borderId="109" xfId="428" applyFont="1" applyFill="1" applyBorder="1" applyAlignment="1">
      <alignment horizontal="center" vertical="center"/>
    </xf>
    <xf numFmtId="0" fontId="55" fillId="108" borderId="82" xfId="428" applyFont="1" applyFill="1" applyBorder="1" applyAlignment="1">
      <alignment horizontal="center" vertical="center"/>
    </xf>
    <xf numFmtId="0" fontId="55" fillId="108" borderId="110" xfId="428" applyFont="1" applyFill="1" applyBorder="1" applyAlignment="1">
      <alignment horizontal="center" vertical="center"/>
    </xf>
    <xf numFmtId="1" fontId="55" fillId="108" borderId="82" xfId="428" applyNumberFormat="1" applyFont="1" applyFill="1" applyBorder="1" applyAlignment="1">
      <alignment horizontal="center" vertical="center"/>
    </xf>
    <xf numFmtId="1" fontId="55" fillId="108" borderId="108" xfId="428" applyNumberFormat="1" applyFont="1" applyFill="1" applyBorder="1" applyAlignment="1">
      <alignment horizontal="center" vertical="center"/>
    </xf>
    <xf numFmtId="1" fontId="55" fillId="108" borderId="82" xfId="428" applyNumberFormat="1" applyFont="1" applyFill="1" applyBorder="1" applyAlignment="1" applyProtection="1">
      <alignment horizontal="center" vertical="center"/>
    </xf>
    <xf numFmtId="1" fontId="55" fillId="108" borderId="108" xfId="428" applyNumberFormat="1" applyFont="1" applyFill="1" applyBorder="1" applyAlignment="1" applyProtection="1">
      <alignment horizontal="center" vertical="center"/>
      <protection locked="0"/>
    </xf>
    <xf numFmtId="1" fontId="55" fillId="108" borderId="106" xfId="432" applyNumberFormat="1" applyFont="1" applyFill="1" applyBorder="1" applyAlignment="1" applyProtection="1">
      <alignment horizontal="center" vertical="center"/>
      <protection locked="0"/>
    </xf>
    <xf numFmtId="20" fontId="512" fillId="108" borderId="350" xfId="428" applyNumberFormat="1" applyFont="1" applyFill="1" applyBorder="1" applyAlignment="1">
      <alignment vertical="top"/>
    </xf>
    <xf numFmtId="14" fontId="513" fillId="108" borderId="345" xfId="428" applyNumberFormat="1" applyFont="1" applyFill="1" applyBorder="1" applyAlignment="1">
      <alignment vertical="center"/>
    </xf>
    <xf numFmtId="14" fontId="513" fillId="108" borderId="110" xfId="428" applyNumberFormat="1" applyFont="1" applyFill="1" applyBorder="1" applyAlignment="1">
      <alignment horizontal="left" vertical="center"/>
    </xf>
    <xf numFmtId="0" fontId="55" fillId="0" borderId="82" xfId="428" applyFont="1" applyFill="1" applyBorder="1" applyAlignment="1">
      <alignment horizontal="center" vertical="center"/>
    </xf>
    <xf numFmtId="1" fontId="55" fillId="0" borderId="82" xfId="428" applyNumberFormat="1" applyFont="1" applyFill="1" applyBorder="1" applyAlignment="1" applyProtection="1">
      <alignment horizontal="center" vertical="center"/>
    </xf>
    <xf numFmtId="1" fontId="55" fillId="0" borderId="108" xfId="428" applyNumberFormat="1" applyFont="1" applyFill="1" applyBorder="1" applyAlignment="1" applyProtection="1">
      <alignment horizontal="center" vertical="center"/>
      <protection locked="0"/>
    </xf>
    <xf numFmtId="1" fontId="55" fillId="0" borderId="106" xfId="432" applyNumberFormat="1" applyFont="1" applyFill="1" applyBorder="1" applyAlignment="1" applyProtection="1">
      <alignment horizontal="center" vertical="center"/>
      <protection locked="0"/>
    </xf>
    <xf numFmtId="0" fontId="55" fillId="0" borderId="380" xfId="429" applyNumberFormat="1" applyFont="1" applyFill="1" applyBorder="1" applyAlignment="1">
      <alignment vertical="center"/>
    </xf>
    <xf numFmtId="0" fontId="55" fillId="0" borderId="381" xfId="428" applyFont="1" applyFill="1" applyBorder="1" applyAlignment="1">
      <alignment vertical="center"/>
    </xf>
    <xf numFmtId="20" fontId="512" fillId="31" borderId="350" xfId="428" applyNumberFormat="1" applyFont="1" applyFill="1" applyBorder="1" applyAlignment="1">
      <alignment vertical="top"/>
    </xf>
    <xf numFmtId="1" fontId="55" fillId="0" borderId="82" xfId="428" applyNumberFormat="1" applyFont="1" applyFill="1" applyBorder="1" applyAlignment="1" applyProtection="1">
      <alignment horizontal="center" vertical="center"/>
      <protection locked="0"/>
    </xf>
    <xf numFmtId="164" fontId="514" fillId="0" borderId="110" xfId="428" applyNumberFormat="1" applyFont="1" applyFill="1" applyBorder="1" applyAlignment="1">
      <alignment horizontal="left" vertical="center"/>
    </xf>
    <xf numFmtId="1" fontId="55" fillId="31" borderId="108" xfId="428" applyNumberFormat="1" applyFont="1" applyFill="1" applyBorder="1" applyAlignment="1" applyProtection="1">
      <alignment horizontal="center" vertical="center"/>
      <protection locked="0"/>
    </xf>
    <xf numFmtId="14" fontId="513" fillId="0" borderId="106" xfId="428" applyNumberFormat="1" applyFont="1" applyFill="1" applyBorder="1" applyAlignment="1">
      <alignment vertical="center"/>
    </xf>
    <xf numFmtId="0" fontId="55" fillId="0" borderId="12" xfId="437" applyNumberFormat="1" applyFont="1" applyFill="1" applyBorder="1" applyAlignment="1">
      <alignment vertical="center"/>
    </xf>
    <xf numFmtId="0" fontId="55" fillId="0" borderId="110" xfId="436" applyFont="1" applyFill="1" applyBorder="1" applyAlignment="1">
      <alignment vertical="center"/>
    </xf>
    <xf numFmtId="0" fontId="55" fillId="0" borderId="108" xfId="436" applyFont="1" applyFill="1" applyBorder="1" applyAlignment="1">
      <alignment horizontal="center" vertical="center"/>
    </xf>
    <xf numFmtId="0" fontId="55" fillId="0" borderId="110" xfId="436" applyFont="1" applyFill="1" applyBorder="1" applyAlignment="1">
      <alignment horizontal="center" vertical="center"/>
    </xf>
    <xf numFmtId="1" fontId="55" fillId="0" borderId="82" xfId="436" applyNumberFormat="1" applyFont="1" applyFill="1" applyBorder="1" applyAlignment="1">
      <alignment horizontal="center" vertical="center"/>
    </xf>
    <xf numFmtId="1" fontId="55" fillId="0" borderId="108" xfId="436" applyNumberFormat="1" applyFont="1" applyFill="1" applyBorder="1" applyAlignment="1">
      <alignment horizontal="center" vertical="center"/>
    </xf>
    <xf numFmtId="0" fontId="55" fillId="31" borderId="108" xfId="428" applyFont="1" applyFill="1" applyBorder="1" applyAlignment="1">
      <alignment horizontal="center" vertical="center"/>
    </xf>
    <xf numFmtId="0" fontId="55" fillId="31" borderId="12" xfId="437" applyNumberFormat="1" applyFont="1" applyFill="1" applyBorder="1" applyAlignment="1">
      <alignment vertical="center"/>
    </xf>
    <xf numFmtId="0" fontId="55" fillId="31" borderId="110" xfId="436" applyFont="1" applyFill="1" applyBorder="1" applyAlignment="1">
      <alignment vertical="center"/>
    </xf>
    <xf numFmtId="0" fontId="55" fillId="31" borderId="109" xfId="428" applyFont="1" applyFill="1" applyBorder="1" applyAlignment="1">
      <alignment horizontal="center" vertical="center"/>
    </xf>
    <xf numFmtId="0" fontId="55" fillId="31" borderId="82" xfId="436" applyFont="1" applyFill="1" applyBorder="1" applyAlignment="1">
      <alignment horizontal="center" vertical="center"/>
    </xf>
    <xf numFmtId="0" fontId="55" fillId="31" borderId="108" xfId="436" applyFont="1" applyFill="1" applyBorder="1" applyAlignment="1">
      <alignment horizontal="center" vertical="center"/>
    </xf>
    <xf numFmtId="0" fontId="55" fillId="31" borderId="110" xfId="436" applyFont="1" applyFill="1" applyBorder="1" applyAlignment="1">
      <alignment horizontal="center" vertical="center"/>
    </xf>
    <xf numFmtId="1" fontId="55" fillId="31" borderId="82" xfId="428" applyNumberFormat="1" applyFont="1" applyFill="1" applyBorder="1" applyAlignment="1">
      <alignment horizontal="center" vertical="center"/>
    </xf>
    <xf numFmtId="1" fontId="55" fillId="31" borderId="108" xfId="428" applyNumberFormat="1" applyFont="1" applyFill="1" applyBorder="1" applyAlignment="1">
      <alignment horizontal="center" vertical="center"/>
    </xf>
    <xf numFmtId="1" fontId="55" fillId="31" borderId="82" xfId="436" applyNumberFormat="1" applyFont="1" applyFill="1" applyBorder="1" applyAlignment="1">
      <alignment horizontal="center" vertical="center"/>
    </xf>
    <xf numFmtId="1" fontId="55" fillId="31" borderId="108" xfId="436" applyNumberFormat="1" applyFont="1" applyFill="1" applyBorder="1" applyAlignment="1">
      <alignment horizontal="center" vertical="center"/>
    </xf>
    <xf numFmtId="1" fontId="55" fillId="31" borderId="106" xfId="432" applyNumberFormat="1" applyFont="1" applyFill="1" applyBorder="1" applyAlignment="1" applyProtection="1">
      <alignment horizontal="center"/>
      <protection locked="0"/>
    </xf>
    <xf numFmtId="14" fontId="513" fillId="31" borderId="345" xfId="428" applyNumberFormat="1" applyFont="1" applyFill="1" applyBorder="1" applyAlignment="1">
      <alignment vertical="center"/>
    </xf>
    <xf numFmtId="14" fontId="513" fillId="31" borderId="110" xfId="428" applyNumberFormat="1" applyFont="1" applyFill="1" applyBorder="1" applyAlignment="1">
      <alignment horizontal="left" vertical="center"/>
    </xf>
    <xf numFmtId="172" fontId="55" fillId="0" borderId="232" xfId="500" applyNumberFormat="1" applyFont="1" applyBorder="1" applyAlignment="1">
      <alignment horizontal="center" vertical="center"/>
    </xf>
    <xf numFmtId="0" fontId="91" fillId="31" borderId="12" xfId="437" applyNumberFormat="1" applyFont="1" applyFill="1" applyBorder="1" applyAlignment="1">
      <alignment vertical="center"/>
    </xf>
    <xf numFmtId="20" fontId="512" fillId="31" borderId="576" xfId="0" applyNumberFormat="1" applyFont="1" applyFill="1" applyBorder="1" applyAlignment="1">
      <alignment vertical="top"/>
    </xf>
    <xf numFmtId="0" fontId="55" fillId="47" borderId="108" xfId="428" applyFont="1" applyFill="1" applyBorder="1" applyAlignment="1">
      <alignment horizontal="center" vertical="center"/>
    </xf>
    <xf numFmtId="0" fontId="55" fillId="47" borderId="12" xfId="437" applyNumberFormat="1" applyFont="1" applyFill="1" applyBorder="1" applyAlignment="1">
      <alignment vertical="center"/>
    </xf>
    <xf numFmtId="0" fontId="55" fillId="47" borderId="110" xfId="436" applyFont="1" applyFill="1" applyBorder="1" applyAlignment="1">
      <alignment vertical="center"/>
    </xf>
    <xf numFmtId="0" fontId="55" fillId="47" borderId="109" xfId="428" applyFont="1" applyFill="1" applyBorder="1" applyAlignment="1">
      <alignment horizontal="center" vertical="center"/>
    </xf>
    <xf numFmtId="0" fontId="55" fillId="47" borderId="82" xfId="436" applyFont="1" applyFill="1" applyBorder="1" applyAlignment="1">
      <alignment horizontal="center" vertical="center"/>
    </xf>
    <xf numFmtId="0" fontId="55" fillId="47" borderId="108" xfId="436" applyFont="1" applyFill="1" applyBorder="1" applyAlignment="1">
      <alignment horizontal="center" vertical="center"/>
    </xf>
    <xf numFmtId="0" fontId="55" fillId="47" borderId="110" xfId="436" applyFont="1" applyFill="1" applyBorder="1" applyAlignment="1">
      <alignment horizontal="center" vertical="center"/>
    </xf>
    <xf numFmtId="1" fontId="55" fillId="47" borderId="82" xfId="428" applyNumberFormat="1" applyFont="1" applyFill="1" applyBorder="1" applyAlignment="1">
      <alignment horizontal="center" vertical="center"/>
    </xf>
    <xf numFmtId="1" fontId="55" fillId="47" borderId="108" xfId="428" applyNumberFormat="1" applyFont="1" applyFill="1" applyBorder="1" applyAlignment="1">
      <alignment horizontal="center" vertical="center"/>
    </xf>
    <xf numFmtId="1" fontId="55" fillId="47" borderId="82" xfId="436" applyNumberFormat="1" applyFont="1" applyFill="1" applyBorder="1" applyAlignment="1">
      <alignment horizontal="center" vertical="center"/>
    </xf>
    <xf numFmtId="1" fontId="55" fillId="47" borderId="108" xfId="436" applyNumberFormat="1" applyFont="1" applyFill="1" applyBorder="1" applyAlignment="1">
      <alignment horizontal="center" vertical="center"/>
    </xf>
    <xf numFmtId="1" fontId="55" fillId="47" borderId="106" xfId="432" applyNumberFormat="1" applyFont="1" applyFill="1" applyBorder="1" applyAlignment="1" applyProtection="1">
      <alignment horizontal="center"/>
      <protection locked="0"/>
    </xf>
    <xf numFmtId="20" fontId="512" fillId="47" borderId="576" xfId="429" applyNumberFormat="1" applyFont="1" applyFill="1" applyBorder="1" applyAlignment="1">
      <alignment vertical="top"/>
    </xf>
    <xf numFmtId="14" fontId="513" fillId="47" borderId="345" xfId="428" applyNumberFormat="1" applyFont="1" applyFill="1" applyBorder="1" applyAlignment="1">
      <alignment vertical="center"/>
    </xf>
    <xf numFmtId="0" fontId="55" fillId="0" borderId="108" xfId="0" applyFont="1" applyFill="1" applyBorder="1" applyAlignment="1">
      <alignment horizontal="center" vertical="center"/>
    </xf>
    <xf numFmtId="0" fontId="55" fillId="0" borderId="82" xfId="0" applyFont="1" applyFill="1" applyBorder="1" applyAlignment="1">
      <alignment horizontal="center" vertical="center"/>
    </xf>
    <xf numFmtId="20" fontId="512" fillId="31" borderId="350" xfId="0" applyNumberFormat="1" applyFont="1" applyFill="1" applyBorder="1" applyAlignment="1">
      <alignment vertical="top"/>
    </xf>
    <xf numFmtId="14" fontId="512" fillId="0" borderId="285" xfId="0" applyNumberFormat="1" applyFont="1" applyFill="1" applyBorder="1" applyAlignment="1">
      <alignment horizontal="left" vertical="center"/>
    </xf>
    <xf numFmtId="20" fontId="513" fillId="0" borderId="110" xfId="428" applyNumberFormat="1" applyFont="1" applyFill="1" applyBorder="1" applyAlignment="1">
      <alignment vertical="center"/>
    </xf>
    <xf numFmtId="0" fontId="55" fillId="0" borderId="108" xfId="428" applyNumberFormat="1" applyFont="1" applyFill="1" applyBorder="1" applyAlignment="1" applyProtection="1">
      <alignment horizontal="center" vertical="center"/>
    </xf>
    <xf numFmtId="20" fontId="512" fillId="31" borderId="486" xfId="0" applyNumberFormat="1" applyFont="1" applyFill="1" applyBorder="1" applyAlignment="1">
      <alignment vertical="top"/>
    </xf>
    <xf numFmtId="0" fontId="55" fillId="31" borderId="12" xfId="414" applyNumberFormat="1" applyFont="1" applyFill="1" applyBorder="1" applyAlignment="1">
      <alignment vertical="center"/>
    </xf>
    <xf numFmtId="0" fontId="55" fillId="31" borderId="110" xfId="0" applyFont="1" applyFill="1" applyBorder="1" applyAlignment="1">
      <alignment vertical="center"/>
    </xf>
    <xf numFmtId="0" fontId="55" fillId="31" borderId="82" xfId="0" applyFont="1" applyFill="1" applyBorder="1" applyAlignment="1">
      <alignment horizontal="center" vertical="center"/>
    </xf>
    <xf numFmtId="0" fontId="55" fillId="31" borderId="108" xfId="0" applyFont="1" applyFill="1" applyBorder="1" applyAlignment="1">
      <alignment horizontal="center" vertical="center"/>
    </xf>
    <xf numFmtId="0" fontId="55" fillId="31" borderId="110" xfId="0" applyFont="1" applyFill="1" applyBorder="1" applyAlignment="1">
      <alignment horizontal="center" vertical="center"/>
    </xf>
    <xf numFmtId="1" fontId="55" fillId="31" borderId="82" xfId="0" applyNumberFormat="1" applyFont="1" applyFill="1" applyBorder="1" applyAlignment="1">
      <alignment horizontal="center" vertical="center"/>
    </xf>
    <xf numFmtId="1" fontId="55" fillId="31" borderId="108" xfId="0" applyNumberFormat="1" applyFont="1" applyFill="1" applyBorder="1" applyAlignment="1">
      <alignment horizontal="center" vertical="center"/>
    </xf>
    <xf numFmtId="20" fontId="513" fillId="31" borderId="110" xfId="428" applyNumberFormat="1" applyFont="1" applyFill="1" applyBorder="1" applyAlignment="1">
      <alignment vertical="center"/>
    </xf>
    <xf numFmtId="0" fontId="55" fillId="0" borderId="12" xfId="414" applyNumberFormat="1" applyFont="1" applyFill="1" applyBorder="1" applyAlignment="1">
      <alignment vertical="center"/>
    </xf>
    <xf numFmtId="0" fontId="55" fillId="0" borderId="110" xfId="0" applyFont="1" applyFill="1" applyBorder="1" applyAlignment="1">
      <alignment vertical="center"/>
    </xf>
    <xf numFmtId="0" fontId="55" fillId="0" borderId="110" xfId="0" applyFont="1" applyFill="1" applyBorder="1" applyAlignment="1">
      <alignment horizontal="center" vertical="center"/>
    </xf>
    <xf numFmtId="1" fontId="55" fillId="0" borderId="82" xfId="0" applyNumberFormat="1" applyFont="1" applyFill="1" applyBorder="1" applyAlignment="1">
      <alignment horizontal="center" vertical="center"/>
    </xf>
    <xf numFmtId="1" fontId="55" fillId="0" borderId="108" xfId="0" applyNumberFormat="1" applyFont="1" applyFill="1" applyBorder="1" applyAlignment="1">
      <alignment horizontal="center" vertical="center"/>
    </xf>
    <xf numFmtId="20" fontId="512" fillId="0" borderId="350" xfId="428" applyNumberFormat="1" applyFont="1" applyFill="1" applyBorder="1" applyAlignment="1">
      <alignment vertical="top"/>
    </xf>
    <xf numFmtId="20" fontId="512" fillId="31" borderId="578" xfId="0" applyNumberFormat="1" applyFont="1" applyFill="1" applyBorder="1" applyAlignment="1">
      <alignment vertical="top"/>
    </xf>
    <xf numFmtId="14" fontId="513" fillId="0" borderId="106" xfId="428" applyNumberFormat="1" applyFont="1" applyFill="1" applyBorder="1" applyAlignment="1">
      <alignment horizontal="left" vertical="center"/>
    </xf>
    <xf numFmtId="1" fontId="91" fillId="31" borderId="108" xfId="428" applyNumberFormat="1" applyFont="1" applyFill="1" applyBorder="1" applyAlignment="1" applyProtection="1">
      <alignment horizontal="center" vertical="center"/>
      <protection locked="0"/>
    </xf>
    <xf numFmtId="0" fontId="55" fillId="47" borderId="12" xfId="429" applyNumberFormat="1" applyFont="1" applyFill="1" applyBorder="1" applyAlignment="1">
      <alignment vertical="center"/>
    </xf>
    <xf numFmtId="0" fontId="55" fillId="47" borderId="110" xfId="428" applyFont="1" applyFill="1" applyBorder="1" applyAlignment="1">
      <alignment vertical="center"/>
    </xf>
    <xf numFmtId="0" fontId="55" fillId="47" borderId="82" xfId="428" applyFont="1" applyFill="1" applyBorder="1" applyAlignment="1">
      <alignment horizontal="center" vertical="center"/>
    </xf>
    <xf numFmtId="0" fontId="55" fillId="47" borderId="110" xfId="428" applyFont="1" applyFill="1" applyBorder="1" applyAlignment="1">
      <alignment horizontal="center" vertical="center"/>
    </xf>
    <xf numFmtId="1" fontId="55" fillId="47" borderId="82" xfId="428" applyNumberFormat="1" applyFont="1" applyFill="1" applyBorder="1" applyAlignment="1" applyProtection="1">
      <alignment horizontal="center" vertical="center"/>
      <protection locked="0"/>
    </xf>
    <xf numFmtId="1" fontId="55" fillId="47" borderId="108" xfId="428" applyNumberFormat="1" applyFont="1" applyFill="1" applyBorder="1" applyAlignment="1" applyProtection="1">
      <alignment horizontal="center" vertical="center"/>
      <protection locked="0"/>
    </xf>
    <xf numFmtId="0" fontId="512" fillId="47" borderId="0" xfId="0" applyFont="1" applyFill="1" applyBorder="1" applyAlignment="1">
      <alignment vertical="center"/>
    </xf>
    <xf numFmtId="14" fontId="513" fillId="47" borderId="106" xfId="428" applyNumberFormat="1" applyFont="1" applyFill="1" applyBorder="1" applyAlignment="1">
      <alignment horizontal="left" vertical="center"/>
    </xf>
    <xf numFmtId="1" fontId="55" fillId="0" borderId="109" xfId="428" applyNumberFormat="1" applyFont="1" applyFill="1" applyBorder="1" applyAlignment="1">
      <alignment horizontal="center" vertical="center"/>
    </xf>
    <xf numFmtId="0" fontId="55" fillId="0" borderId="114" xfId="0" applyFont="1" applyFill="1" applyBorder="1" applyAlignment="1">
      <alignment horizontal="center" vertical="center"/>
    </xf>
    <xf numFmtId="20" fontId="512" fillId="31" borderId="504" xfId="0" applyNumberFormat="1" applyFont="1" applyFill="1" applyBorder="1" applyAlignment="1">
      <alignment vertical="top"/>
    </xf>
    <xf numFmtId="173" fontId="55" fillId="0" borderId="12" xfId="429" applyNumberFormat="1" applyFont="1" applyFill="1" applyBorder="1" applyAlignment="1">
      <alignment vertical="center"/>
    </xf>
    <xf numFmtId="0" fontId="55" fillId="0" borderId="109" xfId="0" applyFont="1" applyFill="1" applyBorder="1" applyAlignment="1">
      <alignment horizontal="center" vertical="center"/>
    </xf>
    <xf numFmtId="0" fontId="55" fillId="0" borderId="289" xfId="428" applyFont="1" applyFill="1" applyBorder="1" applyAlignment="1">
      <alignment horizontal="center" vertical="center"/>
    </xf>
    <xf numFmtId="0" fontId="55" fillId="0" borderId="99" xfId="0" applyNumberFormat="1" applyFont="1" applyBorder="1" applyAlignment="1">
      <alignment vertical="center"/>
    </xf>
    <xf numFmtId="0" fontId="88" fillId="0" borderId="0" xfId="0" applyFont="1" applyBorder="1" applyAlignment="1">
      <alignment vertical="center"/>
    </xf>
    <xf numFmtId="0" fontId="55" fillId="0" borderId="114" xfId="428" applyFont="1" applyFill="1" applyBorder="1" applyAlignment="1">
      <alignment horizontal="center" vertical="center"/>
    </xf>
    <xf numFmtId="173" fontId="55" fillId="0" borderId="78" xfId="0" applyNumberFormat="1" applyFont="1" applyFill="1" applyBorder="1" applyAlignment="1">
      <alignment vertical="center"/>
    </xf>
    <xf numFmtId="0" fontId="55" fillId="0" borderId="116" xfId="0" applyFont="1" applyBorder="1" applyAlignment="1">
      <alignment vertical="top"/>
    </xf>
    <xf numFmtId="0" fontId="55" fillId="0" borderId="115" xfId="428" applyFont="1" applyFill="1" applyBorder="1" applyAlignment="1">
      <alignment horizontal="center" vertical="center"/>
    </xf>
    <xf numFmtId="0" fontId="55" fillId="0" borderId="116" xfId="428" applyFont="1" applyFill="1" applyBorder="1" applyAlignment="1">
      <alignment horizontal="center" vertical="center"/>
    </xf>
    <xf numFmtId="1" fontId="55" fillId="0" borderId="83" xfId="428" applyNumberFormat="1" applyFont="1" applyFill="1" applyBorder="1" applyAlignment="1">
      <alignment horizontal="center" vertical="center"/>
    </xf>
    <xf numFmtId="1" fontId="55" fillId="0" borderId="114" xfId="428" applyNumberFormat="1" applyFont="1" applyFill="1" applyBorder="1" applyAlignment="1">
      <alignment horizontal="center" vertical="center"/>
    </xf>
    <xf numFmtId="1" fontId="55" fillId="0" borderId="83" xfId="428" applyNumberFormat="1" applyFont="1" applyFill="1" applyBorder="1" applyAlignment="1" applyProtection="1">
      <alignment horizontal="center" vertical="center"/>
      <protection locked="0"/>
    </xf>
    <xf numFmtId="1" fontId="55" fillId="0" borderId="114" xfId="428" applyNumberFormat="1" applyFont="1" applyFill="1" applyBorder="1" applyAlignment="1" applyProtection="1">
      <alignment horizontal="center" vertical="center"/>
      <protection locked="0"/>
    </xf>
    <xf numFmtId="1" fontId="55" fillId="0" borderId="48" xfId="0" applyNumberFormat="1" applyFont="1" applyBorder="1" applyAlignment="1">
      <alignment horizontal="center"/>
    </xf>
    <xf numFmtId="14" fontId="513" fillId="0" borderId="116" xfId="428" applyNumberFormat="1" applyFont="1" applyFill="1" applyBorder="1" applyAlignment="1">
      <alignment horizontal="left" vertical="center"/>
    </xf>
    <xf numFmtId="0" fontId="29" fillId="0" borderId="114" xfId="428" applyNumberFormat="1" applyFont="1" applyFill="1" applyBorder="1" applyAlignment="1">
      <alignment horizontal="center" vertical="center"/>
    </xf>
    <xf numFmtId="173" fontId="55" fillId="0" borderId="78" xfId="429" applyNumberFormat="1" applyFont="1" applyFill="1" applyBorder="1" applyAlignment="1">
      <alignment vertical="center"/>
    </xf>
    <xf numFmtId="0" fontId="55" fillId="0" borderId="48" xfId="0" applyFont="1" applyBorder="1" applyAlignment="1">
      <alignment vertical="center"/>
    </xf>
    <xf numFmtId="0" fontId="55" fillId="0" borderId="83" xfId="428" applyFont="1" applyFill="1" applyBorder="1" applyAlignment="1">
      <alignment horizontal="center" vertical="center"/>
    </xf>
    <xf numFmtId="0" fontId="55" fillId="0" borderId="114" xfId="428" applyNumberFormat="1" applyFont="1" applyFill="1" applyBorder="1" applyAlignment="1">
      <alignment horizontal="center" vertical="center"/>
    </xf>
    <xf numFmtId="1" fontId="55" fillId="0" borderId="187" xfId="432" applyNumberFormat="1" applyFont="1" applyFill="1" applyBorder="1" applyAlignment="1" applyProtection="1">
      <alignment horizontal="center"/>
      <protection locked="0"/>
    </xf>
    <xf numFmtId="14" fontId="514" fillId="0" borderId="116" xfId="428" applyNumberFormat="1" applyFont="1" applyFill="1" applyBorder="1" applyAlignment="1">
      <alignment horizontal="left" vertical="center"/>
    </xf>
    <xf numFmtId="0" fontId="29" fillId="0" borderId="114" xfId="428" applyFont="1" applyFill="1" applyBorder="1" applyAlignment="1">
      <alignment horizontal="center" vertical="center"/>
    </xf>
    <xf numFmtId="173" fontId="55" fillId="31" borderId="12" xfId="414" applyNumberFormat="1" applyFont="1" applyFill="1" applyBorder="1" applyAlignment="1">
      <alignment vertical="center"/>
    </xf>
    <xf numFmtId="173" fontId="55" fillId="0" borderId="78" xfId="414" applyNumberFormat="1" applyFont="1" applyFill="1" applyBorder="1" applyAlignment="1">
      <alignment vertical="center"/>
    </xf>
    <xf numFmtId="0" fontId="55" fillId="0" borderId="116" xfId="0" applyFont="1" applyFill="1" applyBorder="1" applyAlignment="1">
      <alignment vertical="center"/>
    </xf>
    <xf numFmtId="0" fontId="55" fillId="0" borderId="47" xfId="0" applyFont="1" applyFill="1" applyBorder="1" applyAlignment="1">
      <alignment horizontal="center" vertical="center"/>
    </xf>
    <xf numFmtId="1" fontId="55" fillId="0" borderId="44" xfId="428" applyNumberFormat="1" applyFont="1" applyFill="1" applyBorder="1" applyAlignment="1">
      <alignment horizontal="center" vertical="center"/>
    </xf>
    <xf numFmtId="0" fontId="55" fillId="0" borderId="48" xfId="428" applyFont="1" applyFill="1" applyBorder="1" applyAlignment="1">
      <alignment horizontal="center" vertical="center"/>
    </xf>
    <xf numFmtId="173" fontId="55" fillId="0" borderId="310" xfId="414" applyNumberFormat="1" applyFont="1" applyFill="1" applyBorder="1" applyAlignment="1">
      <alignment vertical="center"/>
    </xf>
    <xf numFmtId="0" fontId="55" fillId="0" borderId="316" xfId="0" applyFont="1" applyFill="1" applyBorder="1" applyAlignment="1">
      <alignment vertical="center"/>
    </xf>
    <xf numFmtId="0" fontId="55" fillId="0" borderId="317" xfId="428" applyFont="1" applyFill="1" applyBorder="1" applyAlignment="1">
      <alignment horizontal="center" vertical="center"/>
    </xf>
    <xf numFmtId="0" fontId="55" fillId="0" borderId="318" xfId="0" applyFont="1" applyFill="1" applyBorder="1" applyAlignment="1">
      <alignment horizontal="center" vertical="center"/>
    </xf>
    <xf numFmtId="0" fontId="55" fillId="0" borderId="309" xfId="0" applyFont="1" applyFill="1" applyBorder="1" applyAlignment="1">
      <alignment horizontal="center" vertical="center"/>
    </xf>
    <xf numFmtId="1" fontId="55" fillId="0" borderId="310" xfId="428" applyNumberFormat="1" applyFont="1" applyFill="1" applyBorder="1" applyAlignment="1">
      <alignment horizontal="center" vertical="center"/>
    </xf>
    <xf numFmtId="0" fontId="55" fillId="0" borderId="319" xfId="428" applyFont="1" applyFill="1" applyBorder="1" applyAlignment="1">
      <alignment horizontal="center" vertical="center"/>
    </xf>
    <xf numFmtId="1" fontId="55" fillId="0" borderId="320" xfId="428" applyNumberFormat="1" applyFont="1" applyFill="1" applyBorder="1" applyAlignment="1">
      <alignment horizontal="center" vertical="center"/>
    </xf>
    <xf numFmtId="1" fontId="55" fillId="0" borderId="317" xfId="428" applyNumberFormat="1" applyFont="1" applyFill="1" applyBorder="1" applyAlignment="1">
      <alignment horizontal="center" vertical="center"/>
    </xf>
    <xf numFmtId="1" fontId="55" fillId="0" borderId="320" xfId="428" applyNumberFormat="1" applyFont="1" applyFill="1" applyBorder="1" applyAlignment="1" applyProtection="1">
      <alignment horizontal="center" vertical="center"/>
      <protection locked="0"/>
    </xf>
    <xf numFmtId="1" fontId="55" fillId="0" borderId="317" xfId="428" applyNumberFormat="1" applyFont="1" applyFill="1" applyBorder="1" applyAlignment="1" applyProtection="1">
      <alignment horizontal="center" vertical="center"/>
      <protection locked="0"/>
    </xf>
    <xf numFmtId="1" fontId="55" fillId="0" borderId="319" xfId="432" applyNumberFormat="1" applyFont="1" applyFill="1" applyBorder="1" applyAlignment="1" applyProtection="1">
      <alignment horizontal="center"/>
      <protection locked="0"/>
    </xf>
    <xf numFmtId="14" fontId="513" fillId="0" borderId="316" xfId="428" applyNumberFormat="1" applyFont="1" applyFill="1" applyBorder="1" applyAlignment="1">
      <alignment horizontal="left" vertical="center"/>
    </xf>
    <xf numFmtId="0" fontId="55" fillId="0" borderId="476" xfId="428" applyFont="1" applyFill="1" applyBorder="1" applyAlignment="1">
      <alignment horizontal="center" vertical="center"/>
    </xf>
    <xf numFmtId="173" fontId="55" fillId="0" borderId="481" xfId="414" applyNumberFormat="1" applyFont="1" applyFill="1" applyBorder="1" applyAlignment="1">
      <alignment vertical="center"/>
    </xf>
    <xf numFmtId="0" fontId="515" fillId="0" borderId="481" xfId="0" applyFont="1" applyFill="1" applyBorder="1" applyAlignment="1"/>
    <xf numFmtId="0" fontId="55" fillId="0" borderId="476" xfId="0" applyFont="1" applyFill="1" applyBorder="1" applyAlignment="1">
      <alignment horizontal="center" vertical="center"/>
    </xf>
    <xf numFmtId="0" fontId="55" fillId="0" borderId="476" xfId="428" applyNumberFormat="1" applyFont="1" applyFill="1" applyBorder="1" applyAlignment="1">
      <alignment horizontal="center" vertical="center"/>
    </xf>
    <xf numFmtId="1" fontId="55" fillId="0" borderId="476" xfId="428" applyNumberFormat="1" applyFont="1" applyFill="1" applyBorder="1" applyAlignment="1">
      <alignment horizontal="center" vertical="center"/>
    </xf>
    <xf numFmtId="1" fontId="55" fillId="0" borderId="476" xfId="428" applyNumberFormat="1" applyFont="1" applyFill="1" applyBorder="1" applyAlignment="1" applyProtection="1">
      <alignment horizontal="center" vertical="center"/>
      <protection locked="0"/>
    </xf>
    <xf numFmtId="1" fontId="55" fillId="0" borderId="569" xfId="432" applyNumberFormat="1" applyFont="1" applyFill="1" applyBorder="1" applyAlignment="1" applyProtection="1">
      <alignment horizontal="center"/>
      <protection locked="0"/>
    </xf>
    <xf numFmtId="164" fontId="514" fillId="0" borderId="477" xfId="428" applyNumberFormat="1" applyFont="1" applyFill="1" applyBorder="1" applyAlignment="1">
      <alignment horizontal="left" vertical="center"/>
    </xf>
    <xf numFmtId="0" fontId="55" fillId="0" borderId="537" xfId="428" applyFont="1" applyFill="1" applyBorder="1" applyAlignment="1">
      <alignment horizontal="center" vertical="center"/>
    </xf>
    <xf numFmtId="0" fontId="55" fillId="0" borderId="482" xfId="0" applyFont="1" applyFill="1" applyBorder="1" applyAlignment="1">
      <alignment horizontal="center" vertical="center"/>
    </xf>
    <xf numFmtId="0" fontId="55" fillId="0" borderId="481" xfId="428" applyFont="1" applyFill="1" applyBorder="1" applyAlignment="1">
      <alignment horizontal="center" vertical="center"/>
    </xf>
    <xf numFmtId="1" fontId="55" fillId="0" borderId="481" xfId="428" applyNumberFormat="1" applyFont="1" applyFill="1" applyBorder="1" applyAlignment="1" applyProtection="1">
      <alignment horizontal="center" vertical="center"/>
      <protection locked="0"/>
    </xf>
    <xf numFmtId="0" fontId="55" fillId="0" borderId="543" xfId="428" applyFont="1" applyFill="1" applyBorder="1" applyAlignment="1">
      <alignment horizontal="center" vertical="center"/>
    </xf>
    <xf numFmtId="173" fontId="55" fillId="0" borderId="543" xfId="414" applyNumberFormat="1" applyFont="1" applyFill="1" applyBorder="1" applyAlignment="1">
      <alignment vertical="center"/>
    </xf>
    <xf numFmtId="0" fontId="515" fillId="0" borderId="543" xfId="0" applyFont="1" applyFill="1" applyBorder="1" applyAlignment="1"/>
    <xf numFmtId="0" fontId="55" fillId="0" borderId="543" xfId="0" applyFont="1" applyFill="1" applyBorder="1" applyAlignment="1">
      <alignment horizontal="center" vertical="center"/>
    </xf>
    <xf numFmtId="0" fontId="55" fillId="0" borderId="543" xfId="428" applyNumberFormat="1" applyFont="1" applyFill="1" applyBorder="1" applyAlignment="1">
      <alignment horizontal="center" vertical="center"/>
    </xf>
    <xf numFmtId="1" fontId="55" fillId="0" borderId="543" xfId="428" applyNumberFormat="1" applyFont="1" applyFill="1" applyBorder="1" applyAlignment="1">
      <alignment horizontal="center" vertical="center"/>
    </xf>
    <xf numFmtId="1" fontId="55" fillId="0" borderId="543" xfId="428" applyNumberFormat="1" applyFont="1" applyFill="1" applyBorder="1" applyAlignment="1" applyProtection="1">
      <alignment horizontal="center" vertical="center"/>
      <protection locked="0"/>
    </xf>
    <xf numFmtId="20" fontId="513" fillId="0" borderId="544" xfId="428" applyNumberFormat="1" applyFont="1" applyFill="1" applyBorder="1" applyAlignment="1">
      <alignment vertical="center"/>
    </xf>
    <xf numFmtId="14" fontId="514" fillId="0" borderId="543" xfId="428" applyNumberFormat="1" applyFont="1" applyFill="1" applyBorder="1" applyAlignment="1">
      <alignment horizontal="left" vertical="center"/>
    </xf>
    <xf numFmtId="0" fontId="55" fillId="0" borderId="584" xfId="428" applyFont="1" applyFill="1" applyBorder="1" applyAlignment="1">
      <alignment horizontal="center" vertical="center"/>
    </xf>
    <xf numFmtId="173" fontId="55" fillId="0" borderId="587" xfId="414" applyNumberFormat="1" applyFont="1" applyFill="1" applyBorder="1" applyAlignment="1">
      <alignment vertical="center"/>
    </xf>
    <xf numFmtId="0" fontId="515" fillId="0" borderId="587" xfId="0" applyFont="1" applyFill="1" applyBorder="1" applyAlignment="1"/>
    <xf numFmtId="0" fontId="55" fillId="0" borderId="584" xfId="0" applyFont="1" applyFill="1" applyBorder="1" applyAlignment="1">
      <alignment horizontal="center" vertical="center"/>
    </xf>
    <xf numFmtId="0" fontId="55" fillId="0" borderId="560" xfId="0" applyFont="1" applyFill="1" applyBorder="1" applyAlignment="1">
      <alignment horizontal="center" vertical="center"/>
    </xf>
    <xf numFmtId="0" fontId="55" fillId="0" borderId="584" xfId="428" applyNumberFormat="1" applyFont="1" applyFill="1" applyBorder="1" applyAlignment="1">
      <alignment horizontal="center" vertical="center"/>
    </xf>
    <xf numFmtId="0" fontId="55" fillId="0" borderId="587" xfId="428" applyFont="1" applyFill="1" applyBorder="1" applyAlignment="1">
      <alignment horizontal="center" vertical="center"/>
    </xf>
    <xf numFmtId="1" fontId="55" fillId="0" borderId="584" xfId="428" applyNumberFormat="1" applyFont="1" applyFill="1" applyBorder="1" applyAlignment="1">
      <alignment horizontal="center" vertical="center"/>
    </xf>
    <xf numFmtId="1" fontId="55" fillId="0" borderId="587" xfId="428" applyNumberFormat="1" applyFont="1" applyFill="1" applyBorder="1" applyAlignment="1" applyProtection="1">
      <alignment horizontal="center" vertical="center"/>
      <protection locked="0"/>
    </xf>
    <xf numFmtId="1" fontId="55" fillId="0" borderId="584" xfId="428" applyNumberFormat="1" applyFont="1" applyFill="1" applyBorder="1" applyAlignment="1" applyProtection="1">
      <alignment horizontal="center" vertical="center"/>
      <protection locked="0"/>
    </xf>
    <xf numFmtId="1" fontId="55" fillId="0" borderId="585" xfId="432" applyNumberFormat="1" applyFont="1" applyFill="1" applyBorder="1" applyAlignment="1" applyProtection="1">
      <alignment horizontal="center"/>
      <protection locked="0"/>
    </xf>
    <xf numFmtId="20" fontId="513" fillId="0" borderId="585" xfId="428" applyNumberFormat="1" applyFont="1" applyFill="1" applyBorder="1" applyAlignment="1">
      <alignment vertical="center"/>
    </xf>
    <xf numFmtId="14" fontId="514" fillId="0" borderId="585" xfId="428" applyNumberFormat="1" applyFont="1" applyFill="1" applyBorder="1" applyAlignment="1">
      <alignment horizontal="left" vertical="center"/>
    </xf>
    <xf numFmtId="0" fontId="55" fillId="0" borderId="586" xfId="428" applyFont="1" applyFill="1" applyBorder="1" applyAlignment="1">
      <alignment horizontal="center" vertical="center"/>
    </xf>
    <xf numFmtId="173" fontId="55" fillId="0" borderId="584" xfId="414" applyNumberFormat="1" applyFont="1" applyFill="1" applyBorder="1" applyAlignment="1">
      <alignment vertical="center"/>
    </xf>
    <xf numFmtId="0" fontId="515" fillId="0" borderId="584" xfId="0" applyFont="1" applyFill="1" applyBorder="1" applyAlignment="1"/>
    <xf numFmtId="1" fontId="55" fillId="0" borderId="584" xfId="432" applyNumberFormat="1" applyFont="1" applyFill="1" applyBorder="1" applyAlignment="1" applyProtection="1">
      <alignment horizontal="center"/>
      <protection locked="0"/>
    </xf>
    <xf numFmtId="20" fontId="512" fillId="31" borderId="578" xfId="428" applyNumberFormat="1" applyFont="1" applyFill="1" applyBorder="1" applyAlignment="1">
      <alignment vertical="top"/>
    </xf>
    <xf numFmtId="20" fontId="513" fillId="0" borderId="588" xfId="428" applyNumberFormat="1" applyFont="1" applyFill="1" applyBorder="1" applyAlignment="1">
      <alignment vertical="center"/>
    </xf>
    <xf numFmtId="14" fontId="514" fillId="0" borderId="584" xfId="428" applyNumberFormat="1" applyFont="1" applyFill="1" applyBorder="1" applyAlignment="1">
      <alignment horizontal="left" vertical="center"/>
    </xf>
    <xf numFmtId="0" fontId="346" fillId="0" borderId="72" xfId="428" applyFont="1" applyFill="1" applyBorder="1" applyAlignment="1">
      <alignment horizontal="center" vertical="center"/>
    </xf>
    <xf numFmtId="1" fontId="346" fillId="0" borderId="37" xfId="428" applyNumberFormat="1" applyFont="1" applyFill="1" applyBorder="1" applyAlignment="1">
      <alignment horizontal="center" vertical="center"/>
    </xf>
    <xf numFmtId="1" fontId="346" fillId="0" borderId="38" xfId="428" applyNumberFormat="1" applyFont="1" applyFill="1" applyBorder="1" applyAlignment="1">
      <alignment horizontal="center" vertical="center"/>
    </xf>
    <xf numFmtId="0" fontId="512" fillId="31" borderId="39" xfId="0" applyFont="1" applyFill="1" applyBorder="1"/>
    <xf numFmtId="20" fontId="516" fillId="0" borderId="38" xfId="428" applyNumberFormat="1" applyFont="1" applyFill="1" applyBorder="1" applyAlignment="1">
      <alignment vertical="center"/>
    </xf>
    <xf numFmtId="14" fontId="513" fillId="0" borderId="38" xfId="428" applyNumberFormat="1" applyFont="1" applyFill="1" applyBorder="1" applyAlignment="1">
      <alignment horizontal="left" vertical="center"/>
    </xf>
    <xf numFmtId="0" fontId="55" fillId="0" borderId="58" xfId="428" applyFont="1" applyFill="1" applyBorder="1" applyAlignment="1">
      <alignment horizontal="center" vertical="center"/>
    </xf>
    <xf numFmtId="173" fontId="55" fillId="0" borderId="221" xfId="429" applyNumberFormat="1" applyFont="1" applyFill="1" applyBorder="1" applyAlignment="1">
      <alignment vertical="center"/>
    </xf>
    <xf numFmtId="0" fontId="55" fillId="0" borderId="106" xfId="428" applyFont="1" applyFill="1" applyBorder="1" applyAlignment="1">
      <alignment vertical="center"/>
    </xf>
    <xf numFmtId="0" fontId="55" fillId="0" borderId="81" xfId="428" applyFont="1" applyFill="1" applyBorder="1" applyAlignment="1">
      <alignment horizontal="center" vertical="center"/>
    </xf>
    <xf numFmtId="0" fontId="55" fillId="0" borderId="106" xfId="428" applyFont="1" applyFill="1" applyBorder="1" applyAlignment="1">
      <alignment horizontal="center" vertical="center"/>
    </xf>
    <xf numFmtId="1" fontId="55" fillId="0" borderId="81" xfId="428" applyNumberFormat="1" applyFont="1" applyFill="1" applyBorder="1" applyAlignment="1">
      <alignment horizontal="center" vertical="center"/>
    </xf>
    <xf numFmtId="1" fontId="55" fillId="0" borderId="104" xfId="428" applyNumberFormat="1" applyFont="1" applyFill="1" applyBorder="1" applyAlignment="1">
      <alignment horizontal="center" vertical="center"/>
    </xf>
    <xf numFmtId="14" fontId="514" fillId="0" borderId="123" xfId="428" applyNumberFormat="1" applyFont="1" applyFill="1" applyBorder="1" applyAlignment="1">
      <alignment horizontal="left" vertical="center"/>
    </xf>
    <xf numFmtId="173" fontId="55" fillId="0" borderId="68" xfId="429" applyNumberFormat="1" applyFont="1" applyFill="1" applyBorder="1" applyAlignment="1">
      <alignment vertical="center"/>
    </xf>
    <xf numFmtId="14" fontId="512" fillId="31" borderId="68" xfId="498" applyNumberFormat="1" applyFont="1" applyFill="1" applyBorder="1" applyAlignment="1">
      <alignment horizontal="left" vertical="center"/>
    </xf>
    <xf numFmtId="14" fontId="513" fillId="0" borderId="48" xfId="0" applyNumberFormat="1" applyFont="1" applyFill="1" applyBorder="1" applyAlignment="1">
      <alignment horizontal="left" vertical="center"/>
    </xf>
    <xf numFmtId="173" fontId="55" fillId="0" borderId="12" xfId="414" applyNumberFormat="1" applyFont="1" applyFill="1" applyBorder="1" applyAlignment="1">
      <alignment vertical="center"/>
    </xf>
    <xf numFmtId="0" fontId="55" fillId="31" borderId="110" xfId="428" applyFont="1" applyFill="1" applyBorder="1" applyAlignment="1">
      <alignment vertical="center"/>
    </xf>
    <xf numFmtId="173" fontId="55" fillId="0" borderId="327" xfId="414" applyNumberFormat="1" applyFont="1" applyFill="1" applyBorder="1" applyAlignment="1">
      <alignment vertical="center"/>
    </xf>
    <xf numFmtId="0" fontId="55" fillId="0" borderId="328" xfId="0" applyFont="1" applyFill="1" applyBorder="1" applyAlignment="1">
      <alignment vertical="center"/>
    </xf>
    <xf numFmtId="0" fontId="55" fillId="0" borderId="326" xfId="428" applyFont="1" applyFill="1" applyBorder="1" applyAlignment="1">
      <alignment horizontal="center" vertical="center"/>
    </xf>
    <xf numFmtId="0" fontId="55" fillId="0" borderId="329" xfId="428" applyFont="1" applyFill="1" applyBorder="1" applyAlignment="1">
      <alignment horizontal="center" vertical="center"/>
    </xf>
    <xf numFmtId="0" fontId="55" fillId="0" borderId="330" xfId="0" applyFont="1" applyFill="1" applyBorder="1" applyAlignment="1">
      <alignment horizontal="center" vertical="center"/>
    </xf>
    <xf numFmtId="0" fontId="55" fillId="0" borderId="326" xfId="0" applyFont="1" applyFill="1" applyBorder="1" applyAlignment="1">
      <alignment horizontal="center" vertical="center"/>
    </xf>
    <xf numFmtId="0" fontId="55" fillId="0" borderId="328" xfId="0" applyFont="1" applyFill="1" applyBorder="1" applyAlignment="1">
      <alignment horizontal="center" vertical="center"/>
    </xf>
    <xf numFmtId="1" fontId="55" fillId="0" borderId="329" xfId="428" applyNumberFormat="1" applyFont="1" applyFill="1" applyBorder="1" applyAlignment="1">
      <alignment horizontal="center" vertical="center"/>
    </xf>
    <xf numFmtId="1" fontId="55" fillId="0" borderId="326" xfId="428" applyNumberFormat="1" applyFont="1" applyFill="1" applyBorder="1" applyAlignment="1">
      <alignment horizontal="center" vertical="center"/>
    </xf>
    <xf numFmtId="1" fontId="55" fillId="0" borderId="329" xfId="0" applyNumberFormat="1" applyFont="1" applyFill="1" applyBorder="1" applyAlignment="1">
      <alignment horizontal="center" vertical="center"/>
    </xf>
    <xf numFmtId="1" fontId="55" fillId="0" borderId="326" xfId="0" applyNumberFormat="1" applyFont="1" applyFill="1" applyBorder="1" applyAlignment="1">
      <alignment horizontal="center" vertical="center"/>
    </xf>
    <xf numFmtId="14" fontId="512" fillId="31" borderId="331" xfId="498" applyNumberFormat="1" applyFont="1" applyFill="1" applyBorder="1" applyAlignment="1">
      <alignment horizontal="left" vertical="center"/>
    </xf>
    <xf numFmtId="20" fontId="513" fillId="0" borderId="328" xfId="428" applyNumberFormat="1" applyFont="1" applyFill="1" applyBorder="1" applyAlignment="1">
      <alignment vertical="center"/>
    </xf>
    <xf numFmtId="14" fontId="513" fillId="0" borderId="328" xfId="428" applyNumberFormat="1" applyFont="1" applyFill="1" applyBorder="1" applyAlignment="1">
      <alignment horizontal="left" vertical="center"/>
    </xf>
    <xf numFmtId="14" fontId="512" fillId="31" borderId="68" xfId="0" applyNumberFormat="1" applyFont="1" applyFill="1" applyBorder="1" applyAlignment="1">
      <alignment horizontal="left" vertical="center"/>
    </xf>
    <xf numFmtId="0" fontId="55" fillId="0" borderId="115" xfId="0" applyFont="1" applyFill="1" applyBorder="1" applyAlignment="1">
      <alignment horizontal="center" vertical="center"/>
    </xf>
    <xf numFmtId="0" fontId="55" fillId="0" borderId="83" xfId="0" applyFont="1" applyFill="1" applyBorder="1" applyAlignment="1">
      <alignment horizontal="center" vertical="center"/>
    </xf>
    <xf numFmtId="20" fontId="88" fillId="31" borderId="347" xfId="0" applyNumberFormat="1" applyFont="1" applyFill="1" applyBorder="1" applyAlignment="1">
      <alignment vertical="top"/>
    </xf>
    <xf numFmtId="0" fontId="55" fillId="0" borderId="44" xfId="428" applyFont="1" applyFill="1" applyBorder="1" applyAlignment="1">
      <alignment horizontal="center" vertical="center"/>
    </xf>
    <xf numFmtId="1" fontId="55" fillId="0" borderId="345" xfId="432" applyNumberFormat="1" applyFont="1" applyFill="1" applyBorder="1" applyAlignment="1" applyProtection="1">
      <alignment horizontal="center"/>
      <protection locked="0"/>
    </xf>
    <xf numFmtId="0" fontId="55" fillId="0" borderId="338" xfId="428" applyFont="1" applyFill="1" applyBorder="1" applyAlignment="1">
      <alignment horizontal="center" vertical="center"/>
    </xf>
    <xf numFmtId="0" fontId="55" fillId="0" borderId="340" xfId="0" applyFont="1" applyFill="1" applyBorder="1" applyAlignment="1">
      <alignment vertical="center"/>
    </xf>
    <xf numFmtId="0" fontId="55" fillId="0" borderId="341" xfId="428" applyFont="1" applyFill="1" applyBorder="1" applyAlignment="1">
      <alignment horizontal="center" vertical="center"/>
    </xf>
    <xf numFmtId="0" fontId="55" fillId="0" borderId="341" xfId="0" applyFont="1" applyFill="1" applyBorder="1" applyAlignment="1">
      <alignment horizontal="center" vertical="center"/>
    </xf>
    <xf numFmtId="0" fontId="55" fillId="0" borderId="342" xfId="0" applyFont="1" applyFill="1" applyBorder="1" applyAlignment="1">
      <alignment horizontal="center" vertical="center"/>
    </xf>
    <xf numFmtId="0" fontId="55" fillId="0" borderId="341" xfId="428" applyNumberFormat="1" applyFont="1" applyFill="1" applyBorder="1" applyAlignment="1">
      <alignment horizontal="center" vertical="center"/>
    </xf>
    <xf numFmtId="0" fontId="55" fillId="0" borderId="340" xfId="428" applyFont="1" applyFill="1" applyBorder="1" applyAlignment="1">
      <alignment horizontal="center" vertical="center"/>
    </xf>
    <xf numFmtId="1" fontId="55" fillId="0" borderId="339" xfId="428" applyNumberFormat="1" applyFont="1" applyFill="1" applyBorder="1" applyAlignment="1">
      <alignment horizontal="center" vertical="center"/>
    </xf>
    <xf numFmtId="1" fontId="55" fillId="0" borderId="341" xfId="428" applyNumberFormat="1" applyFont="1" applyFill="1" applyBorder="1" applyAlignment="1">
      <alignment horizontal="center" vertical="center"/>
    </xf>
    <xf numFmtId="1" fontId="55" fillId="0" borderId="339" xfId="428" applyNumberFormat="1" applyFont="1" applyFill="1" applyBorder="1" applyAlignment="1" applyProtection="1">
      <alignment horizontal="center" vertical="center"/>
      <protection locked="0"/>
    </xf>
    <xf numFmtId="1" fontId="55" fillId="0" borderId="341" xfId="428" applyNumberFormat="1" applyFont="1" applyFill="1" applyBorder="1" applyAlignment="1" applyProtection="1">
      <alignment horizontal="center" vertical="center"/>
      <protection locked="0"/>
    </xf>
    <xf numFmtId="20" fontId="88" fillId="31" borderId="0" xfId="0" applyNumberFormat="1" applyFont="1" applyFill="1" applyBorder="1" applyAlignment="1">
      <alignment vertical="top"/>
    </xf>
    <xf numFmtId="14" fontId="513" fillId="0" borderId="340" xfId="428" applyNumberFormat="1" applyFont="1" applyFill="1" applyBorder="1" applyAlignment="1">
      <alignment horizontal="left" vertical="center"/>
    </xf>
    <xf numFmtId="0" fontId="55" fillId="0" borderId="394" xfId="428" applyFont="1" applyFill="1" applyBorder="1" applyAlignment="1">
      <alignment horizontal="center" vertical="center"/>
    </xf>
    <xf numFmtId="173" fontId="55" fillId="0" borderId="395" xfId="414" applyNumberFormat="1" applyFont="1" applyFill="1" applyBorder="1" applyAlignment="1">
      <alignment vertical="center"/>
    </xf>
    <xf numFmtId="0" fontId="88" fillId="0" borderId="396" xfId="0" applyFont="1" applyBorder="1"/>
    <xf numFmtId="0" fontId="55" fillId="0" borderId="396" xfId="0" applyFont="1" applyFill="1" applyBorder="1" applyAlignment="1">
      <alignment horizontal="center" vertical="center"/>
    </xf>
    <xf numFmtId="0" fontId="55" fillId="0" borderId="397" xfId="0" applyFont="1" applyFill="1" applyBorder="1" applyAlignment="1">
      <alignment horizontal="center" vertical="center"/>
    </xf>
    <xf numFmtId="0" fontId="55" fillId="0" borderId="394" xfId="428" applyNumberFormat="1" applyFont="1" applyFill="1" applyBorder="1" applyAlignment="1">
      <alignment horizontal="center" vertical="center"/>
    </xf>
    <xf numFmtId="0" fontId="55" fillId="0" borderId="398" xfId="428" applyFont="1" applyFill="1" applyBorder="1" applyAlignment="1">
      <alignment horizontal="center" vertical="center"/>
    </xf>
    <xf numFmtId="1" fontId="55" fillId="0" borderId="396" xfId="428" applyNumberFormat="1" applyFont="1" applyFill="1" applyBorder="1" applyAlignment="1">
      <alignment horizontal="center" vertical="center"/>
    </xf>
    <xf numFmtId="1" fontId="55" fillId="0" borderId="394" xfId="428" applyNumberFormat="1" applyFont="1" applyFill="1" applyBorder="1" applyAlignment="1">
      <alignment horizontal="center" vertical="center"/>
    </xf>
    <xf numFmtId="1" fontId="55" fillId="0" borderId="396" xfId="428" applyNumberFormat="1" applyFont="1" applyFill="1" applyBorder="1" applyAlignment="1" applyProtection="1">
      <alignment horizontal="center" vertical="center"/>
      <protection locked="0"/>
    </xf>
    <xf numFmtId="1" fontId="55" fillId="0" borderId="394" xfId="428" applyNumberFormat="1" applyFont="1" applyFill="1" applyBorder="1" applyAlignment="1" applyProtection="1">
      <alignment horizontal="center" vertical="center"/>
      <protection locked="0"/>
    </xf>
    <xf numFmtId="1" fontId="55" fillId="0" borderId="343" xfId="432" applyNumberFormat="1" applyFont="1" applyFill="1" applyBorder="1" applyAlignment="1" applyProtection="1">
      <alignment horizontal="center"/>
      <protection locked="0"/>
    </xf>
    <xf numFmtId="14" fontId="512" fillId="31" borderId="598" xfId="428" applyNumberFormat="1" applyFont="1" applyFill="1" applyBorder="1" applyAlignment="1">
      <alignment horizontal="left" vertical="center"/>
    </xf>
    <xf numFmtId="20" fontId="513" fillId="0" borderId="566" xfId="428" applyNumberFormat="1" applyFont="1" applyFill="1" applyBorder="1" applyAlignment="1">
      <alignment vertical="center"/>
    </xf>
    <xf numFmtId="14" fontId="514" fillId="0" borderId="520" xfId="428" applyNumberFormat="1" applyFont="1" applyFill="1" applyBorder="1" applyAlignment="1">
      <alignment horizontal="left" vertical="center"/>
    </xf>
    <xf numFmtId="0" fontId="55" fillId="0" borderId="395" xfId="428" applyFont="1" applyFill="1" applyBorder="1" applyAlignment="1">
      <alignment horizontal="center" vertical="center"/>
    </xf>
    <xf numFmtId="173" fontId="55" fillId="0" borderId="382" xfId="414" applyNumberFormat="1" applyFont="1" applyFill="1" applyBorder="1" applyAlignment="1">
      <alignment vertical="center"/>
    </xf>
    <xf numFmtId="0" fontId="88" fillId="0" borderId="382" xfId="0" applyFont="1" applyBorder="1"/>
    <xf numFmtId="0" fontId="55" fillId="0" borderId="395" xfId="0" applyFont="1" applyFill="1" applyBorder="1" applyAlignment="1">
      <alignment horizontal="center" vertical="center"/>
    </xf>
    <xf numFmtId="0" fontId="55" fillId="0" borderId="395" xfId="428" applyNumberFormat="1" applyFont="1" applyFill="1" applyBorder="1" applyAlignment="1">
      <alignment horizontal="center" vertical="center"/>
    </xf>
    <xf numFmtId="1" fontId="55" fillId="0" borderId="395" xfId="428" applyNumberFormat="1" applyFont="1" applyFill="1" applyBorder="1" applyAlignment="1">
      <alignment horizontal="center" vertical="center"/>
    </xf>
    <xf numFmtId="1" fontId="55" fillId="0" borderId="395" xfId="428" applyNumberFormat="1" applyFont="1" applyFill="1" applyBorder="1" applyAlignment="1" applyProtection="1">
      <alignment horizontal="center" vertical="center"/>
      <protection locked="0"/>
    </xf>
    <xf numFmtId="20" fontId="513" fillId="0" borderId="122" xfId="428" applyNumberFormat="1" applyFont="1" applyFill="1" applyBorder="1" applyAlignment="1">
      <alignment vertical="center"/>
    </xf>
    <xf numFmtId="14" fontId="514" fillId="0" borderId="395" xfId="428" applyNumberFormat="1" applyFont="1" applyFill="1" applyBorder="1" applyAlignment="1">
      <alignment horizontal="left" vertical="center"/>
    </xf>
    <xf numFmtId="0" fontId="55" fillId="0" borderId="399" xfId="428" applyFont="1" applyFill="1" applyBorder="1" applyAlignment="1">
      <alignment horizontal="center" vertical="center"/>
    </xf>
    <xf numFmtId="173" fontId="55" fillId="0" borderId="400" xfId="414" applyNumberFormat="1" applyFont="1" applyFill="1" applyBorder="1" applyAlignment="1">
      <alignment vertical="center"/>
    </xf>
    <xf numFmtId="0" fontId="88" fillId="0" borderId="400" xfId="0" applyFont="1" applyBorder="1"/>
    <xf numFmtId="0" fontId="55" fillId="0" borderId="399" xfId="0" applyFont="1" applyFill="1" applyBorder="1" applyAlignment="1">
      <alignment horizontal="center" vertical="center"/>
    </xf>
    <xf numFmtId="0" fontId="55" fillId="0" borderId="399" xfId="428" applyNumberFormat="1" applyFont="1" applyFill="1" applyBorder="1" applyAlignment="1">
      <alignment horizontal="center" vertical="center"/>
    </xf>
    <xf numFmtId="1" fontId="55" fillId="0" borderId="399" xfId="428" applyNumberFormat="1" applyFont="1" applyFill="1" applyBorder="1" applyAlignment="1">
      <alignment horizontal="center" vertical="center"/>
    </xf>
    <xf numFmtId="1" fontId="55" fillId="0" borderId="399" xfId="428" applyNumberFormat="1" applyFont="1" applyFill="1" applyBorder="1" applyAlignment="1" applyProtection="1">
      <alignment horizontal="center" vertical="center"/>
      <protection locked="0"/>
    </xf>
    <xf numFmtId="20" fontId="512" fillId="31" borderId="400" xfId="428" applyNumberFormat="1" applyFont="1" applyFill="1" applyBorder="1" applyAlignment="1">
      <alignment vertical="top"/>
    </xf>
    <xf numFmtId="20" fontId="513" fillId="0" borderId="401" xfId="428" applyNumberFormat="1" applyFont="1" applyFill="1" applyBorder="1" applyAlignment="1">
      <alignment vertical="center"/>
    </xf>
    <xf numFmtId="14" fontId="514" fillId="0" borderId="401" xfId="428" applyNumberFormat="1" applyFont="1" applyFill="1" applyBorder="1" applyAlignment="1">
      <alignment horizontal="left" vertical="center"/>
    </xf>
    <xf numFmtId="173" fontId="55" fillId="0" borderId="465" xfId="414" applyNumberFormat="1" applyFont="1" applyFill="1" applyBorder="1" applyAlignment="1">
      <alignment vertical="center"/>
    </xf>
    <xf numFmtId="0" fontId="88" fillId="0" borderId="465" xfId="0" applyFont="1" applyBorder="1"/>
    <xf numFmtId="0" fontId="55" fillId="0" borderId="466" xfId="428" applyFont="1" applyFill="1" applyBorder="1" applyAlignment="1">
      <alignment horizontal="center" vertical="center"/>
    </xf>
    <xf numFmtId="0" fontId="55" fillId="0" borderId="466" xfId="0" applyFont="1" applyFill="1" applyBorder="1" applyAlignment="1">
      <alignment horizontal="center" vertical="center"/>
    </xf>
    <xf numFmtId="0" fontId="55" fillId="0" borderId="467" xfId="0" applyFont="1" applyFill="1" applyBorder="1" applyAlignment="1">
      <alignment horizontal="center" vertical="center"/>
    </xf>
    <xf numFmtId="0" fontId="55" fillId="0" borderId="466" xfId="428" applyNumberFormat="1" applyFont="1" applyFill="1" applyBorder="1" applyAlignment="1">
      <alignment horizontal="center" vertical="center"/>
    </xf>
    <xf numFmtId="0" fontId="55" fillId="0" borderId="465" xfId="428" applyFont="1" applyFill="1" applyBorder="1" applyAlignment="1">
      <alignment horizontal="center" vertical="center"/>
    </xf>
    <xf numFmtId="1" fontId="55" fillId="0" borderId="466" xfId="428" applyNumberFormat="1" applyFont="1" applyFill="1" applyBorder="1" applyAlignment="1">
      <alignment horizontal="center" vertical="center"/>
    </xf>
    <xf numFmtId="1" fontId="55" fillId="0" borderId="465" xfId="428" applyNumberFormat="1" applyFont="1" applyFill="1" applyBorder="1" applyAlignment="1" applyProtection="1">
      <alignment horizontal="center" vertical="center"/>
      <protection locked="0"/>
    </xf>
    <xf numFmtId="1" fontId="55" fillId="0" borderId="466" xfId="428" applyNumberFormat="1" applyFont="1" applyFill="1" applyBorder="1" applyAlignment="1" applyProtection="1">
      <alignment horizontal="center" vertical="center"/>
      <protection locked="0"/>
    </xf>
    <xf numFmtId="1" fontId="55" fillId="0" borderId="468" xfId="432" applyNumberFormat="1" applyFont="1" applyFill="1" applyBorder="1" applyAlignment="1" applyProtection="1">
      <alignment horizontal="center"/>
      <protection locked="0"/>
    </xf>
    <xf numFmtId="20" fontId="513" fillId="0" borderId="468" xfId="428" applyNumberFormat="1" applyFont="1" applyFill="1" applyBorder="1" applyAlignment="1">
      <alignment vertical="center"/>
    </xf>
    <xf numFmtId="14" fontId="514" fillId="0" borderId="468" xfId="428" applyNumberFormat="1" applyFont="1" applyFill="1" applyBorder="1" applyAlignment="1">
      <alignment horizontal="left" vertical="center"/>
    </xf>
    <xf numFmtId="0" fontId="55" fillId="0" borderId="536" xfId="428" applyFont="1" applyFill="1" applyBorder="1" applyAlignment="1">
      <alignment horizontal="center" vertical="center"/>
    </xf>
    <xf numFmtId="173" fontId="55" fillId="0" borderId="516" xfId="414" applyNumberFormat="1" applyFont="1" applyFill="1" applyBorder="1" applyAlignment="1">
      <alignment vertical="center"/>
    </xf>
    <xf numFmtId="0" fontId="88" fillId="0" borderId="516" xfId="0" applyFont="1" applyBorder="1"/>
    <xf numFmtId="0" fontId="55" fillId="0" borderId="516" xfId="428" applyFont="1" applyFill="1" applyBorder="1" applyAlignment="1">
      <alignment horizontal="center" vertical="center"/>
    </xf>
    <xf numFmtId="0" fontId="55" fillId="0" borderId="516" xfId="0" applyFont="1" applyFill="1" applyBorder="1" applyAlignment="1">
      <alignment horizontal="center" vertical="center"/>
    </xf>
    <xf numFmtId="0" fontId="55" fillId="0" borderId="516" xfId="428" applyNumberFormat="1" applyFont="1" applyFill="1" applyBorder="1" applyAlignment="1">
      <alignment horizontal="center" vertical="center"/>
    </xf>
    <xf numFmtId="1" fontId="55" fillId="0" borderId="516" xfId="428" applyNumberFormat="1" applyFont="1" applyFill="1" applyBorder="1" applyAlignment="1">
      <alignment horizontal="center" vertical="center"/>
    </xf>
    <xf numFmtId="1" fontId="55" fillId="0" borderId="516" xfId="428" applyNumberFormat="1" applyFont="1" applyFill="1" applyBorder="1" applyAlignment="1" applyProtection="1">
      <alignment horizontal="center" vertical="center"/>
      <protection locked="0"/>
    </xf>
    <xf numFmtId="1" fontId="55" fillId="0" borderId="516" xfId="432" applyNumberFormat="1" applyFont="1" applyFill="1" applyBorder="1" applyAlignment="1" applyProtection="1">
      <alignment horizontal="center"/>
      <protection locked="0"/>
    </xf>
    <xf numFmtId="20" fontId="513" fillId="0" borderId="518" xfId="428" applyNumberFormat="1" applyFont="1" applyFill="1" applyBorder="1" applyAlignment="1">
      <alignment vertical="center"/>
    </xf>
    <xf numFmtId="14" fontId="514" fillId="0" borderId="516" xfId="428" applyNumberFormat="1" applyFont="1" applyFill="1" applyBorder="1" applyAlignment="1">
      <alignment horizontal="left" vertical="center"/>
    </xf>
    <xf numFmtId="0" fontId="88" fillId="81" borderId="44" xfId="0" applyFont="1" applyFill="1" applyBorder="1" applyAlignment="1">
      <alignment horizontal="center"/>
    </xf>
    <xf numFmtId="173" fontId="55" fillId="81" borderId="12" xfId="429" applyNumberFormat="1" applyFont="1" applyFill="1" applyBorder="1" applyAlignment="1">
      <alignment vertical="center"/>
    </xf>
    <xf numFmtId="0" fontId="55" fillId="81" borderId="110" xfId="428" applyFont="1" applyFill="1" applyBorder="1" applyAlignment="1">
      <alignment vertical="center"/>
    </xf>
    <xf numFmtId="0" fontId="55" fillId="81" borderId="108" xfId="428" applyFont="1" applyFill="1" applyBorder="1" applyAlignment="1">
      <alignment horizontal="center" vertical="center"/>
    </xf>
    <xf numFmtId="0" fontId="55" fillId="81" borderId="82" xfId="428" applyFont="1" applyFill="1" applyBorder="1" applyAlignment="1">
      <alignment horizontal="center" vertical="center"/>
    </xf>
    <xf numFmtId="0" fontId="55" fillId="81" borderId="109" xfId="428" applyFont="1" applyFill="1" applyBorder="1" applyAlignment="1">
      <alignment horizontal="center" vertical="center"/>
    </xf>
    <xf numFmtId="0" fontId="55" fillId="81" borderId="110" xfId="428" applyFont="1" applyFill="1" applyBorder="1" applyAlignment="1">
      <alignment horizontal="center" vertical="center"/>
    </xf>
    <xf numFmtId="1" fontId="55" fillId="81" borderId="82" xfId="428" applyNumberFormat="1" applyFont="1" applyFill="1" applyBorder="1" applyAlignment="1">
      <alignment horizontal="center" vertical="center"/>
    </xf>
    <xf numFmtId="1" fontId="55" fillId="81" borderId="108" xfId="428" applyNumberFormat="1" applyFont="1" applyFill="1" applyBorder="1" applyAlignment="1">
      <alignment horizontal="center" vertical="center"/>
    </xf>
    <xf numFmtId="1" fontId="55" fillId="81" borderId="104" xfId="428" applyNumberFormat="1" applyFont="1" applyFill="1" applyBorder="1" applyAlignment="1">
      <alignment horizontal="center" vertical="center"/>
    </xf>
    <xf numFmtId="1" fontId="55" fillId="81" borderId="106" xfId="432" applyNumberFormat="1" applyFont="1" applyFill="1" applyBorder="1" applyAlignment="1" applyProtection="1">
      <alignment horizontal="center"/>
      <protection locked="0"/>
    </xf>
    <xf numFmtId="14" fontId="512" fillId="82" borderId="0" xfId="0" applyNumberFormat="1" applyFont="1" applyFill="1" applyBorder="1" applyAlignment="1">
      <alignment vertical="center"/>
    </xf>
    <xf numFmtId="14" fontId="513" fillId="81" borderId="110" xfId="428" applyNumberFormat="1" applyFont="1" applyFill="1" applyBorder="1" applyAlignment="1">
      <alignment vertical="center"/>
    </xf>
    <xf numFmtId="14" fontId="514" fillId="81" borderId="110" xfId="428" applyNumberFormat="1" applyFont="1" applyFill="1" applyBorder="1" applyAlignment="1">
      <alignment horizontal="left" vertical="center"/>
    </xf>
    <xf numFmtId="0" fontId="88" fillId="0" borderId="44" xfId="0" applyFont="1" applyBorder="1" applyAlignment="1"/>
    <xf numFmtId="0" fontId="512" fillId="31" borderId="68" xfId="498" applyNumberFormat="1" applyFont="1" applyFill="1" applyBorder="1" applyAlignment="1">
      <alignment vertical="center"/>
    </xf>
    <xf numFmtId="14" fontId="513" fillId="0" borderId="110" xfId="428" applyNumberFormat="1" applyFont="1" applyFill="1" applyBorder="1" applyAlignment="1">
      <alignment vertical="center"/>
    </xf>
    <xf numFmtId="0" fontId="91" fillId="0" borderId="119" xfId="0" applyFont="1" applyBorder="1" applyAlignment="1">
      <alignment horizontal="center" vertical="center"/>
    </xf>
    <xf numFmtId="14" fontId="513" fillId="0" borderId="82" xfId="0" applyNumberFormat="1" applyFont="1" applyBorder="1" applyAlignment="1">
      <alignment vertical="center"/>
    </xf>
    <xf numFmtId="164" fontId="514" fillId="0" borderId="272" xfId="428" applyNumberFormat="1" applyFont="1" applyFill="1" applyBorder="1" applyAlignment="1">
      <alignment horizontal="left" vertical="center"/>
    </xf>
    <xf numFmtId="164" fontId="514" fillId="0" borderId="278" xfId="428" applyNumberFormat="1" applyFont="1" applyFill="1" applyBorder="1" applyAlignment="1">
      <alignment horizontal="left" vertical="center"/>
    </xf>
    <xf numFmtId="164" fontId="513" fillId="0" borderId="278" xfId="428" applyNumberFormat="1" applyFont="1" applyFill="1" applyBorder="1" applyAlignment="1">
      <alignment horizontal="left" vertical="center"/>
    </xf>
    <xf numFmtId="164" fontId="513" fillId="0" borderId="577" xfId="428" applyNumberFormat="1" applyFont="1" applyFill="1" applyBorder="1" applyAlignment="1">
      <alignment horizontal="left" vertical="center"/>
    </xf>
    <xf numFmtId="173" fontId="55" fillId="0" borderId="280" xfId="429" applyNumberFormat="1" applyFont="1" applyFill="1" applyBorder="1" applyAlignment="1">
      <alignment vertical="center"/>
    </xf>
    <xf numFmtId="0" fontId="55" fillId="0" borderId="281" xfId="428" applyFont="1" applyFill="1" applyBorder="1" applyAlignment="1">
      <alignment vertical="center"/>
    </xf>
    <xf numFmtId="0" fontId="55" fillId="0" borderId="282" xfId="428" applyFont="1" applyFill="1" applyBorder="1" applyAlignment="1">
      <alignment horizontal="center" vertical="center"/>
    </xf>
    <xf numFmtId="0" fontId="55" fillId="0" borderId="283" xfId="428" applyFont="1" applyFill="1" applyBorder="1" applyAlignment="1">
      <alignment horizontal="center" vertical="center"/>
    </xf>
    <xf numFmtId="0" fontId="55" fillId="0" borderId="284" xfId="428" applyFont="1" applyFill="1" applyBorder="1" applyAlignment="1">
      <alignment horizontal="center" vertical="center"/>
    </xf>
    <xf numFmtId="0" fontId="55" fillId="0" borderId="282" xfId="436" applyFont="1" applyFill="1" applyBorder="1" applyAlignment="1">
      <alignment horizontal="center" vertical="center"/>
    </xf>
    <xf numFmtId="0" fontId="55" fillId="0" borderId="281" xfId="436" applyFont="1" applyFill="1" applyBorder="1" applyAlignment="1">
      <alignment horizontal="center" vertical="center"/>
    </xf>
    <xf numFmtId="1" fontId="55" fillId="0" borderId="283" xfId="428" applyNumberFormat="1" applyFont="1" applyFill="1" applyBorder="1" applyAlignment="1">
      <alignment horizontal="center" vertical="center"/>
    </xf>
    <xf numFmtId="1" fontId="55" fillId="0" borderId="282" xfId="428" applyNumberFormat="1" applyFont="1" applyFill="1" applyBorder="1" applyAlignment="1">
      <alignment horizontal="center" vertical="center"/>
    </xf>
    <xf numFmtId="1" fontId="55" fillId="0" borderId="283" xfId="428" applyNumberFormat="1" applyFont="1" applyFill="1" applyBorder="1" applyAlignment="1" applyProtection="1">
      <alignment horizontal="center" vertical="center"/>
      <protection locked="0"/>
    </xf>
    <xf numFmtId="1" fontId="55" fillId="0" borderId="282" xfId="428" applyNumberFormat="1" applyFont="1" applyFill="1" applyBorder="1" applyAlignment="1" applyProtection="1">
      <alignment horizontal="center" vertical="center"/>
      <protection locked="0"/>
    </xf>
    <xf numFmtId="20" fontId="513" fillId="0" borderId="281" xfId="428" applyNumberFormat="1" applyFont="1" applyFill="1" applyBorder="1" applyAlignment="1">
      <alignment vertical="center"/>
    </xf>
    <xf numFmtId="164" fontId="513" fillId="0" borderId="281" xfId="428" applyNumberFormat="1" applyFont="1" applyFill="1" applyBorder="1" applyAlignment="1">
      <alignment horizontal="left" vertical="center"/>
    </xf>
    <xf numFmtId="0" fontId="55" fillId="0" borderId="519" xfId="428" applyNumberFormat="1" applyFont="1" applyFill="1" applyBorder="1" applyAlignment="1" applyProtection="1">
      <alignment horizontal="center" vertical="center"/>
    </xf>
    <xf numFmtId="0" fontId="512" fillId="31" borderId="68" xfId="0" applyFont="1" applyFill="1" applyBorder="1" applyAlignment="1">
      <alignment horizontal="left" vertical="center"/>
    </xf>
    <xf numFmtId="0" fontId="91" fillId="0" borderId="318" xfId="0" applyFont="1" applyBorder="1" applyAlignment="1">
      <alignment horizontal="center"/>
    </xf>
    <xf numFmtId="14" fontId="512" fillId="31" borderId="480" xfId="0" applyNumberFormat="1" applyFont="1" applyFill="1" applyBorder="1" applyAlignment="1">
      <alignment vertical="center"/>
    </xf>
    <xf numFmtId="14" fontId="512" fillId="31" borderId="68" xfId="0" applyNumberFormat="1" applyFont="1" applyFill="1" applyBorder="1" applyAlignment="1">
      <alignment vertical="center"/>
    </xf>
    <xf numFmtId="14" fontId="512" fillId="31" borderId="0" xfId="0" applyNumberFormat="1" applyFont="1" applyFill="1" applyBorder="1" applyAlignment="1">
      <alignment vertical="center"/>
    </xf>
    <xf numFmtId="0" fontId="56" fillId="0" borderId="108" xfId="428" applyFont="1" applyFill="1" applyBorder="1" applyAlignment="1">
      <alignment horizontal="center" vertical="center"/>
    </xf>
    <xf numFmtId="173" fontId="56" fillId="0" borderId="68" xfId="429" applyNumberFormat="1" applyFont="1" applyFill="1" applyBorder="1" applyAlignment="1">
      <alignment vertical="center"/>
    </xf>
    <xf numFmtId="0" fontId="458" fillId="31" borderId="68" xfId="0" applyFont="1" applyFill="1" applyBorder="1" applyAlignment="1">
      <alignment horizontal="left" vertical="center"/>
    </xf>
    <xf numFmtId="14" fontId="512" fillId="31" borderId="0" xfId="0" applyNumberFormat="1" applyFont="1" applyFill="1" applyAlignment="1">
      <alignment vertical="center"/>
    </xf>
    <xf numFmtId="0" fontId="55" fillId="0" borderId="110" xfId="0" applyFont="1" applyFill="1" applyBorder="1" applyAlignment="1">
      <alignment vertical="top"/>
    </xf>
    <xf numFmtId="0" fontId="512" fillId="31" borderId="186" xfId="0" applyFont="1" applyFill="1" applyBorder="1" applyAlignment="1">
      <alignment horizontal="left" vertical="center"/>
    </xf>
    <xf numFmtId="0" fontId="55" fillId="0" borderId="116" xfId="0" applyFont="1" applyFill="1" applyBorder="1" applyAlignment="1">
      <alignment vertical="top"/>
    </xf>
    <xf numFmtId="1" fontId="55" fillId="0" borderId="597" xfId="432" applyNumberFormat="1" applyFont="1" applyFill="1" applyBorder="1" applyAlignment="1" applyProtection="1">
      <alignment horizontal="center"/>
      <protection locked="0"/>
    </xf>
    <xf numFmtId="14" fontId="513" fillId="0" borderId="116" xfId="428" applyNumberFormat="1" applyFont="1" applyFill="1" applyBorder="1" applyAlignment="1">
      <alignment vertical="center"/>
    </xf>
    <xf numFmtId="1" fontId="55" fillId="0" borderId="404" xfId="428" applyNumberFormat="1" applyFont="1" applyFill="1" applyBorder="1" applyAlignment="1">
      <alignment horizontal="center" vertical="center"/>
    </xf>
    <xf numFmtId="0" fontId="88" fillId="0" borderId="116" xfId="0" applyFont="1" applyBorder="1" applyAlignment="1">
      <alignment vertical="top"/>
    </xf>
    <xf numFmtId="0" fontId="55" fillId="0" borderId="116" xfId="428" applyFont="1" applyFill="1" applyBorder="1" applyAlignment="1">
      <alignment vertical="center"/>
    </xf>
    <xf numFmtId="1" fontId="55" fillId="0" borderId="213" xfId="432" applyNumberFormat="1" applyFont="1" applyFill="1" applyBorder="1" applyAlignment="1" applyProtection="1">
      <alignment horizontal="center"/>
      <protection locked="0"/>
    </xf>
    <xf numFmtId="173" fontId="55" fillId="0" borderId="362" xfId="429" applyNumberFormat="1" applyFont="1" applyFill="1" applyBorder="1" applyAlignment="1">
      <alignment vertical="center"/>
    </xf>
    <xf numFmtId="0" fontId="55" fillId="0" borderId="362" xfId="428" applyFont="1" applyFill="1" applyBorder="1" applyAlignment="1">
      <alignment vertical="center"/>
    </xf>
    <xf numFmtId="0" fontId="55" fillId="0" borderId="362" xfId="428" applyFont="1" applyFill="1" applyBorder="1" applyAlignment="1">
      <alignment horizontal="center" vertical="center"/>
    </xf>
    <xf numFmtId="0" fontId="55" fillId="0" borderId="362" xfId="0" applyFont="1" applyFill="1" applyBorder="1" applyAlignment="1">
      <alignment horizontal="center" vertical="center"/>
    </xf>
    <xf numFmtId="1" fontId="55" fillId="0" borderId="362" xfId="428" applyNumberFormat="1" applyFont="1" applyFill="1" applyBorder="1" applyAlignment="1">
      <alignment horizontal="center" vertical="center"/>
    </xf>
    <xf numFmtId="1" fontId="55" fillId="0" borderId="362" xfId="428" applyNumberFormat="1" applyFont="1" applyFill="1" applyBorder="1" applyAlignment="1" applyProtection="1">
      <alignment horizontal="center" vertical="center"/>
      <protection locked="0"/>
    </xf>
    <xf numFmtId="1" fontId="55" fillId="0" borderId="362" xfId="432" applyNumberFormat="1" applyFont="1" applyFill="1" applyBorder="1" applyAlignment="1" applyProtection="1">
      <alignment horizontal="center"/>
      <protection locked="0"/>
    </xf>
    <xf numFmtId="0" fontId="512" fillId="31" borderId="538" xfId="0" applyFont="1" applyFill="1" applyBorder="1"/>
    <xf numFmtId="14" fontId="514" fillId="0" borderId="362" xfId="428" applyNumberFormat="1" applyFont="1" applyFill="1" applyBorder="1" applyAlignment="1">
      <alignment horizontal="left" vertical="center"/>
    </xf>
    <xf numFmtId="173" fontId="55" fillId="0" borderId="584" xfId="429" applyNumberFormat="1" applyFont="1" applyFill="1" applyBorder="1" applyAlignment="1">
      <alignment vertical="center"/>
    </xf>
    <xf numFmtId="0" fontId="55" fillId="0" borderId="584" xfId="428" applyFont="1" applyFill="1" applyBorder="1" applyAlignment="1">
      <alignment vertical="center"/>
    </xf>
    <xf numFmtId="1" fontId="55" fillId="0" borderId="586" xfId="428" applyNumberFormat="1" applyFont="1" applyFill="1" applyBorder="1" applyAlignment="1">
      <alignment horizontal="center" vertical="center"/>
    </xf>
    <xf numFmtId="173" fontId="55" fillId="0" borderId="74" xfId="429" applyNumberFormat="1" applyFont="1" applyFill="1" applyBorder="1" applyAlignment="1">
      <alignment vertical="center"/>
    </xf>
    <xf numFmtId="0" fontId="55" fillId="0" borderId="74" xfId="428" applyFont="1" applyFill="1" applyBorder="1" applyAlignment="1">
      <alignment vertical="center"/>
    </xf>
    <xf numFmtId="0" fontId="55" fillId="0" borderId="74" xfId="428" applyFont="1" applyFill="1" applyBorder="1" applyAlignment="1">
      <alignment horizontal="center" vertical="center"/>
    </xf>
    <xf numFmtId="0" fontId="55" fillId="0" borderId="74" xfId="0" applyFont="1" applyFill="1" applyBorder="1" applyAlignment="1">
      <alignment horizontal="center" vertical="center"/>
    </xf>
    <xf numFmtId="1" fontId="55" fillId="0" borderId="74" xfId="428" applyNumberFormat="1" applyFont="1" applyFill="1" applyBorder="1" applyAlignment="1">
      <alignment horizontal="center" vertical="center"/>
    </xf>
    <xf numFmtId="1" fontId="55" fillId="0" borderId="74" xfId="428" applyNumberFormat="1" applyFont="1" applyFill="1" applyBorder="1" applyAlignment="1" applyProtection="1">
      <alignment horizontal="center" vertical="center"/>
      <protection locked="0"/>
    </xf>
    <xf numFmtId="1" fontId="55" fillId="0" borderId="74" xfId="432" applyNumberFormat="1" applyFont="1" applyFill="1" applyBorder="1" applyAlignment="1" applyProtection="1">
      <alignment horizontal="center"/>
      <protection locked="0"/>
    </xf>
    <xf numFmtId="0" fontId="512" fillId="31" borderId="86" xfId="0" applyFont="1" applyFill="1" applyBorder="1"/>
    <xf numFmtId="20" fontId="513" fillId="0" borderId="548" xfId="428" applyNumberFormat="1" applyFont="1" applyFill="1" applyBorder="1" applyAlignment="1">
      <alignment vertical="center"/>
    </xf>
    <xf numFmtId="14" fontId="514" fillId="0" borderId="74" xfId="428" applyNumberFormat="1" applyFont="1" applyFill="1" applyBorder="1" applyAlignment="1">
      <alignment horizontal="left" vertical="center"/>
    </xf>
    <xf numFmtId="1" fontId="55" fillId="0" borderId="81" xfId="428" applyNumberFormat="1" applyFont="1" applyFill="1" applyBorder="1" applyAlignment="1" applyProtection="1">
      <alignment horizontal="center" vertical="center"/>
      <protection locked="0"/>
    </xf>
    <xf numFmtId="1" fontId="55" fillId="0" borderId="104" xfId="428" applyNumberFormat="1" applyFont="1" applyFill="1" applyBorder="1" applyAlignment="1" applyProtection="1">
      <alignment horizontal="center" vertical="center"/>
      <protection locked="0"/>
    </xf>
    <xf numFmtId="164" fontId="513" fillId="0" borderId="106" xfId="428" applyNumberFormat="1" applyFont="1" applyFill="1" applyBorder="1" applyAlignment="1">
      <alignment horizontal="left" vertical="center"/>
    </xf>
    <xf numFmtId="1" fontId="55" fillId="0" borderId="277" xfId="432" applyNumberFormat="1" applyFont="1" applyFill="1" applyBorder="1" applyAlignment="1" applyProtection="1">
      <alignment horizontal="center" vertical="center"/>
      <protection locked="0"/>
    </xf>
    <xf numFmtId="164" fontId="513" fillId="0" borderId="116" xfId="428" applyNumberFormat="1" applyFont="1" applyFill="1" applyBorder="1" applyAlignment="1">
      <alignment horizontal="left" vertical="center"/>
    </xf>
    <xf numFmtId="0" fontId="55" fillId="0" borderId="42" xfId="0" applyFont="1" applyFill="1" applyBorder="1" applyAlignment="1">
      <alignment horizontal="center" vertical="center"/>
    </xf>
    <xf numFmtId="0" fontId="512" fillId="31" borderId="0" xfId="0" applyFont="1" applyFill="1" applyBorder="1" applyAlignment="1">
      <alignment horizontal="left" vertical="center"/>
    </xf>
    <xf numFmtId="164" fontId="514" fillId="0" borderId="116" xfId="428" applyNumberFormat="1" applyFont="1" applyFill="1" applyBorder="1" applyAlignment="1">
      <alignment horizontal="left" vertical="center"/>
    </xf>
    <xf numFmtId="1" fontId="55" fillId="0" borderId="537" xfId="428" applyNumberFormat="1" applyFont="1" applyFill="1" applyBorder="1" applyAlignment="1">
      <alignment horizontal="center" vertical="center"/>
    </xf>
    <xf numFmtId="173" fontId="55" fillId="0" borderId="489" xfId="429" applyNumberFormat="1" applyFont="1" applyFill="1" applyBorder="1" applyAlignment="1">
      <alignment vertical="center"/>
    </xf>
    <xf numFmtId="0" fontId="55" fillId="0" borderId="489" xfId="428" applyFont="1" applyFill="1" applyBorder="1" applyAlignment="1">
      <alignment vertical="center"/>
    </xf>
    <xf numFmtId="0" fontId="55" fillId="0" borderId="489" xfId="428" applyFont="1" applyFill="1" applyBorder="1" applyAlignment="1">
      <alignment horizontal="center" vertical="center"/>
    </xf>
    <xf numFmtId="0" fontId="55" fillId="0" borderId="489" xfId="0" applyFont="1" applyFill="1" applyBorder="1" applyAlignment="1">
      <alignment horizontal="center" vertical="center"/>
    </xf>
    <xf numFmtId="1" fontId="55" fillId="0" borderId="489" xfId="428" applyNumberFormat="1" applyFont="1" applyFill="1" applyBorder="1" applyAlignment="1">
      <alignment horizontal="center" vertical="center"/>
    </xf>
    <xf numFmtId="1" fontId="55" fillId="0" borderId="489" xfId="428" applyNumberFormat="1" applyFont="1" applyFill="1" applyBorder="1" applyAlignment="1" applyProtection="1">
      <alignment horizontal="center" vertical="center"/>
      <protection locked="0"/>
    </xf>
    <xf numFmtId="1" fontId="55" fillId="0" borderId="489" xfId="432" applyNumberFormat="1" applyFont="1" applyFill="1" applyBorder="1" applyAlignment="1" applyProtection="1">
      <alignment horizontal="center"/>
      <protection locked="0"/>
    </xf>
    <xf numFmtId="20" fontId="513" fillId="0" borderId="490" xfId="428" applyNumberFormat="1" applyFont="1" applyFill="1" applyBorder="1" applyAlignment="1">
      <alignment vertical="center"/>
    </xf>
    <xf numFmtId="164" fontId="514" fillId="0" borderId="489" xfId="428" applyNumberFormat="1" applyFont="1" applyFill="1" applyBorder="1" applyAlignment="1">
      <alignment horizontal="left" vertical="center"/>
    </xf>
    <xf numFmtId="1" fontId="55" fillId="0" borderId="536" xfId="428" applyNumberFormat="1" applyFont="1" applyFill="1" applyBorder="1" applyAlignment="1">
      <alignment horizontal="center" vertical="center"/>
    </xf>
    <xf numFmtId="173" fontId="55" fillId="0" borderId="537" xfId="429" applyNumberFormat="1" applyFont="1" applyFill="1" applyBorder="1" applyAlignment="1">
      <alignment vertical="center"/>
    </xf>
    <xf numFmtId="0" fontId="55" fillId="0" borderId="537" xfId="428" applyFont="1" applyFill="1" applyBorder="1" applyAlignment="1">
      <alignment vertical="center"/>
    </xf>
    <xf numFmtId="0" fontId="55" fillId="0" borderId="537" xfId="0" applyFont="1" applyFill="1" applyBorder="1" applyAlignment="1">
      <alignment horizontal="center" vertical="center"/>
    </xf>
    <xf numFmtId="1" fontId="55" fillId="0" borderId="537" xfId="428" applyNumberFormat="1" applyFont="1" applyFill="1" applyBorder="1" applyAlignment="1" applyProtection="1">
      <alignment horizontal="center" vertical="center"/>
      <protection locked="0"/>
    </xf>
    <xf numFmtId="1" fontId="55" fillId="0" borderId="537" xfId="432" applyNumberFormat="1" applyFont="1" applyFill="1" applyBorder="1" applyAlignment="1" applyProtection="1">
      <alignment horizontal="center"/>
      <protection locked="0"/>
    </xf>
    <xf numFmtId="20" fontId="513" fillId="0" borderId="539" xfId="428" applyNumberFormat="1" applyFont="1" applyFill="1" applyBorder="1" applyAlignment="1">
      <alignment vertical="center"/>
    </xf>
    <xf numFmtId="164" fontId="514" fillId="0" borderId="537" xfId="428" applyNumberFormat="1" applyFont="1" applyFill="1" applyBorder="1" applyAlignment="1">
      <alignment horizontal="left" vertical="center"/>
    </xf>
    <xf numFmtId="173" fontId="55" fillId="0" borderId="536" xfId="429" applyNumberFormat="1" applyFont="1" applyFill="1" applyBorder="1" applyAlignment="1">
      <alignment vertical="center"/>
    </xf>
    <xf numFmtId="0" fontId="55" fillId="0" borderId="536" xfId="428" applyFont="1" applyFill="1" applyBorder="1" applyAlignment="1">
      <alignment vertical="center"/>
    </xf>
    <xf numFmtId="0" fontId="55" fillId="0" borderId="536" xfId="0" applyFont="1" applyFill="1" applyBorder="1" applyAlignment="1">
      <alignment horizontal="center" vertical="center"/>
    </xf>
    <xf numFmtId="1" fontId="55" fillId="0" borderId="536" xfId="428" applyNumberFormat="1" applyFont="1" applyFill="1" applyBorder="1" applyAlignment="1" applyProtection="1">
      <alignment horizontal="center" vertical="center"/>
      <protection locked="0"/>
    </xf>
    <xf numFmtId="1" fontId="55" fillId="0" borderId="536" xfId="432" applyNumberFormat="1" applyFont="1" applyFill="1" applyBorder="1" applyAlignment="1" applyProtection="1">
      <alignment horizontal="center"/>
      <protection locked="0"/>
    </xf>
    <xf numFmtId="0" fontId="512" fillId="31" borderId="541" xfId="0" applyFont="1" applyFill="1" applyBorder="1"/>
    <xf numFmtId="20" fontId="513" fillId="0" borderId="540" xfId="428" applyNumberFormat="1" applyFont="1" applyFill="1" applyBorder="1" applyAlignment="1">
      <alignment vertical="center"/>
    </xf>
    <xf numFmtId="14" fontId="514" fillId="0" borderId="536" xfId="428" applyNumberFormat="1" applyFont="1" applyFill="1" applyBorder="1" applyAlignment="1">
      <alignment horizontal="left" vertical="center"/>
    </xf>
    <xf numFmtId="0" fontId="55" fillId="0" borderId="47" xfId="428" applyFont="1" applyFill="1" applyBorder="1" applyAlignment="1">
      <alignment horizontal="center" vertical="center"/>
    </xf>
    <xf numFmtId="0" fontId="512" fillId="31" borderId="296" xfId="0" applyNumberFormat="1" applyFont="1" applyFill="1" applyBorder="1" applyAlignment="1">
      <alignment vertical="center"/>
    </xf>
    <xf numFmtId="0" fontId="55" fillId="31" borderId="82" xfId="428" applyFont="1" applyFill="1" applyBorder="1" applyAlignment="1">
      <alignment horizontal="center" vertical="center"/>
    </xf>
    <xf numFmtId="0" fontId="55" fillId="31" borderId="109" xfId="0" applyFont="1" applyFill="1" applyBorder="1" applyAlignment="1">
      <alignment horizontal="center" vertical="center"/>
    </xf>
    <xf numFmtId="0" fontId="55" fillId="31" borderId="110" xfId="428" applyFont="1" applyFill="1" applyBorder="1" applyAlignment="1">
      <alignment horizontal="center" vertical="center"/>
    </xf>
    <xf numFmtId="1" fontId="55" fillId="31" borderId="82" xfId="428" applyNumberFormat="1" applyFont="1" applyFill="1" applyBorder="1" applyAlignment="1" applyProtection="1">
      <alignment horizontal="center" vertical="center"/>
      <protection locked="0"/>
    </xf>
    <xf numFmtId="164" fontId="514" fillId="31" borderId="110" xfId="428" applyNumberFormat="1" applyFont="1" applyFill="1" applyBorder="1" applyAlignment="1">
      <alignment horizontal="left" vertical="center"/>
    </xf>
    <xf numFmtId="1" fontId="55" fillId="0" borderId="110" xfId="432" applyNumberFormat="1" applyFont="1" applyFill="1" applyBorder="1" applyAlignment="1" applyProtection="1">
      <alignment horizontal="center"/>
      <protection locked="0"/>
    </xf>
    <xf numFmtId="0" fontId="512" fillId="31" borderId="303" xfId="0" applyNumberFormat="1" applyFont="1" applyFill="1" applyBorder="1" applyAlignment="1">
      <alignment horizontal="left" vertical="center"/>
    </xf>
    <xf numFmtId="0" fontId="512" fillId="31" borderId="534" xfId="0" applyNumberFormat="1" applyFont="1" applyFill="1" applyBorder="1" applyAlignment="1">
      <alignment horizontal="left" vertical="center"/>
    </xf>
    <xf numFmtId="0" fontId="55" fillId="0" borderId="528" xfId="428" applyFont="1" applyFill="1" applyBorder="1" applyAlignment="1">
      <alignment horizontal="center" vertical="center"/>
    </xf>
    <xf numFmtId="173" fontId="55" fillId="0" borderId="529" xfId="429" applyNumberFormat="1" applyFont="1" applyFill="1" applyBorder="1" applyAlignment="1">
      <alignment vertical="center"/>
    </xf>
    <xf numFmtId="0" fontId="55" fillId="0" borderId="530" xfId="428" applyFont="1" applyFill="1" applyBorder="1" applyAlignment="1">
      <alignment vertical="center"/>
    </xf>
    <xf numFmtId="0" fontId="55" fillId="0" borderId="531" xfId="428" applyFont="1" applyFill="1" applyBorder="1" applyAlignment="1">
      <alignment horizontal="center" vertical="center"/>
    </xf>
    <xf numFmtId="0" fontId="55" fillId="0" borderId="532" xfId="428" applyFont="1" applyFill="1" applyBorder="1" applyAlignment="1">
      <alignment horizontal="center" vertical="center"/>
    </xf>
    <xf numFmtId="0" fontId="55" fillId="0" borderId="533" xfId="428" applyFont="1" applyFill="1" applyBorder="1" applyAlignment="1">
      <alignment horizontal="center" vertical="center"/>
    </xf>
    <xf numFmtId="0" fontId="55" fillId="0" borderId="531" xfId="436" applyFont="1" applyFill="1" applyBorder="1" applyAlignment="1">
      <alignment horizontal="center" vertical="center"/>
    </xf>
    <xf numFmtId="0" fontId="55" fillId="0" borderId="530" xfId="436" applyFont="1" applyFill="1" applyBorder="1" applyAlignment="1">
      <alignment horizontal="center" vertical="center"/>
    </xf>
    <xf numFmtId="1" fontId="55" fillId="0" borderId="532" xfId="428" applyNumberFormat="1" applyFont="1" applyFill="1" applyBorder="1" applyAlignment="1">
      <alignment horizontal="center" vertical="center"/>
    </xf>
    <xf numFmtId="1" fontId="55" fillId="0" borderId="531" xfId="428" applyNumberFormat="1" applyFont="1" applyFill="1" applyBorder="1" applyAlignment="1">
      <alignment horizontal="center" vertical="center"/>
    </xf>
    <xf numFmtId="1" fontId="55" fillId="0" borderId="532" xfId="428" applyNumberFormat="1" applyFont="1" applyFill="1" applyBorder="1" applyAlignment="1" applyProtection="1">
      <alignment horizontal="center" vertical="center"/>
      <protection locked="0"/>
    </xf>
    <xf numFmtId="1" fontId="55" fillId="0" borderId="531" xfId="428" applyNumberFormat="1" applyFont="1" applyFill="1" applyBorder="1" applyAlignment="1" applyProtection="1">
      <alignment horizontal="center" vertical="center"/>
      <protection locked="0"/>
    </xf>
    <xf numFmtId="1" fontId="55" fillId="0" borderId="48" xfId="432" applyNumberFormat="1" applyFont="1" applyFill="1" applyBorder="1" applyAlignment="1" applyProtection="1">
      <alignment horizontal="center"/>
      <protection locked="0"/>
    </xf>
    <xf numFmtId="20" fontId="513" fillId="0" borderId="530" xfId="428" applyNumberFormat="1" applyFont="1" applyFill="1" applyBorder="1" applyAlignment="1">
      <alignment vertical="center"/>
    </xf>
    <xf numFmtId="164" fontId="512" fillId="31" borderId="534" xfId="428" applyNumberFormat="1" applyFont="1" applyFill="1" applyBorder="1" applyAlignment="1">
      <alignment horizontal="left" vertical="center"/>
    </xf>
    <xf numFmtId="1" fontId="55" fillId="0" borderId="116" xfId="432" applyNumberFormat="1" applyFont="1" applyFill="1" applyBorder="1" applyAlignment="1" applyProtection="1">
      <alignment horizontal="center"/>
      <protection locked="0"/>
    </xf>
    <xf numFmtId="1" fontId="55" fillId="0" borderId="295" xfId="432" applyNumberFormat="1" applyFont="1" applyFill="1" applyBorder="1" applyAlignment="1" applyProtection="1">
      <alignment horizontal="center"/>
      <protection locked="0"/>
    </xf>
    <xf numFmtId="173" fontId="55" fillId="31" borderId="12" xfId="429" applyNumberFormat="1" applyFont="1" applyFill="1" applyBorder="1" applyAlignment="1">
      <alignment vertical="center"/>
    </xf>
    <xf numFmtId="14" fontId="513" fillId="0" borderId="340" xfId="428" applyNumberFormat="1" applyFont="1" applyFill="1" applyBorder="1" applyAlignment="1">
      <alignment vertical="center"/>
    </xf>
    <xf numFmtId="173" fontId="55" fillId="0" borderId="290" xfId="429" applyNumberFormat="1" applyFont="1" applyFill="1" applyBorder="1" applyAlignment="1">
      <alignment horizontal="left" vertical="center"/>
    </xf>
    <xf numFmtId="0" fontId="55" fillId="0" borderId="291" xfId="428" applyFont="1" applyFill="1" applyBorder="1" applyAlignment="1">
      <alignment vertical="center"/>
    </xf>
    <xf numFmtId="0" fontId="55" fillId="0" borderId="292" xfId="428" applyFont="1" applyFill="1" applyBorder="1" applyAlignment="1">
      <alignment horizontal="center" vertical="center"/>
    </xf>
    <xf numFmtId="0" fontId="55" fillId="0" borderId="293" xfId="428" applyFont="1" applyFill="1" applyBorder="1" applyAlignment="1">
      <alignment horizontal="center" vertical="center"/>
    </xf>
    <xf numFmtId="0" fontId="55" fillId="0" borderId="294" xfId="0" applyFont="1" applyFill="1" applyBorder="1" applyAlignment="1">
      <alignment horizontal="center" vertical="center"/>
    </xf>
    <xf numFmtId="0" fontId="55" fillId="0" borderId="291" xfId="428" applyFont="1" applyFill="1" applyBorder="1" applyAlignment="1">
      <alignment horizontal="center" vertical="center"/>
    </xf>
    <xf numFmtId="1" fontId="55" fillId="0" borderId="293" xfId="428" applyNumberFormat="1" applyFont="1" applyFill="1" applyBorder="1" applyAlignment="1">
      <alignment horizontal="center" vertical="center"/>
    </xf>
    <xf numFmtId="1" fontId="55" fillId="0" borderId="292" xfId="428" applyNumberFormat="1" applyFont="1" applyFill="1" applyBorder="1" applyAlignment="1">
      <alignment horizontal="center" vertical="center"/>
    </xf>
    <xf numFmtId="1" fontId="55" fillId="0" borderId="293" xfId="428" applyNumberFormat="1" applyFont="1" applyFill="1" applyBorder="1" applyAlignment="1" applyProtection="1">
      <alignment horizontal="center" vertical="center"/>
      <protection locked="0"/>
    </xf>
    <xf numFmtId="1" fontId="55" fillId="0" borderId="292" xfId="428" applyNumberFormat="1" applyFont="1" applyFill="1" applyBorder="1" applyAlignment="1" applyProtection="1">
      <alignment horizontal="center" vertical="center"/>
      <protection locked="0"/>
    </xf>
    <xf numFmtId="14" fontId="513" fillId="0" borderId="291" xfId="428" applyNumberFormat="1" applyFont="1" applyFill="1" applyBorder="1" applyAlignment="1">
      <alignment vertical="center"/>
    </xf>
    <xf numFmtId="164" fontId="514" fillId="0" borderId="291" xfId="428" applyNumberFormat="1" applyFont="1" applyFill="1" applyBorder="1" applyAlignment="1">
      <alignment horizontal="left" vertical="center"/>
    </xf>
    <xf numFmtId="1" fontId="55" fillId="0" borderId="476" xfId="432" applyNumberFormat="1" applyFont="1" applyFill="1" applyBorder="1" applyAlignment="1" applyProtection="1">
      <alignment horizontal="center"/>
      <protection locked="0"/>
    </xf>
    <xf numFmtId="0" fontId="512" fillId="31" borderId="578" xfId="0" applyNumberFormat="1" applyFont="1" applyFill="1" applyBorder="1" applyAlignment="1">
      <alignment horizontal="left" vertical="center"/>
    </xf>
    <xf numFmtId="173" fontId="55" fillId="0" borderId="476" xfId="429" applyNumberFormat="1" applyFont="1" applyFill="1" applyBorder="1" applyAlignment="1">
      <alignment vertical="center"/>
    </xf>
    <xf numFmtId="0" fontId="55" fillId="0" borderId="476" xfId="428" applyFont="1" applyFill="1" applyBorder="1" applyAlignment="1">
      <alignment vertical="center"/>
    </xf>
    <xf numFmtId="14" fontId="513" fillId="0" borderId="477" xfId="428" applyNumberFormat="1" applyFont="1" applyFill="1" applyBorder="1" applyAlignment="1">
      <alignment vertical="center"/>
    </xf>
    <xf numFmtId="164" fontId="514" fillId="0" borderId="476" xfId="428" applyNumberFormat="1" applyFont="1" applyFill="1" applyBorder="1" applyAlignment="1">
      <alignment horizontal="left" vertical="center"/>
    </xf>
    <xf numFmtId="1" fontId="55" fillId="0" borderId="225" xfId="428" applyNumberFormat="1" applyFont="1" applyFill="1" applyBorder="1" applyAlignment="1">
      <alignment horizontal="center" vertical="center"/>
    </xf>
    <xf numFmtId="14" fontId="88" fillId="0" borderId="234" xfId="0" applyNumberFormat="1" applyFont="1" applyBorder="1"/>
    <xf numFmtId="173" fontId="56" fillId="0" borderId="12" xfId="429" applyNumberFormat="1" applyFont="1" applyFill="1" applyBorder="1" applyAlignment="1">
      <alignment vertical="center"/>
    </xf>
    <xf numFmtId="0" fontId="75" fillId="31" borderId="110" xfId="428" applyFont="1" applyFill="1" applyBorder="1" applyAlignment="1">
      <alignment vertical="center"/>
    </xf>
    <xf numFmtId="1" fontId="55" fillId="31" borderId="226" xfId="428" applyNumberFormat="1" applyFont="1" applyFill="1" applyBorder="1" applyAlignment="1">
      <alignment horizontal="center" vertical="center"/>
    </xf>
    <xf numFmtId="1" fontId="55" fillId="0" borderId="226" xfId="428" applyNumberFormat="1" applyFont="1" applyFill="1" applyBorder="1" applyAlignment="1">
      <alignment horizontal="center" vertical="center"/>
    </xf>
    <xf numFmtId="0" fontId="512" fillId="0" borderId="521" xfId="0" applyFont="1" applyFill="1" applyBorder="1" applyAlignment="1">
      <alignment horizontal="left" vertical="center"/>
    </xf>
    <xf numFmtId="1" fontId="55" fillId="0" borderId="110" xfId="436" applyNumberFormat="1" applyFont="1" applyFill="1" applyBorder="1" applyAlignment="1">
      <alignment horizontal="center" vertical="center"/>
    </xf>
    <xf numFmtId="0" fontId="512" fillId="0" borderId="521" xfId="0" applyFont="1" applyFill="1" applyBorder="1" applyAlignment="1">
      <alignment vertical="center"/>
    </xf>
    <xf numFmtId="14" fontId="55" fillId="0" borderId="108" xfId="428" applyNumberFormat="1" applyFont="1" applyFill="1" applyBorder="1" applyAlignment="1" applyProtection="1">
      <alignment horizontal="left" vertical="center"/>
      <protection locked="0"/>
    </xf>
    <xf numFmtId="0" fontId="512" fillId="31" borderId="351" xfId="0" applyNumberFormat="1" applyFont="1" applyFill="1" applyBorder="1" applyAlignment="1">
      <alignment horizontal="left" vertical="center"/>
    </xf>
    <xf numFmtId="173" fontId="55" fillId="31" borderId="572" xfId="0" applyNumberFormat="1" applyFont="1" applyFill="1" applyBorder="1" applyAlignment="1">
      <alignment vertical="center"/>
    </xf>
    <xf numFmtId="0" fontId="88" fillId="31" borderId="0" xfId="0" applyFont="1" applyFill="1"/>
    <xf numFmtId="0" fontId="55" fillId="31" borderId="570" xfId="428" applyFont="1" applyFill="1" applyBorder="1" applyAlignment="1">
      <alignment horizontal="center" vertical="center"/>
    </xf>
    <xf numFmtId="0" fontId="55" fillId="31" borderId="571" xfId="428" applyFont="1" applyFill="1" applyBorder="1" applyAlignment="1">
      <alignment horizontal="center" vertical="center"/>
    </xf>
    <xf numFmtId="0" fontId="55" fillId="31" borderId="574" xfId="0" applyFont="1" applyFill="1" applyBorder="1" applyAlignment="1">
      <alignment horizontal="center" vertical="center"/>
    </xf>
    <xf numFmtId="1" fontId="55" fillId="31" borderId="571" xfId="428" applyNumberFormat="1" applyFont="1" applyFill="1" applyBorder="1" applyAlignment="1">
      <alignment horizontal="center" vertical="center"/>
    </xf>
    <xf numFmtId="1" fontId="55" fillId="31" borderId="573" xfId="0" applyNumberFormat="1" applyFont="1" applyFill="1" applyBorder="1" applyAlignment="1" applyProtection="1">
      <alignment horizontal="center" vertical="center"/>
      <protection locked="0"/>
    </xf>
    <xf numFmtId="1" fontId="55" fillId="31" borderId="575" xfId="0" applyNumberFormat="1" applyFont="1" applyFill="1" applyBorder="1" applyAlignment="1" applyProtection="1">
      <alignment horizontal="center" vertical="center"/>
      <protection locked="0"/>
    </xf>
    <xf numFmtId="1" fontId="55" fillId="31" borderId="106" xfId="432" applyNumberFormat="1" applyFont="1" applyFill="1" applyBorder="1" applyAlignment="1" applyProtection="1">
      <alignment horizontal="center" vertical="top"/>
      <protection locked="0"/>
    </xf>
    <xf numFmtId="20" fontId="513" fillId="31" borderId="566" xfId="428" applyNumberFormat="1" applyFont="1" applyFill="1" applyBorder="1" applyAlignment="1">
      <alignment vertical="center"/>
    </xf>
    <xf numFmtId="14" fontId="514" fillId="31" borderId="110" xfId="428" applyNumberFormat="1" applyFont="1" applyFill="1" applyBorder="1" applyAlignment="1">
      <alignment horizontal="left" vertical="center"/>
    </xf>
    <xf numFmtId="0" fontId="512" fillId="0" borderId="303" xfId="0" applyNumberFormat="1" applyFont="1" applyFill="1" applyBorder="1" applyAlignment="1">
      <alignment vertical="center"/>
    </xf>
    <xf numFmtId="20" fontId="513" fillId="0" borderId="491" xfId="428" applyNumberFormat="1" applyFont="1" applyFill="1" applyBorder="1" applyAlignment="1">
      <alignment vertical="center"/>
    </xf>
    <xf numFmtId="14" fontId="514" fillId="0" borderId="489" xfId="428" applyNumberFormat="1" applyFont="1" applyFill="1" applyBorder="1" applyAlignment="1">
      <alignment horizontal="left" vertical="center"/>
    </xf>
    <xf numFmtId="0" fontId="55" fillId="0" borderId="560" xfId="428" applyFont="1" applyFill="1" applyBorder="1" applyAlignment="1">
      <alignment horizontal="center" vertical="center"/>
    </xf>
    <xf numFmtId="0" fontId="512" fillId="31" borderId="587" xfId="0" applyNumberFormat="1" applyFont="1" applyFill="1" applyBorder="1" applyAlignment="1">
      <alignment horizontal="left"/>
    </xf>
    <xf numFmtId="14" fontId="514" fillId="0" borderId="48" xfId="428" applyNumberFormat="1" applyFont="1" applyFill="1" applyBorder="1" applyAlignment="1">
      <alignment horizontal="left" vertical="center"/>
    </xf>
    <xf numFmtId="0" fontId="55" fillId="0" borderId="48" xfId="428" applyFont="1" applyFill="1" applyBorder="1" applyAlignment="1">
      <alignment vertical="center"/>
    </xf>
    <xf numFmtId="1" fontId="55" fillId="0" borderId="228" xfId="428" applyNumberFormat="1" applyFont="1" applyFill="1" applyBorder="1" applyAlignment="1">
      <alignment horizontal="center" vertical="center"/>
    </xf>
    <xf numFmtId="1" fontId="55" fillId="0" borderId="221" xfId="428" applyNumberFormat="1" applyFont="1" applyFill="1" applyBorder="1" applyAlignment="1">
      <alignment horizontal="center" vertical="center"/>
    </xf>
    <xf numFmtId="1" fontId="55" fillId="0" borderId="93" xfId="428" applyNumberFormat="1" applyFont="1" applyFill="1" applyBorder="1" applyAlignment="1">
      <alignment horizontal="center" vertical="center"/>
    </xf>
    <xf numFmtId="1" fontId="55" fillId="0" borderId="231" xfId="428" applyNumberFormat="1" applyFont="1" applyFill="1" applyBorder="1" applyAlignment="1">
      <alignment horizontal="center" vertical="center"/>
    </xf>
    <xf numFmtId="0" fontId="55" fillId="0" borderId="231" xfId="428" applyFont="1" applyFill="1" applyBorder="1" applyAlignment="1">
      <alignment horizontal="center" vertical="center"/>
    </xf>
    <xf numFmtId="1" fontId="55" fillId="0" borderId="123" xfId="428" applyNumberFormat="1" applyFont="1" applyFill="1" applyBorder="1" applyAlignment="1">
      <alignment horizontal="center" vertical="center"/>
    </xf>
    <xf numFmtId="20" fontId="516" fillId="0" borderId="110" xfId="428" applyNumberFormat="1" applyFont="1" applyFill="1" applyBorder="1" applyAlignment="1">
      <alignment vertical="center"/>
    </xf>
    <xf numFmtId="14" fontId="56" fillId="0" borderId="106" xfId="428" applyNumberFormat="1" applyFont="1" applyFill="1" applyBorder="1" applyAlignment="1">
      <alignment horizontal="left" vertical="center"/>
    </xf>
    <xf numFmtId="1" fontId="55" fillId="0" borderId="227" xfId="428" applyNumberFormat="1" applyFont="1" applyFill="1" applyBorder="1" applyAlignment="1">
      <alignment horizontal="center" vertical="center"/>
    </xf>
    <xf numFmtId="0" fontId="512" fillId="31" borderId="68" xfId="0" applyNumberFormat="1" applyFont="1" applyFill="1" applyBorder="1" applyAlignment="1">
      <alignment vertical="center"/>
    </xf>
    <xf numFmtId="173" fontId="55" fillId="0" borderId="426" xfId="429" applyNumberFormat="1" applyFont="1" applyFill="1" applyBorder="1" applyAlignment="1">
      <alignment vertical="center"/>
    </xf>
    <xf numFmtId="0" fontId="55" fillId="0" borderId="452" xfId="428" applyFont="1" applyFill="1" applyBorder="1" applyAlignment="1">
      <alignment horizontal="center" vertical="center"/>
    </xf>
    <xf numFmtId="1" fontId="55" fillId="0" borderId="453" xfId="428" applyNumberFormat="1" applyFont="1" applyFill="1" applyBorder="1" applyAlignment="1">
      <alignment horizontal="center" vertical="center"/>
    </xf>
    <xf numFmtId="1" fontId="55" fillId="0" borderId="472" xfId="432" applyNumberFormat="1" applyFont="1" applyFill="1" applyBorder="1" applyAlignment="1" applyProtection="1">
      <alignment horizontal="center"/>
      <protection locked="0"/>
    </xf>
    <xf numFmtId="14" fontId="512" fillId="0" borderId="593" xfId="0" applyNumberFormat="1" applyFont="1" applyFill="1" applyBorder="1" applyAlignment="1">
      <alignment vertical="center"/>
    </xf>
    <xf numFmtId="0" fontId="55" fillId="81" borderId="114" xfId="428" applyFont="1" applyFill="1" applyBorder="1" applyAlignment="1">
      <alignment horizontal="center" vertical="center"/>
    </xf>
    <xf numFmtId="173" fontId="55" fillId="81" borderId="450" xfId="429" applyNumberFormat="1" applyFont="1" applyFill="1" applyBorder="1" applyAlignment="1">
      <alignment vertical="center"/>
    </xf>
    <xf numFmtId="0" fontId="55" fillId="81" borderId="454" xfId="428" applyFont="1" applyFill="1" applyBorder="1" applyAlignment="1">
      <alignment vertical="center"/>
    </xf>
    <xf numFmtId="0" fontId="55" fillId="81" borderId="455" xfId="428" applyFont="1" applyFill="1" applyBorder="1" applyAlignment="1">
      <alignment horizontal="center" vertical="center"/>
    </xf>
    <xf numFmtId="0" fontId="55" fillId="81" borderId="453" xfId="428" applyFont="1" applyFill="1" applyBorder="1" applyAlignment="1">
      <alignment horizontal="center" vertical="center"/>
    </xf>
    <xf numFmtId="0" fontId="55" fillId="81" borderId="456" xfId="428" applyFont="1" applyFill="1" applyBorder="1" applyAlignment="1">
      <alignment horizontal="center" vertical="center"/>
    </xf>
    <xf numFmtId="0" fontId="55" fillId="81" borderId="454" xfId="428" applyFont="1" applyFill="1" applyBorder="1" applyAlignment="1">
      <alignment horizontal="center" vertical="center"/>
    </xf>
    <xf numFmtId="1" fontId="55" fillId="81" borderId="453" xfId="428" applyNumberFormat="1" applyFont="1" applyFill="1" applyBorder="1" applyAlignment="1">
      <alignment horizontal="center" vertical="center"/>
    </xf>
    <xf numFmtId="1" fontId="55" fillId="81" borderId="455" xfId="428" applyNumberFormat="1" applyFont="1" applyFill="1" applyBorder="1" applyAlignment="1">
      <alignment horizontal="center" vertical="center"/>
    </xf>
    <xf numFmtId="1" fontId="55" fillId="81" borderId="453" xfId="428" applyNumberFormat="1" applyFont="1" applyFill="1" applyBorder="1" applyAlignment="1" applyProtection="1">
      <alignment horizontal="center" vertical="center"/>
      <protection locked="0"/>
    </xf>
    <xf numFmtId="1" fontId="55" fillId="81" borderId="114" xfId="428" applyNumberFormat="1" applyFont="1" applyFill="1" applyBorder="1" applyAlignment="1" applyProtection="1">
      <alignment horizontal="center" vertical="center"/>
      <protection locked="0"/>
    </xf>
    <xf numFmtId="1" fontId="55" fillId="81" borderId="48" xfId="432" applyNumberFormat="1" applyFont="1" applyFill="1" applyBorder="1" applyAlignment="1" applyProtection="1">
      <alignment horizontal="center" vertical="center"/>
      <protection locked="0"/>
    </xf>
    <xf numFmtId="14" fontId="512" fillId="81" borderId="0" xfId="0" applyNumberFormat="1" applyFont="1" applyFill="1" applyBorder="1" applyAlignment="1">
      <alignment vertical="center"/>
    </xf>
    <xf numFmtId="20" fontId="513" fillId="81" borderId="457" xfId="428" applyNumberFormat="1" applyFont="1" applyFill="1" applyBorder="1" applyAlignment="1">
      <alignment vertical="center"/>
    </xf>
    <xf numFmtId="14" fontId="514" fillId="81" borderId="454" xfId="428" applyNumberFormat="1" applyFont="1" applyFill="1" applyBorder="1" applyAlignment="1">
      <alignment horizontal="left" vertical="center"/>
    </xf>
    <xf numFmtId="173" fontId="55" fillId="0" borderId="449" xfId="429" applyNumberFormat="1" applyFont="1" applyFill="1" applyBorder="1" applyAlignment="1">
      <alignment vertical="center"/>
    </xf>
    <xf numFmtId="0" fontId="55" fillId="0" borderId="451" xfId="428" applyFont="1" applyFill="1" applyBorder="1" applyAlignment="1">
      <alignment vertical="center"/>
    </xf>
    <xf numFmtId="0" fontId="55" fillId="0" borderId="450" xfId="428" applyFont="1" applyFill="1" applyBorder="1" applyAlignment="1">
      <alignment horizontal="center" vertical="center"/>
    </xf>
    <xf numFmtId="1" fontId="55" fillId="0" borderId="450" xfId="428" applyNumberFormat="1" applyFont="1" applyFill="1" applyBorder="1" applyAlignment="1">
      <alignment horizontal="center" vertical="center"/>
    </xf>
    <xf numFmtId="1" fontId="55" fillId="0" borderId="450" xfId="428" applyNumberFormat="1" applyFont="1" applyFill="1" applyBorder="1" applyAlignment="1" applyProtection="1">
      <alignment horizontal="center" vertical="center"/>
      <protection locked="0"/>
    </xf>
    <xf numFmtId="1" fontId="55" fillId="0" borderId="450" xfId="432" applyNumberFormat="1" applyFont="1" applyFill="1" applyBorder="1" applyAlignment="1" applyProtection="1">
      <alignment horizontal="center"/>
      <protection locked="0"/>
    </xf>
    <xf numFmtId="20" fontId="513" fillId="0" borderId="454" xfId="428" applyNumberFormat="1" applyFont="1" applyFill="1" applyBorder="1" applyAlignment="1">
      <alignment vertical="center"/>
    </xf>
    <xf numFmtId="14" fontId="514" fillId="0" borderId="450" xfId="428" applyNumberFormat="1" applyFont="1" applyFill="1" applyBorder="1" applyAlignment="1">
      <alignment horizontal="left" vertical="center"/>
    </xf>
    <xf numFmtId="173" fontId="55" fillId="0" borderId="512" xfId="429" applyNumberFormat="1" applyFont="1" applyFill="1" applyBorder="1" applyAlignment="1">
      <alignment vertical="center"/>
    </xf>
    <xf numFmtId="0" fontId="55" fillId="0" borderId="512" xfId="428" applyFont="1" applyFill="1" applyBorder="1" applyAlignment="1">
      <alignment vertical="center"/>
    </xf>
    <xf numFmtId="0" fontId="55" fillId="0" borderId="512" xfId="428" applyFont="1" applyFill="1" applyBorder="1" applyAlignment="1">
      <alignment horizontal="center" vertical="center"/>
    </xf>
    <xf numFmtId="1" fontId="55" fillId="0" borderId="512" xfId="428" applyNumberFormat="1" applyFont="1" applyFill="1" applyBorder="1" applyAlignment="1">
      <alignment horizontal="center" vertical="center"/>
    </xf>
    <xf numFmtId="1" fontId="55" fillId="0" borderId="512" xfId="428" applyNumberFormat="1" applyFont="1" applyFill="1" applyBorder="1" applyAlignment="1" applyProtection="1">
      <alignment horizontal="center" vertical="center"/>
      <protection locked="0"/>
    </xf>
    <xf numFmtId="1" fontId="55" fillId="0" borderId="512" xfId="432" applyNumberFormat="1" applyFont="1" applyFill="1" applyBorder="1" applyAlignment="1" applyProtection="1">
      <alignment horizontal="center"/>
      <protection locked="0"/>
    </xf>
    <xf numFmtId="0" fontId="512" fillId="31" borderId="508" xfId="0" applyFont="1" applyFill="1" applyBorder="1" applyAlignment="1">
      <alignment horizontal="left" vertical="top"/>
    </xf>
    <xf numFmtId="20" fontId="513" fillId="0" borderId="513" xfId="428" applyNumberFormat="1" applyFont="1" applyFill="1" applyBorder="1" applyAlignment="1">
      <alignment vertical="center"/>
    </xf>
    <xf numFmtId="14" fontId="514" fillId="0" borderId="512" xfId="428" applyNumberFormat="1" applyFont="1" applyFill="1" applyBorder="1" applyAlignment="1">
      <alignment horizontal="left" vertical="center"/>
    </xf>
    <xf numFmtId="173" fontId="55" fillId="0" borderId="543" xfId="429" applyNumberFormat="1" applyFont="1" applyFill="1" applyBorder="1" applyAlignment="1">
      <alignment vertical="center"/>
    </xf>
    <xf numFmtId="0" fontId="55" fillId="0" borderId="543" xfId="428" applyFont="1" applyFill="1" applyBorder="1" applyAlignment="1">
      <alignment vertical="center"/>
    </xf>
    <xf numFmtId="0" fontId="55" fillId="0" borderId="515" xfId="428" applyFont="1" applyFill="1" applyBorder="1" applyAlignment="1">
      <alignment horizontal="center" vertical="center"/>
    </xf>
    <xf numFmtId="1" fontId="55" fillId="0" borderId="515" xfId="428" applyNumberFormat="1" applyFont="1" applyFill="1" applyBorder="1" applyAlignment="1" applyProtection="1">
      <alignment horizontal="center" vertical="center"/>
      <protection locked="0"/>
    </xf>
    <xf numFmtId="1" fontId="55" fillId="0" borderId="517" xfId="432" applyNumberFormat="1" applyFont="1" applyFill="1" applyBorder="1" applyAlignment="1" applyProtection="1">
      <alignment horizontal="center"/>
      <protection locked="0"/>
    </xf>
    <xf numFmtId="0" fontId="512" fillId="31" borderId="514" xfId="0" applyFont="1" applyFill="1" applyBorder="1" applyAlignment="1">
      <alignment horizontal="left" vertical="top"/>
    </xf>
    <xf numFmtId="14" fontId="514" fillId="0" borderId="517" xfId="428" applyNumberFormat="1" applyFont="1" applyFill="1" applyBorder="1" applyAlignment="1">
      <alignment horizontal="left" vertical="center"/>
    </xf>
    <xf numFmtId="0" fontId="346" fillId="0" borderId="542" xfId="428" applyFont="1" applyFill="1" applyBorder="1" applyAlignment="1">
      <alignment vertical="center"/>
    </xf>
    <xf numFmtId="0" fontId="346" fillId="0" borderId="542" xfId="428" applyFont="1" applyFill="1" applyBorder="1" applyAlignment="1">
      <alignment horizontal="center" vertical="center"/>
    </xf>
    <xf numFmtId="0" fontId="55" fillId="0" borderId="58" xfId="428" applyFont="1" applyFill="1" applyBorder="1" applyAlignment="1">
      <alignment vertical="center"/>
    </xf>
    <xf numFmtId="14" fontId="512" fillId="0" borderId="81" xfId="0" applyNumberFormat="1" applyFont="1" applyFill="1" applyBorder="1" applyAlignment="1">
      <alignment vertical="center"/>
    </xf>
    <xf numFmtId="0" fontId="88" fillId="0" borderId="104" xfId="0" applyFont="1" applyBorder="1" applyAlignment="1">
      <alignment vertical="center"/>
    </xf>
    <xf numFmtId="0" fontId="512" fillId="31" borderId="68" xfId="0" applyFont="1" applyFill="1" applyBorder="1" applyAlignment="1">
      <alignment vertical="center"/>
    </xf>
    <xf numFmtId="14" fontId="513" fillId="0" borderId="48" xfId="428" applyNumberFormat="1" applyFont="1" applyFill="1" applyBorder="1" applyAlignment="1">
      <alignment horizontal="left" vertical="center"/>
    </xf>
    <xf numFmtId="173" fontId="55" fillId="108" borderId="12" xfId="429" applyNumberFormat="1" applyFont="1" applyFill="1" applyBorder="1" applyAlignment="1">
      <alignment vertical="center"/>
    </xf>
    <xf numFmtId="0" fontId="55" fillId="108" borderId="116" xfId="428" applyFont="1" applyFill="1" applyBorder="1" applyAlignment="1">
      <alignment vertical="center"/>
    </xf>
    <xf numFmtId="0" fontId="55" fillId="108" borderId="114" xfId="428" applyFont="1" applyFill="1" applyBorder="1" applyAlignment="1">
      <alignment horizontal="center" vertical="center"/>
    </xf>
    <xf numFmtId="0" fontId="55" fillId="108" borderId="83" xfId="428" applyFont="1" applyFill="1" applyBorder="1" applyAlignment="1">
      <alignment horizontal="center" vertical="center"/>
    </xf>
    <xf numFmtId="0" fontId="55" fillId="108" borderId="115" xfId="428" applyFont="1" applyFill="1" applyBorder="1" applyAlignment="1">
      <alignment horizontal="center" vertical="center"/>
    </xf>
    <xf numFmtId="0" fontId="55" fillId="108" borderId="114" xfId="436" applyFont="1" applyFill="1" applyBorder="1" applyAlignment="1">
      <alignment horizontal="center" vertical="center"/>
    </xf>
    <xf numFmtId="0" fontId="55" fillId="108" borderId="116" xfId="436" applyFont="1" applyFill="1" applyBorder="1" applyAlignment="1">
      <alignment horizontal="center" vertical="center"/>
    </xf>
    <xf numFmtId="1" fontId="55" fillId="108" borderId="226" xfId="428" applyNumberFormat="1" applyFont="1" applyFill="1" applyBorder="1" applyAlignment="1">
      <alignment horizontal="center" vertical="center"/>
    </xf>
    <xf numFmtId="1" fontId="55" fillId="108" borderId="83" xfId="428" applyNumberFormat="1" applyFont="1" applyFill="1" applyBorder="1" applyAlignment="1" applyProtection="1">
      <alignment horizontal="center" vertical="center"/>
      <protection locked="0"/>
    </xf>
    <xf numFmtId="1" fontId="55" fillId="108" borderId="114" xfId="428" applyNumberFormat="1" applyFont="1" applyFill="1" applyBorder="1" applyAlignment="1" applyProtection="1">
      <alignment horizontal="center" vertical="center"/>
      <protection locked="0"/>
    </xf>
    <xf numFmtId="1" fontId="55" fillId="108" borderId="114" xfId="428" applyNumberFormat="1" applyFont="1" applyFill="1" applyBorder="1" applyAlignment="1">
      <alignment horizontal="center" vertical="center"/>
    </xf>
    <xf numFmtId="0" fontId="512" fillId="108" borderId="68" xfId="0" applyFont="1" applyFill="1" applyBorder="1" applyAlignment="1">
      <alignment vertical="center"/>
    </xf>
    <xf numFmtId="20" fontId="516" fillId="108" borderId="110" xfId="428" applyNumberFormat="1" applyFont="1" applyFill="1" applyBorder="1" applyAlignment="1">
      <alignment vertical="center"/>
    </xf>
    <xf numFmtId="14" fontId="513" fillId="31" borderId="48" xfId="0" applyNumberFormat="1" applyFont="1" applyFill="1" applyBorder="1" applyAlignment="1">
      <alignment horizontal="left" vertical="center"/>
    </xf>
    <xf numFmtId="0" fontId="55" fillId="0" borderId="114" xfId="436" applyFont="1" applyFill="1" applyBorder="1" applyAlignment="1">
      <alignment horizontal="center" vertical="center"/>
    </xf>
    <xf numFmtId="0" fontId="55" fillId="0" borderId="116" xfId="436" applyFont="1" applyFill="1" applyBorder="1" applyAlignment="1">
      <alignment horizontal="center" vertical="center"/>
    </xf>
    <xf numFmtId="1" fontId="55" fillId="31" borderId="114" xfId="428" applyNumberFormat="1" applyFont="1" applyFill="1" applyBorder="1" applyAlignment="1" applyProtection="1">
      <alignment horizontal="center" vertical="center"/>
      <protection locked="0"/>
    </xf>
    <xf numFmtId="1" fontId="55" fillId="0" borderId="106" xfId="432" applyNumberFormat="1" applyFont="1" applyFill="1" applyBorder="1" applyAlignment="1" applyProtection="1">
      <alignment horizontal="center" vertical="top"/>
      <protection locked="0"/>
    </xf>
    <xf numFmtId="0" fontId="512" fillId="31" borderId="303" xfId="0" applyNumberFormat="1" applyFont="1" applyFill="1" applyBorder="1" applyAlignment="1">
      <alignment vertical="center"/>
    </xf>
    <xf numFmtId="173" fontId="55" fillId="0" borderId="12" xfId="429" applyNumberFormat="1" applyFont="1" applyFill="1" applyBorder="1" applyAlignment="1">
      <alignment horizontal="left" vertical="center"/>
    </xf>
    <xf numFmtId="173" fontId="55" fillId="82" borderId="499" xfId="429" applyNumberFormat="1" applyFont="1" applyFill="1" applyBorder="1" applyAlignment="1">
      <alignment vertical="center"/>
    </xf>
    <xf numFmtId="0" fontId="55" fillId="82" borderId="500" xfId="428" applyFont="1" applyFill="1" applyBorder="1" applyAlignment="1">
      <alignment vertical="center"/>
    </xf>
    <xf numFmtId="0" fontId="55" fillId="82" borderId="501" xfId="428" applyFont="1" applyFill="1" applyBorder="1" applyAlignment="1">
      <alignment horizontal="center" vertical="center"/>
    </xf>
    <xf numFmtId="0" fontId="55" fillId="82" borderId="502" xfId="428" applyFont="1" applyFill="1" applyBorder="1" applyAlignment="1">
      <alignment horizontal="center" vertical="center"/>
    </xf>
    <xf numFmtId="0" fontId="55" fillId="82" borderId="503" xfId="428" applyFont="1" applyFill="1" applyBorder="1" applyAlignment="1">
      <alignment horizontal="center" vertical="center"/>
    </xf>
    <xf numFmtId="0" fontId="55" fillId="82" borderId="501" xfId="428" applyNumberFormat="1" applyFont="1" applyFill="1" applyBorder="1" applyAlignment="1">
      <alignment horizontal="center" vertical="center"/>
    </xf>
    <xf numFmtId="0" fontId="55" fillId="82" borderId="500" xfId="428" applyFont="1" applyFill="1" applyBorder="1" applyAlignment="1">
      <alignment horizontal="center" vertical="center"/>
    </xf>
    <xf numFmtId="1" fontId="55" fillId="82" borderId="502" xfId="428" applyNumberFormat="1" applyFont="1" applyFill="1" applyBorder="1" applyAlignment="1">
      <alignment horizontal="center" vertical="center"/>
    </xf>
    <xf numFmtId="1" fontId="55" fillId="82" borderId="501" xfId="428" applyNumberFormat="1" applyFont="1" applyFill="1" applyBorder="1" applyAlignment="1">
      <alignment horizontal="center" vertical="center"/>
    </xf>
    <xf numFmtId="1" fontId="55" fillId="82" borderId="502" xfId="428" applyNumberFormat="1" applyFont="1" applyFill="1" applyBorder="1" applyAlignment="1" applyProtection="1">
      <alignment horizontal="center" vertical="center"/>
      <protection locked="0"/>
    </xf>
    <xf numFmtId="1" fontId="55" fillId="82" borderId="501" xfId="428" applyNumberFormat="1" applyFont="1" applyFill="1" applyBorder="1" applyAlignment="1" applyProtection="1">
      <alignment horizontal="center" vertical="center"/>
      <protection locked="0"/>
    </xf>
    <xf numFmtId="1" fontId="55" fillId="82" borderId="106" xfId="432" applyNumberFormat="1" applyFont="1" applyFill="1" applyBorder="1" applyAlignment="1" applyProtection="1">
      <alignment horizontal="center"/>
      <protection locked="0"/>
    </xf>
    <xf numFmtId="20" fontId="513" fillId="82" borderId="110" xfId="428" applyNumberFormat="1" applyFont="1" applyFill="1" applyBorder="1" applyAlignment="1">
      <alignment vertical="center"/>
    </xf>
    <xf numFmtId="14" fontId="514" fillId="82" borderId="500" xfId="428" applyNumberFormat="1" applyFont="1" applyFill="1" applyBorder="1" applyAlignment="1">
      <alignment horizontal="left" vertical="center"/>
    </xf>
    <xf numFmtId="14" fontId="514" fillId="0" borderId="213" xfId="0" applyNumberFormat="1" applyFont="1" applyFill="1" applyBorder="1" applyAlignment="1">
      <alignment horizontal="left" vertical="center"/>
    </xf>
    <xf numFmtId="0" fontId="512" fillId="31" borderId="285" xfId="428" applyNumberFormat="1" applyFont="1" applyFill="1" applyBorder="1" applyAlignment="1">
      <alignment horizontal="left" vertical="center"/>
    </xf>
    <xf numFmtId="14" fontId="512" fillId="0" borderId="116" xfId="428" applyNumberFormat="1" applyFont="1" applyFill="1" applyBorder="1" applyAlignment="1">
      <alignment vertical="center"/>
    </xf>
    <xf numFmtId="1" fontId="55" fillId="0" borderId="609" xfId="432" applyNumberFormat="1" applyFont="1" applyFill="1" applyBorder="1" applyAlignment="1" applyProtection="1">
      <alignment horizontal="center"/>
      <protection locked="0"/>
    </xf>
    <xf numFmtId="173" fontId="55" fillId="0" borderId="413" xfId="429" applyNumberFormat="1" applyFont="1" applyFill="1" applyBorder="1" applyAlignment="1">
      <alignment vertical="center"/>
    </xf>
    <xf numFmtId="0" fontId="55" fillId="0" borderId="418" xfId="428" applyFont="1" applyFill="1" applyBorder="1" applyAlignment="1">
      <alignment vertical="center"/>
    </xf>
    <xf numFmtId="0" fontId="55" fillId="0" borderId="416" xfId="428" applyFont="1" applyFill="1" applyBorder="1" applyAlignment="1">
      <alignment horizontal="center" vertical="center"/>
    </xf>
    <xf numFmtId="0" fontId="55" fillId="0" borderId="415" xfId="428" applyFont="1" applyFill="1" applyBorder="1" applyAlignment="1">
      <alignment horizontal="center" vertical="center"/>
    </xf>
    <xf numFmtId="0" fontId="55" fillId="0" borderId="305" xfId="428" applyFont="1" applyFill="1" applyBorder="1" applyAlignment="1">
      <alignment horizontal="center" vertical="center"/>
    </xf>
    <xf numFmtId="0" fontId="55" fillId="0" borderId="418" xfId="428" applyFont="1" applyFill="1" applyBorder="1" applyAlignment="1">
      <alignment horizontal="center" vertical="center"/>
    </xf>
    <xf numFmtId="1" fontId="55" fillId="0" borderId="419" xfId="428" applyNumberFormat="1" applyFont="1" applyFill="1" applyBorder="1" applyAlignment="1">
      <alignment horizontal="center" vertical="center"/>
    </xf>
    <xf numFmtId="1" fontId="55" fillId="0" borderId="416" xfId="428" applyNumberFormat="1" applyFont="1" applyFill="1" applyBorder="1" applyAlignment="1">
      <alignment horizontal="center" vertical="center"/>
    </xf>
    <xf numFmtId="1" fontId="55" fillId="0" borderId="415" xfId="428" applyNumberFormat="1" applyFont="1" applyFill="1" applyBorder="1" applyAlignment="1" applyProtection="1">
      <alignment horizontal="center" vertical="center"/>
      <protection locked="0"/>
    </xf>
    <xf numFmtId="1" fontId="55" fillId="0" borderId="414" xfId="432" applyNumberFormat="1" applyFont="1" applyFill="1" applyBorder="1" applyAlignment="1" applyProtection="1">
      <alignment horizontal="center"/>
      <protection locked="0"/>
    </xf>
    <xf numFmtId="2" fontId="516" fillId="0" borderId="377" xfId="428" applyNumberFormat="1" applyFont="1" applyFill="1" applyBorder="1" applyAlignment="1">
      <alignment vertical="center"/>
    </xf>
    <xf numFmtId="14" fontId="513" fillId="0" borderId="418" xfId="428" applyNumberFormat="1" applyFont="1" applyFill="1" applyBorder="1" applyAlignment="1">
      <alignment horizontal="left" vertical="center"/>
    </xf>
    <xf numFmtId="173" fontId="55" fillId="0" borderId="560" xfId="429" applyNumberFormat="1" applyFont="1" applyFill="1" applyBorder="1" applyAlignment="1">
      <alignment vertical="center"/>
    </xf>
    <xf numFmtId="0" fontId="55" fillId="0" borderId="562" xfId="428" applyFont="1" applyFill="1" applyBorder="1" applyAlignment="1">
      <alignment vertical="center"/>
    </xf>
    <xf numFmtId="0" fontId="55" fillId="0" borderId="563" xfId="428" applyFont="1" applyFill="1" applyBorder="1" applyAlignment="1">
      <alignment horizontal="center" vertical="center"/>
    </xf>
    <xf numFmtId="0" fontId="55" fillId="0" borderId="561" xfId="428" applyFont="1" applyFill="1" applyBorder="1" applyAlignment="1">
      <alignment horizontal="center" vertical="center"/>
    </xf>
    <xf numFmtId="0" fontId="55" fillId="0" borderId="564" xfId="428" applyFont="1" applyFill="1" applyBorder="1" applyAlignment="1">
      <alignment horizontal="center" vertical="center"/>
    </xf>
    <xf numFmtId="0" fontId="55" fillId="0" borderId="562" xfId="428" applyFont="1" applyFill="1" applyBorder="1" applyAlignment="1">
      <alignment horizontal="center" vertical="center"/>
    </xf>
    <xf numFmtId="1" fontId="55" fillId="0" borderId="565" xfId="428" applyNumberFormat="1" applyFont="1" applyFill="1" applyBorder="1" applyAlignment="1">
      <alignment horizontal="center" vertical="center"/>
    </xf>
    <xf numFmtId="1" fontId="55" fillId="0" borderId="563" xfId="428" applyNumberFormat="1" applyFont="1" applyFill="1" applyBorder="1" applyAlignment="1">
      <alignment horizontal="center" vertical="center"/>
    </xf>
    <xf numFmtId="1" fontId="91" fillId="0" borderId="561" xfId="428" applyNumberFormat="1" applyFont="1" applyFill="1" applyBorder="1" applyAlignment="1" applyProtection="1">
      <alignment horizontal="center" vertical="center"/>
      <protection locked="0"/>
    </xf>
    <xf numFmtId="1" fontId="55" fillId="0" borderId="416" xfId="428" applyNumberFormat="1" applyFont="1" applyFill="1" applyBorder="1" applyAlignment="1" applyProtection="1">
      <alignment horizontal="center" vertical="center"/>
      <protection locked="0"/>
    </xf>
    <xf numFmtId="2" fontId="516" fillId="0" borderId="566" xfId="428" applyNumberFormat="1" applyFont="1" applyFill="1" applyBorder="1" applyAlignment="1">
      <alignment vertical="center"/>
    </xf>
    <xf numFmtId="14" fontId="513" fillId="0" borderId="562" xfId="428" applyNumberFormat="1" applyFont="1" applyFill="1" applyBorder="1" applyAlignment="1">
      <alignment horizontal="left" vertical="center"/>
    </xf>
    <xf numFmtId="173" fontId="55" fillId="0" borderId="567" xfId="429" applyNumberFormat="1" applyFont="1" applyFill="1" applyBorder="1" applyAlignment="1">
      <alignment vertical="center"/>
    </xf>
    <xf numFmtId="0" fontId="55" fillId="0" borderId="567" xfId="428" applyFont="1" applyFill="1" applyBorder="1" applyAlignment="1">
      <alignment vertical="center"/>
    </xf>
    <xf numFmtId="0" fontId="55" fillId="0" borderId="567" xfId="428" applyFont="1" applyFill="1" applyBorder="1" applyAlignment="1">
      <alignment horizontal="center" vertical="center"/>
    </xf>
    <xf numFmtId="1" fontId="55" fillId="0" borderId="567" xfId="428" applyNumberFormat="1" applyFont="1" applyFill="1" applyBorder="1" applyAlignment="1">
      <alignment horizontal="center" vertical="center"/>
    </xf>
    <xf numFmtId="1" fontId="91" fillId="0" borderId="567" xfId="428" applyNumberFormat="1" applyFont="1" applyFill="1" applyBorder="1" applyAlignment="1" applyProtection="1">
      <alignment horizontal="center" vertical="center"/>
      <protection locked="0"/>
    </xf>
    <xf numFmtId="1" fontId="55" fillId="0" borderId="567" xfId="428" applyNumberFormat="1" applyFont="1" applyFill="1" applyBorder="1" applyAlignment="1" applyProtection="1">
      <alignment horizontal="center" vertical="center"/>
      <protection locked="0"/>
    </xf>
    <xf numFmtId="1" fontId="55" fillId="0" borderId="567" xfId="432" applyNumberFormat="1" applyFont="1" applyFill="1" applyBorder="1" applyAlignment="1" applyProtection="1">
      <alignment horizontal="center"/>
      <protection locked="0"/>
    </xf>
    <xf numFmtId="0" fontId="88" fillId="31" borderId="557" xfId="0" applyFont="1" applyFill="1" applyBorder="1"/>
    <xf numFmtId="20" fontId="516" fillId="0" borderId="568" xfId="428" applyNumberFormat="1" applyFont="1" applyFill="1" applyBorder="1" applyAlignment="1">
      <alignment vertical="center"/>
    </xf>
    <xf numFmtId="14" fontId="513" fillId="0" borderId="569" xfId="428" applyNumberFormat="1" applyFont="1" applyFill="1" applyBorder="1" applyAlignment="1">
      <alignment horizontal="left" vertical="center"/>
    </xf>
    <xf numFmtId="173" fontId="55" fillId="0" borderId="235" xfId="429" applyNumberFormat="1" applyFont="1" applyFill="1" applyBorder="1" applyAlignment="1">
      <alignment vertical="center"/>
    </xf>
    <xf numFmtId="0" fontId="517" fillId="0" borderId="123" xfId="428" applyFont="1" applyFill="1" applyBorder="1" applyAlignment="1">
      <alignment vertical="center"/>
    </xf>
    <xf numFmtId="0" fontId="55" fillId="0" borderId="93" xfId="428" applyFont="1" applyFill="1" applyBorder="1" applyAlignment="1">
      <alignment horizontal="center" vertical="center"/>
    </xf>
    <xf numFmtId="0" fontId="55" fillId="0" borderId="235" xfId="428" applyFont="1" applyFill="1" applyBorder="1" applyAlignment="1">
      <alignment horizontal="center" vertical="center"/>
    </xf>
    <xf numFmtId="0" fontId="55" fillId="0" borderId="231" xfId="436" applyFont="1" applyFill="1" applyBorder="1" applyAlignment="1">
      <alignment horizontal="center" vertical="center"/>
    </xf>
    <xf numFmtId="0" fontId="55" fillId="0" borderId="123" xfId="436" applyFont="1" applyFill="1" applyBorder="1" applyAlignment="1">
      <alignment horizontal="center" vertical="center"/>
    </xf>
    <xf numFmtId="1" fontId="55" fillId="0" borderId="236" xfId="436" applyNumberFormat="1" applyFont="1" applyFill="1" applyBorder="1" applyAlignment="1">
      <alignment horizontal="center" vertical="center"/>
    </xf>
    <xf numFmtId="1" fontId="55" fillId="0" borderId="231" xfId="436" applyNumberFormat="1" applyFont="1" applyFill="1" applyBorder="1" applyAlignment="1">
      <alignment horizontal="center" vertical="center"/>
    </xf>
    <xf numFmtId="1" fontId="55" fillId="0" borderId="93" xfId="436" applyNumberFormat="1" applyFont="1" applyFill="1" applyBorder="1" applyAlignment="1">
      <alignment horizontal="center" vertical="center"/>
    </xf>
    <xf numFmtId="1" fontId="518" fillId="0" borderId="231" xfId="428" applyNumberFormat="1" applyFont="1" applyFill="1" applyBorder="1" applyAlignment="1">
      <alignment horizontal="center" vertical="center"/>
    </xf>
    <xf numFmtId="1" fontId="55" fillId="0" borderId="123" xfId="432" applyNumberFormat="1" applyFont="1" applyFill="1" applyBorder="1" applyAlignment="1" applyProtection="1">
      <alignment horizontal="center"/>
      <protection locked="0"/>
    </xf>
    <xf numFmtId="14" fontId="91" fillId="0" borderId="0" xfId="0" applyNumberFormat="1" applyFont="1" applyBorder="1" applyAlignment="1">
      <alignment horizontal="left" vertical="center"/>
    </xf>
    <xf numFmtId="0" fontId="55" fillId="0" borderId="259" xfId="428" applyFont="1" applyFill="1" applyBorder="1" applyAlignment="1">
      <alignment vertical="center"/>
    </xf>
    <xf numFmtId="173" fontId="55" fillId="0" borderId="112" xfId="429" applyNumberFormat="1" applyFont="1" applyFill="1" applyBorder="1" applyAlignment="1">
      <alignment vertical="center"/>
    </xf>
    <xf numFmtId="14" fontId="514" fillId="0" borderId="106" xfId="428" applyNumberFormat="1" applyFont="1" applyFill="1" applyBorder="1" applyAlignment="1">
      <alignment horizontal="left" vertical="center"/>
    </xf>
    <xf numFmtId="0" fontId="88" fillId="0" borderId="104" xfId="0" applyFont="1" applyBorder="1" applyAlignment="1">
      <alignment horizontal="center" vertical="center"/>
    </xf>
    <xf numFmtId="1" fontId="55" fillId="31" borderId="104" xfId="428" applyNumberFormat="1" applyFont="1" applyFill="1" applyBorder="1" applyAlignment="1" applyProtection="1">
      <alignment horizontal="center" vertical="center"/>
      <protection locked="0"/>
    </xf>
    <xf numFmtId="1" fontId="91" fillId="0" borderId="82" xfId="428" applyNumberFormat="1" applyFont="1" applyFill="1" applyBorder="1" applyAlignment="1" applyProtection="1">
      <alignment horizontal="center" vertical="center"/>
      <protection locked="0"/>
    </xf>
    <xf numFmtId="20" fontId="512" fillId="0" borderId="346" xfId="0" applyNumberFormat="1" applyFont="1" applyBorder="1"/>
    <xf numFmtId="14" fontId="513" fillId="0" borderId="110" xfId="0" applyNumberFormat="1" applyFont="1" applyFill="1" applyBorder="1" applyAlignment="1">
      <alignment horizontal="left" vertical="center"/>
    </xf>
    <xf numFmtId="173" fontId="55" fillId="0" borderId="99" xfId="429" applyNumberFormat="1" applyFont="1" applyFill="1" applyBorder="1" applyAlignment="1">
      <alignment vertical="center"/>
    </xf>
    <xf numFmtId="1" fontId="91" fillId="0" borderId="83" xfId="428" applyNumberFormat="1" applyFont="1" applyFill="1" applyBorder="1" applyAlignment="1" applyProtection="1">
      <alignment horizontal="center" vertical="center"/>
      <protection locked="0"/>
    </xf>
    <xf numFmtId="173" fontId="55" fillId="0" borderId="371" xfId="429" applyNumberFormat="1" applyFont="1" applyFill="1" applyBorder="1" applyAlignment="1">
      <alignment vertical="center"/>
    </xf>
    <xf numFmtId="0" fontId="55" fillId="0" borderId="370" xfId="428" applyFont="1" applyFill="1" applyBorder="1" applyAlignment="1">
      <alignment vertical="center"/>
    </xf>
    <xf numFmtId="0" fontId="55" fillId="0" borderId="368" xfId="428" applyFont="1" applyFill="1" applyBorder="1" applyAlignment="1">
      <alignment horizontal="center" vertical="center"/>
    </xf>
    <xf numFmtId="0" fontId="55" fillId="0" borderId="367" xfId="428" applyFont="1" applyFill="1" applyBorder="1" applyAlignment="1">
      <alignment horizontal="center" vertical="center"/>
    </xf>
    <xf numFmtId="0" fontId="55" fillId="0" borderId="369" xfId="428" applyFont="1" applyFill="1" applyBorder="1" applyAlignment="1">
      <alignment horizontal="center" vertical="center"/>
    </xf>
    <xf numFmtId="0" fontId="55" fillId="0" borderId="370" xfId="428" applyFont="1" applyFill="1" applyBorder="1" applyAlignment="1">
      <alignment horizontal="center" vertical="center"/>
    </xf>
    <xf numFmtId="1" fontId="55" fillId="0" borderId="366" xfId="428" applyNumberFormat="1" applyFont="1" applyFill="1" applyBorder="1" applyAlignment="1">
      <alignment horizontal="center" vertical="center"/>
    </xf>
    <xf numFmtId="1" fontId="55" fillId="0" borderId="368" xfId="428" applyNumberFormat="1" applyFont="1" applyFill="1" applyBorder="1" applyAlignment="1">
      <alignment horizontal="center" vertical="center"/>
    </xf>
    <xf numFmtId="1" fontId="91" fillId="0" borderId="367" xfId="428" applyNumberFormat="1" applyFont="1" applyFill="1" applyBorder="1" applyAlignment="1" applyProtection="1">
      <alignment horizontal="center" vertical="center"/>
      <protection locked="0"/>
    </xf>
    <xf numFmtId="1" fontId="55" fillId="0" borderId="368" xfId="428" applyNumberFormat="1" applyFont="1" applyFill="1" applyBorder="1" applyAlignment="1" applyProtection="1">
      <alignment horizontal="center" vertical="center"/>
      <protection locked="0"/>
    </xf>
    <xf numFmtId="14" fontId="513" fillId="0" borderId="370" xfId="428" applyNumberFormat="1" applyFont="1" applyFill="1" applyBorder="1" applyAlignment="1">
      <alignment horizontal="left" vertical="center"/>
    </xf>
    <xf numFmtId="173" fontId="55" fillId="0" borderId="406" xfId="429" applyNumberFormat="1" applyFont="1" applyFill="1" applyBorder="1" applyAlignment="1">
      <alignment vertical="center"/>
    </xf>
    <xf numFmtId="0" fontId="55" fillId="0" borderId="406" xfId="428" applyFont="1" applyFill="1" applyBorder="1" applyAlignment="1">
      <alignment vertical="center"/>
    </xf>
    <xf numFmtId="0" fontId="55" fillId="0" borderId="406" xfId="428" applyFont="1" applyFill="1" applyBorder="1" applyAlignment="1">
      <alignment horizontal="center" vertical="center"/>
    </xf>
    <xf numFmtId="1" fontId="55" fillId="0" borderId="406" xfId="428" applyNumberFormat="1" applyFont="1" applyFill="1" applyBorder="1" applyAlignment="1">
      <alignment horizontal="center" vertical="center"/>
    </xf>
    <xf numFmtId="1" fontId="91" fillId="0" borderId="406" xfId="428" applyNumberFormat="1" applyFont="1" applyFill="1" applyBorder="1" applyAlignment="1" applyProtection="1">
      <alignment horizontal="center" vertical="center"/>
      <protection locked="0"/>
    </xf>
    <xf numFmtId="1" fontId="55" fillId="0" borderId="406" xfId="428" applyNumberFormat="1" applyFont="1" applyFill="1" applyBorder="1" applyAlignment="1" applyProtection="1">
      <alignment horizontal="center" vertical="center"/>
      <protection locked="0"/>
    </xf>
    <xf numFmtId="1" fontId="55" fillId="0" borderId="406" xfId="432" applyNumberFormat="1" applyFont="1" applyFill="1" applyBorder="1" applyAlignment="1" applyProtection="1">
      <alignment horizontal="center"/>
      <protection locked="0"/>
    </xf>
    <xf numFmtId="0" fontId="88" fillId="31" borderId="351" xfId="0" applyFont="1" applyFill="1" applyBorder="1"/>
    <xf numFmtId="20" fontId="516" fillId="0" borderId="379" xfId="428" applyNumberFormat="1" applyFont="1" applyFill="1" applyBorder="1" applyAlignment="1">
      <alignment vertical="center"/>
    </xf>
    <xf numFmtId="14" fontId="513" fillId="0" borderId="378" xfId="428" applyNumberFormat="1" applyFont="1" applyFill="1" applyBorder="1" applyAlignment="1">
      <alignment horizontal="left" vertical="center"/>
    </xf>
    <xf numFmtId="173" fontId="55" fillId="0" borderId="44" xfId="429" applyNumberFormat="1" applyFont="1" applyFill="1" applyBorder="1" applyAlignment="1">
      <alignment vertical="center"/>
    </xf>
    <xf numFmtId="0" fontId="55" fillId="0" borderId="44" xfId="428" applyFont="1" applyFill="1" applyBorder="1" applyAlignment="1">
      <alignment vertical="center"/>
    </xf>
    <xf numFmtId="1" fontId="55" fillId="0" borderId="47" xfId="428" applyNumberFormat="1" applyFont="1" applyFill="1" applyBorder="1" applyAlignment="1">
      <alignment horizontal="center" vertical="center"/>
    </xf>
    <xf numFmtId="1" fontId="91" fillId="0" borderId="0" xfId="428" applyNumberFormat="1" applyFont="1" applyFill="1" applyBorder="1" applyAlignment="1" applyProtection="1">
      <alignment horizontal="center" vertical="center"/>
      <protection locked="0"/>
    </xf>
    <xf numFmtId="1" fontId="55" fillId="0" borderId="44" xfId="428" applyNumberFormat="1" applyFont="1" applyFill="1" applyBorder="1" applyAlignment="1" applyProtection="1">
      <alignment horizontal="center" vertical="center"/>
      <protection locked="0"/>
    </xf>
    <xf numFmtId="20" fontId="516" fillId="0" borderId="597" xfId="428" applyNumberFormat="1" applyFont="1" applyFill="1" applyBorder="1" applyAlignment="1">
      <alignment vertical="center"/>
    </xf>
    <xf numFmtId="1" fontId="346" fillId="0" borderId="39" xfId="428" applyNumberFormat="1" applyFont="1" applyFill="1" applyBorder="1" applyAlignment="1">
      <alignment horizontal="center" vertical="center"/>
    </xf>
    <xf numFmtId="0" fontId="512" fillId="31" borderId="195" xfId="0" applyFont="1" applyFill="1" applyBorder="1"/>
    <xf numFmtId="20" fontId="516" fillId="0" borderId="234" xfId="428" applyNumberFormat="1" applyFont="1" applyFill="1" applyBorder="1" applyAlignment="1">
      <alignment vertical="center"/>
    </xf>
    <xf numFmtId="0" fontId="513" fillId="0" borderId="38" xfId="428" applyFont="1" applyFill="1" applyBorder="1" applyAlignment="1">
      <alignment horizontal="left" vertical="center"/>
    </xf>
    <xf numFmtId="0" fontId="55" fillId="0" borderId="39" xfId="428" applyFont="1" applyFill="1" applyBorder="1" applyAlignment="1">
      <alignment horizontal="left" vertical="center"/>
    </xf>
    <xf numFmtId="0" fontId="56" fillId="0" borderId="37" xfId="428" applyFont="1" applyFill="1" applyBorder="1" applyAlignment="1">
      <alignment vertical="center"/>
    </xf>
    <xf numFmtId="0" fontId="55" fillId="0" borderId="37" xfId="428" applyFont="1" applyFill="1" applyBorder="1" applyAlignment="1">
      <alignment vertical="center"/>
    </xf>
    <xf numFmtId="1" fontId="56" fillId="0" borderId="37" xfId="428" applyNumberFormat="1" applyFont="1" applyFill="1" applyBorder="1" applyAlignment="1">
      <alignment horizontal="center" vertical="center"/>
    </xf>
    <xf numFmtId="1" fontId="56" fillId="0" borderId="72" xfId="428" applyNumberFormat="1" applyFont="1" applyFill="1" applyBorder="1" applyAlignment="1">
      <alignment horizontal="center" vertical="center"/>
    </xf>
    <xf numFmtId="1" fontId="56" fillId="0" borderId="38" xfId="428" applyNumberFormat="1" applyFont="1" applyFill="1" applyBorder="1" applyAlignment="1">
      <alignment horizontal="center" vertical="center"/>
    </xf>
    <xf numFmtId="14" fontId="512" fillId="31" borderId="0" xfId="0" applyNumberFormat="1" applyFont="1" applyFill="1"/>
    <xf numFmtId="0" fontId="55" fillId="0" borderId="39" xfId="428" applyFont="1" applyFill="1" applyBorder="1" applyAlignment="1">
      <alignment vertical="center"/>
    </xf>
    <xf numFmtId="1" fontId="56" fillId="0" borderId="37" xfId="428" applyNumberFormat="1" applyFont="1" applyFill="1" applyBorder="1" applyAlignment="1">
      <alignment vertical="center"/>
    </xf>
    <xf numFmtId="0" fontId="91" fillId="0" borderId="37" xfId="0" applyFont="1" applyBorder="1"/>
    <xf numFmtId="0" fontId="56" fillId="0" borderId="38" xfId="428" applyFont="1" applyFill="1" applyBorder="1" applyAlignment="1">
      <alignment vertical="center"/>
    </xf>
    <xf numFmtId="0" fontId="56" fillId="0" borderId="239" xfId="428" applyFont="1" applyFill="1" applyBorder="1" applyAlignment="1">
      <alignment horizontal="center" vertical="center"/>
    </xf>
    <xf numFmtId="164" fontId="56" fillId="0" borderId="37" xfId="428" applyNumberFormat="1" applyFont="1" applyFill="1" applyBorder="1" applyAlignment="1">
      <alignment horizontal="center" vertical="center"/>
    </xf>
    <xf numFmtId="15" fontId="56" fillId="0" borderId="37" xfId="428" applyNumberFormat="1" applyFont="1" applyFill="1" applyBorder="1" applyAlignment="1">
      <alignment horizontal="left" vertical="center"/>
    </xf>
    <xf numFmtId="0" fontId="56" fillId="0" borderId="37" xfId="0" applyFont="1" applyFill="1" applyBorder="1" applyAlignment="1">
      <alignment vertical="center"/>
    </xf>
    <xf numFmtId="15" fontId="56" fillId="0" borderId="37" xfId="428" applyNumberFormat="1" applyFont="1" applyFill="1" applyBorder="1" applyAlignment="1">
      <alignment vertical="center"/>
    </xf>
    <xf numFmtId="0" fontId="56" fillId="0" borderId="37" xfId="428" applyFont="1" applyFill="1" applyBorder="1" applyAlignment="1">
      <alignment horizontal="center" vertical="center"/>
    </xf>
    <xf numFmtId="0" fontId="56" fillId="0" borderId="37" xfId="0" applyFont="1" applyFill="1" applyBorder="1" applyAlignment="1">
      <alignment horizontal="center" vertical="center"/>
    </xf>
    <xf numFmtId="0" fontId="56" fillId="0" borderId="38" xfId="0" applyFont="1" applyFill="1" applyBorder="1" applyAlignment="1">
      <alignment horizontal="center" vertical="center"/>
    </xf>
    <xf numFmtId="0" fontId="55" fillId="0" borderId="237" xfId="428" applyFont="1" applyFill="1" applyBorder="1" applyAlignment="1">
      <alignment horizontal="center" vertical="center"/>
    </xf>
    <xf numFmtId="0" fontId="55" fillId="0" borderId="137" xfId="428" applyFont="1" applyFill="1" applyBorder="1" applyAlignment="1">
      <alignment vertical="center"/>
    </xf>
    <xf numFmtId="0" fontId="55" fillId="0" borderId="81" xfId="428" applyFont="1" applyFill="1" applyBorder="1" applyAlignment="1">
      <alignment vertical="center"/>
    </xf>
    <xf numFmtId="0" fontId="55" fillId="0" borderId="81" xfId="0" applyFont="1" applyFill="1" applyBorder="1" applyAlignment="1">
      <alignment vertical="center"/>
    </xf>
    <xf numFmtId="165" fontId="56" fillId="0" borderId="81" xfId="428" applyNumberFormat="1" applyFont="1" applyFill="1" applyBorder="1" applyAlignment="1">
      <alignment horizontal="right" vertical="center"/>
    </xf>
    <xf numFmtId="167" fontId="56" fillId="0" borderId="81" xfId="428" applyNumberFormat="1" applyFont="1" applyFill="1" applyBorder="1" applyAlignment="1">
      <alignment horizontal="right" vertical="center"/>
    </xf>
    <xf numFmtId="0" fontId="55" fillId="0" borderId="234" xfId="428" applyFont="1" applyFill="1" applyBorder="1" applyAlignment="1">
      <alignment horizontal="center" vertical="center"/>
    </xf>
    <xf numFmtId="0" fontId="55" fillId="0" borderId="238" xfId="0" applyFont="1" applyFill="1" applyBorder="1" applyAlignment="1">
      <alignment vertical="center"/>
    </xf>
    <xf numFmtId="167" fontId="55" fillId="0" borderId="238" xfId="0" applyNumberFormat="1" applyFont="1" applyFill="1" applyBorder="1" applyAlignment="1">
      <alignment horizontal="center" vertical="center"/>
    </xf>
    <xf numFmtId="177" fontId="55" fillId="0" borderId="238" xfId="0" applyNumberFormat="1" applyFont="1" applyFill="1" applyBorder="1" applyAlignment="1">
      <alignment vertical="center"/>
    </xf>
    <xf numFmtId="167" fontId="56" fillId="0" borderId="238" xfId="0" applyNumberFormat="1" applyFont="1" applyFill="1" applyBorder="1" applyAlignment="1">
      <alignment horizontal="center" vertical="center"/>
    </xf>
    <xf numFmtId="0" fontId="56" fillId="0" borderId="106" xfId="0" applyFont="1" applyFill="1" applyBorder="1" applyAlignment="1">
      <alignment vertical="center"/>
    </xf>
    <xf numFmtId="0" fontId="55" fillId="0" borderId="128" xfId="428" applyFont="1" applyFill="1" applyBorder="1" applyAlignment="1">
      <alignment horizontal="center" vertical="center"/>
    </xf>
    <xf numFmtId="0" fontId="55" fillId="0" borderId="129" xfId="428" applyFont="1" applyFill="1" applyBorder="1" applyAlignment="1">
      <alignment vertical="center"/>
    </xf>
    <xf numFmtId="0" fontId="55" fillId="0" borderId="82" xfId="428" applyFont="1" applyFill="1" applyBorder="1" applyAlignment="1">
      <alignment vertical="center"/>
    </xf>
    <xf numFmtId="0" fontId="55" fillId="0" borderId="82" xfId="0" applyFont="1" applyFill="1" applyBorder="1" applyAlignment="1">
      <alignment vertical="center"/>
    </xf>
    <xf numFmtId="165" fontId="56" fillId="0" borderId="82" xfId="428" applyNumberFormat="1" applyFont="1" applyFill="1" applyBorder="1" applyAlignment="1">
      <alignment horizontal="right" vertical="center"/>
    </xf>
    <xf numFmtId="167" fontId="56" fillId="0" borderId="82" xfId="428" applyNumberFormat="1" applyFont="1" applyFill="1" applyBorder="1" applyAlignment="1">
      <alignment horizontal="right" vertical="center"/>
    </xf>
    <xf numFmtId="0" fontId="55" fillId="0" borderId="130" xfId="428" applyFont="1" applyFill="1" applyBorder="1" applyAlignment="1">
      <alignment vertical="center"/>
    </xf>
    <xf numFmtId="0" fontId="55" fillId="0" borderId="130" xfId="0" applyFont="1" applyFill="1" applyBorder="1" applyAlignment="1">
      <alignment vertical="center"/>
    </xf>
    <xf numFmtId="1" fontId="55" fillId="0" borderId="130" xfId="428" applyNumberFormat="1" applyFont="1" applyFill="1" applyBorder="1" applyAlignment="1">
      <alignment horizontal="center" vertical="center"/>
    </xf>
    <xf numFmtId="165" fontId="56" fillId="0" borderId="130" xfId="428" applyNumberFormat="1" applyFont="1" applyFill="1" applyBorder="1" applyAlignment="1">
      <alignment horizontal="center" vertical="center"/>
    </xf>
    <xf numFmtId="0" fontId="56" fillId="0" borderId="110" xfId="428" applyFont="1" applyFill="1" applyBorder="1" applyAlignment="1">
      <alignment horizontal="center" vertical="center"/>
    </xf>
    <xf numFmtId="1" fontId="56" fillId="0" borderId="130" xfId="428" applyNumberFormat="1" applyFont="1" applyFill="1" applyBorder="1" applyAlignment="1">
      <alignment horizontal="center" vertical="center"/>
    </xf>
    <xf numFmtId="0" fontId="55" fillId="0" borderId="131" xfId="428" applyFont="1" applyFill="1" applyBorder="1" applyAlignment="1">
      <alignment horizontal="center" vertical="center"/>
    </xf>
    <xf numFmtId="0" fontId="55" fillId="0" borderId="427" xfId="428" applyFont="1" applyFill="1" applyBorder="1" applyAlignment="1">
      <alignment vertical="center"/>
    </xf>
    <xf numFmtId="0" fontId="55" fillId="0" borderId="83" xfId="428" applyFont="1" applyFill="1" applyBorder="1" applyAlignment="1">
      <alignment vertical="center"/>
    </xf>
    <xf numFmtId="0" fontId="55" fillId="0" borderId="83" xfId="0" applyFont="1" applyFill="1" applyBorder="1" applyAlignment="1">
      <alignment vertical="center"/>
    </xf>
    <xf numFmtId="165" fontId="56" fillId="0" borderId="83" xfId="428" applyNumberFormat="1" applyFont="1" applyFill="1" applyBorder="1" applyAlignment="1">
      <alignment horizontal="right" vertical="center"/>
    </xf>
    <xf numFmtId="167" fontId="56" fillId="0" borderId="83" xfId="428" applyNumberFormat="1" applyFont="1" applyFill="1" applyBorder="1" applyAlignment="1">
      <alignment horizontal="right" vertical="center"/>
    </xf>
    <xf numFmtId="0" fontId="55" fillId="0" borderId="253" xfId="428" applyFont="1" applyFill="1" applyBorder="1" applyAlignment="1">
      <alignment horizontal="center" vertical="center"/>
    </xf>
    <xf numFmtId="0" fontId="55" fillId="0" borderId="205" xfId="428" applyFont="1" applyFill="1" applyBorder="1" applyAlignment="1">
      <alignment vertical="center"/>
    </xf>
    <xf numFmtId="0" fontId="55" fillId="0" borderId="205" xfId="0" applyFont="1" applyFill="1" applyBorder="1" applyAlignment="1">
      <alignment vertical="center"/>
    </xf>
    <xf numFmtId="1" fontId="55" fillId="0" borderId="205" xfId="428" applyNumberFormat="1" applyFont="1" applyFill="1" applyBorder="1" applyAlignment="1">
      <alignment horizontal="left" vertical="center"/>
    </xf>
    <xf numFmtId="1" fontId="56" fillId="0" borderId="205" xfId="428" applyNumberFormat="1" applyFont="1" applyFill="1" applyBorder="1" applyAlignment="1">
      <alignment horizontal="center" vertical="center"/>
    </xf>
    <xf numFmtId="0" fontId="56" fillId="0" borderId="116" xfId="0" applyFont="1" applyFill="1" applyBorder="1" applyAlignment="1">
      <alignment vertical="center"/>
    </xf>
    <xf numFmtId="0" fontId="55" fillId="0" borderId="241" xfId="428" applyFont="1" applyFill="1" applyBorder="1" applyAlignment="1">
      <alignment horizontal="center" vertical="center"/>
    </xf>
    <xf numFmtId="0" fontId="55" fillId="0" borderId="428" xfId="428" applyFont="1" applyFill="1" applyBorder="1" applyAlignment="1">
      <alignment vertical="center"/>
    </xf>
    <xf numFmtId="177" fontId="56" fillId="0" borderId="175" xfId="0" applyNumberFormat="1" applyFont="1" applyFill="1" applyBorder="1" applyAlignment="1">
      <alignment vertical="center"/>
    </xf>
    <xf numFmtId="0" fontId="56" fillId="0" borderId="175" xfId="436" applyFont="1" applyFill="1" applyBorder="1" applyAlignment="1">
      <alignment horizontal="left" vertical="center"/>
    </xf>
    <xf numFmtId="0" fontId="55" fillId="0" borderId="175" xfId="436" applyFont="1" applyFill="1" applyBorder="1" applyAlignment="1">
      <alignment horizontal="left" vertical="center"/>
    </xf>
    <xf numFmtId="177" fontId="55" fillId="0" borderId="175" xfId="428" applyNumberFormat="1" applyFont="1" applyFill="1" applyBorder="1" applyAlignment="1">
      <alignment horizontal="right" vertical="center"/>
    </xf>
    <xf numFmtId="0" fontId="55" fillId="0" borderId="85" xfId="428" applyFont="1" applyFill="1" applyBorder="1" applyAlignment="1">
      <alignment vertical="center"/>
    </xf>
    <xf numFmtId="0" fontId="55" fillId="0" borderId="175" xfId="0" applyFont="1" applyFill="1" applyBorder="1" applyAlignment="1">
      <alignment vertical="center"/>
    </xf>
    <xf numFmtId="0" fontId="55" fillId="0" borderId="175" xfId="428" applyFont="1" applyFill="1" applyBorder="1" applyAlignment="1">
      <alignment vertical="center"/>
    </xf>
    <xf numFmtId="0" fontId="55" fillId="0" borderId="46" xfId="0" applyFont="1" applyFill="1" applyBorder="1" applyAlignment="1">
      <alignment vertical="center"/>
    </xf>
    <xf numFmtId="20" fontId="55" fillId="0" borderId="85" xfId="428" applyNumberFormat="1" applyFont="1" applyFill="1" applyBorder="1" applyAlignment="1">
      <alignment vertical="center"/>
    </xf>
    <xf numFmtId="14" fontId="512" fillId="31" borderId="85" xfId="0" applyNumberFormat="1" applyFont="1" applyFill="1" applyBorder="1" applyAlignment="1">
      <alignment vertical="center"/>
    </xf>
    <xf numFmtId="20" fontId="516" fillId="0" borderId="46" xfId="428" applyNumberFormat="1" applyFont="1" applyFill="1" applyBorder="1" applyAlignment="1">
      <alignment vertical="center"/>
    </xf>
    <xf numFmtId="0" fontId="55" fillId="0" borderId="133" xfId="436" applyFont="1" applyFill="1" applyBorder="1" applyAlignment="1">
      <alignment vertical="center"/>
    </xf>
    <xf numFmtId="0" fontId="55" fillId="0" borderId="388" xfId="436" applyFont="1" applyFill="1" applyBorder="1" applyAlignment="1">
      <alignment vertical="center"/>
    </xf>
    <xf numFmtId="185" fontId="55" fillId="0" borderId="0" xfId="436" applyNumberFormat="1" applyFont="1" applyFill="1" applyBorder="1" applyAlignment="1">
      <alignment horizontal="right" vertical="center"/>
    </xf>
    <xf numFmtId="0" fontId="55" fillId="0" borderId="0" xfId="0" applyFont="1" applyFill="1" applyBorder="1" applyAlignment="1">
      <alignment horizontal="left" vertical="center"/>
    </xf>
    <xf numFmtId="177" fontId="55" fillId="0" borderId="0" xfId="436" applyNumberFormat="1" applyFont="1" applyFill="1" applyBorder="1" applyAlignment="1">
      <alignment horizontal="right" vertical="center"/>
    </xf>
    <xf numFmtId="0" fontId="55" fillId="0" borderId="47" xfId="0" applyFont="1" applyFill="1" applyBorder="1" applyAlignment="1">
      <alignment vertical="center"/>
    </xf>
    <xf numFmtId="0" fontId="55" fillId="0" borderId="258" xfId="0" applyFont="1" applyFill="1" applyBorder="1" applyAlignment="1">
      <alignment vertical="center"/>
    </xf>
    <xf numFmtId="20" fontId="55" fillId="0" borderId="47" xfId="428" applyNumberFormat="1" applyFont="1" applyFill="1" applyBorder="1" applyAlignment="1">
      <alignment horizontal="left" vertical="center"/>
    </xf>
    <xf numFmtId="1" fontId="55" fillId="0" borderId="48" xfId="428" applyNumberFormat="1" applyFont="1" applyFill="1" applyBorder="1" applyAlignment="1">
      <alignment horizontal="center" vertical="center"/>
    </xf>
    <xf numFmtId="0" fontId="55" fillId="0" borderId="242" xfId="436" applyFont="1" applyFill="1" applyBorder="1" applyAlignment="1">
      <alignment vertical="center"/>
    </xf>
    <xf numFmtId="0" fontId="55" fillId="0" borderId="430" xfId="436" applyFont="1" applyFill="1" applyBorder="1" applyAlignment="1">
      <alignment vertical="center"/>
    </xf>
    <xf numFmtId="177" fontId="55" fillId="0" borderId="154" xfId="436" applyNumberFormat="1" applyFont="1" applyFill="1" applyBorder="1" applyAlignment="1">
      <alignment horizontal="right" vertical="center"/>
    </xf>
    <xf numFmtId="0" fontId="55" fillId="0" borderId="154" xfId="0" applyFont="1" applyFill="1" applyBorder="1" applyAlignment="1">
      <alignment vertical="center"/>
    </xf>
    <xf numFmtId="0" fontId="55" fillId="0" borderId="154" xfId="436" applyFont="1" applyFill="1" applyBorder="1" applyAlignment="1">
      <alignment horizontal="left" vertical="center"/>
    </xf>
    <xf numFmtId="0" fontId="55" fillId="0" borderId="154" xfId="0" applyFont="1" applyFill="1" applyBorder="1" applyAlignment="1">
      <alignment horizontal="left" vertical="center"/>
    </xf>
    <xf numFmtId="0" fontId="55" fillId="0" borderId="155" xfId="428" applyFont="1" applyFill="1" applyBorder="1" applyAlignment="1">
      <alignment vertical="center"/>
    </xf>
    <xf numFmtId="0" fontId="55" fillId="0" borderId="240" xfId="0" applyFont="1" applyFill="1" applyBorder="1" applyAlignment="1">
      <alignment vertical="center"/>
    </xf>
    <xf numFmtId="0" fontId="55" fillId="0" borderId="134" xfId="0" applyFont="1" applyFill="1" applyBorder="1" applyAlignment="1">
      <alignment vertical="center"/>
    </xf>
    <xf numFmtId="0" fontId="55" fillId="0" borderId="134" xfId="0" applyFont="1" applyFill="1" applyBorder="1" applyAlignment="1">
      <alignment horizontal="center" vertical="center"/>
    </xf>
    <xf numFmtId="0" fontId="55" fillId="0" borderId="135" xfId="0" applyFont="1" applyFill="1" applyBorder="1" applyAlignment="1">
      <alignment vertical="center"/>
    </xf>
    <xf numFmtId="0" fontId="55" fillId="0" borderId="202" xfId="0" applyFont="1" applyFill="1" applyBorder="1" applyAlignment="1">
      <alignment vertical="center"/>
    </xf>
    <xf numFmtId="0" fontId="55" fillId="0" borderId="204" xfId="0" applyFont="1" applyFill="1" applyBorder="1" applyAlignment="1">
      <alignment vertical="center"/>
    </xf>
    <xf numFmtId="20" fontId="55" fillId="0" borderId="206" xfId="428" applyNumberFormat="1" applyFont="1" applyFill="1" applyBorder="1" applyAlignment="1">
      <alignment horizontal="right" vertical="center"/>
    </xf>
    <xf numFmtId="0" fontId="55" fillId="0" borderId="136" xfId="0" applyFont="1" applyFill="1" applyBorder="1" applyAlignment="1">
      <alignment vertical="center"/>
    </xf>
    <xf numFmtId="1" fontId="55" fillId="0" borderId="207" xfId="428" applyNumberFormat="1" applyFont="1" applyFill="1" applyBorder="1" applyAlignment="1">
      <alignment horizontal="center" vertical="center"/>
    </xf>
    <xf numFmtId="0" fontId="55" fillId="0" borderId="241" xfId="0" applyFont="1" applyFill="1" applyBorder="1" applyAlignment="1">
      <alignment horizontal="center" vertical="center"/>
    </xf>
    <xf numFmtId="0" fontId="55" fillId="0" borderId="429" xfId="0" applyFont="1" applyFill="1" applyBorder="1" applyAlignment="1">
      <alignment vertical="center"/>
    </xf>
    <xf numFmtId="0" fontId="55" fillId="0" borderId="249" xfId="0" applyFont="1" applyFill="1" applyBorder="1" applyAlignment="1">
      <alignment vertical="center"/>
    </xf>
    <xf numFmtId="0" fontId="55" fillId="0" borderId="250" xfId="0" applyFont="1" applyFill="1" applyBorder="1" applyAlignment="1">
      <alignment vertical="center"/>
    </xf>
    <xf numFmtId="1" fontId="55" fillId="0" borderId="246" xfId="0" applyNumberFormat="1" applyFont="1" applyFill="1" applyBorder="1" applyAlignment="1">
      <alignment horizontal="center" vertical="center"/>
    </xf>
    <xf numFmtId="0" fontId="55" fillId="0" borderId="246" xfId="0" applyFont="1" applyFill="1" applyBorder="1" applyAlignment="1">
      <alignment horizontal="right" vertical="center"/>
    </xf>
    <xf numFmtId="1" fontId="55" fillId="0" borderId="246" xfId="0" applyNumberFormat="1" applyFont="1" applyFill="1" applyBorder="1" applyAlignment="1">
      <alignment horizontal="right" vertical="center"/>
    </xf>
    <xf numFmtId="0" fontId="55" fillId="0" borderId="234" xfId="0" applyFont="1" applyFill="1" applyBorder="1" applyAlignment="1">
      <alignment horizontal="left" vertical="center"/>
    </xf>
    <xf numFmtId="0" fontId="55" fillId="0" borderId="243" xfId="428" applyFont="1" applyFill="1" applyBorder="1" applyAlignment="1">
      <alignment vertical="center"/>
    </xf>
    <xf numFmtId="1" fontId="55" fillId="0" borderId="125" xfId="428" applyNumberFormat="1" applyFont="1" applyFill="1" applyBorder="1" applyAlignment="1">
      <alignment horizontal="center" vertical="center"/>
    </xf>
    <xf numFmtId="1" fontId="55" fillId="0" borderId="138" xfId="428" applyNumberFormat="1" applyFont="1" applyFill="1" applyBorder="1" applyAlignment="1">
      <alignment horizontal="center" vertical="center"/>
    </xf>
    <xf numFmtId="0" fontId="55" fillId="0" borderId="201" xfId="428" applyNumberFormat="1" applyFont="1" applyFill="1" applyBorder="1" applyAlignment="1">
      <alignment horizontal="center" vertical="center"/>
    </xf>
    <xf numFmtId="20" fontId="519" fillId="0" borderId="125" xfId="0" applyNumberFormat="1" applyFont="1" applyFill="1" applyBorder="1" applyAlignment="1">
      <alignment horizontal="left" vertical="center"/>
    </xf>
    <xf numFmtId="20" fontId="55" fillId="0" borderId="47" xfId="428" applyNumberFormat="1" applyFont="1" applyFill="1" applyBorder="1" applyAlignment="1">
      <alignment horizontal="center" vertical="center"/>
    </xf>
    <xf numFmtId="0" fontId="55" fillId="0" borderId="124" xfId="0" applyFont="1" applyFill="1" applyBorder="1" applyAlignment="1">
      <alignment vertical="center"/>
    </xf>
    <xf numFmtId="1" fontId="55" fillId="0" borderId="208" xfId="428" applyNumberFormat="1" applyFont="1" applyFill="1" applyBorder="1" applyAlignment="1">
      <alignment horizontal="center" vertical="center"/>
    </xf>
    <xf numFmtId="0" fontId="55" fillId="0" borderId="133" xfId="0" applyFont="1" applyFill="1" applyBorder="1" applyAlignment="1">
      <alignment horizontal="center" vertical="center"/>
    </xf>
    <xf numFmtId="0" fontId="55" fillId="0" borderId="139" xfId="0" applyFont="1" applyFill="1" applyBorder="1" applyAlignment="1">
      <alignment vertical="center"/>
    </xf>
    <xf numFmtId="2" fontId="55" fillId="0" borderId="132" xfId="0" applyNumberFormat="1" applyFont="1" applyFill="1" applyBorder="1" applyAlignment="1">
      <alignment horizontal="left" vertical="center"/>
    </xf>
    <xf numFmtId="0" fontId="55" fillId="0" borderId="203" xfId="0" applyFont="1" applyFill="1" applyBorder="1" applyAlignment="1">
      <alignment vertical="center"/>
    </xf>
    <xf numFmtId="0" fontId="56" fillId="0" borderId="82" xfId="0" applyFont="1" applyFill="1" applyBorder="1" applyAlignment="1">
      <alignment vertical="center"/>
    </xf>
    <xf numFmtId="1" fontId="55" fillId="0" borderId="82" xfId="0" quotePrefix="1" applyNumberFormat="1" applyFont="1" applyFill="1" applyBorder="1" applyAlignment="1">
      <alignment horizontal="right" vertical="center"/>
    </xf>
    <xf numFmtId="0" fontId="55" fillId="0" borderId="110" xfId="0" applyFont="1" applyFill="1" applyBorder="1" applyAlignment="1">
      <alignment horizontal="left" vertical="center"/>
    </xf>
    <xf numFmtId="20" fontId="55" fillId="0" borderId="109" xfId="428" applyNumberFormat="1" applyFont="1" applyFill="1" applyBorder="1" applyAlignment="1">
      <alignment horizontal="center" vertical="center"/>
    </xf>
    <xf numFmtId="0" fontId="55" fillId="0" borderId="120" xfId="0" applyFont="1" applyFill="1" applyBorder="1" applyAlignment="1">
      <alignment vertical="center"/>
    </xf>
    <xf numFmtId="1" fontId="55" fillId="0" borderId="208" xfId="428" quotePrefix="1" applyNumberFormat="1" applyFont="1" applyFill="1" applyBorder="1" applyAlignment="1">
      <alignment horizontal="center" vertical="center"/>
    </xf>
    <xf numFmtId="0" fontId="55" fillId="0" borderId="242" xfId="0" applyFont="1" applyFill="1" applyBorder="1" applyAlignment="1">
      <alignment horizontal="center" vertical="center"/>
    </xf>
    <xf numFmtId="2" fontId="55" fillId="0" borderId="251" xfId="0" applyNumberFormat="1" applyFont="1" applyFill="1" applyBorder="1" applyAlignment="1">
      <alignment vertical="center"/>
    </xf>
    <xf numFmtId="2" fontId="55" fillId="0" borderId="252" xfId="0" applyNumberFormat="1" applyFont="1" applyFill="1" applyBorder="1" applyAlignment="1">
      <alignment vertical="center"/>
    </xf>
    <xf numFmtId="0" fontId="55" fillId="0" borderId="248" xfId="0" applyFont="1" applyFill="1" applyBorder="1" applyAlignment="1">
      <alignment vertical="center"/>
    </xf>
    <xf numFmtId="0" fontId="55" fillId="0" borderId="215" xfId="0" applyFont="1" applyFill="1" applyBorder="1" applyAlignment="1">
      <alignment vertical="center"/>
    </xf>
    <xf numFmtId="0" fontId="56" fillId="0" borderId="215" xfId="0" applyFont="1" applyFill="1" applyBorder="1" applyAlignment="1">
      <alignment vertical="center"/>
    </xf>
    <xf numFmtId="1" fontId="56" fillId="0" borderId="215" xfId="0" applyNumberFormat="1" applyFont="1" applyFill="1" applyBorder="1" applyAlignment="1">
      <alignment horizontal="right" vertical="center"/>
    </xf>
    <xf numFmtId="0" fontId="55" fillId="0" borderId="253" xfId="0" applyFont="1" applyFill="1" applyBorder="1" applyAlignment="1">
      <alignment horizontal="left" vertical="center"/>
    </xf>
    <xf numFmtId="0" fontId="55" fillId="0" borderId="233" xfId="0" applyFont="1" applyFill="1" applyBorder="1" applyAlignment="1">
      <alignment horizontal="center" vertical="center"/>
    </xf>
    <xf numFmtId="0" fontId="55" fillId="0" borderId="245" xfId="428" applyFont="1" applyFill="1" applyBorder="1" applyAlignment="1">
      <alignment vertical="center"/>
    </xf>
    <xf numFmtId="0" fontId="55" fillId="0" borderId="246" xfId="428" applyFont="1" applyFill="1" applyBorder="1" applyAlignment="1">
      <alignment vertical="center"/>
    </xf>
    <xf numFmtId="0" fontId="513" fillId="0" borderId="246" xfId="0" applyFont="1" applyFill="1" applyBorder="1" applyAlignment="1">
      <alignment horizontal="center" vertical="center"/>
    </xf>
    <xf numFmtId="0" fontId="513" fillId="0" borderId="246" xfId="0" applyNumberFormat="1" applyFont="1" applyFill="1" applyBorder="1" applyAlignment="1">
      <alignment horizontal="center" vertical="center"/>
    </xf>
    <xf numFmtId="0" fontId="55" fillId="0" borderId="246" xfId="0" applyFont="1" applyFill="1" applyBorder="1" applyAlignment="1">
      <alignment horizontal="left" vertical="center"/>
    </xf>
    <xf numFmtId="177" fontId="56" fillId="0" borderId="246" xfId="0" applyNumberFormat="1" applyFont="1" applyFill="1" applyBorder="1" applyAlignment="1">
      <alignment vertical="center"/>
    </xf>
    <xf numFmtId="0" fontId="56" fillId="0" borderId="234" xfId="0" applyFont="1" applyFill="1" applyBorder="1" applyAlignment="1">
      <alignment vertical="center"/>
    </xf>
    <xf numFmtId="0" fontId="55" fillId="0" borderId="133" xfId="428" applyFont="1" applyFill="1" applyBorder="1" applyAlignment="1">
      <alignment horizontal="center" vertical="center"/>
    </xf>
    <xf numFmtId="1" fontId="55" fillId="0" borderId="82" xfId="428" applyNumberFormat="1" applyFont="1" applyFill="1" applyBorder="1" applyAlignment="1">
      <alignment horizontal="left" vertical="center"/>
    </xf>
    <xf numFmtId="0" fontId="55" fillId="0" borderId="82" xfId="428" applyFont="1" applyFill="1" applyBorder="1" applyAlignment="1">
      <alignment horizontal="left" vertical="center"/>
    </xf>
    <xf numFmtId="1" fontId="55" fillId="0" borderId="110" xfId="428" applyNumberFormat="1" applyFont="1" applyFill="1" applyBorder="1" applyAlignment="1">
      <alignment horizontal="left" vertical="center"/>
    </xf>
    <xf numFmtId="1" fontId="55" fillId="0" borderId="82" xfId="0" applyNumberFormat="1" applyFont="1" applyFill="1" applyBorder="1" applyAlignment="1">
      <alignment horizontal="left" vertical="center"/>
    </xf>
    <xf numFmtId="1" fontId="55" fillId="0" borderId="110" xfId="0" applyNumberFormat="1" applyFont="1" applyFill="1" applyBorder="1" applyAlignment="1">
      <alignment horizontal="left" vertical="center"/>
    </xf>
    <xf numFmtId="0" fontId="55" fillId="0" borderId="144" xfId="428" applyFont="1" applyFill="1" applyBorder="1" applyAlignment="1">
      <alignment horizontal="center" vertical="center"/>
    </xf>
    <xf numFmtId="177" fontId="56" fillId="0" borderId="81" xfId="428" applyNumberFormat="1" applyFont="1" applyFill="1" applyBorder="1" applyAlignment="1">
      <alignment horizontal="center" vertical="center"/>
    </xf>
    <xf numFmtId="0" fontId="55" fillId="0" borderId="106" xfId="0" applyFont="1" applyFill="1" applyBorder="1" applyAlignment="1">
      <alignment vertical="center"/>
    </xf>
    <xf numFmtId="1" fontId="56" fillId="0" borderId="82" xfId="428" quotePrefix="1" applyNumberFormat="1" applyFont="1" applyFill="1" applyBorder="1" applyAlignment="1">
      <alignment horizontal="right" vertical="center"/>
    </xf>
    <xf numFmtId="20" fontId="56" fillId="0" borderId="82" xfId="428" applyNumberFormat="1" applyFont="1" applyFill="1" applyBorder="1" applyAlignment="1">
      <alignment horizontal="right" vertical="center"/>
    </xf>
    <xf numFmtId="0" fontId="55" fillId="0" borderId="110" xfId="428" applyFont="1" applyFill="1" applyBorder="1" applyAlignment="1">
      <alignment horizontal="left" vertical="center"/>
    </xf>
    <xf numFmtId="0" fontId="55" fillId="0" borderId="145" xfId="428" applyFont="1" applyFill="1" applyBorder="1" applyAlignment="1">
      <alignment horizontal="center" vertical="center"/>
    </xf>
    <xf numFmtId="0" fontId="55" fillId="0" borderId="146" xfId="428" applyFont="1" applyFill="1" applyBorder="1" applyAlignment="1">
      <alignment vertical="center"/>
    </xf>
    <xf numFmtId="0" fontId="55" fillId="0" borderId="121" xfId="428" applyFont="1" applyFill="1" applyBorder="1" applyAlignment="1">
      <alignment vertical="center"/>
    </xf>
    <xf numFmtId="0" fontId="55" fillId="0" borderId="121" xfId="0" applyFont="1" applyFill="1" applyBorder="1" applyAlignment="1">
      <alignment vertical="center"/>
    </xf>
    <xf numFmtId="1" fontId="56" fillId="0" borderId="121" xfId="436" applyNumberFormat="1" applyFont="1" applyFill="1" applyBorder="1" applyAlignment="1">
      <alignment horizontal="right" vertical="center"/>
    </xf>
    <xf numFmtId="20" fontId="56" fillId="0" borderId="121" xfId="428" quotePrefix="1" applyNumberFormat="1" applyFont="1" applyFill="1" applyBorder="1" applyAlignment="1">
      <alignment horizontal="right" vertical="center"/>
    </xf>
    <xf numFmtId="0" fontId="55" fillId="0" borderId="247" xfId="428" applyFont="1" applyFill="1" applyBorder="1" applyAlignment="1">
      <alignment horizontal="left" vertical="center"/>
    </xf>
    <xf numFmtId="0" fontId="55" fillId="0" borderId="147" xfId="0" applyFont="1" applyFill="1" applyBorder="1" applyAlignment="1">
      <alignment vertical="center"/>
    </xf>
    <xf numFmtId="0" fontId="55" fillId="0" borderId="242" xfId="428" applyFont="1" applyFill="1" applyBorder="1" applyAlignment="1">
      <alignment horizontal="center" vertical="center"/>
    </xf>
    <xf numFmtId="0" fontId="55" fillId="0" borderId="248" xfId="428" applyFont="1" applyFill="1" applyBorder="1" applyAlignment="1">
      <alignment vertical="center"/>
    </xf>
    <xf numFmtId="0" fontId="55" fillId="0" borderId="154" xfId="428" applyFont="1" applyFill="1" applyBorder="1" applyAlignment="1">
      <alignment vertical="center"/>
    </xf>
    <xf numFmtId="0" fontId="82" fillId="0" borderId="154" xfId="428" applyFont="1" applyFill="1" applyBorder="1" applyAlignment="1">
      <alignment vertical="center"/>
    </xf>
    <xf numFmtId="0" fontId="82" fillId="0" borderId="101" xfId="0" applyNumberFormat="1" applyFont="1" applyFill="1" applyBorder="1" applyAlignment="1" applyProtection="1">
      <alignment horizontal="center" vertical="center"/>
    </xf>
    <xf numFmtId="0" fontId="55" fillId="0" borderId="155" xfId="0" applyFont="1" applyFill="1" applyBorder="1" applyAlignment="1">
      <alignment vertical="center"/>
    </xf>
    <xf numFmtId="165" fontId="56" fillId="0" borderId="244" xfId="428" applyNumberFormat="1" applyFont="1" applyFill="1" applyBorder="1" applyAlignment="1">
      <alignment horizontal="left" vertical="center"/>
    </xf>
    <xf numFmtId="1" fontId="56" fillId="0" borderId="0" xfId="0" applyNumberFormat="1" applyFont="1" applyFill="1" applyBorder="1" applyAlignment="1">
      <alignment horizontal="center" vertical="center"/>
    </xf>
    <xf numFmtId="0" fontId="56" fillId="0" borderId="209" xfId="0" applyFont="1" applyFill="1" applyBorder="1" applyAlignment="1">
      <alignment vertical="center"/>
    </xf>
    <xf numFmtId="20" fontId="56" fillId="0" borderId="210" xfId="428" quotePrefix="1" applyNumberFormat="1" applyFont="1" applyFill="1" applyBorder="1" applyAlignment="1">
      <alignment horizontal="right" vertical="center"/>
    </xf>
    <xf numFmtId="0" fontId="56" fillId="0" borderId="211" xfId="0" applyFont="1" applyFill="1" applyBorder="1" applyAlignment="1">
      <alignment vertical="center"/>
    </xf>
    <xf numFmtId="1" fontId="56" fillId="0" borderId="212" xfId="428" quotePrefix="1" applyNumberFormat="1" applyFont="1" applyFill="1" applyBorder="1" applyAlignment="1">
      <alignment horizontal="center" vertical="center"/>
    </xf>
    <xf numFmtId="0" fontId="55" fillId="0" borderId="254" xfId="428" applyFont="1" applyFill="1" applyBorder="1" applyAlignment="1">
      <alignment vertical="center"/>
    </xf>
    <xf numFmtId="15" fontId="56" fillId="0" borderId="175" xfId="428" applyNumberFormat="1" applyFont="1" applyFill="1" applyBorder="1" applyAlignment="1">
      <alignment horizontal="left" vertical="center"/>
    </xf>
    <xf numFmtId="0" fontId="55" fillId="0" borderId="175" xfId="0" applyFont="1" applyFill="1" applyBorder="1" applyAlignment="1">
      <alignment horizontal="center" vertical="center"/>
    </xf>
    <xf numFmtId="14" fontId="56" fillId="0" borderId="175" xfId="501" applyNumberFormat="1" applyFont="1" applyFill="1" applyBorder="1" applyAlignment="1">
      <alignment horizontal="center" vertical="center"/>
    </xf>
    <xf numFmtId="0" fontId="82" fillId="0" borderId="175" xfId="436" applyFont="1" applyFill="1" applyBorder="1" applyAlignment="1">
      <alignment vertical="center"/>
    </xf>
    <xf numFmtId="0" fontId="82" fillId="0" borderId="37" xfId="0" applyNumberFormat="1" applyFont="1" applyFill="1" applyBorder="1" applyAlignment="1" applyProtection="1">
      <alignment horizontal="center" vertical="center"/>
    </xf>
    <xf numFmtId="0" fontId="55" fillId="0" borderId="175" xfId="436" applyFont="1" applyFill="1" applyBorder="1" applyAlignment="1">
      <alignment vertical="center"/>
    </xf>
    <xf numFmtId="0" fontId="55" fillId="0" borderId="46" xfId="436" applyFont="1" applyFill="1" applyBorder="1" applyAlignment="1">
      <alignment vertical="center"/>
    </xf>
    <xf numFmtId="0" fontId="55" fillId="0" borderId="257" xfId="0" applyFont="1" applyFill="1" applyBorder="1" applyAlignment="1">
      <alignment vertical="center"/>
    </xf>
    <xf numFmtId="0" fontId="55" fillId="0" borderId="37" xfId="0" applyFont="1" applyFill="1" applyBorder="1" applyAlignment="1">
      <alignment vertical="center"/>
    </xf>
    <xf numFmtId="14" fontId="55" fillId="0" borderId="37" xfId="501" applyNumberFormat="1" applyFont="1" applyFill="1" applyBorder="1" applyAlignment="1">
      <alignment horizontal="center" vertical="center"/>
    </xf>
    <xf numFmtId="0" fontId="55" fillId="0" borderId="37" xfId="0" applyFont="1" applyFill="1" applyBorder="1" applyAlignment="1">
      <alignment horizontal="center" vertical="center"/>
    </xf>
    <xf numFmtId="1" fontId="55" fillId="0" borderId="37" xfId="428" applyNumberFormat="1" applyFont="1" applyFill="1" applyBorder="1" applyAlignment="1">
      <alignment horizontal="center" vertical="center"/>
    </xf>
    <xf numFmtId="0" fontId="55" fillId="0" borderId="37" xfId="436" applyFont="1" applyFill="1" applyBorder="1" applyAlignment="1">
      <alignment vertical="center"/>
    </xf>
    <xf numFmtId="0" fontId="55" fillId="0" borderId="38" xfId="436" applyFont="1" applyFill="1" applyBorder="1" applyAlignment="1">
      <alignment vertical="center"/>
    </xf>
    <xf numFmtId="0" fontId="55" fillId="0" borderId="255" xfId="428" applyFont="1" applyFill="1" applyBorder="1" applyAlignment="1">
      <alignment horizontal="center" vertical="center"/>
    </xf>
    <xf numFmtId="0" fontId="55" fillId="0" borderId="81" xfId="428" applyFont="1" applyFill="1" applyBorder="1" applyAlignment="1">
      <alignment horizontal="left" vertical="center"/>
    </xf>
    <xf numFmtId="0" fontId="55" fillId="0" borderId="256" xfId="0" applyFont="1" applyFill="1" applyBorder="1" applyAlignment="1">
      <alignment vertical="center"/>
    </xf>
    <xf numFmtId="1" fontId="516" fillId="0" borderId="137" xfId="428" applyNumberFormat="1" applyFont="1" applyFill="1" applyBorder="1" applyAlignment="1">
      <alignment horizontal="right" vertical="center"/>
    </xf>
    <xf numFmtId="0" fontId="55" fillId="0" borderId="11" xfId="428" applyFont="1" applyFill="1" applyBorder="1" applyAlignment="1">
      <alignment vertical="center"/>
    </xf>
    <xf numFmtId="0" fontId="55" fillId="0" borderId="11" xfId="0" applyFont="1" applyFill="1" applyBorder="1" applyAlignment="1">
      <alignment vertical="center"/>
    </xf>
    <xf numFmtId="1" fontId="55" fillId="0" borderId="11" xfId="428" applyNumberFormat="1" applyFont="1" applyFill="1" applyBorder="1" applyAlignment="1">
      <alignment horizontal="center" vertical="center"/>
    </xf>
    <xf numFmtId="0" fontId="55" fillId="0" borderId="11" xfId="428" applyFont="1" applyFill="1" applyBorder="1" applyAlignment="1">
      <alignment horizontal="left" vertical="center"/>
    </xf>
    <xf numFmtId="1" fontId="55" fillId="0" borderId="11" xfId="436" applyNumberFormat="1" applyFont="1" applyFill="1" applyBorder="1" applyAlignment="1">
      <alignment horizontal="center" vertical="center"/>
    </xf>
    <xf numFmtId="0" fontId="55" fillId="0" borderId="11" xfId="436" applyFont="1" applyFill="1" applyBorder="1" applyAlignment="1">
      <alignment vertical="center"/>
    </xf>
    <xf numFmtId="0" fontId="55" fillId="0" borderId="122" xfId="0" applyFont="1" applyFill="1" applyBorder="1" applyAlignment="1">
      <alignment vertical="center"/>
    </xf>
    <xf numFmtId="0" fontId="55" fillId="0" borderId="148" xfId="428" applyFont="1" applyFill="1" applyBorder="1" applyAlignment="1">
      <alignment horizontal="center" vertical="center"/>
    </xf>
    <xf numFmtId="0" fontId="55" fillId="0" borderId="149" xfId="0" applyFont="1" applyFill="1" applyBorder="1" applyAlignment="1">
      <alignment vertical="center"/>
    </xf>
    <xf numFmtId="1" fontId="56" fillId="0" borderId="129" xfId="428" applyNumberFormat="1" applyFont="1" applyFill="1" applyBorder="1" applyAlignment="1">
      <alignment horizontal="right" vertical="center"/>
    </xf>
    <xf numFmtId="0" fontId="55" fillId="0" borderId="150" xfId="428" applyFont="1" applyFill="1" applyBorder="1" applyAlignment="1">
      <alignment vertical="center"/>
    </xf>
    <xf numFmtId="1" fontId="55" fillId="0" borderId="150" xfId="428" applyNumberFormat="1" applyFont="1" applyFill="1" applyBorder="1" applyAlignment="1">
      <alignment horizontal="center" vertical="center"/>
    </xf>
    <xf numFmtId="1" fontId="55" fillId="0" borderId="150" xfId="428" quotePrefix="1" applyNumberFormat="1" applyFont="1" applyFill="1" applyBorder="1" applyAlignment="1">
      <alignment horizontal="center" vertical="center"/>
    </xf>
    <xf numFmtId="0" fontId="55" fillId="0" borderId="150" xfId="436" applyFont="1" applyFill="1" applyBorder="1" applyAlignment="1">
      <alignment vertical="center"/>
    </xf>
    <xf numFmtId="0" fontId="55" fillId="0" borderId="213" xfId="0" applyFont="1" applyFill="1" applyBorder="1" applyAlignment="1">
      <alignment vertical="center"/>
    </xf>
    <xf numFmtId="0" fontId="55" fillId="0" borderId="151" xfId="0" applyFont="1" applyFill="1" applyBorder="1" applyAlignment="1">
      <alignment vertical="center"/>
    </xf>
    <xf numFmtId="0" fontId="513" fillId="0" borderId="129" xfId="428" applyFont="1" applyFill="1" applyBorder="1" applyAlignment="1">
      <alignment horizontal="right" vertical="center"/>
    </xf>
    <xf numFmtId="0" fontId="55" fillId="0" borderId="0" xfId="428" applyFont="1" applyFill="1" applyBorder="1" applyAlignment="1">
      <alignment vertical="center"/>
    </xf>
    <xf numFmtId="0" fontId="55" fillId="0" borderId="48" xfId="0" applyFont="1" applyFill="1" applyBorder="1" applyAlignment="1">
      <alignment vertical="center"/>
    </xf>
    <xf numFmtId="0" fontId="54" fillId="0" borderId="82" xfId="428" applyFont="1" applyFill="1" applyBorder="1" applyAlignment="1">
      <alignment horizontal="center" vertical="center"/>
    </xf>
    <xf numFmtId="1" fontId="55" fillId="0" borderId="151" xfId="0" applyNumberFormat="1" applyFont="1" applyFill="1" applyBorder="1" applyAlignment="1">
      <alignment vertical="center"/>
    </xf>
    <xf numFmtId="0" fontId="55" fillId="0" borderId="80" xfId="428" applyFont="1" applyFill="1" applyBorder="1" applyAlignment="1">
      <alignment horizontal="center" vertical="center"/>
    </xf>
    <xf numFmtId="0" fontId="55" fillId="0" borderId="51" xfId="0" applyFont="1" applyFill="1" applyBorder="1" applyAlignment="1">
      <alignment horizontal="center" vertical="center"/>
    </xf>
    <xf numFmtId="1" fontId="55" fillId="0" borderId="51" xfId="428" applyNumberFormat="1" applyFont="1" applyFill="1" applyBorder="1" applyAlignment="1">
      <alignment horizontal="center" vertical="center"/>
    </xf>
    <xf numFmtId="1" fontId="55" fillId="0" borderId="51" xfId="428" quotePrefix="1" applyNumberFormat="1" applyFont="1" applyFill="1" applyBorder="1" applyAlignment="1">
      <alignment horizontal="center" vertical="center"/>
    </xf>
    <xf numFmtId="0" fontId="55" fillId="0" borderId="51" xfId="428" applyFont="1" applyFill="1" applyBorder="1" applyAlignment="1">
      <alignment horizontal="center" vertical="center"/>
    </xf>
    <xf numFmtId="0" fontId="55" fillId="0" borderId="51" xfId="436" applyFont="1" applyFill="1" applyBorder="1" applyAlignment="1">
      <alignment horizontal="center" vertical="center"/>
    </xf>
    <xf numFmtId="0" fontId="55" fillId="0" borderId="57" xfId="0" applyFont="1" applyFill="1" applyBorder="1" applyAlignment="1">
      <alignment horizontal="center" vertical="center"/>
    </xf>
    <xf numFmtId="0" fontId="55" fillId="0" borderId="152" xfId="428" applyFont="1" applyFill="1" applyBorder="1" applyAlignment="1">
      <alignment horizontal="center" vertical="center"/>
    </xf>
    <xf numFmtId="0" fontId="55" fillId="0" borderId="26" xfId="428" applyFont="1" applyFill="1" applyBorder="1" applyAlignment="1">
      <alignment horizontal="center" vertical="center"/>
    </xf>
    <xf numFmtId="0" fontId="55" fillId="0" borderId="10" xfId="0" applyFont="1" applyFill="1" applyBorder="1" applyAlignment="1">
      <alignment horizontal="center" vertical="center"/>
    </xf>
    <xf numFmtId="0" fontId="55" fillId="0" borderId="27" xfId="0" applyFont="1" applyFill="1" applyBorder="1" applyAlignment="1">
      <alignment horizontal="center" vertical="center"/>
    </xf>
    <xf numFmtId="0" fontId="55" fillId="0" borderId="214" xfId="428" applyFont="1" applyFill="1" applyBorder="1" applyAlignment="1">
      <alignment horizontal="center" vertical="center"/>
    </xf>
    <xf numFmtId="1" fontId="55" fillId="0" borderId="215" xfId="428" applyNumberFormat="1" applyFont="1" applyFill="1" applyBorder="1" applyAlignment="1">
      <alignment horizontal="center" vertical="center"/>
    </xf>
    <xf numFmtId="0" fontId="55" fillId="0" borderId="215" xfId="428" applyFont="1" applyFill="1" applyBorder="1" applyAlignment="1">
      <alignment horizontal="left" vertical="center"/>
    </xf>
    <xf numFmtId="0" fontId="55" fillId="0" borderId="216" xfId="0" applyFont="1" applyFill="1" applyBorder="1" applyAlignment="1">
      <alignment vertical="center"/>
    </xf>
    <xf numFmtId="165" fontId="56" fillId="0" borderId="217" xfId="428" applyNumberFormat="1" applyFont="1" applyFill="1" applyBorder="1" applyAlignment="1">
      <alignment horizontal="right" vertical="center"/>
    </xf>
    <xf numFmtId="20" fontId="56" fillId="0" borderId="155" xfId="428" applyNumberFormat="1" applyFont="1" applyFill="1" applyBorder="1" applyAlignment="1">
      <alignment horizontal="center" vertical="center"/>
    </xf>
    <xf numFmtId="0" fontId="55" fillId="0" borderId="47" xfId="428" applyFont="1" applyFill="1" applyBorder="1" applyAlignment="1">
      <alignment vertical="center"/>
    </xf>
    <xf numFmtId="14" fontId="55" fillId="0" borderId="0" xfId="501" applyNumberFormat="1" applyFont="1" applyFill="1" applyBorder="1" applyAlignment="1">
      <alignment horizontal="center" vertical="center"/>
    </xf>
    <xf numFmtId="0" fontId="55" fillId="0" borderId="48" xfId="436" applyFont="1" applyFill="1" applyBorder="1" applyAlignment="1">
      <alignment vertical="center"/>
    </xf>
    <xf numFmtId="2" fontId="55" fillId="0" borderId="175" xfId="428" applyNumberFormat="1" applyFont="1" applyFill="1" applyBorder="1" applyAlignment="1">
      <alignment vertical="center"/>
    </xf>
    <xf numFmtId="14" fontId="55" fillId="0" borderId="175" xfId="501" applyNumberFormat="1" applyFont="1" applyFill="1" applyBorder="1" applyAlignment="1">
      <alignment horizontal="left" vertical="center"/>
    </xf>
    <xf numFmtId="1" fontId="55" fillId="0" borderId="175" xfId="428" applyNumberFormat="1" applyFont="1" applyFill="1" applyBorder="1" applyAlignment="1">
      <alignment horizontal="right" vertical="center"/>
    </xf>
    <xf numFmtId="167" fontId="55" fillId="0" borderId="175" xfId="428" applyNumberFormat="1" applyFont="1" applyFill="1" applyBorder="1" applyAlignment="1">
      <alignment horizontal="right" vertical="center"/>
    </xf>
    <xf numFmtId="20" fontId="55" fillId="0" borderId="175" xfId="428" applyNumberFormat="1" applyFont="1" applyFill="1" applyBorder="1" applyAlignment="1">
      <alignment vertical="center"/>
    </xf>
    <xf numFmtId="20" fontId="55" fillId="0" borderId="46" xfId="428" applyNumberFormat="1" applyFont="1" applyFill="1" applyBorder="1" applyAlignment="1">
      <alignment horizontal="center" vertical="center"/>
    </xf>
    <xf numFmtId="2" fontId="55" fillId="0" borderId="0" xfId="428" applyNumberFormat="1" applyFont="1" applyFill="1" applyBorder="1" applyAlignment="1">
      <alignment vertical="center"/>
    </xf>
    <xf numFmtId="1" fontId="55" fillId="0" borderId="0" xfId="428" applyNumberFormat="1" applyFont="1" applyFill="1" applyBorder="1" applyAlignment="1">
      <alignment vertical="center"/>
    </xf>
    <xf numFmtId="20" fontId="55" fillId="0" borderId="0" xfId="428" applyNumberFormat="1" applyFont="1" applyFill="1" applyBorder="1" applyAlignment="1">
      <alignment vertical="center"/>
    </xf>
    <xf numFmtId="0" fontId="55" fillId="0" borderId="55" xfId="428" applyFont="1" applyFill="1" applyBorder="1" applyAlignment="1">
      <alignment vertical="center"/>
    </xf>
    <xf numFmtId="0" fontId="55" fillId="0" borderId="154" xfId="436" applyFont="1" applyFill="1" applyBorder="1" applyAlignment="1">
      <alignment vertical="center"/>
    </xf>
    <xf numFmtId="0" fontId="55" fillId="0" borderId="155" xfId="436" applyFont="1" applyFill="1" applyBorder="1" applyAlignment="1">
      <alignment vertical="center"/>
    </xf>
    <xf numFmtId="0" fontId="88" fillId="0" borderId="175" xfId="0" applyFont="1" applyBorder="1" applyAlignment="1"/>
    <xf numFmtId="2" fontId="512" fillId="0" borderId="175" xfId="428" applyNumberFormat="1" applyFont="1" applyFill="1" applyBorder="1" applyAlignment="1">
      <alignment horizontal="left" vertical="center"/>
    </xf>
    <xf numFmtId="2" fontId="268" fillId="0" borderId="175" xfId="428" applyNumberFormat="1" applyFont="1" applyFill="1" applyBorder="1" applyAlignment="1">
      <alignment horizontal="center" vertical="center"/>
    </xf>
    <xf numFmtId="2" fontId="54" fillId="0" borderId="175" xfId="428" applyNumberFormat="1" applyFont="1" applyFill="1" applyBorder="1" applyAlignment="1">
      <alignment horizontal="left" vertical="center"/>
    </xf>
    <xf numFmtId="0" fontId="55" fillId="0" borderId="175" xfId="428" applyFont="1" applyFill="1" applyBorder="1" applyAlignment="1">
      <alignment horizontal="left" vertical="center"/>
    </xf>
    <xf numFmtId="2" fontId="520" fillId="0" borderId="46" xfId="428" applyNumberFormat="1" applyFont="1" applyFill="1" applyBorder="1" applyAlignment="1">
      <alignment horizontal="center" vertical="center"/>
    </xf>
    <xf numFmtId="0" fontId="55" fillId="0" borderId="184" xfId="428" applyFont="1" applyFill="1" applyBorder="1" applyAlignment="1">
      <alignment horizontal="left" vertical="center"/>
    </xf>
    <xf numFmtId="2" fontId="82" fillId="0" borderId="175" xfId="428" applyNumberFormat="1" applyFont="1" applyFill="1" applyBorder="1" applyAlignment="1">
      <alignment horizontal="center" vertical="center"/>
    </xf>
    <xf numFmtId="2" fontId="55" fillId="0" borderId="175" xfId="428" applyNumberFormat="1" applyFont="1" applyFill="1" applyBorder="1" applyAlignment="1">
      <alignment horizontal="left" vertical="center"/>
    </xf>
    <xf numFmtId="0" fontId="55" fillId="0" borderId="46" xfId="428" applyFont="1" applyFill="1" applyBorder="1" applyAlignment="1">
      <alignment vertical="center"/>
    </xf>
    <xf numFmtId="0" fontId="0" fillId="0" borderId="297" xfId="0" applyFont="1" applyBorder="1"/>
    <xf numFmtId="0" fontId="91" fillId="0" borderId="297" xfId="0" applyFont="1" applyBorder="1" applyAlignment="1"/>
    <xf numFmtId="0" fontId="459" fillId="0" borderId="297" xfId="0" applyFont="1" applyBorder="1"/>
    <xf numFmtId="0" fontId="506" fillId="0" borderId="297" xfId="0" applyFont="1" applyBorder="1" applyAlignment="1"/>
    <xf numFmtId="0" fontId="506" fillId="0" borderId="0" xfId="0" applyFont="1" applyBorder="1" applyAlignment="1"/>
    <xf numFmtId="0" fontId="494" fillId="0" borderId="0" xfId="0" applyFont="1" applyAlignment="1">
      <alignment horizontal="center"/>
    </xf>
    <xf numFmtId="0" fontId="494" fillId="0" borderId="0" xfId="0" applyFont="1" applyFill="1" applyAlignment="1">
      <alignment horizontal="center"/>
    </xf>
    <xf numFmtId="0" fontId="459" fillId="0" borderId="0" xfId="0" applyNumberFormat="1" applyFont="1" applyBorder="1" applyAlignment="1" applyProtection="1"/>
    <xf numFmtId="0" fontId="459" fillId="0" borderId="297" xfId="0" applyFont="1" applyBorder="1" applyAlignment="1"/>
    <xf numFmtId="0" fontId="506" fillId="0" borderId="0" xfId="0" applyFont="1" applyBorder="1" applyAlignment="1" applyProtection="1"/>
    <xf numFmtId="14" fontId="522" fillId="0" borderId="70" xfId="429" applyNumberFormat="1" applyFont="1" applyFill="1" applyBorder="1" applyAlignment="1">
      <alignment horizontal="left" vertical="center"/>
    </xf>
    <xf numFmtId="49" fontId="523" fillId="0" borderId="0" xfId="0" applyNumberFormat="1" applyFont="1" applyBorder="1" applyAlignment="1" applyProtection="1">
      <alignment vertical="center"/>
      <protection locked="0"/>
    </xf>
    <xf numFmtId="0" fontId="524" fillId="0" borderId="0" xfId="0" applyFont="1" applyBorder="1"/>
    <xf numFmtId="0" fontId="523" fillId="0" borderId="0" xfId="0" applyFont="1" applyBorder="1" applyAlignment="1">
      <alignment vertical="center"/>
    </xf>
    <xf numFmtId="0" fontId="523" fillId="0" borderId="0" xfId="0" applyFont="1" applyBorder="1"/>
    <xf numFmtId="0" fontId="523" fillId="0" borderId="0" xfId="0" applyFont="1" applyAlignment="1">
      <alignment vertical="center"/>
    </xf>
    <xf numFmtId="49" fontId="523" fillId="0" borderId="0" xfId="0" applyNumberFormat="1" applyFont="1" applyAlignment="1" applyProtection="1">
      <alignment vertical="center"/>
      <protection locked="0"/>
    </xf>
    <xf numFmtId="0" fontId="526" fillId="0" borderId="0" xfId="0" applyFont="1" applyBorder="1" applyAlignment="1"/>
    <xf numFmtId="0" fontId="523" fillId="0" borderId="297" xfId="0" applyFont="1" applyBorder="1" applyAlignment="1">
      <alignment vertical="center"/>
    </xf>
    <xf numFmtId="0" fontId="525" fillId="0" borderId="297" xfId="0" applyFont="1" applyBorder="1"/>
    <xf numFmtId="0" fontId="523" fillId="0" borderId="297" xfId="0" applyFont="1" applyBorder="1" applyAlignment="1">
      <alignment vertical="top"/>
    </xf>
    <xf numFmtId="0" fontId="523" fillId="0" borderId="0" xfId="0" applyFont="1" applyFill="1" applyBorder="1" applyAlignment="1">
      <alignment vertical="center"/>
    </xf>
    <xf numFmtId="0" fontId="525" fillId="0" borderId="297" xfId="0" applyFont="1" applyBorder="1" applyAlignment="1"/>
    <xf numFmtId="0" fontId="524" fillId="0" borderId="0" xfId="0" applyFont="1" applyAlignment="1">
      <alignment vertical="center"/>
    </xf>
    <xf numFmtId="0" fontId="527" fillId="0" borderId="0" xfId="0" applyFont="1" applyBorder="1" applyAlignment="1">
      <alignment vertical="center"/>
    </xf>
    <xf numFmtId="0" fontId="527" fillId="0" borderId="297" xfId="0" applyFont="1" applyBorder="1" applyAlignment="1">
      <alignment vertical="top"/>
    </xf>
    <xf numFmtId="0" fontId="527" fillId="0" borderId="297" xfId="0" applyFont="1" applyBorder="1"/>
    <xf numFmtId="0" fontId="523" fillId="0" borderId="13" xfId="0" applyFont="1" applyBorder="1" applyAlignment="1"/>
    <xf numFmtId="0" fontId="524" fillId="0" borderId="0" xfId="0" applyFont="1"/>
    <xf numFmtId="0" fontId="527" fillId="0" borderId="0" xfId="0" applyFont="1" applyBorder="1"/>
    <xf numFmtId="0" fontId="523" fillId="0" borderId="32" xfId="0" applyFont="1" applyBorder="1" applyAlignment="1"/>
    <xf numFmtId="0" fontId="524" fillId="0" borderId="311" xfId="0" applyFont="1" applyBorder="1" applyAlignment="1">
      <alignment vertical="top"/>
    </xf>
    <xf numFmtId="0" fontId="527" fillId="0" borderId="311" xfId="0" applyFont="1" applyBorder="1" applyAlignment="1">
      <alignment vertical="top"/>
    </xf>
    <xf numFmtId="0" fontId="527" fillId="0" borderId="485" xfId="0" applyFont="1" applyBorder="1"/>
    <xf numFmtId="14" fontId="512" fillId="31" borderId="611" xfId="428" applyNumberFormat="1" applyFont="1" applyFill="1" applyBorder="1" applyAlignment="1">
      <alignment horizontal="left" vertical="center"/>
    </xf>
    <xf numFmtId="0" fontId="208" fillId="31" borderId="0" xfId="0" applyFont="1" applyFill="1" applyBorder="1" applyAlignment="1">
      <alignment vertical="center"/>
    </xf>
    <xf numFmtId="49" fontId="523" fillId="0" borderId="297" xfId="0" applyNumberFormat="1" applyFont="1" applyBorder="1" applyAlignment="1" applyProtection="1">
      <alignment vertical="center"/>
      <protection locked="0"/>
    </xf>
    <xf numFmtId="0" fontId="112" fillId="0" borderId="22" xfId="436" applyFont="1" applyBorder="1" applyAlignment="1" applyProtection="1">
      <alignment vertical="center"/>
      <protection locked="0"/>
    </xf>
    <xf numFmtId="0" fontId="521" fillId="0" borderId="0" xfId="0" applyFont="1"/>
    <xf numFmtId="14" fontId="208" fillId="31" borderId="68" xfId="498" applyNumberFormat="1" applyFont="1" applyFill="1" applyBorder="1" applyAlignment="1">
      <alignment horizontal="left" vertical="center"/>
    </xf>
    <xf numFmtId="20" fontId="512" fillId="31" borderId="613" xfId="0" applyNumberFormat="1" applyFont="1" applyFill="1" applyBorder="1" applyAlignment="1">
      <alignment vertical="top"/>
    </xf>
    <xf numFmtId="14" fontId="513" fillId="0" borderId="597" xfId="428" applyNumberFormat="1" applyFont="1" applyFill="1" applyBorder="1" applyAlignment="1">
      <alignment vertical="center"/>
    </xf>
    <xf numFmtId="20" fontId="528" fillId="31" borderId="613" xfId="428" applyNumberFormat="1" applyFont="1" applyFill="1" applyBorder="1" applyAlignment="1">
      <alignment vertical="top"/>
    </xf>
    <xf numFmtId="14" fontId="513" fillId="0" borderId="597" xfId="428" applyNumberFormat="1" applyFont="1" applyFill="1" applyBorder="1" applyAlignment="1">
      <alignment vertical="center"/>
    </xf>
    <xf numFmtId="0" fontId="512" fillId="31" borderId="611" xfId="0" applyNumberFormat="1" applyFont="1" applyFill="1" applyBorder="1" applyAlignment="1">
      <alignment horizontal="left" vertical="center"/>
    </xf>
    <xf numFmtId="0" fontId="512" fillId="31" borderId="613" xfId="0" applyNumberFormat="1" applyFont="1" applyFill="1" applyBorder="1" applyAlignment="1">
      <alignment horizontal="left" vertical="center"/>
    </xf>
    <xf numFmtId="0" fontId="91" fillId="0" borderId="41" xfId="0" applyFont="1" applyBorder="1" applyAlignment="1"/>
    <xf numFmtId="0" fontId="91" fillId="0" borderId="297" xfId="0" applyFont="1" applyBorder="1" applyAlignment="1" applyProtection="1">
      <protection locked="0"/>
    </xf>
    <xf numFmtId="0" fontId="91" fillId="0" borderId="297" xfId="0" applyFont="1" applyBorder="1" applyProtection="1">
      <protection locked="0"/>
    </xf>
    <xf numFmtId="0" fontId="93" fillId="0" borderId="297" xfId="0" applyFont="1" applyBorder="1"/>
    <xf numFmtId="0" fontId="88" fillId="81" borderId="44" xfId="0" applyFont="1" applyFill="1" applyBorder="1" applyAlignment="1"/>
    <xf numFmtId="14" fontId="512" fillId="82" borderId="0" xfId="498" applyNumberFormat="1" applyFont="1" applyFill="1" applyBorder="1" applyAlignment="1">
      <alignment vertical="center"/>
    </xf>
    <xf numFmtId="0" fontId="459" fillId="31" borderId="0" xfId="0" applyFont="1" applyFill="1" applyBorder="1" applyAlignment="1">
      <alignment vertical="center"/>
    </xf>
    <xf numFmtId="0" fontId="459" fillId="0" borderId="0" xfId="0" applyFont="1" applyFill="1" applyBorder="1" applyAlignment="1">
      <alignment vertical="center"/>
    </xf>
    <xf numFmtId="0" fontId="459" fillId="0" borderId="0" xfId="0" applyFont="1" applyFill="1" applyBorder="1" applyAlignment="1" applyProtection="1">
      <alignment vertical="center"/>
    </xf>
    <xf numFmtId="0" fontId="123" fillId="0" borderId="41" xfId="0" applyFont="1" applyBorder="1"/>
    <xf numFmtId="0" fontId="123" fillId="0" borderId="297" xfId="0" applyFont="1" applyBorder="1" applyProtection="1">
      <protection locked="0"/>
    </xf>
    <xf numFmtId="0" fontId="459" fillId="0" borderId="297" xfId="0" applyFont="1" applyBorder="1" applyProtection="1">
      <protection locked="0"/>
    </xf>
    <xf numFmtId="0" fontId="521" fillId="0" borderId="297" xfId="0" applyFont="1" applyBorder="1"/>
    <xf numFmtId="0" fontId="451" fillId="58" borderId="436" xfId="0" applyFont="1" applyFill="1" applyBorder="1" applyAlignment="1">
      <alignment horizontal="center" vertical="center" wrapText="1"/>
    </xf>
    <xf numFmtId="0" fontId="451" fillId="58" borderId="437" xfId="0" applyFont="1" applyFill="1" applyBorder="1" applyAlignment="1">
      <alignment horizontal="center" vertical="center" wrapText="1"/>
    </xf>
    <xf numFmtId="20" fontId="451" fillId="58" borderId="438" xfId="0" applyNumberFormat="1" applyFont="1" applyFill="1" applyBorder="1" applyAlignment="1">
      <alignment horizontal="center" vertical="center" wrapText="1"/>
    </xf>
    <xf numFmtId="20" fontId="451" fillId="58" borderId="439" xfId="0" applyNumberFormat="1" applyFont="1" applyFill="1" applyBorder="1" applyAlignment="1">
      <alignment horizontal="center" vertical="center" wrapText="1"/>
    </xf>
    <xf numFmtId="0" fontId="451" fillId="0" borderId="438" xfId="0" applyFont="1" applyBorder="1" applyAlignment="1">
      <alignment horizontal="center" vertical="center" wrapText="1"/>
    </xf>
    <xf numFmtId="0" fontId="451" fillId="0" borderId="439" xfId="0" applyFont="1" applyBorder="1" applyAlignment="1">
      <alignment horizontal="center" vertical="center" wrapText="1"/>
    </xf>
    <xf numFmtId="20" fontId="451" fillId="0" borderId="440" xfId="0" applyNumberFormat="1" applyFont="1" applyBorder="1" applyAlignment="1">
      <alignment horizontal="center" vertical="center" wrapText="1"/>
    </xf>
    <xf numFmtId="20" fontId="451" fillId="0" borderId="441" xfId="0" applyNumberFormat="1" applyFont="1" applyBorder="1" applyAlignment="1">
      <alignment horizontal="center" vertical="center" wrapText="1"/>
    </xf>
    <xf numFmtId="0" fontId="338" fillId="0" borderId="0" xfId="0" applyFont="1" applyFill="1" applyBorder="1" applyAlignment="1">
      <alignment vertical="center"/>
    </xf>
    <xf numFmtId="20" fontId="529" fillId="34" borderId="10" xfId="0" applyNumberFormat="1" applyFont="1" applyFill="1" applyBorder="1" applyAlignment="1">
      <alignment horizontal="center"/>
    </xf>
    <xf numFmtId="0" fontId="530" fillId="0" borderId="0" xfId="0" applyFont="1" applyAlignment="1">
      <alignment horizontal="center"/>
    </xf>
    <xf numFmtId="0" fontId="531" fillId="31" borderId="613" xfId="0" applyFont="1" applyFill="1" applyBorder="1" applyAlignment="1">
      <alignment vertical="center"/>
    </xf>
    <xf numFmtId="0" fontId="338" fillId="0" borderId="0" xfId="0" applyFont="1" applyBorder="1" applyAlignment="1">
      <alignment vertical="center"/>
    </xf>
    <xf numFmtId="0" fontId="532" fillId="0" borderId="0" xfId="0" applyFont="1"/>
    <xf numFmtId="49" fontId="459" fillId="0" borderId="0" xfId="0" applyNumberFormat="1" applyFont="1" applyFill="1" applyBorder="1" applyAlignment="1" applyProtection="1">
      <alignment vertical="center"/>
      <protection locked="0"/>
    </xf>
    <xf numFmtId="0" fontId="91" fillId="0" borderId="297" xfId="0" applyFont="1" applyFill="1" applyBorder="1" applyProtection="1">
      <protection locked="0"/>
    </xf>
    <xf numFmtId="0" fontId="459" fillId="0" borderId="0" xfId="0" applyFont="1" applyFill="1" applyBorder="1" applyAlignment="1">
      <alignment vertical="top"/>
    </xf>
    <xf numFmtId="0" fontId="533" fillId="0" borderId="297" xfId="0" applyFont="1" applyFill="1" applyBorder="1"/>
    <xf numFmtId="1" fontId="99" fillId="0" borderId="0" xfId="0" applyNumberFormat="1" applyFont="1" applyBorder="1"/>
    <xf numFmtId="0" fontId="476" fillId="0" borderId="587" xfId="0" applyFont="1" applyBorder="1" applyAlignment="1">
      <alignment horizontal="center" vertical="center"/>
    </xf>
    <xf numFmtId="1" fontId="154" fillId="0" borderId="0" xfId="0" applyNumberFormat="1" applyFont="1" applyBorder="1" applyAlignment="1">
      <alignment horizontal="center" vertical="center"/>
    </xf>
    <xf numFmtId="20" fontId="154" fillId="0" borderId="0" xfId="0" applyNumberFormat="1" applyFont="1" applyBorder="1" applyAlignment="1">
      <alignment horizontal="center" vertical="center" wrapText="1"/>
    </xf>
    <xf numFmtId="0" fontId="476" fillId="0" borderId="613" xfId="0" applyFont="1" applyBorder="1" applyAlignment="1">
      <alignment horizontal="center" vertical="center"/>
    </xf>
    <xf numFmtId="0" fontId="154" fillId="0" borderId="614" xfId="0" applyFont="1" applyBorder="1" applyAlignment="1">
      <alignment horizontal="center" vertical="center" wrapText="1"/>
    </xf>
    <xf numFmtId="0" fontId="0" fillId="0" borderId="0" xfId="0" applyNumberFormat="1" applyFont="1" applyAlignment="1"/>
    <xf numFmtId="1" fontId="209" fillId="34" borderId="0" xfId="0" applyNumberFormat="1" applyFont="1" applyFill="1" applyAlignment="1">
      <alignment vertical="center"/>
    </xf>
    <xf numFmtId="20" fontId="9" fillId="36" borderId="304" xfId="0" applyNumberFormat="1" applyFont="1" applyFill="1" applyBorder="1" applyAlignment="1">
      <alignment horizontal="center" vertical="center"/>
    </xf>
    <xf numFmtId="0" fontId="451" fillId="0" borderId="615" xfId="0" applyFont="1" applyBorder="1" applyAlignment="1">
      <alignment horizontal="center" vertical="center" wrapText="1"/>
    </xf>
    <xf numFmtId="0" fontId="451" fillId="0" borderId="614" xfId="0" applyFont="1" applyBorder="1" applyAlignment="1">
      <alignment horizontal="center" vertical="center" wrapText="1"/>
    </xf>
    <xf numFmtId="0" fontId="459" fillId="0" borderId="42" xfId="0" applyFont="1" applyFill="1" applyBorder="1" applyAlignment="1">
      <alignment vertical="center"/>
    </xf>
    <xf numFmtId="0" fontId="123" fillId="0" borderId="0" xfId="0" applyFont="1" applyFill="1" applyBorder="1"/>
    <xf numFmtId="20" fontId="535" fillId="77" borderId="616" xfId="0" applyNumberFormat="1" applyFont="1" applyFill="1" applyBorder="1" applyAlignment="1">
      <alignment horizontal="center" vertical="center"/>
    </xf>
    <xf numFmtId="0" fontId="296" fillId="0" borderId="0" xfId="0" applyFont="1" applyBorder="1"/>
    <xf numFmtId="0" fontId="0" fillId="0" borderId="0" xfId="0"/>
    <xf numFmtId="1" fontId="25" fillId="68" borderId="610" xfId="0" applyNumberFormat="1" applyFont="1" applyFill="1" applyBorder="1" applyAlignment="1" applyProtection="1">
      <alignment horizontal="center" vertical="center"/>
      <protection locked="0"/>
    </xf>
    <xf numFmtId="0" fontId="0" fillId="31" borderId="0" xfId="0" applyFont="1" applyFill="1" applyBorder="1" applyAlignment="1"/>
    <xf numFmtId="0" fontId="209" fillId="31" borderId="610" xfId="0" applyFont="1" applyFill="1" applyBorder="1" applyAlignment="1">
      <alignment vertical="center"/>
    </xf>
    <xf numFmtId="0" fontId="93" fillId="31" borderId="610" xfId="0" applyFont="1" applyFill="1" applyBorder="1"/>
    <xf numFmtId="0" fontId="0" fillId="31" borderId="610" xfId="0" applyFont="1" applyFill="1" applyBorder="1" applyAlignment="1"/>
    <xf numFmtId="0" fontId="495" fillId="118" borderId="610" xfId="0" applyFont="1" applyFill="1" applyBorder="1" applyAlignment="1">
      <alignment horizontal="left" vertical="center"/>
    </xf>
    <xf numFmtId="0" fontId="534" fillId="117" borderId="610" xfId="0" applyFont="1" applyFill="1" applyBorder="1" applyAlignment="1">
      <alignment horizontal="center" vertical="center"/>
    </xf>
    <xf numFmtId="0" fontId="495" fillId="118" borderId="612" xfId="0" applyFont="1" applyFill="1" applyBorder="1" applyAlignment="1">
      <alignment horizontal="left" vertical="center"/>
    </xf>
    <xf numFmtId="0" fontId="534" fillId="117" borderId="612" xfId="0" applyFont="1" applyFill="1" applyBorder="1" applyAlignment="1">
      <alignment horizontal="center" vertical="center"/>
    </xf>
    <xf numFmtId="0" fontId="495" fillId="118" borderId="618" xfId="0" applyFont="1" applyFill="1" applyBorder="1" applyAlignment="1">
      <alignment horizontal="left" vertical="center"/>
    </xf>
    <xf numFmtId="0" fontId="534" fillId="117" borderId="580" xfId="0" applyFont="1" applyFill="1" applyBorder="1" applyAlignment="1">
      <alignment horizontal="center" vertical="center"/>
    </xf>
    <xf numFmtId="0" fontId="0" fillId="34" borderId="0" xfId="0" applyFont="1" applyFill="1" applyBorder="1" applyAlignment="1"/>
    <xf numFmtId="1" fontId="284" fillId="71" borderId="610" xfId="0" applyNumberFormat="1" applyFont="1" applyFill="1" applyBorder="1" applyAlignment="1">
      <alignment horizontal="center" vertical="center"/>
    </xf>
    <xf numFmtId="166" fontId="284" fillId="77" borderId="610" xfId="271" applyNumberFormat="1" applyFont="1" applyFill="1" applyBorder="1" applyAlignment="1">
      <alignment horizontal="center" vertical="center"/>
    </xf>
    <xf numFmtId="1" fontId="284" fillId="71" borderId="610" xfId="0" applyNumberFormat="1" applyFont="1" applyFill="1" applyBorder="1" applyAlignment="1" applyProtection="1">
      <alignment horizontal="center" vertical="center"/>
      <protection locked="0"/>
    </xf>
    <xf numFmtId="1" fontId="284" fillId="71" borderId="619" xfId="0" applyNumberFormat="1" applyFont="1" applyFill="1" applyBorder="1" applyAlignment="1">
      <alignment horizontal="center" vertical="center"/>
    </xf>
    <xf numFmtId="1" fontId="49" fillId="94" borderId="269" xfId="0" quotePrefix="1" applyNumberFormat="1" applyFont="1" applyFill="1" applyBorder="1" applyAlignment="1" applyProtection="1">
      <alignment horizontal="center" vertical="center"/>
    </xf>
    <xf numFmtId="1" fontId="49" fillId="94" borderId="97" xfId="0" quotePrefix="1" applyNumberFormat="1" applyFont="1" applyFill="1" applyBorder="1" applyAlignment="1" applyProtection="1">
      <alignment horizontal="center" vertical="center"/>
    </xf>
    <xf numFmtId="1" fontId="49" fillId="42" borderId="97" xfId="0" quotePrefix="1" applyNumberFormat="1" applyFont="1" applyFill="1" applyBorder="1" applyAlignment="1" applyProtection="1">
      <alignment horizontal="center" vertical="center"/>
    </xf>
    <xf numFmtId="1" fontId="49" fillId="94" borderId="494" xfId="0" quotePrefix="1" applyNumberFormat="1" applyFont="1" applyFill="1" applyBorder="1" applyAlignment="1" applyProtection="1">
      <alignment horizontal="center" vertical="center"/>
    </xf>
    <xf numFmtId="1" fontId="454" fillId="94" borderId="494" xfId="0" quotePrefix="1" applyNumberFormat="1" applyFont="1" applyFill="1" applyBorder="1" applyAlignment="1" applyProtection="1">
      <alignment horizontal="center" vertical="center"/>
    </xf>
    <xf numFmtId="1" fontId="49" fillId="94" borderId="495" xfId="0" quotePrefix="1" applyNumberFormat="1" applyFont="1" applyFill="1" applyBorder="1" applyAlignment="1" applyProtection="1">
      <alignment horizontal="center" vertical="center"/>
    </xf>
    <xf numFmtId="1" fontId="2" fillId="94" borderId="59" xfId="0" quotePrefix="1" applyNumberFormat="1" applyFont="1" applyFill="1" applyBorder="1" applyAlignment="1" applyProtection="1">
      <alignment horizontal="center" vertical="center"/>
    </xf>
    <xf numFmtId="1" fontId="203" fillId="71" borderId="610" xfId="0" applyNumberFormat="1" applyFont="1" applyFill="1" applyBorder="1" applyAlignment="1">
      <alignment horizontal="center" vertical="center"/>
    </xf>
    <xf numFmtId="1" fontId="536" fillId="35" borderId="62" xfId="0" applyNumberFormat="1" applyFont="1" applyFill="1" applyBorder="1" applyAlignment="1">
      <alignment horizontal="center" vertical="center"/>
    </xf>
    <xf numFmtId="0" fontId="91" fillId="0" borderId="620" xfId="0" applyFont="1" applyBorder="1" applyAlignment="1">
      <alignment horizontal="center" vertical="center"/>
    </xf>
    <xf numFmtId="173" fontId="55" fillId="0" borderId="616" xfId="429" applyNumberFormat="1" applyFont="1" applyFill="1" applyBorder="1" applyAlignment="1">
      <alignment vertical="center"/>
    </xf>
    <xf numFmtId="0" fontId="55" fillId="0" borderId="621" xfId="428" applyFont="1" applyFill="1" applyBorder="1" applyAlignment="1">
      <alignment vertical="center"/>
    </xf>
    <xf numFmtId="0" fontId="55" fillId="0" borderId="620" xfId="428" applyFont="1" applyFill="1" applyBorder="1" applyAlignment="1">
      <alignment horizontal="center" vertical="center"/>
    </xf>
    <xf numFmtId="0" fontId="55" fillId="0" borderId="593" xfId="428" applyFont="1" applyFill="1" applyBorder="1" applyAlignment="1">
      <alignment horizontal="center" vertical="center"/>
    </xf>
    <xf numFmtId="0" fontId="55" fillId="0" borderId="622" xfId="428" applyFont="1" applyFill="1" applyBorder="1" applyAlignment="1">
      <alignment horizontal="center" vertical="center"/>
    </xf>
    <xf numFmtId="1" fontId="55" fillId="0" borderId="623" xfId="428" applyNumberFormat="1" applyFont="1" applyFill="1" applyBorder="1" applyAlignment="1">
      <alignment horizontal="center" vertical="center"/>
    </xf>
    <xf numFmtId="0" fontId="55" fillId="0" borderId="621" xfId="428" applyFont="1" applyFill="1" applyBorder="1" applyAlignment="1">
      <alignment horizontal="center" vertical="center"/>
    </xf>
    <xf numFmtId="1" fontId="55" fillId="0" borderId="624" xfId="428" applyNumberFormat="1" applyFont="1" applyFill="1" applyBorder="1" applyAlignment="1">
      <alignment horizontal="center" vertical="center"/>
    </xf>
    <xf numFmtId="14" fontId="513" fillId="0" borderId="624" xfId="0" applyNumberFormat="1" applyFont="1" applyBorder="1" applyAlignment="1">
      <alignment vertical="center"/>
    </xf>
    <xf numFmtId="164" fontId="514" fillId="0" borderId="625" xfId="428" applyNumberFormat="1" applyFont="1" applyFill="1" applyBorder="1" applyAlignment="1">
      <alignment horizontal="left" vertical="center"/>
    </xf>
    <xf numFmtId="0" fontId="92" fillId="0" borderId="620" xfId="0" applyFont="1" applyBorder="1" applyAlignment="1">
      <alignment horizontal="center" vertical="center"/>
    </xf>
    <xf numFmtId="0" fontId="49" fillId="0" borderId="620" xfId="428" applyFont="1" applyFill="1" applyBorder="1" applyAlignment="1">
      <alignment horizontal="center" vertical="center"/>
    </xf>
    <xf numFmtId="173" fontId="49" fillId="0" borderId="616" xfId="429" applyNumberFormat="1" applyFont="1" applyFill="1" applyBorder="1" applyAlignment="1">
      <alignment vertical="center"/>
    </xf>
    <xf numFmtId="0" fontId="49" fillId="0" borderId="593" xfId="428" applyFont="1" applyFill="1" applyBorder="1" applyAlignment="1">
      <alignment horizontal="center" vertical="center"/>
    </xf>
    <xf numFmtId="0" fontId="49" fillId="0" borderId="622" xfId="428" applyFont="1" applyFill="1" applyBorder="1" applyAlignment="1">
      <alignment horizontal="center" vertical="center"/>
    </xf>
    <xf numFmtId="0" fontId="49" fillId="0" borderId="623" xfId="428" applyFont="1" applyFill="1" applyBorder="1" applyAlignment="1">
      <alignment horizontal="center" vertical="center"/>
    </xf>
    <xf numFmtId="1" fontId="49" fillId="0" borderId="624" xfId="428" applyNumberFormat="1" applyFont="1" applyFill="1" applyBorder="1" applyAlignment="1">
      <alignment horizontal="center" vertical="center"/>
    </xf>
    <xf numFmtId="1" fontId="49" fillId="0" borderId="626" xfId="428" applyNumberFormat="1" applyFont="1" applyFill="1" applyBorder="1" applyAlignment="1">
      <alignment horizontal="center" vertical="center"/>
    </xf>
    <xf numFmtId="0" fontId="49" fillId="0" borderId="616" xfId="423" applyNumberFormat="1" applyFont="1" applyBorder="1"/>
    <xf numFmtId="0" fontId="209" fillId="0" borderId="10" xfId="0" applyFont="1" applyBorder="1" applyAlignment="1">
      <alignment vertical="center"/>
    </xf>
    <xf numFmtId="0" fontId="209" fillId="0" borderId="10" xfId="0" applyFont="1" applyBorder="1" applyAlignment="1">
      <alignment horizontal="left" vertical="center"/>
    </xf>
    <xf numFmtId="1" fontId="209" fillId="0" borderId="10" xfId="0" applyNumberFormat="1" applyFont="1" applyFill="1" applyBorder="1" applyAlignment="1">
      <alignment horizontal="left" vertical="center"/>
    </xf>
    <xf numFmtId="1" fontId="209" fillId="34" borderId="10" xfId="0" applyNumberFormat="1" applyFont="1" applyFill="1" applyBorder="1" applyAlignment="1">
      <alignment horizontal="left" vertical="center"/>
    </xf>
    <xf numFmtId="0" fontId="209" fillId="0" borderId="0" xfId="0" applyFont="1" applyAlignment="1">
      <alignment horizontal="left" vertical="center"/>
    </xf>
    <xf numFmtId="0" fontId="209" fillId="34" borderId="10" xfId="0" applyFont="1" applyFill="1" applyBorder="1" applyAlignment="1">
      <alignment horizontal="left" vertical="center"/>
    </xf>
    <xf numFmtId="0" fontId="537" fillId="0" borderId="10" xfId="0" applyFont="1" applyBorder="1" applyAlignment="1">
      <alignment vertical="center"/>
    </xf>
    <xf numFmtId="0" fontId="0" fillId="0" borderId="10" xfId="0" applyFont="1" applyFill="1" applyBorder="1" applyAlignment="1"/>
    <xf numFmtId="0" fontId="459" fillId="0" borderId="0" xfId="0" applyNumberFormat="1" applyFont="1" applyBorder="1" applyAlignment="1" applyProtection="1">
      <alignment vertical="top"/>
    </xf>
    <xf numFmtId="0" fontId="459" fillId="0" borderId="297" xfId="0" applyFont="1" applyBorder="1" applyProtection="1"/>
    <xf numFmtId="0" fontId="459" fillId="0" borderId="0" xfId="0" applyFont="1" applyBorder="1"/>
    <xf numFmtId="0" fontId="77" fillId="0" borderId="432" xfId="436" applyFont="1" applyFill="1" applyBorder="1" applyAlignment="1">
      <alignment horizontal="center" vertical="center"/>
    </xf>
    <xf numFmtId="20" fontId="109" fillId="0" borderId="432" xfId="436" applyNumberFormat="1" applyFont="1" applyFill="1" applyBorder="1" applyAlignment="1">
      <alignment horizontal="center" vertical="center"/>
    </xf>
    <xf numFmtId="188" fontId="109" fillId="0" borderId="432" xfId="436" applyNumberFormat="1" applyFont="1" applyFill="1" applyBorder="1" applyAlignment="1">
      <alignment horizontal="center" vertical="center"/>
    </xf>
    <xf numFmtId="20" fontId="77" fillId="0" borderId="432" xfId="436" applyNumberFormat="1" applyFont="1" applyFill="1" applyBorder="1" applyAlignment="1">
      <alignment horizontal="center" vertical="center"/>
    </xf>
    <xf numFmtId="1" fontId="373" fillId="110" borderId="22" xfId="430" applyNumberFormat="1" applyFont="1" applyFill="1" applyBorder="1" applyAlignment="1" applyProtection="1">
      <alignment horizontal="center" vertical="center"/>
    </xf>
    <xf numFmtId="0" fontId="512" fillId="31" borderId="560" xfId="0" applyFont="1" applyFill="1" applyBorder="1" applyAlignment="1">
      <alignment vertical="center"/>
    </xf>
    <xf numFmtId="0" fontId="512" fillId="31" borderId="611" xfId="0" applyFont="1" applyFill="1" applyBorder="1" applyAlignment="1">
      <alignment vertical="center"/>
    </xf>
    <xf numFmtId="1" fontId="284" fillId="79" borderId="629" xfId="0" applyNumberFormat="1" applyFont="1" applyFill="1" applyBorder="1" applyAlignment="1" applyProtection="1">
      <alignment horizontal="center" vertical="center"/>
      <protection locked="0"/>
    </xf>
    <xf numFmtId="166" fontId="284" fillId="79" borderId="629" xfId="271" applyNumberFormat="1" applyFont="1" applyFill="1" applyBorder="1" applyAlignment="1">
      <alignment horizontal="center" vertical="center"/>
    </xf>
    <xf numFmtId="1" fontId="284" fillId="78" borderId="629" xfId="0" applyNumberFormat="1" applyFont="1" applyFill="1" applyBorder="1" applyAlignment="1" applyProtection="1">
      <alignment horizontal="center" vertical="center"/>
      <protection locked="0"/>
    </xf>
    <xf numFmtId="1" fontId="284" fillId="79" borderId="630" xfId="0" applyNumberFormat="1" applyFont="1" applyFill="1" applyBorder="1" applyAlignment="1" applyProtection="1">
      <alignment horizontal="center" vertical="center"/>
      <protection locked="0"/>
    </xf>
    <xf numFmtId="173" fontId="55" fillId="0" borderId="0" xfId="429" applyNumberFormat="1" applyFont="1" applyFill="1" applyBorder="1" applyAlignment="1">
      <alignment vertical="center"/>
    </xf>
    <xf numFmtId="1" fontId="55" fillId="0" borderId="0" xfId="428" applyNumberFormat="1" applyFont="1" applyFill="1" applyBorder="1" applyAlignment="1" applyProtection="1">
      <alignment horizontal="center" vertical="center"/>
      <protection locked="0"/>
    </xf>
    <xf numFmtId="0" fontId="512" fillId="31" borderId="0" xfId="0" applyNumberFormat="1" applyFont="1" applyFill="1" applyBorder="1" applyAlignment="1">
      <alignment horizontal="left"/>
    </xf>
    <xf numFmtId="20" fontId="513" fillId="0" borderId="48" xfId="428" applyNumberFormat="1" applyFont="1" applyFill="1" applyBorder="1" applyAlignment="1">
      <alignment vertical="center"/>
    </xf>
    <xf numFmtId="0" fontId="49" fillId="0" borderId="273" xfId="436" applyFont="1" applyFill="1" applyBorder="1" applyAlignment="1">
      <alignment horizontal="center" vertical="center"/>
    </xf>
    <xf numFmtId="0" fontId="55" fillId="0" borderId="631" xfId="428" applyFont="1" applyFill="1" applyBorder="1" applyAlignment="1">
      <alignment horizontal="center" vertical="center"/>
    </xf>
    <xf numFmtId="1" fontId="49" fillId="90" borderId="269" xfId="0" applyNumberFormat="1" applyFont="1" applyFill="1" applyBorder="1" applyAlignment="1" applyProtection="1">
      <alignment horizontal="center" vertical="center"/>
      <protection locked="0"/>
    </xf>
    <xf numFmtId="1" fontId="49" fillId="90" borderId="495" xfId="0" applyNumberFormat="1" applyFont="1" applyFill="1" applyBorder="1" applyAlignment="1" applyProtection="1">
      <alignment horizontal="center" vertical="center"/>
      <protection locked="0"/>
    </xf>
    <xf numFmtId="1" fontId="203" fillId="39" borderId="629" xfId="0" applyNumberFormat="1" applyFont="1" applyFill="1" applyBorder="1" applyAlignment="1" applyProtection="1">
      <alignment horizontal="center" vertical="center"/>
      <protection locked="0"/>
    </xf>
    <xf numFmtId="1" fontId="203" fillId="39" borderId="610" xfId="0" applyNumberFormat="1" applyFont="1" applyFill="1" applyBorder="1" applyAlignment="1" applyProtection="1">
      <alignment horizontal="center" vertical="center"/>
      <protection locked="0"/>
    </xf>
    <xf numFmtId="1" fontId="203" fillId="39" borderId="632" xfId="0" applyNumberFormat="1" applyFont="1" applyFill="1" applyBorder="1" applyAlignment="1" applyProtection="1">
      <alignment horizontal="center" vertical="center"/>
      <protection locked="0"/>
    </xf>
    <xf numFmtId="0" fontId="459" fillId="0" borderId="0" xfId="0" applyFont="1" applyBorder="1" applyAlignment="1" applyProtection="1"/>
    <xf numFmtId="0" fontId="459" fillId="0" borderId="13" xfId="0" applyNumberFormat="1" applyFont="1" applyFill="1" applyBorder="1" applyAlignment="1" applyProtection="1">
      <alignment vertical="center"/>
    </xf>
    <xf numFmtId="0" fontId="123" fillId="0" borderId="0" xfId="0" applyFont="1" applyBorder="1" applyAlignment="1" applyProtection="1"/>
    <xf numFmtId="0" fontId="81" fillId="0" borderId="0" xfId="436" applyFont="1" applyFill="1" applyBorder="1" applyAlignment="1">
      <alignment vertical="center"/>
    </xf>
    <xf numFmtId="0" fontId="50" fillId="0" borderId="0" xfId="436" applyFont="1" applyAlignment="1">
      <alignment horizontal="right" vertical="center"/>
    </xf>
    <xf numFmtId="164" fontId="50" fillId="0" borderId="0" xfId="436" applyNumberFormat="1" applyFont="1" applyAlignment="1">
      <alignment horizontal="left" vertical="center"/>
    </xf>
    <xf numFmtId="0" fontId="117" fillId="0" borderId="0" xfId="0" applyFont="1" applyAlignment="1">
      <alignment vertical="center"/>
    </xf>
    <xf numFmtId="1" fontId="538" fillId="46" borderId="633" xfId="0" applyNumberFormat="1" applyFont="1" applyFill="1" applyBorder="1" applyAlignment="1" applyProtection="1">
      <alignment horizontal="center" vertical="center"/>
      <protection locked="0"/>
    </xf>
    <xf numFmtId="0" fontId="534" fillId="0" borderId="10" xfId="0" applyFont="1" applyBorder="1" applyAlignment="1">
      <alignment horizontal="center" vertical="center"/>
    </xf>
    <xf numFmtId="0" fontId="107" fillId="0" borderId="637" xfId="0" applyFont="1" applyBorder="1"/>
    <xf numFmtId="0" fontId="107" fillId="0" borderId="637" xfId="0" applyFont="1" applyBorder="1" applyAlignment="1">
      <alignment horizontal="center"/>
    </xf>
    <xf numFmtId="0" fontId="107" fillId="0" borderId="0" xfId="0" applyFont="1" applyBorder="1" applyAlignment="1">
      <alignment horizontal="center"/>
    </xf>
    <xf numFmtId="0" fontId="459" fillId="0" borderId="47" xfId="0" applyFont="1" applyFill="1" applyBorder="1" applyAlignment="1">
      <alignment vertical="center"/>
    </xf>
    <xf numFmtId="0" fontId="459" fillId="0" borderId="47" xfId="0" applyFont="1" applyBorder="1" applyAlignment="1">
      <alignment vertical="center"/>
    </xf>
    <xf numFmtId="0" fontId="123" fillId="0" borderId="47" xfId="0" applyFont="1" applyBorder="1"/>
    <xf numFmtId="0" fontId="123" fillId="0" borderId="352" xfId="0" applyFont="1" applyBorder="1"/>
    <xf numFmtId="0" fontId="291" fillId="0" borderId="0" xfId="0" applyFont="1" applyFill="1"/>
    <xf numFmtId="0" fontId="478" fillId="0" borderId="0" xfId="0" applyFont="1" applyFill="1" applyBorder="1"/>
    <xf numFmtId="0" fontId="93" fillId="0" borderId="0" xfId="0" applyFont="1" applyFill="1" applyBorder="1"/>
    <xf numFmtId="0" fontId="500" fillId="116" borderId="638" xfId="0" applyFont="1" applyFill="1" applyBorder="1" applyAlignment="1">
      <alignment horizontal="left"/>
    </xf>
    <xf numFmtId="0" fontId="540" fillId="0" borderId="0" xfId="0" applyFont="1" applyFill="1" applyBorder="1" applyAlignment="1">
      <alignment horizontal="left" vertical="center"/>
    </xf>
    <xf numFmtId="0" fontId="540" fillId="0" borderId="0" xfId="0" applyFont="1" applyFill="1" applyBorder="1" applyAlignment="1">
      <alignment horizontal="center" vertical="center"/>
    </xf>
    <xf numFmtId="0" fontId="540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20" fontId="2" fillId="0" borderId="0" xfId="0" applyNumberFormat="1" applyFont="1" applyFill="1" applyBorder="1" applyAlignment="1">
      <alignment horizontal="center" vertical="center"/>
    </xf>
    <xf numFmtId="0" fontId="499" fillId="0" borderId="0" xfId="0" applyFont="1" applyFill="1" applyBorder="1"/>
    <xf numFmtId="0" fontId="499" fillId="0" borderId="0" xfId="0" applyFont="1" applyFill="1" applyBorder="1" applyAlignment="1">
      <alignment horizontal="left" vertical="top"/>
    </xf>
    <xf numFmtId="0" fontId="497" fillId="0" borderId="0" xfId="0" applyFont="1" applyFill="1" applyBorder="1" applyAlignment="1">
      <alignment horizontal="left"/>
    </xf>
    <xf numFmtId="0" fontId="497" fillId="116" borderId="0" xfId="0" applyFont="1" applyFill="1" applyBorder="1"/>
    <xf numFmtId="0" fontId="499" fillId="116" borderId="0" xfId="0" applyFont="1" applyFill="1" applyBorder="1" applyAlignment="1">
      <alignment horizontal="left"/>
    </xf>
    <xf numFmtId="0" fontId="499" fillId="116" borderId="0" xfId="0" applyFont="1" applyFill="1" applyBorder="1"/>
    <xf numFmtId="0" fontId="497" fillId="0" borderId="0" xfId="0" applyFont="1" applyFill="1" applyBorder="1"/>
    <xf numFmtId="0" fontId="502" fillId="0" borderId="0" xfId="0" applyFont="1" applyFill="1" applyBorder="1" applyAlignment="1">
      <alignment horizontal="center" vertical="top"/>
    </xf>
    <xf numFmtId="20" fontId="502" fillId="0" borderId="0" xfId="0" applyNumberFormat="1" applyFont="1" applyFill="1" applyBorder="1" applyAlignment="1">
      <alignment horizontal="center" vertical="top"/>
    </xf>
    <xf numFmtId="0" fontId="541" fillId="82" borderId="10" xfId="0" applyFont="1" applyFill="1" applyBorder="1" applyAlignment="1">
      <alignment horizontal="left" vertical="center" wrapText="1"/>
    </xf>
    <xf numFmtId="0" fontId="541" fillId="82" borderId="10" xfId="0" applyFont="1" applyFill="1" applyBorder="1" applyAlignment="1">
      <alignment horizontal="center" vertical="center" wrapText="1"/>
    </xf>
    <xf numFmtId="0" fontId="542" fillId="82" borderId="10" xfId="0" applyFont="1" applyFill="1" applyBorder="1" applyAlignment="1">
      <alignment horizontal="left" vertical="center" wrapText="1"/>
    </xf>
    <xf numFmtId="0" fontId="542" fillId="82" borderId="10" xfId="0" applyFont="1" applyFill="1" applyBorder="1" applyAlignment="1">
      <alignment horizontal="center" vertical="center" wrapText="1"/>
    </xf>
    <xf numFmtId="0" fontId="543" fillId="0" borderId="0" xfId="0" applyFont="1"/>
    <xf numFmtId="0" fontId="544" fillId="0" borderId="0" xfId="0" applyNumberFormat="1" applyFont="1" applyFill="1" applyBorder="1" applyAlignment="1"/>
    <xf numFmtId="0" fontId="544" fillId="0" borderId="580" xfId="0" applyNumberFormat="1" applyFont="1" applyFill="1" applyBorder="1" applyAlignment="1"/>
    <xf numFmtId="0" fontId="546" fillId="0" borderId="10" xfId="0" applyFont="1" applyFill="1" applyBorder="1" applyAlignment="1">
      <alignment horizontal="left" vertical="center"/>
    </xf>
    <xf numFmtId="0" fontId="547" fillId="0" borderId="10" xfId="0" applyFont="1" applyFill="1" applyBorder="1" applyAlignment="1">
      <alignment horizontal="center" vertical="center"/>
    </xf>
    <xf numFmtId="22" fontId="547" fillId="0" borderId="10" xfId="0" applyNumberFormat="1" applyFont="1" applyFill="1" applyBorder="1" applyAlignment="1">
      <alignment horizontal="center" vertical="center"/>
    </xf>
    <xf numFmtId="0" fontId="547" fillId="34" borderId="10" xfId="0" applyFont="1" applyFill="1" applyBorder="1" applyAlignment="1">
      <alignment horizontal="center" vertical="center"/>
    </xf>
    <xf numFmtId="0" fontId="547" fillId="0" borderId="10" xfId="0" applyNumberFormat="1" applyFont="1" applyFill="1" applyBorder="1" applyAlignment="1">
      <alignment horizontal="center" vertical="center"/>
    </xf>
    <xf numFmtId="0" fontId="156" fillId="116" borderId="627" xfId="0" applyFont="1" applyFill="1" applyBorder="1"/>
    <xf numFmtId="20" fontId="156" fillId="116" borderId="627" xfId="0" applyNumberFormat="1" applyFont="1" applyFill="1" applyBorder="1"/>
    <xf numFmtId="0" fontId="156" fillId="116" borderId="627" xfId="0" applyNumberFormat="1" applyFont="1" applyFill="1" applyBorder="1"/>
    <xf numFmtId="20" fontId="156" fillId="116" borderId="628" xfId="0" applyNumberFormat="1" applyFont="1" applyFill="1" applyBorder="1"/>
    <xf numFmtId="0" fontId="548" fillId="0" borderId="141" xfId="0" applyFont="1" applyBorder="1" applyAlignment="1">
      <alignment horizontal="center" vertical="center"/>
    </xf>
    <xf numFmtId="0" fontId="548" fillId="0" borderId="0" xfId="0" applyFont="1" applyAlignment="1">
      <alignment vertical="center"/>
    </xf>
    <xf numFmtId="0" fontId="549" fillId="0" borderId="0" xfId="0" applyFont="1" applyAlignment="1">
      <alignment vertical="center"/>
    </xf>
    <xf numFmtId="0" fontId="549" fillId="0" borderId="0" xfId="0" applyFont="1" applyBorder="1" applyAlignment="1">
      <alignment vertical="center"/>
    </xf>
    <xf numFmtId="0" fontId="550" fillId="0" borderId="0" xfId="0" applyFont="1" applyBorder="1" applyAlignment="1">
      <alignment vertical="center"/>
    </xf>
    <xf numFmtId="0" fontId="551" fillId="0" borderId="0" xfId="0" applyFont="1" applyBorder="1" applyAlignment="1">
      <alignment vertical="center"/>
    </xf>
    <xf numFmtId="0" fontId="552" fillId="0" borderId="0" xfId="0" applyFont="1" applyBorder="1" applyAlignment="1">
      <alignment vertical="center"/>
    </xf>
    <xf numFmtId="49" fontId="553" fillId="102" borderId="458" xfId="0" applyNumberFormat="1" applyFont="1" applyFill="1" applyBorder="1" applyAlignment="1">
      <alignment horizontal="left" vertical="center"/>
    </xf>
    <xf numFmtId="49" fontId="553" fillId="102" borderId="444" xfId="0" applyNumberFormat="1" applyFont="1" applyFill="1" applyBorder="1" applyAlignment="1">
      <alignment horizontal="center" vertical="center"/>
    </xf>
    <xf numFmtId="49" fontId="553" fillId="102" borderId="444" xfId="0" applyNumberFormat="1" applyFont="1" applyFill="1" applyBorder="1" applyAlignment="1">
      <alignment horizontal="center" vertical="center" wrapText="1"/>
    </xf>
    <xf numFmtId="49" fontId="554" fillId="102" borderId="444" xfId="0" applyNumberFormat="1" applyFont="1" applyFill="1" applyBorder="1" applyAlignment="1">
      <alignment horizontal="center" vertical="center" wrapText="1"/>
    </xf>
    <xf numFmtId="0" fontId="548" fillId="0" borderId="435" xfId="0" applyFont="1" applyBorder="1" applyAlignment="1">
      <alignment horizontal="center" vertical="center"/>
    </xf>
    <xf numFmtId="0" fontId="549" fillId="0" borderId="85" xfId="0" applyFont="1" applyBorder="1" applyAlignment="1">
      <alignment vertical="center"/>
    </xf>
    <xf numFmtId="0" fontId="550" fillId="0" borderId="0" xfId="0" applyFont="1" applyBorder="1" applyAlignment="1">
      <alignment horizontal="center" vertical="center"/>
    </xf>
    <xf numFmtId="0" fontId="550" fillId="0" borderId="0" xfId="0" applyFont="1" applyAlignment="1">
      <alignment vertical="center"/>
    </xf>
    <xf numFmtId="0" fontId="548" fillId="0" borderId="417" xfId="0" applyFont="1" applyBorder="1" applyAlignment="1">
      <alignment horizontal="center" vertical="center"/>
    </xf>
    <xf numFmtId="0" fontId="549" fillId="0" borderId="47" xfId="0" applyFont="1" applyBorder="1" applyAlignment="1">
      <alignment vertical="center"/>
    </xf>
    <xf numFmtId="0" fontId="550" fillId="0" borderId="17" xfId="0" applyFont="1" applyBorder="1" applyAlignment="1">
      <alignment horizontal="center" vertical="center"/>
    </xf>
    <xf numFmtId="0" fontId="548" fillId="0" borderId="311" xfId="0" applyFont="1" applyBorder="1" applyAlignment="1">
      <alignment horizontal="center" vertical="center"/>
    </xf>
    <xf numFmtId="0" fontId="156" fillId="0" borderId="605" xfId="0" applyFont="1" applyFill="1" applyBorder="1" applyAlignment="1">
      <alignment horizontal="left" vertical="center"/>
    </xf>
    <xf numFmtId="0" fontId="156" fillId="116" borderId="605" xfId="0" applyNumberFormat="1" applyFont="1" applyFill="1" applyBorder="1" applyAlignment="1" applyProtection="1">
      <alignment horizontal="center" vertical="center"/>
    </xf>
    <xf numFmtId="20" fontId="555" fillId="116" borderId="605" xfId="0" applyNumberFormat="1" applyFont="1" applyFill="1" applyBorder="1" applyAlignment="1" applyProtection="1">
      <alignment horizontal="center" vertical="center"/>
    </xf>
    <xf numFmtId="20" fontId="555" fillId="116" borderId="606" xfId="0" applyNumberFormat="1" applyFont="1" applyFill="1" applyBorder="1" applyAlignment="1" applyProtection="1">
      <alignment horizontal="center" vertical="center"/>
    </xf>
    <xf numFmtId="0" fontId="118" fillId="80" borderId="10" xfId="0" applyFont="1" applyFill="1" applyBorder="1" applyAlignment="1">
      <alignment horizontal="center" vertical="center"/>
    </xf>
    <xf numFmtId="0" fontId="540" fillId="0" borderId="42" xfId="0" applyFont="1" applyFill="1" applyBorder="1" applyAlignment="1">
      <alignment horizontal="left" vertical="center"/>
    </xf>
    <xf numFmtId="0" fontId="540" fillId="0" borderId="42" xfId="0" applyFont="1" applyFill="1" applyBorder="1" applyAlignment="1">
      <alignment horizontal="center" vertical="center"/>
    </xf>
    <xf numFmtId="22" fontId="540" fillId="0" borderId="42" xfId="0" applyNumberFormat="1" applyFont="1" applyFill="1" applyBorder="1" applyAlignment="1">
      <alignment horizontal="center" vertical="center"/>
    </xf>
    <xf numFmtId="0" fontId="540" fillId="0" borderId="42" xfId="0" applyNumberFormat="1" applyFont="1" applyFill="1" applyBorder="1" applyAlignment="1">
      <alignment horizontal="center" vertical="center"/>
    </xf>
    <xf numFmtId="0" fontId="291" fillId="0" borderId="42" xfId="0" applyFont="1" applyFill="1" applyBorder="1"/>
    <xf numFmtId="0" fontId="93" fillId="0" borderId="42" xfId="0" applyFont="1" applyFill="1" applyBorder="1"/>
    <xf numFmtId="0" fontId="502" fillId="0" borderId="42" xfId="0" applyFont="1" applyFill="1" applyBorder="1" applyAlignment="1"/>
    <xf numFmtId="0" fontId="118" fillId="0" borderId="10" xfId="0" applyFont="1" applyBorder="1" applyAlignment="1">
      <alignment horizontal="left" vertical="center"/>
    </xf>
    <xf numFmtId="0" fontId="118" fillId="0" borderId="10" xfId="0" applyFont="1" applyBorder="1" applyAlignment="1">
      <alignment horizontal="center" vertical="center"/>
    </xf>
    <xf numFmtId="22" fontId="118" fillId="0" borderId="10" xfId="0" applyNumberFormat="1" applyFont="1" applyBorder="1" applyAlignment="1">
      <alignment horizontal="center" vertical="center"/>
    </xf>
    <xf numFmtId="0" fontId="118" fillId="80" borderId="10" xfId="0" applyFont="1" applyFill="1" applyBorder="1" applyAlignment="1">
      <alignment horizontal="left" vertical="center"/>
    </xf>
    <xf numFmtId="0" fontId="495" fillId="0" borderId="10" xfId="0" applyFont="1" applyBorder="1" applyAlignment="1">
      <alignment horizontal="left" vertical="center"/>
    </xf>
    <xf numFmtId="22" fontId="534" fillId="0" borderId="10" xfId="0" applyNumberFormat="1" applyFont="1" applyBorder="1" applyAlignment="1">
      <alignment horizontal="center" vertical="center"/>
    </xf>
    <xf numFmtId="0" fontId="534" fillId="34" borderId="10" xfId="0" applyFont="1" applyFill="1" applyBorder="1" applyAlignment="1">
      <alignment horizontal="center" vertical="center"/>
    </xf>
    <xf numFmtId="20" fontId="534" fillId="0" borderId="10" xfId="0" applyNumberFormat="1" applyFont="1" applyBorder="1" applyAlignment="1">
      <alignment horizontal="center" vertical="center"/>
    </xf>
    <xf numFmtId="0" fontId="534" fillId="31" borderId="10" xfId="0" applyFont="1" applyFill="1" applyBorder="1" applyAlignment="1">
      <alignment horizontal="center" vertical="center"/>
    </xf>
    <xf numFmtId="0" fontId="556" fillId="0" borderId="0" xfId="0" applyFont="1"/>
    <xf numFmtId="0" fontId="557" fillId="0" borderId="0" xfId="0" applyFont="1"/>
    <xf numFmtId="0" fontId="547" fillId="31" borderId="10" xfId="0" applyFont="1" applyFill="1" applyBorder="1" applyAlignment="1">
      <alignment horizontal="center" vertical="center"/>
    </xf>
    <xf numFmtId="0" fontId="512" fillId="31" borderId="296" xfId="0" applyFont="1" applyFill="1" applyBorder="1" applyAlignment="1">
      <alignment vertical="center"/>
    </xf>
    <xf numFmtId="1" fontId="558" fillId="89" borderId="635" xfId="0" applyNumberFormat="1" applyFont="1" applyFill="1" applyBorder="1" applyAlignment="1" applyProtection="1">
      <alignment horizontal="center" vertical="center"/>
      <protection locked="0"/>
    </xf>
    <xf numFmtId="1" fontId="558" fillId="89" borderId="634" xfId="0" applyNumberFormat="1" applyFont="1" applyFill="1" applyBorder="1" applyAlignment="1" applyProtection="1">
      <alignment horizontal="center" vertical="center"/>
      <protection locked="0"/>
    </xf>
    <xf numFmtId="1" fontId="558" fillId="89" borderId="634" xfId="0" applyNumberFormat="1" applyFont="1" applyFill="1" applyBorder="1" applyAlignment="1">
      <alignment horizontal="center" vertical="center"/>
    </xf>
    <xf numFmtId="165" fontId="558" fillId="89" borderId="634" xfId="0" applyNumberFormat="1" applyFont="1" applyFill="1" applyBorder="1" applyAlignment="1">
      <alignment horizontal="center" vertical="center"/>
    </xf>
    <xf numFmtId="1" fontId="558" fillId="42" borderId="634" xfId="0" applyNumberFormat="1" applyFont="1" applyFill="1" applyBorder="1" applyAlignment="1" applyProtection="1">
      <alignment horizontal="center" vertical="center"/>
      <protection locked="0"/>
    </xf>
    <xf numFmtId="0" fontId="558" fillId="89" borderId="634" xfId="0" applyFont="1" applyFill="1" applyBorder="1" applyAlignment="1">
      <alignment horizontal="center" vertical="center"/>
    </xf>
    <xf numFmtId="165" fontId="558" fillId="68" borderId="634" xfId="0" applyNumberFormat="1" applyFont="1" applyFill="1" applyBorder="1" applyAlignment="1">
      <alignment horizontal="center" vertical="center"/>
    </xf>
    <xf numFmtId="1" fontId="558" fillId="68" borderId="634" xfId="0" applyNumberFormat="1" applyFont="1" applyFill="1" applyBorder="1" applyAlignment="1" applyProtection="1">
      <alignment horizontal="center" vertical="center"/>
      <protection locked="0"/>
    </xf>
    <xf numFmtId="1" fontId="558" fillId="68" borderId="634" xfId="0" applyNumberFormat="1" applyFont="1" applyFill="1" applyBorder="1" applyAlignment="1" applyProtection="1">
      <alignment horizontal="center" vertical="center" wrapText="1"/>
      <protection locked="0"/>
    </xf>
    <xf numFmtId="1" fontId="559" fillId="68" borderId="634" xfId="0" applyNumberFormat="1" applyFont="1" applyFill="1" applyBorder="1" applyAlignment="1" applyProtection="1">
      <alignment horizontal="center" vertical="center"/>
      <protection locked="0"/>
    </xf>
    <xf numFmtId="1" fontId="558" fillId="68" borderId="633" xfId="0" applyNumberFormat="1" applyFont="1" applyFill="1" applyBorder="1" applyAlignment="1" applyProtection="1">
      <alignment horizontal="center" vertical="center"/>
      <protection locked="0"/>
    </xf>
    <xf numFmtId="1" fontId="558" fillId="34" borderId="634" xfId="0" applyNumberFormat="1" applyFont="1" applyFill="1" applyBorder="1" applyAlignment="1" applyProtection="1">
      <alignment horizontal="center" vertical="center"/>
      <protection locked="0"/>
    </xf>
    <xf numFmtId="165" fontId="558" fillId="68" borderId="634" xfId="0" applyNumberFormat="1" applyFont="1" applyFill="1" applyBorder="1" applyAlignment="1" applyProtection="1">
      <alignment horizontal="center" vertical="center"/>
      <protection locked="0"/>
    </xf>
    <xf numFmtId="1" fontId="453" fillId="80" borderId="10" xfId="430" applyNumberFormat="1" applyFont="1" applyFill="1" applyBorder="1" applyAlignment="1">
      <alignment horizontal="center" vertical="center"/>
    </xf>
    <xf numFmtId="1" fontId="245" fillId="80" borderId="10" xfId="430" applyNumberFormat="1" applyFont="1" applyFill="1" applyBorder="1" applyAlignment="1">
      <alignment horizontal="center" vertical="center"/>
    </xf>
    <xf numFmtId="1" fontId="373" fillId="80" borderId="31" xfId="430" applyNumberFormat="1" applyFont="1" applyFill="1" applyBorder="1" applyAlignment="1">
      <alignment horizontal="center" vertical="center"/>
    </xf>
    <xf numFmtId="0" fontId="49" fillId="0" borderId="0" xfId="430" applyNumberFormat="1" applyFont="1"/>
    <xf numFmtId="0" fontId="49" fillId="0" borderId="0" xfId="430" applyFont="1" applyFill="1"/>
    <xf numFmtId="165" fontId="538" fillId="46" borderId="634" xfId="0" applyNumberFormat="1" applyFont="1" applyFill="1" applyBorder="1" applyAlignment="1">
      <alignment horizontal="center" vertical="center"/>
    </xf>
    <xf numFmtId="173" fontId="350" fillId="96" borderId="92" xfId="0" applyNumberFormat="1" applyFont="1" applyFill="1" applyBorder="1" applyAlignment="1">
      <alignment horizontal="center" vertical="center" wrapText="1"/>
    </xf>
    <xf numFmtId="165" fontId="539" fillId="82" borderId="651" xfId="0" applyNumberFormat="1" applyFont="1" applyFill="1" applyBorder="1" applyAlignment="1" applyProtection="1">
      <alignment horizontal="center" vertical="center"/>
      <protection locked="0"/>
    </xf>
    <xf numFmtId="0" fontId="118" fillId="0" borderId="10" xfId="0" applyNumberFormat="1" applyFont="1" applyBorder="1" applyAlignment="1">
      <alignment horizontal="center" vertical="center"/>
    </xf>
    <xf numFmtId="0" fontId="560" fillId="0" borderId="436" xfId="0" applyFont="1" applyBorder="1" applyAlignment="1">
      <alignment horizontal="center" wrapText="1"/>
    </xf>
    <xf numFmtId="0" fontId="560" fillId="0" borderId="639" xfId="0" applyFont="1" applyBorder="1" applyAlignment="1">
      <alignment horizontal="center" wrapText="1"/>
    </xf>
    <xf numFmtId="0" fontId="561" fillId="0" borderId="639" xfId="0" applyFont="1" applyBorder="1" applyAlignment="1">
      <alignment horizontal="center" wrapText="1"/>
    </xf>
    <xf numFmtId="0" fontId="562" fillId="120" borderId="646" xfId="0" applyFont="1" applyFill="1" applyBorder="1" applyAlignment="1">
      <alignment wrapText="1"/>
    </xf>
    <xf numFmtId="0" fontId="562" fillId="120" borderId="640" xfId="0" applyFont="1" applyFill="1" applyBorder="1" applyAlignment="1">
      <alignment wrapText="1"/>
    </xf>
    <xf numFmtId="0" fontId="562" fillId="120" borderId="437" xfId="0" applyFont="1" applyFill="1" applyBorder="1" applyAlignment="1">
      <alignment wrapText="1"/>
    </xf>
    <xf numFmtId="0" fontId="563" fillId="120" borderId="641" xfId="0" applyFont="1" applyFill="1" applyBorder="1" applyAlignment="1">
      <alignment wrapText="1"/>
    </xf>
    <xf numFmtId="0" fontId="564" fillId="120" borderId="639" xfId="0" applyFont="1" applyFill="1" applyBorder="1" applyAlignment="1">
      <alignment horizontal="center" wrapText="1"/>
    </xf>
    <xf numFmtId="0" fontId="560" fillId="0" borderId="483" xfId="0" applyFont="1" applyBorder="1" applyAlignment="1">
      <alignment horizontal="center" wrapText="1"/>
    </xf>
    <xf numFmtId="0" fontId="560" fillId="0" borderId="642" xfId="0" applyFont="1" applyBorder="1" applyAlignment="1">
      <alignment horizontal="center" wrapText="1"/>
    </xf>
    <xf numFmtId="0" fontId="561" fillId="0" borderId="642" xfId="0" applyFont="1" applyBorder="1" applyAlignment="1">
      <alignment horizontal="center" wrapText="1"/>
    </xf>
    <xf numFmtId="0" fontId="563" fillId="0" borderId="487" xfId="0" applyFont="1" applyBorder="1" applyAlignment="1">
      <alignment wrapText="1"/>
    </xf>
    <xf numFmtId="0" fontId="563" fillId="0" borderId="643" xfId="0" applyFont="1" applyBorder="1" applyAlignment="1">
      <alignment wrapText="1"/>
    </xf>
    <xf numFmtId="0" fontId="565" fillId="0" borderId="487" xfId="0" applyFont="1" applyBorder="1" applyAlignment="1">
      <alignment horizontal="center" wrapText="1"/>
    </xf>
    <xf numFmtId="0" fontId="566" fillId="0" borderId="487" xfId="0" applyFont="1" applyBorder="1" applyAlignment="1">
      <alignment horizontal="right" wrapText="1"/>
    </xf>
    <xf numFmtId="0" fontId="562" fillId="0" borderId="487" xfId="0" applyFont="1" applyBorder="1" applyAlignment="1">
      <alignment horizontal="center" wrapText="1"/>
    </xf>
    <xf numFmtId="0" fontId="564" fillId="0" borderId="643" xfId="0" applyFont="1" applyBorder="1" applyAlignment="1">
      <alignment horizontal="center" wrapText="1"/>
    </xf>
    <xf numFmtId="0" fontId="563" fillId="0" borderId="644" xfId="0" applyFont="1" applyBorder="1" applyAlignment="1">
      <alignment wrapText="1"/>
    </xf>
    <xf numFmtId="0" fontId="563" fillId="0" borderId="642" xfId="0" applyFont="1" applyBorder="1" applyAlignment="1">
      <alignment wrapText="1"/>
    </xf>
    <xf numFmtId="0" fontId="561" fillId="0" borderId="483" xfId="0" applyFont="1" applyBorder="1" applyAlignment="1">
      <alignment horizontal="center" wrapText="1"/>
    </xf>
    <xf numFmtId="0" fontId="562" fillId="120" borderId="644" xfId="0" applyFont="1" applyFill="1" applyBorder="1"/>
    <xf numFmtId="0" fontId="563" fillId="120" borderId="644" xfId="0" applyFont="1" applyFill="1" applyBorder="1" applyAlignment="1">
      <alignment wrapText="1"/>
    </xf>
    <xf numFmtId="0" fontId="563" fillId="120" borderId="642" xfId="0" applyFont="1" applyFill="1" applyBorder="1" applyAlignment="1">
      <alignment wrapText="1"/>
    </xf>
    <xf numFmtId="0" fontId="567" fillId="0" borderId="647" xfId="0" applyFont="1" applyBorder="1" applyAlignment="1">
      <alignment horizontal="center" wrapText="1"/>
    </xf>
    <xf numFmtId="0" fontId="567" fillId="0" borderId="648" xfId="0" applyFont="1" applyBorder="1" applyAlignment="1">
      <alignment horizontal="center" wrapText="1"/>
    </xf>
    <xf numFmtId="0" fontId="567" fillId="0" borderId="649" xfId="0" applyFont="1" applyBorder="1" applyAlignment="1">
      <alignment horizontal="center" wrapText="1"/>
    </xf>
    <xf numFmtId="0" fontId="567" fillId="0" borderId="650" xfId="0" applyFont="1" applyBorder="1" applyAlignment="1">
      <alignment horizontal="center" wrapText="1"/>
    </xf>
    <xf numFmtId="0" fontId="567" fillId="0" borderId="645" xfId="0" applyFont="1" applyBorder="1" applyAlignment="1">
      <alignment horizontal="center" wrapText="1"/>
    </xf>
    <xf numFmtId="0" fontId="567" fillId="0" borderId="439" xfId="0" applyFont="1" applyBorder="1" applyAlignment="1">
      <alignment horizontal="center" wrapText="1"/>
    </xf>
    <xf numFmtId="0" fontId="512" fillId="31" borderId="549" xfId="0" applyFont="1" applyFill="1" applyBorder="1" applyAlignment="1">
      <alignment horizontal="left" vertical="top"/>
    </xf>
    <xf numFmtId="0" fontId="512" fillId="31" borderId="652" xfId="0" applyFont="1" applyFill="1" applyBorder="1" applyAlignment="1">
      <alignment horizontal="left" vertical="center"/>
    </xf>
    <xf numFmtId="0" fontId="108" fillId="0" borderId="656" xfId="0" applyFont="1" applyBorder="1" applyAlignment="1">
      <alignment vertical="center"/>
    </xf>
    <xf numFmtId="0" fontId="108" fillId="0" borderId="656" xfId="0" applyFont="1" applyBorder="1"/>
    <xf numFmtId="0" fontId="118" fillId="0" borderId="658" xfId="0" applyFont="1" applyBorder="1"/>
    <xf numFmtId="0" fontId="108" fillId="0" borderId="658" xfId="0" applyFont="1" applyBorder="1"/>
    <xf numFmtId="0" fontId="569" fillId="0" borderId="0" xfId="0" applyFont="1" applyAlignment="1">
      <alignment horizontal="center" vertical="center"/>
    </xf>
    <xf numFmtId="0" fontId="91" fillId="0" borderId="297" xfId="0" applyFont="1" applyBorder="1" applyAlignment="1" applyProtection="1"/>
    <xf numFmtId="0" fontId="91" fillId="0" borderId="297" xfId="0" applyFont="1" applyBorder="1" applyProtection="1"/>
    <xf numFmtId="0" fontId="123" fillId="0" borderId="0" xfId="0" applyFont="1"/>
    <xf numFmtId="0" fontId="302" fillId="0" borderId="13" xfId="0" applyFont="1" applyBorder="1" applyAlignment="1">
      <alignment vertical="center"/>
    </xf>
    <xf numFmtId="0" fontId="338" fillId="0" borderId="13" xfId="0" applyFont="1" applyFill="1" applyBorder="1" applyAlignment="1">
      <alignment vertical="center"/>
    </xf>
    <xf numFmtId="0" fontId="338" fillId="0" borderId="13" xfId="0" applyFont="1" applyBorder="1" applyAlignment="1">
      <alignment vertical="center"/>
    </xf>
    <xf numFmtId="0" fontId="93" fillId="0" borderId="13" xfId="0" applyFont="1" applyBorder="1"/>
    <xf numFmtId="0" fontId="506" fillId="0" borderId="13" xfId="0" applyFont="1" applyBorder="1" applyAlignment="1">
      <alignment vertical="center"/>
    </xf>
    <xf numFmtId="0" fontId="570" fillId="0" borderId="13" xfId="0" applyFont="1" applyFill="1" applyBorder="1" applyAlignment="1">
      <alignment vertical="center"/>
    </xf>
    <xf numFmtId="0" fontId="570" fillId="0" borderId="13" xfId="0" applyFont="1" applyBorder="1" applyAlignment="1">
      <alignment vertical="center"/>
    </xf>
    <xf numFmtId="0" fontId="459" fillId="0" borderId="76" xfId="0" applyFont="1" applyBorder="1" applyAlignment="1">
      <alignment vertical="center"/>
    </xf>
    <xf numFmtId="49" fontId="459" fillId="0" borderId="48" xfId="0" applyNumberFormat="1" applyFont="1" applyBorder="1" applyAlignment="1" applyProtection="1">
      <alignment vertical="center"/>
      <protection locked="0"/>
    </xf>
    <xf numFmtId="0" fontId="123" fillId="0" borderId="48" xfId="0" applyFont="1" applyBorder="1"/>
    <xf numFmtId="0" fontId="459" fillId="0" borderId="48" xfId="0" applyFont="1" applyFill="1" applyBorder="1" applyAlignment="1">
      <alignment vertical="center"/>
    </xf>
    <xf numFmtId="0" fontId="459" fillId="0" borderId="48" xfId="0" applyFont="1" applyBorder="1" applyAlignment="1">
      <alignment vertical="center"/>
    </xf>
    <xf numFmtId="0" fontId="459" fillId="0" borderId="48" xfId="0" applyNumberFormat="1" applyFont="1" applyFill="1" applyBorder="1" applyAlignment="1" applyProtection="1">
      <alignment vertical="top"/>
    </xf>
    <xf numFmtId="49" fontId="459" fillId="0" borderId="48" xfId="0" applyNumberFormat="1" applyFont="1" applyFill="1" applyBorder="1" applyAlignment="1" applyProtection="1">
      <alignment vertical="center"/>
      <protection locked="0"/>
    </xf>
    <xf numFmtId="0" fontId="459" fillId="0" borderId="48" xfId="0" applyNumberFormat="1" applyFont="1" applyBorder="1" applyAlignment="1" applyProtection="1">
      <alignment vertical="center"/>
    </xf>
    <xf numFmtId="0" fontId="459" fillId="0" borderId="48" xfId="0" applyFont="1" applyFill="1" applyBorder="1" applyAlignment="1">
      <alignment vertical="top"/>
    </xf>
    <xf numFmtId="0" fontId="506" fillId="0" borderId="48" xfId="0" applyFont="1" applyBorder="1" applyAlignment="1"/>
    <xf numFmtId="0" fontId="523" fillId="0" borderId="48" xfId="0" applyFont="1" applyBorder="1" applyAlignment="1">
      <alignment vertical="center"/>
    </xf>
    <xf numFmtId="49" fontId="523" fillId="0" borderId="48" xfId="0" applyNumberFormat="1" applyFont="1" applyBorder="1" applyAlignment="1" applyProtection="1">
      <alignment vertical="center"/>
      <protection locked="0"/>
    </xf>
    <xf numFmtId="0" fontId="524" fillId="0" borderId="48" xfId="0" applyFont="1" applyBorder="1" applyAlignment="1">
      <alignment vertical="center"/>
    </xf>
    <xf numFmtId="0" fontId="524" fillId="0" borderId="48" xfId="0" applyFont="1" applyBorder="1" applyAlignment="1">
      <alignment vertical="top"/>
    </xf>
    <xf numFmtId="0" fontId="524" fillId="0" borderId="48" xfId="0" applyFont="1" applyBorder="1"/>
    <xf numFmtId="0" fontId="524" fillId="0" borderId="276" xfId="0" applyFont="1" applyBorder="1" applyAlignment="1">
      <alignment vertical="top"/>
    </xf>
    <xf numFmtId="0" fontId="512" fillId="31" borderId="613" xfId="0" applyFont="1" applyFill="1" applyBorder="1" applyAlignment="1">
      <alignment vertical="center"/>
    </xf>
    <xf numFmtId="0" fontId="512" fillId="31" borderId="636" xfId="0" applyNumberFormat="1" applyFont="1" applyFill="1" applyBorder="1" applyAlignment="1">
      <alignment horizontal="left" vertical="center"/>
    </xf>
    <xf numFmtId="0" fontId="572" fillId="0" borderId="0" xfId="0" applyFont="1" applyBorder="1" applyAlignment="1"/>
    <xf numFmtId="0" fontId="574" fillId="0" borderId="0" xfId="0" applyFont="1" applyBorder="1"/>
    <xf numFmtId="0" fontId="571" fillId="0" borderId="13" xfId="0" applyFont="1" applyBorder="1" applyAlignment="1">
      <alignment vertical="center"/>
    </xf>
    <xf numFmtId="0" fontId="572" fillId="0" borderId="0" xfId="0" applyFont="1" applyFill="1" applyBorder="1" applyAlignment="1"/>
    <xf numFmtId="0" fontId="572" fillId="0" borderId="0" xfId="0" applyNumberFormat="1" applyFont="1" applyBorder="1" applyAlignment="1" applyProtection="1"/>
    <xf numFmtId="49" fontId="575" fillId="0" borderId="0" xfId="0" applyNumberFormat="1" applyFont="1" applyFill="1" applyBorder="1" applyAlignment="1" applyProtection="1">
      <alignment vertical="center"/>
      <protection locked="0"/>
    </xf>
    <xf numFmtId="0" fontId="572" fillId="0" borderId="0" xfId="0" applyFont="1" applyFill="1" applyBorder="1" applyProtection="1">
      <protection locked="0"/>
    </xf>
    <xf numFmtId="0" fontId="572" fillId="0" borderId="0" xfId="0" applyFont="1" applyFill="1" applyBorder="1"/>
    <xf numFmtId="0" fontId="572" fillId="0" borderId="0" xfId="0" applyNumberFormat="1" applyFont="1" applyFill="1" applyBorder="1" applyAlignment="1" applyProtection="1"/>
    <xf numFmtId="0" fontId="573" fillId="0" borderId="0" xfId="0" applyNumberFormat="1" applyFont="1" applyBorder="1" applyAlignment="1" applyProtection="1"/>
    <xf numFmtId="0" fontId="573" fillId="0" borderId="0" xfId="0" applyFont="1" applyBorder="1" applyAlignment="1" applyProtection="1"/>
    <xf numFmtId="0" fontId="573" fillId="0" borderId="0" xfId="0" applyFont="1" applyBorder="1" applyAlignment="1"/>
    <xf numFmtId="0" fontId="572" fillId="0" borderId="0" xfId="0" applyNumberFormat="1" applyFont="1" applyAlignment="1" applyProtection="1"/>
    <xf numFmtId="0" fontId="572" fillId="0" borderId="0" xfId="0" applyFont="1" applyAlignment="1"/>
    <xf numFmtId="0" fontId="573" fillId="0" borderId="0" xfId="0" applyFont="1" applyAlignment="1"/>
    <xf numFmtId="0" fontId="573" fillId="0" borderId="0" xfId="0" applyNumberFormat="1" applyFont="1" applyFill="1" applyBorder="1" applyAlignment="1" applyProtection="1"/>
    <xf numFmtId="14" fontId="20" fillId="31" borderId="70" xfId="429" applyNumberFormat="1" applyFont="1" applyFill="1" applyBorder="1" applyAlignment="1">
      <alignment horizontal="left" vertical="center"/>
    </xf>
    <xf numFmtId="0" fontId="576" fillId="31" borderId="636" xfId="0" applyFont="1" applyFill="1" applyBorder="1" applyAlignment="1">
      <alignment vertical="center"/>
    </xf>
    <xf numFmtId="166" fontId="313" fillId="99" borderId="72" xfId="271" applyNumberFormat="1" applyFont="1" applyFill="1" applyBorder="1" applyAlignment="1">
      <alignment vertical="center"/>
    </xf>
    <xf numFmtId="0" fontId="512" fillId="31" borderId="521" xfId="0" applyNumberFormat="1" applyFont="1" applyFill="1" applyBorder="1" applyAlignment="1">
      <alignment vertical="center"/>
    </xf>
    <xf numFmtId="20" fontId="576" fillId="31" borderId="652" xfId="0" applyNumberFormat="1" applyFont="1" applyFill="1" applyBorder="1" applyAlignment="1">
      <alignment vertical="top"/>
    </xf>
    <xf numFmtId="1" fontId="55" fillId="0" borderId="661" xfId="428" applyNumberFormat="1" applyFont="1" applyFill="1" applyBorder="1" applyAlignment="1">
      <alignment horizontal="center" vertical="center"/>
    </xf>
    <xf numFmtId="1" fontId="580" fillId="68" borderId="10" xfId="0" applyNumberFormat="1" applyFont="1" applyFill="1" applyBorder="1" applyAlignment="1">
      <alignment horizontal="center" vertical="center"/>
    </xf>
    <xf numFmtId="0" fontId="579" fillId="0" borderId="0" xfId="434" applyNumberFormat="1" applyFont="1" applyFill="1" applyBorder="1" applyAlignment="1">
      <alignment horizontal="center" vertical="center"/>
    </xf>
    <xf numFmtId="0" fontId="577" fillId="0" borderId="0" xfId="434" applyNumberFormat="1" applyFont="1" applyFill="1" applyBorder="1" applyAlignment="1">
      <alignment horizontal="center" vertical="center"/>
    </xf>
    <xf numFmtId="173" fontId="11" fillId="0" borderId="0" xfId="434" applyNumberFormat="1" applyFont="1" applyFill="1" applyBorder="1"/>
    <xf numFmtId="0" fontId="579" fillId="0" borderId="0" xfId="414" applyNumberFormat="1" applyFont="1" applyFill="1" applyBorder="1" applyAlignment="1">
      <alignment horizontal="center" vertical="center"/>
    </xf>
    <xf numFmtId="0" fontId="578" fillId="0" borderId="0" xfId="0" applyNumberFormat="1" applyFont="1" applyFill="1" applyBorder="1" applyAlignment="1">
      <alignment horizontal="center" vertical="center"/>
    </xf>
    <xf numFmtId="0" fontId="577" fillId="0" borderId="0" xfId="0" applyNumberFormat="1" applyFont="1" applyFill="1" applyBorder="1" applyAlignment="1">
      <alignment horizontal="center" vertical="center"/>
    </xf>
    <xf numFmtId="0" fontId="577" fillId="0" borderId="0" xfId="414" applyNumberFormat="1" applyFont="1" applyFill="1" applyBorder="1" applyAlignment="1">
      <alignment horizontal="center" vertical="center"/>
    </xf>
    <xf numFmtId="2" fontId="91" fillId="0" borderId="0" xfId="414" applyNumberFormat="1" applyFont="1" applyFill="1" applyBorder="1"/>
    <xf numFmtId="2" fontId="55" fillId="0" borderId="0" xfId="414" applyNumberFormat="1" applyFont="1" applyBorder="1" applyAlignment="1">
      <alignment vertical="center"/>
    </xf>
    <xf numFmtId="0" fontId="581" fillId="0" borderId="0" xfId="0" applyFont="1" applyAlignment="1">
      <alignment horizontal="center" vertical="center"/>
    </xf>
    <xf numFmtId="1" fontId="587" fillId="0" borderId="17" xfId="435" applyNumberFormat="1" applyFont="1" applyBorder="1" applyAlignment="1" applyProtection="1">
      <alignment horizontal="center"/>
    </xf>
    <xf numFmtId="0" fontId="512" fillId="31" borderId="662" xfId="0" applyNumberFormat="1" applyFont="1" applyFill="1" applyBorder="1" applyAlignment="1">
      <alignment horizontal="left" vertical="top"/>
    </xf>
    <xf numFmtId="0" fontId="544" fillId="116" borderId="663" xfId="0" applyNumberFormat="1" applyFont="1" applyFill="1" applyBorder="1" applyAlignment="1" applyProtection="1">
      <alignment horizontal="center" vertical="center"/>
    </xf>
    <xf numFmtId="20" fontId="544" fillId="116" borderId="663" xfId="0" applyNumberFormat="1" applyFont="1" applyFill="1" applyBorder="1" applyAlignment="1" applyProtection="1">
      <alignment horizontal="center" vertical="center"/>
    </xf>
    <xf numFmtId="0" fontId="544" fillId="0" borderId="663" xfId="0" applyNumberFormat="1" applyFont="1" applyBorder="1" applyAlignment="1" applyProtection="1">
      <alignment horizontal="center" vertical="center"/>
    </xf>
    <xf numFmtId="20" fontId="544" fillId="116" borderId="664" xfId="0" applyNumberFormat="1" applyFont="1" applyFill="1" applyBorder="1" applyAlignment="1" applyProtection="1">
      <alignment horizontal="center" vertical="center"/>
    </xf>
    <xf numFmtId="1" fontId="580" fillId="68" borderId="0" xfId="0" applyNumberFormat="1" applyFont="1" applyFill="1" applyAlignment="1">
      <alignment horizontal="center"/>
    </xf>
    <xf numFmtId="2" fontId="77" fillId="0" borderId="0" xfId="436" applyNumberFormat="1" applyFont="1" applyFill="1" applyBorder="1" applyAlignment="1">
      <alignment horizontal="center" vertical="center"/>
    </xf>
    <xf numFmtId="2" fontId="149" fillId="0" borderId="0" xfId="0" applyNumberFormat="1" applyFont="1" applyFill="1" applyBorder="1" applyAlignment="1">
      <alignment vertical="center"/>
    </xf>
    <xf numFmtId="2" fontId="49" fillId="0" borderId="0" xfId="0" applyNumberFormat="1" applyFont="1" applyFill="1" applyBorder="1" applyAlignment="1">
      <alignment vertical="center"/>
    </xf>
    <xf numFmtId="2" fontId="107" fillId="0" borderId="0" xfId="0" applyNumberFormat="1" applyFont="1" applyFill="1" applyBorder="1"/>
    <xf numFmtId="0" fontId="112" fillId="0" borderId="0" xfId="0" applyFont="1" applyFill="1" applyBorder="1"/>
    <xf numFmtId="0" fontId="11" fillId="0" borderId="0" xfId="0" applyFont="1" applyFill="1" applyBorder="1" applyAlignment="1">
      <alignment vertical="center"/>
    </xf>
    <xf numFmtId="0" fontId="156" fillId="0" borderId="0" xfId="0" applyFont="1" applyFill="1" applyBorder="1"/>
    <xf numFmtId="2" fontId="582" fillId="0" borderId="0" xfId="0" applyNumberFormat="1" applyFont="1" applyFill="1" applyBorder="1" applyAlignment="1">
      <alignment horizontal="center" vertical="center"/>
    </xf>
    <xf numFmtId="2" fontId="583" fillId="0" borderId="0" xfId="0" applyNumberFormat="1" applyFont="1" applyFill="1" applyBorder="1" applyAlignment="1">
      <alignment vertical="center"/>
    </xf>
    <xf numFmtId="2" fontId="584" fillId="0" borderId="0" xfId="0" applyNumberFormat="1" applyFont="1" applyFill="1" applyBorder="1" applyAlignment="1">
      <alignment vertical="center"/>
    </xf>
    <xf numFmtId="2" fontId="562" fillId="0" borderId="0" xfId="0" applyNumberFormat="1" applyFont="1" applyFill="1" applyBorder="1"/>
    <xf numFmtId="0" fontId="459" fillId="0" borderId="0" xfId="0" applyFont="1" applyFill="1" applyBorder="1" applyAlignment="1"/>
    <xf numFmtId="0" fontId="534" fillId="0" borderId="10" xfId="0" applyFont="1" applyFill="1" applyBorder="1" applyAlignment="1">
      <alignment horizontal="center" vertical="center"/>
    </xf>
    <xf numFmtId="1" fontId="373" fillId="80" borderId="31" xfId="430" applyNumberFormat="1" applyFont="1" applyFill="1" applyBorder="1" applyAlignment="1" applyProtection="1">
      <alignment horizontal="center" vertical="center"/>
    </xf>
    <xf numFmtId="1" fontId="588" fillId="63" borderId="62" xfId="0" applyNumberFormat="1" applyFont="1" applyFill="1" applyBorder="1" applyAlignment="1" applyProtection="1">
      <alignment horizontal="center" vertical="center"/>
      <protection locked="0"/>
    </xf>
    <xf numFmtId="1" fontId="443" fillId="26" borderId="521" xfId="0" applyNumberFormat="1" applyFont="1" applyFill="1" applyBorder="1" applyAlignment="1">
      <alignment horizontal="center" vertical="center"/>
    </xf>
    <xf numFmtId="1" fontId="512" fillId="0" borderId="36" xfId="428" applyNumberFormat="1" applyFont="1" applyFill="1" applyBorder="1" applyAlignment="1">
      <alignment horizontal="center" vertical="center"/>
    </xf>
    <xf numFmtId="1" fontId="512" fillId="0" borderId="35" xfId="428" applyNumberFormat="1" applyFont="1" applyFill="1" applyBorder="1" applyAlignment="1">
      <alignment horizontal="center" vertical="center"/>
    </xf>
    <xf numFmtId="1" fontId="512" fillId="0" borderId="102" xfId="428" applyNumberFormat="1" applyFont="1" applyFill="1" applyBorder="1" applyAlignment="1">
      <alignment horizontal="center" vertical="center"/>
    </xf>
    <xf numFmtId="1" fontId="91" fillId="0" borderId="0" xfId="0" applyNumberFormat="1" applyFont="1" applyFill="1" applyBorder="1"/>
    <xf numFmtId="173" fontId="586" fillId="45" borderId="102" xfId="0" applyNumberFormat="1" applyFont="1" applyFill="1" applyBorder="1" applyAlignment="1">
      <alignment horizontal="center"/>
    </xf>
    <xf numFmtId="1" fontId="589" fillId="109" borderId="59" xfId="0" applyNumberFormat="1" applyFont="1" applyFill="1" applyBorder="1" applyAlignment="1">
      <alignment horizontal="center"/>
    </xf>
    <xf numFmtId="1" fontId="590" fillId="110" borderId="59" xfId="0" applyNumberFormat="1" applyFont="1" applyFill="1" applyBorder="1" applyAlignment="1">
      <alignment horizontal="center"/>
    </xf>
    <xf numFmtId="1" fontId="591" fillId="110" borderId="59" xfId="0" applyNumberFormat="1" applyFont="1" applyFill="1" applyBorder="1" applyAlignment="1">
      <alignment horizontal="center"/>
    </xf>
    <xf numFmtId="1" fontId="591" fillId="111" borderId="59" xfId="0" applyNumberFormat="1" applyFont="1" applyFill="1" applyBorder="1" applyAlignment="1">
      <alignment horizontal="center"/>
    </xf>
    <xf numFmtId="1" fontId="50" fillId="123" borderId="66" xfId="430" applyNumberFormat="1" applyFont="1" applyFill="1" applyBorder="1" applyAlignment="1">
      <alignment horizontal="center" vertical="center"/>
    </xf>
    <xf numFmtId="1" fontId="50" fillId="123" borderId="75" xfId="430" applyNumberFormat="1" applyFont="1" applyFill="1" applyBorder="1" applyAlignment="1">
      <alignment horizontal="center" vertical="center"/>
    </xf>
    <xf numFmtId="1" fontId="383" fillId="123" borderId="48" xfId="0" applyNumberFormat="1" applyFont="1" applyFill="1" applyBorder="1" applyAlignment="1">
      <alignment horizontal="center" vertical="center"/>
    </xf>
    <xf numFmtId="1" fontId="50" fillId="123" borderId="76" xfId="430" applyNumberFormat="1" applyFont="1" applyFill="1" applyBorder="1" applyAlignment="1">
      <alignment horizontal="center" vertical="center"/>
    </xf>
    <xf numFmtId="1" fontId="77" fillId="123" borderId="63" xfId="430" applyNumberFormat="1" applyFont="1" applyFill="1" applyBorder="1" applyAlignment="1">
      <alignment horizontal="center" vertical="center"/>
    </xf>
    <xf numFmtId="173" fontId="592" fillId="36" borderId="23" xfId="0" applyNumberFormat="1" applyFont="1" applyFill="1" applyBorder="1" applyAlignment="1">
      <alignment horizontal="center" vertical="top"/>
    </xf>
    <xf numFmtId="173" fontId="593" fillId="36" borderId="31" xfId="0" applyNumberFormat="1" applyFont="1" applyFill="1" applyBorder="1" applyAlignment="1">
      <alignment horizontal="center" vertical="top"/>
    </xf>
    <xf numFmtId="173" fontId="594" fillId="44" borderId="51" xfId="0" applyNumberFormat="1" applyFont="1" applyFill="1" applyBorder="1" applyAlignment="1">
      <alignment horizontal="center" vertical="center"/>
    </xf>
    <xf numFmtId="1" fontId="595" fillId="34" borderId="10" xfId="0" applyNumberFormat="1" applyFont="1" applyFill="1" applyBorder="1" applyAlignment="1">
      <alignment horizontal="center" vertical="top"/>
    </xf>
    <xf numFmtId="1" fontId="596" fillId="70" borderId="10" xfId="0" applyNumberFormat="1" applyFont="1" applyFill="1" applyBorder="1" applyAlignment="1">
      <alignment horizontal="center"/>
    </xf>
    <xf numFmtId="0" fontId="10" fillId="70" borderId="0" xfId="0" applyFont="1" applyFill="1" applyBorder="1" applyAlignment="1">
      <alignment vertical="center"/>
    </xf>
    <xf numFmtId="0" fontId="10" fillId="70" borderId="0" xfId="0" applyNumberFormat="1" applyFont="1" applyFill="1" applyAlignment="1">
      <alignment vertical="center"/>
    </xf>
    <xf numFmtId="0" fontId="459" fillId="0" borderId="297" xfId="0" applyNumberFormat="1" applyFont="1" applyBorder="1" applyAlignment="1" applyProtection="1"/>
    <xf numFmtId="0" fontId="123" fillId="0" borderId="297" xfId="0" applyFont="1" applyBorder="1" applyAlignment="1"/>
    <xf numFmtId="0" fontId="90" fillId="121" borderId="10" xfId="0" applyFont="1" applyFill="1" applyBorder="1"/>
    <xf numFmtId="0" fontId="224" fillId="38" borderId="26" xfId="0" applyFont="1" applyFill="1" applyBorder="1" applyAlignment="1">
      <alignment horizontal="left" vertical="center"/>
    </xf>
    <xf numFmtId="0" fontId="465" fillId="114" borderId="617" xfId="0" applyFont="1" applyFill="1" applyBorder="1" applyAlignment="1">
      <alignment horizontal="center" vertical="top" wrapText="1"/>
    </xf>
    <xf numFmtId="173" fontId="0" fillId="34" borderId="0" xfId="401" applyNumberFormat="1" applyFont="1" applyFill="1" applyBorder="1"/>
    <xf numFmtId="1" fontId="88" fillId="34" borderId="0" xfId="401" applyNumberFormat="1" applyFont="1" applyFill="1"/>
    <xf numFmtId="173" fontId="88" fillId="34" borderId="0" xfId="401" applyNumberFormat="1" applyFont="1" applyFill="1" applyBorder="1"/>
    <xf numFmtId="173" fontId="88" fillId="34" borderId="0" xfId="401" applyNumberFormat="1" applyFont="1" applyFill="1"/>
    <xf numFmtId="173" fontId="0" fillId="34" borderId="0" xfId="401" applyNumberFormat="1" applyFont="1" applyFill="1"/>
    <xf numFmtId="1" fontId="55" fillId="0" borderId="201" xfId="428" applyNumberFormat="1" applyFont="1" applyFill="1" applyBorder="1" applyAlignment="1">
      <alignment horizontal="center" vertical="center"/>
    </xf>
    <xf numFmtId="2" fontId="597" fillId="26" borderId="70" xfId="0" applyNumberFormat="1" applyFont="1" applyFill="1" applyBorder="1" applyAlignment="1">
      <alignment horizontal="center" vertical="center"/>
    </xf>
    <xf numFmtId="20" fontId="598" fillId="88" borderId="10" xfId="0" applyNumberFormat="1" applyFont="1" applyFill="1" applyBorder="1" applyAlignment="1">
      <alignment horizontal="center"/>
    </xf>
    <xf numFmtId="1" fontId="219" fillId="110" borderId="10" xfId="430" applyNumberFormat="1" applyFont="1" applyFill="1" applyBorder="1" applyAlignment="1">
      <alignment horizontal="center" vertical="center"/>
    </xf>
    <xf numFmtId="1" fontId="219" fillId="80" borderId="10" xfId="430" applyNumberFormat="1" applyFont="1" applyFill="1" applyBorder="1" applyAlignment="1">
      <alignment horizontal="center" vertical="center"/>
    </xf>
    <xf numFmtId="1" fontId="373" fillId="110" borderId="10" xfId="430" quotePrefix="1" applyNumberFormat="1" applyFont="1" applyFill="1" applyBorder="1" applyAlignment="1">
      <alignment horizontal="center" vertical="center"/>
    </xf>
    <xf numFmtId="1" fontId="373" fillId="80" borderId="10" xfId="430" applyNumberFormat="1" applyFont="1" applyFill="1" applyBorder="1" applyAlignment="1">
      <alignment horizontal="center" vertical="center"/>
    </xf>
    <xf numFmtId="1" fontId="373" fillId="80" borderId="10" xfId="430" quotePrefix="1" applyNumberFormat="1" applyFont="1" applyFill="1" applyBorder="1" applyAlignment="1">
      <alignment horizontal="center" vertical="center"/>
    </xf>
    <xf numFmtId="1" fontId="40" fillId="0" borderId="62" xfId="430" applyNumberFormat="1" applyFont="1" applyFill="1" applyBorder="1" applyAlignment="1">
      <alignment horizontal="center" vertical="center"/>
    </xf>
    <xf numFmtId="1" fontId="599" fillId="109" borderId="31" xfId="430" quotePrefix="1" applyNumberFormat="1" applyFont="1" applyFill="1" applyBorder="1" applyAlignment="1">
      <alignment horizontal="center" vertical="center"/>
    </xf>
    <xf numFmtId="1" fontId="600" fillId="109" borderId="31" xfId="430" applyNumberFormat="1" applyFont="1" applyFill="1" applyBorder="1" applyAlignment="1">
      <alignment horizontal="center" vertical="center"/>
    </xf>
    <xf numFmtId="1" fontId="599" fillId="109" borderId="31" xfId="430" applyNumberFormat="1" applyFont="1" applyFill="1" applyBorder="1" applyAlignment="1">
      <alignment horizontal="center" vertical="center"/>
    </xf>
    <xf numFmtId="1" fontId="371" fillId="109" borderId="59" xfId="430" applyNumberFormat="1" applyFont="1" applyFill="1" applyBorder="1" applyAlignment="1">
      <alignment horizontal="center" vertical="center"/>
    </xf>
    <xf numFmtId="1" fontId="373" fillId="110" borderId="59" xfId="430" applyNumberFormat="1" applyFont="1" applyFill="1" applyBorder="1" applyAlignment="1">
      <alignment horizontal="center" vertical="center"/>
    </xf>
    <xf numFmtId="1" fontId="245" fillId="110" borderId="59" xfId="430" applyNumberFormat="1" applyFont="1" applyFill="1" applyBorder="1" applyAlignment="1">
      <alignment horizontal="center" vertical="center"/>
    </xf>
    <xf numFmtId="1" fontId="245" fillId="111" borderId="59" xfId="430" applyNumberFormat="1" applyFont="1" applyFill="1" applyBorder="1" applyAlignment="1">
      <alignment horizontal="center" vertical="center"/>
    </xf>
    <xf numFmtId="0" fontId="171" fillId="0" borderId="0" xfId="0" applyFont="1" applyFill="1" applyBorder="1" applyAlignment="1">
      <alignment vertical="center" wrapText="1"/>
    </xf>
    <xf numFmtId="173" fontId="0" fillId="0" borderId="0" xfId="401" applyNumberFormat="1" applyFont="1" applyFill="1" applyBorder="1" applyAlignment="1"/>
    <xf numFmtId="1" fontId="81" fillId="0" borderId="62" xfId="430" quotePrefix="1" applyNumberFormat="1" applyFont="1" applyFill="1" applyBorder="1" applyAlignment="1">
      <alignment horizontal="center" vertical="center"/>
    </xf>
    <xf numFmtId="1" fontId="81" fillId="31" borderId="62" xfId="430" applyNumberFormat="1" applyFont="1" applyFill="1" applyBorder="1" applyAlignment="1">
      <alignment horizontal="center" vertical="center"/>
    </xf>
    <xf numFmtId="167" fontId="108" fillId="0" borderId="0" xfId="0" applyNumberFormat="1" applyFont="1"/>
    <xf numFmtId="49" fontId="338" fillId="0" borderId="0" xfId="0" applyNumberFormat="1" applyFont="1" applyBorder="1" applyAlignment="1" applyProtection="1">
      <alignment vertical="center"/>
      <protection locked="0"/>
    </xf>
    <xf numFmtId="49" fontId="338" fillId="0" borderId="0" xfId="0" applyNumberFormat="1" applyFont="1" applyFill="1" applyBorder="1" applyAlignment="1" applyProtection="1">
      <alignment vertical="center"/>
      <protection locked="0"/>
    </xf>
    <xf numFmtId="0" fontId="338" fillId="0" borderId="0" xfId="0" applyNumberFormat="1" applyFont="1" applyBorder="1" applyAlignment="1" applyProtection="1">
      <alignment vertical="center"/>
    </xf>
    <xf numFmtId="0" fontId="338" fillId="0" borderId="0" xfId="0" applyFont="1" applyBorder="1"/>
    <xf numFmtId="2" fontId="602" fillId="34" borderId="556" xfId="0" applyNumberFormat="1" applyFont="1" applyFill="1" applyBorder="1" applyAlignment="1">
      <alignment horizontal="center" vertical="center" wrapText="1"/>
    </xf>
    <xf numFmtId="173" fontId="236" fillId="0" borderId="39" xfId="430" applyNumberFormat="1" applyFont="1" applyFill="1" applyBorder="1" applyAlignment="1">
      <alignment horizontal="center" vertical="center"/>
    </xf>
    <xf numFmtId="20" fontId="598" fillId="34" borderId="10" xfId="0" applyNumberFormat="1" applyFont="1" applyFill="1" applyBorder="1" applyAlignment="1">
      <alignment horizontal="center"/>
    </xf>
    <xf numFmtId="1" fontId="601" fillId="0" borderId="62" xfId="430" applyNumberFormat="1" applyFont="1" applyFill="1" applyBorder="1" applyAlignment="1">
      <alignment horizontal="center" vertical="center"/>
    </xf>
    <xf numFmtId="173" fontId="50" fillId="0" borderId="0" xfId="430" applyNumberFormat="1" applyFont="1" applyBorder="1"/>
    <xf numFmtId="173" fontId="603" fillId="0" borderId="0" xfId="430" applyNumberFormat="1" applyFont="1" applyFill="1" applyBorder="1"/>
    <xf numFmtId="20" fontId="245" fillId="109" borderId="112" xfId="0" quotePrefix="1" applyNumberFormat="1" applyFont="1" applyFill="1" applyBorder="1" applyAlignment="1">
      <alignment horizontal="center" vertical="center"/>
    </xf>
    <xf numFmtId="20" fontId="245" fillId="109" borderId="68" xfId="0" quotePrefix="1" applyNumberFormat="1" applyFont="1" applyFill="1" applyBorder="1" applyAlignment="1">
      <alignment horizontal="center" vertical="center"/>
    </xf>
    <xf numFmtId="20" fontId="245" fillId="109" borderId="68" xfId="0" applyNumberFormat="1" applyFont="1" applyFill="1" applyBorder="1" applyAlignment="1">
      <alignment horizontal="center" vertical="center"/>
    </xf>
    <xf numFmtId="20" fontId="245" fillId="110" borderId="68" xfId="0" applyNumberFormat="1" applyFont="1" applyFill="1" applyBorder="1" applyAlignment="1">
      <alignment horizontal="center" vertical="center"/>
    </xf>
    <xf numFmtId="20" fontId="245" fillId="111" borderId="68" xfId="0" applyNumberFormat="1" applyFont="1" applyFill="1" applyBorder="1" applyAlignment="1">
      <alignment horizontal="center" vertical="center"/>
    </xf>
    <xf numFmtId="20" fontId="245" fillId="112" borderId="68" xfId="0" applyNumberFormat="1" applyFont="1" applyFill="1" applyBorder="1" applyAlignment="1">
      <alignment horizontal="center" vertical="center"/>
    </xf>
    <xf numFmtId="20" fontId="245" fillId="112" borderId="309" xfId="0" quotePrefix="1" applyNumberFormat="1" applyFont="1" applyFill="1" applyBorder="1" applyAlignment="1">
      <alignment horizontal="center" vertical="center"/>
    </xf>
    <xf numFmtId="0" fontId="604" fillId="0" borderId="0" xfId="0" applyFont="1" applyBorder="1"/>
    <xf numFmtId="0" fontId="605" fillId="31" borderId="10" xfId="0" applyFont="1" applyFill="1" applyBorder="1" applyAlignment="1">
      <alignment horizontal="left"/>
    </xf>
    <xf numFmtId="0" fontId="605" fillId="0" borderId="10" xfId="0" applyFont="1" applyFill="1" applyBorder="1"/>
    <xf numFmtId="0" fontId="606" fillId="0" borderId="10" xfId="0" applyFont="1" applyFill="1" applyBorder="1"/>
    <xf numFmtId="0" fontId="606" fillId="0" borderId="10" xfId="0" applyFont="1" applyBorder="1"/>
    <xf numFmtId="0" fontId="604" fillId="0" borderId="0" xfId="0" applyFont="1"/>
    <xf numFmtId="0" fontId="604" fillId="0" borderId="0" xfId="0" applyFont="1" applyProtection="1">
      <protection locked="0"/>
    </xf>
    <xf numFmtId="14" fontId="225" fillId="0" borderId="10" xfId="0" applyNumberFormat="1" applyFont="1" applyBorder="1" applyAlignment="1">
      <alignment horizontal="center"/>
    </xf>
    <xf numFmtId="0" fontId="285" fillId="0" borderId="10" xfId="0" applyFont="1" applyBorder="1" applyAlignment="1">
      <alignment horizontal="center"/>
    </xf>
    <xf numFmtId="20" fontId="606" fillId="0" borderId="10" xfId="0" applyNumberFormat="1" applyFont="1" applyFill="1" applyBorder="1" applyAlignment="1">
      <alignment horizontal="center"/>
    </xf>
    <xf numFmtId="1" fontId="45" fillId="68" borderId="665" xfId="0" applyNumberFormat="1" applyFont="1" applyFill="1" applyBorder="1" applyAlignment="1" applyProtection="1">
      <alignment horizontal="center" vertical="center"/>
      <protection locked="0"/>
    </xf>
    <xf numFmtId="1" fontId="45" fillId="46" borderId="633" xfId="0" applyNumberFormat="1" applyFont="1" applyFill="1" applyBorder="1" applyAlignment="1" applyProtection="1">
      <alignment horizontal="center" vertical="center"/>
      <protection locked="0"/>
    </xf>
    <xf numFmtId="165" fontId="50" fillId="82" borderId="651" xfId="0" applyNumberFormat="1" applyFont="1" applyFill="1" applyBorder="1" applyAlignment="1" applyProtection="1">
      <alignment horizontal="center" vertical="center"/>
      <protection locked="0"/>
    </xf>
    <xf numFmtId="20" fontId="568" fillId="31" borderId="0" xfId="0" applyNumberFormat="1" applyFont="1" applyFill="1" applyBorder="1" applyAlignment="1">
      <alignment horizontal="center" vertical="center"/>
    </xf>
    <xf numFmtId="20" fontId="91" fillId="31" borderId="0" xfId="414" applyNumberFormat="1" applyFont="1" applyFill="1" applyBorder="1" applyAlignment="1">
      <alignment horizontal="center" vertical="center"/>
    </xf>
    <xf numFmtId="14" fontId="141" fillId="0" borderId="0" xfId="414" applyNumberFormat="1" applyFont="1" applyFill="1" applyBorder="1" applyAlignment="1">
      <alignment horizontal="left" vertical="top"/>
    </xf>
    <xf numFmtId="20" fontId="91" fillId="0" borderId="0" xfId="0" applyNumberFormat="1" applyFont="1" applyFill="1" applyBorder="1" applyAlignment="1">
      <alignment horizontal="center" vertical="center"/>
    </xf>
    <xf numFmtId="173" fontId="91" fillId="0" borderId="0" xfId="414" applyNumberFormat="1" applyFont="1" applyBorder="1" applyAlignment="1">
      <alignment vertical="center"/>
    </xf>
    <xf numFmtId="168" fontId="230" fillId="0" borderId="0" xfId="414" applyNumberFormat="1" applyFont="1" applyBorder="1"/>
    <xf numFmtId="0" fontId="466" fillId="47" borderId="30" xfId="414" applyNumberFormat="1" applyFont="1" applyFill="1" applyBorder="1" applyAlignment="1">
      <alignment horizontal="center" wrapText="1"/>
    </xf>
    <xf numFmtId="0" fontId="7" fillId="0" borderId="666" xfId="428" applyFont="1" applyFill="1" applyBorder="1" applyAlignment="1">
      <alignment horizontal="center" vertical="center"/>
    </xf>
    <xf numFmtId="165" fontId="208" fillId="31" borderId="27" xfId="0" applyNumberFormat="1" applyFont="1" applyFill="1" applyBorder="1" applyAlignment="1">
      <alignment horizontal="left" vertical="center"/>
    </xf>
    <xf numFmtId="0" fontId="7" fillId="0" borderId="667" xfId="428" applyFont="1" applyFill="1" applyBorder="1" applyAlignment="1">
      <alignment horizontal="center"/>
    </xf>
    <xf numFmtId="1" fontId="545" fillId="31" borderId="27" xfId="0" applyNumberFormat="1" applyFont="1" applyFill="1" applyBorder="1" applyAlignment="1">
      <alignment horizontal="left" vertical="center"/>
    </xf>
    <xf numFmtId="0" fontId="7" fillId="0" borderId="620" xfId="428" applyFont="1" applyFill="1" applyBorder="1" applyAlignment="1">
      <alignment horizontal="center"/>
    </xf>
    <xf numFmtId="20" fontId="208" fillId="31" borderId="668" xfId="0" applyNumberFormat="1" applyFont="1" applyFill="1" applyBorder="1" applyAlignment="1">
      <alignment vertical="center"/>
    </xf>
    <xf numFmtId="0" fontId="7" fillId="108" borderId="666" xfId="428" applyFont="1" applyFill="1" applyBorder="1" applyAlignment="1">
      <alignment horizontal="center" vertical="center"/>
    </xf>
    <xf numFmtId="14" fontId="144" fillId="47" borderId="667" xfId="0" applyNumberFormat="1" applyFont="1" applyFill="1" applyBorder="1" applyAlignment="1">
      <alignment horizontal="left"/>
    </xf>
    <xf numFmtId="14" fontId="141" fillId="0" borderId="667" xfId="0" applyNumberFormat="1" applyFont="1" applyFill="1" applyBorder="1" applyAlignment="1">
      <alignment horizontal="left"/>
    </xf>
    <xf numFmtId="14" fontId="141" fillId="0" borderId="667" xfId="414" applyNumberFormat="1" applyFont="1" applyFill="1" applyBorder="1" applyAlignment="1">
      <alignment horizontal="left" vertical="top"/>
    </xf>
    <xf numFmtId="14" fontId="141" fillId="0" borderId="667" xfId="428" applyNumberFormat="1" applyFont="1" applyFill="1" applyBorder="1" applyAlignment="1">
      <alignment horizontal="left" vertical="center"/>
    </xf>
    <xf numFmtId="20" fontId="208" fillId="31" borderId="669" xfId="428" applyNumberFormat="1" applyFont="1" applyFill="1" applyBorder="1" applyAlignment="1">
      <alignment vertical="top"/>
    </xf>
    <xf numFmtId="14" fontId="141" fillId="0" borderId="670" xfId="0" applyNumberFormat="1" applyFont="1" applyBorder="1" applyAlignment="1">
      <alignment horizontal="left"/>
    </xf>
    <xf numFmtId="20" fontId="208" fillId="108" borderId="669" xfId="429" applyNumberFormat="1" applyFont="1" applyFill="1" applyBorder="1" applyAlignment="1">
      <alignment vertical="top"/>
    </xf>
    <xf numFmtId="20" fontId="208" fillId="31" borderId="669" xfId="429" applyNumberFormat="1" applyFont="1" applyFill="1" applyBorder="1" applyAlignment="1">
      <alignment vertical="top"/>
    </xf>
    <xf numFmtId="14" fontId="141" fillId="0" borderId="667" xfId="429" applyNumberFormat="1" applyFont="1" applyFill="1" applyBorder="1" applyAlignment="1">
      <alignment horizontal="left" vertical="center"/>
    </xf>
    <xf numFmtId="14" fontId="141" fillId="0" borderId="667" xfId="414" applyNumberFormat="1" applyFont="1" applyFill="1" applyBorder="1" applyAlignment="1">
      <alignment horizontal="left" vertical="center"/>
    </xf>
    <xf numFmtId="14" fontId="141" fillId="0" borderId="667" xfId="429" applyNumberFormat="1" applyFont="1" applyFill="1" applyBorder="1" applyAlignment="1">
      <alignment horizontal="left"/>
    </xf>
    <xf numFmtId="0" fontId="7" fillId="0" borderId="667" xfId="428" applyFont="1" applyFill="1" applyBorder="1" applyAlignment="1">
      <alignment horizontal="center" vertical="center"/>
    </xf>
    <xf numFmtId="0" fontId="26" fillId="0" borderId="667" xfId="428" applyNumberFormat="1" applyFont="1" applyFill="1" applyBorder="1" applyAlignment="1">
      <alignment horizontal="center" vertical="center"/>
    </xf>
    <xf numFmtId="0" fontId="26" fillId="0" borderId="667" xfId="428" applyFont="1" applyFill="1" applyBorder="1" applyAlignment="1">
      <alignment horizontal="center" vertical="center"/>
    </xf>
    <xf numFmtId="0" fontId="7" fillId="0" borderId="671" xfId="428" applyFont="1" applyFill="1" applyBorder="1" applyAlignment="1">
      <alignment horizontal="center" vertical="center"/>
    </xf>
    <xf numFmtId="0" fontId="7" fillId="0" borderId="672" xfId="428" applyFont="1" applyFill="1" applyBorder="1" applyAlignment="1">
      <alignment horizontal="center" vertical="center"/>
    </xf>
    <xf numFmtId="0" fontId="7" fillId="0" borderId="673" xfId="428" applyFont="1" applyFill="1" applyBorder="1" applyAlignment="1">
      <alignment horizontal="center" vertical="center"/>
    </xf>
    <xf numFmtId="173" fontId="9" fillId="32" borderId="542" xfId="429" applyNumberFormat="1" applyFont="1" applyFill="1" applyBorder="1" applyAlignment="1">
      <alignment vertical="center"/>
    </xf>
    <xf numFmtId="173" fontId="9" fillId="32" borderId="542" xfId="429" applyNumberFormat="1" applyFont="1" applyFill="1" applyBorder="1" applyAlignment="1">
      <alignment horizontal="center" vertical="center"/>
    </xf>
    <xf numFmtId="1" fontId="143" fillId="32" borderId="542" xfId="429" applyNumberFormat="1" applyFont="1" applyFill="1" applyBorder="1" applyAlignment="1">
      <alignment horizontal="center" vertical="center"/>
    </xf>
    <xf numFmtId="14" fontId="308" fillId="32" borderId="542" xfId="429" applyNumberFormat="1" applyFont="1" applyFill="1" applyBorder="1" applyAlignment="1">
      <alignment vertical="center"/>
    </xf>
    <xf numFmtId="1" fontId="7" fillId="0" borderId="556" xfId="429" applyNumberFormat="1" applyFont="1" applyFill="1" applyBorder="1" applyAlignment="1">
      <alignment horizontal="center" vertical="center"/>
    </xf>
    <xf numFmtId="14" fontId="208" fillId="31" borderId="674" xfId="429" applyNumberFormat="1" applyFont="1" applyFill="1" applyBorder="1" applyAlignment="1">
      <alignment horizontal="left" vertical="center"/>
    </xf>
    <xf numFmtId="0" fontId="7" fillId="0" borderId="675" xfId="428" applyFont="1" applyFill="1" applyBorder="1" applyAlignment="1">
      <alignment horizontal="center" vertical="center"/>
    </xf>
    <xf numFmtId="0" fontId="7" fillId="0" borderId="674" xfId="428" applyFont="1" applyFill="1" applyBorder="1" applyAlignment="1">
      <alignment horizontal="center" vertical="center"/>
    </xf>
    <xf numFmtId="1" fontId="9" fillId="32" borderId="542" xfId="429" applyNumberFormat="1" applyFont="1" applyFill="1" applyBorder="1" applyAlignment="1">
      <alignment horizontal="center" vertical="center"/>
    </xf>
    <xf numFmtId="14" fontId="309" fillId="32" borderId="542" xfId="429" applyNumberFormat="1" applyFont="1" applyFill="1" applyBorder="1" applyAlignment="1">
      <alignment vertical="center"/>
    </xf>
    <xf numFmtId="0" fontId="92" fillId="0" borderId="676" xfId="0" applyFont="1" applyBorder="1" applyAlignment="1">
      <alignment horizontal="center" vertical="center"/>
    </xf>
    <xf numFmtId="0" fontId="92" fillId="0" borderId="672" xfId="0" applyFont="1" applyBorder="1" applyAlignment="1">
      <alignment horizontal="center"/>
    </xf>
    <xf numFmtId="0" fontId="9" fillId="0" borderId="666" xfId="428" applyFont="1" applyFill="1" applyBorder="1" applyAlignment="1">
      <alignment horizontal="center" vertical="center"/>
    </xf>
    <xf numFmtId="1" fontId="7" fillId="0" borderId="620" xfId="428" applyNumberFormat="1" applyFont="1" applyFill="1" applyBorder="1" applyAlignment="1">
      <alignment horizontal="center" vertical="center"/>
    </xf>
    <xf numFmtId="1" fontId="7" fillId="0" borderId="671" xfId="428" applyNumberFormat="1" applyFont="1" applyFill="1" applyBorder="1" applyAlignment="1">
      <alignment horizontal="center" vertical="center"/>
    </xf>
    <xf numFmtId="1" fontId="7" fillId="0" borderId="673" xfId="428" applyNumberFormat="1" applyFont="1" applyFill="1" applyBorder="1" applyAlignment="1">
      <alignment horizontal="center" vertical="center"/>
    </xf>
    <xf numFmtId="14" fontId="0" fillId="31" borderId="48" xfId="0" applyNumberFormat="1" applyFill="1" applyBorder="1" applyAlignment="1">
      <alignment horizontal="left"/>
    </xf>
    <xf numFmtId="0" fontId="458" fillId="0" borderId="48" xfId="0" applyFont="1" applyFill="1" applyBorder="1"/>
    <xf numFmtId="0" fontId="7" fillId="31" borderId="666" xfId="428" applyFont="1" applyFill="1" applyBorder="1" applyAlignment="1">
      <alignment horizontal="center" vertical="center"/>
    </xf>
    <xf numFmtId="14" fontId="208" fillId="0" borderId="597" xfId="429" applyNumberFormat="1" applyFont="1" applyFill="1" applyBorder="1" applyAlignment="1">
      <alignment vertical="center"/>
    </xf>
    <xf numFmtId="1" fontId="143" fillId="32" borderId="542" xfId="428" applyNumberFormat="1" applyFont="1" applyFill="1" applyBorder="1" applyAlignment="1">
      <alignment horizontal="center" vertical="center"/>
    </xf>
    <xf numFmtId="0" fontId="7" fillId="0" borderId="620" xfId="428" applyFont="1" applyFill="1" applyBorder="1" applyAlignment="1">
      <alignment horizontal="center" vertical="center"/>
    </xf>
    <xf numFmtId="173" fontId="7" fillId="0" borderId="674" xfId="429" applyNumberFormat="1" applyFont="1" applyFill="1" applyBorder="1" applyAlignment="1">
      <alignment vertical="center"/>
    </xf>
    <xf numFmtId="173" fontId="7" fillId="0" borderId="674" xfId="429" applyNumberFormat="1" applyFont="1" applyFill="1" applyBorder="1" applyAlignment="1">
      <alignment horizontal="center" vertical="center"/>
    </xf>
    <xf numFmtId="1" fontId="7" fillId="0" borderId="674" xfId="429" applyNumberFormat="1" applyFont="1" applyFill="1" applyBorder="1" applyAlignment="1">
      <alignment horizontal="center" vertical="center"/>
    </xf>
    <xf numFmtId="1" fontId="7" fillId="0" borderId="674" xfId="428" applyNumberFormat="1" applyFont="1" applyFill="1" applyBorder="1" applyAlignment="1" applyProtection="1">
      <alignment horizontal="center" vertical="center"/>
      <protection locked="0"/>
    </xf>
    <xf numFmtId="1" fontId="7" fillId="0" borderId="674" xfId="429" applyNumberFormat="1" applyFont="1" applyFill="1" applyBorder="1" applyAlignment="1" applyProtection="1">
      <alignment horizontal="center" vertical="center"/>
    </xf>
    <xf numFmtId="1" fontId="306" fillId="0" borderId="674" xfId="429" applyNumberFormat="1" applyFont="1" applyFill="1" applyBorder="1" applyAlignment="1" applyProtection="1">
      <alignment horizontal="center" vertical="center"/>
    </xf>
    <xf numFmtId="14" fontId="20" fillId="0" borderId="674" xfId="429" applyNumberFormat="1" applyFont="1" applyFill="1" applyBorder="1" applyAlignment="1">
      <alignment horizontal="left" vertical="center"/>
    </xf>
    <xf numFmtId="173" fontId="7" fillId="0" borderId="673" xfId="429" applyNumberFormat="1" applyFont="1" applyFill="1" applyBorder="1" applyAlignment="1">
      <alignment vertical="center"/>
    </xf>
    <xf numFmtId="173" fontId="7" fillId="0" borderId="673" xfId="429" applyNumberFormat="1" applyFont="1" applyFill="1" applyBorder="1" applyAlignment="1">
      <alignment horizontal="center" vertical="center"/>
    </xf>
    <xf numFmtId="1" fontId="7" fillId="0" borderId="673" xfId="429" applyNumberFormat="1" applyFont="1" applyFill="1" applyBorder="1" applyAlignment="1">
      <alignment horizontal="center" vertical="center"/>
    </xf>
    <xf numFmtId="1" fontId="7" fillId="0" borderId="673" xfId="428" applyNumberFormat="1" applyFont="1" applyFill="1" applyBorder="1" applyAlignment="1" applyProtection="1">
      <alignment horizontal="center" vertical="center"/>
      <protection locked="0"/>
    </xf>
    <xf numFmtId="1" fontId="7" fillId="0" borderId="673" xfId="429" applyNumberFormat="1" applyFont="1" applyFill="1" applyBorder="1" applyAlignment="1" applyProtection="1">
      <alignment horizontal="center" vertical="center"/>
    </xf>
    <xf numFmtId="1" fontId="306" fillId="0" borderId="673" xfId="429" applyNumberFormat="1" applyFont="1" applyFill="1" applyBorder="1" applyAlignment="1" applyProtection="1">
      <alignment horizontal="center" vertical="center"/>
    </xf>
    <xf numFmtId="14" fontId="20" fillId="0" borderId="673" xfId="429" applyNumberFormat="1" applyFont="1" applyFill="1" applyBorder="1" applyAlignment="1">
      <alignment horizontal="left" vertical="center"/>
    </xf>
    <xf numFmtId="0" fontId="221" fillId="0" borderId="620" xfId="0" applyFont="1" applyBorder="1" applyAlignment="1">
      <alignment horizontal="center"/>
    </xf>
    <xf numFmtId="0" fontId="7" fillId="108" borderId="674" xfId="428" applyFont="1" applyFill="1" applyBorder="1" applyAlignment="1">
      <alignment horizontal="center" vertical="center"/>
    </xf>
    <xf numFmtId="173" fontId="7" fillId="0" borderId="674" xfId="429" applyNumberFormat="1" applyFont="1" applyFill="1" applyBorder="1" applyAlignment="1">
      <alignment horizontal="left" vertical="center"/>
    </xf>
    <xf numFmtId="0" fontId="208" fillId="31" borderId="674" xfId="0" applyNumberFormat="1" applyFont="1" applyFill="1" applyBorder="1" applyAlignment="1">
      <alignment horizontal="left" vertical="center"/>
    </xf>
    <xf numFmtId="0" fontId="7" fillId="47" borderId="674" xfId="428" applyFont="1" applyFill="1" applyBorder="1" applyAlignment="1">
      <alignment horizontal="center" vertical="center"/>
    </xf>
    <xf numFmtId="0" fontId="208" fillId="31" borderId="674" xfId="429" applyNumberFormat="1" applyFont="1" applyFill="1" applyBorder="1" applyAlignment="1">
      <alignment vertical="center"/>
    </xf>
    <xf numFmtId="1" fontId="9" fillId="32" borderId="542" xfId="437" applyNumberFormat="1" applyFont="1" applyFill="1" applyBorder="1" applyAlignment="1">
      <alignment horizontal="center" vertical="center"/>
    </xf>
    <xf numFmtId="1" fontId="306" fillId="32" borderId="542" xfId="437" applyNumberFormat="1" applyFont="1" applyFill="1" applyBorder="1" applyAlignment="1">
      <alignment horizontal="center" vertical="center"/>
    </xf>
    <xf numFmtId="14" fontId="308" fillId="32" borderId="542" xfId="429" applyNumberFormat="1" applyFont="1" applyFill="1" applyBorder="1" applyAlignment="1">
      <alignment horizontal="left" vertical="center"/>
    </xf>
    <xf numFmtId="0" fontId="221" fillId="0" borderId="674" xfId="0" applyFont="1" applyBorder="1" applyAlignment="1">
      <alignment horizontal="center" vertical="center"/>
    </xf>
    <xf numFmtId="0" fontId="7" fillId="32" borderId="542" xfId="429" applyNumberFormat="1" applyFont="1" applyFill="1" applyBorder="1" applyAlignment="1">
      <alignment vertical="center"/>
    </xf>
    <xf numFmtId="1" fontId="306" fillId="32" borderId="542" xfId="429" applyNumberFormat="1" applyFont="1" applyFill="1" applyBorder="1" applyAlignment="1">
      <alignment horizontal="center" vertical="center"/>
    </xf>
    <xf numFmtId="173" fontId="7" fillId="0" borderId="352" xfId="434" applyNumberFormat="1" applyFont="1" applyFill="1" applyBorder="1" applyAlignment="1">
      <alignment vertical="center"/>
    </xf>
    <xf numFmtId="173" fontId="7" fillId="0" borderId="311" xfId="434" applyNumberFormat="1" applyFont="1" applyFill="1" applyBorder="1" applyAlignment="1">
      <alignment horizontal="left" vertical="center"/>
    </xf>
    <xf numFmtId="165" fontId="7" fillId="0" borderId="311" xfId="434" applyNumberFormat="1" applyFont="1" applyFill="1" applyBorder="1" applyAlignment="1">
      <alignment horizontal="right" vertical="center"/>
    </xf>
    <xf numFmtId="165" fontId="7" fillId="0" borderId="311" xfId="434" applyNumberFormat="1" applyFont="1" applyFill="1" applyBorder="1" applyAlignment="1">
      <alignment vertical="center"/>
    </xf>
    <xf numFmtId="1" fontId="7" fillId="0" borderId="311" xfId="434" applyNumberFormat="1" applyFont="1" applyFill="1" applyBorder="1" applyAlignment="1">
      <alignment vertical="center"/>
    </xf>
    <xf numFmtId="49" fontId="9" fillId="0" borderId="33" xfId="434" applyNumberFormat="1" applyFont="1" applyFill="1" applyBorder="1" applyAlignment="1" applyProtection="1">
      <alignment horizontal="center" vertical="center"/>
      <protection locked="0"/>
    </xf>
    <xf numFmtId="1" fontId="306" fillId="0" borderId="273" xfId="429" applyNumberFormat="1" applyFont="1" applyFill="1" applyBorder="1" applyAlignment="1" applyProtection="1">
      <alignment horizontal="center" vertical="center"/>
    </xf>
    <xf numFmtId="173" fontId="7" fillId="0" borderId="276" xfId="434" applyNumberFormat="1" applyFont="1" applyFill="1" applyBorder="1" applyAlignment="1">
      <alignment vertical="center"/>
    </xf>
    <xf numFmtId="0" fontId="100" fillId="0" borderId="0" xfId="0" applyFont="1" applyFill="1" applyBorder="1" applyAlignment="1">
      <alignment horizontal="center" vertical="center" wrapText="1"/>
    </xf>
    <xf numFmtId="173" fontId="91" fillId="0" borderId="0" xfId="0" applyNumberFormat="1" applyFont="1" applyBorder="1" applyAlignment="1"/>
    <xf numFmtId="0" fontId="100" fillId="0" borderId="0" xfId="0" applyFont="1" applyBorder="1" applyAlignment="1">
      <alignment horizontal="center" vertical="center" wrapText="1"/>
    </xf>
    <xf numFmtId="0" fontId="91" fillId="0" borderId="0" xfId="0" applyFont="1" applyBorder="1" applyAlignment="1">
      <alignment horizontal="center"/>
    </xf>
    <xf numFmtId="173" fontId="81" fillId="0" borderId="49" xfId="430" applyNumberFormat="1" applyFont="1" applyFill="1" applyBorder="1" applyAlignment="1">
      <alignment vertical="center"/>
    </xf>
    <xf numFmtId="173" fontId="81" fillId="0" borderId="40" xfId="430" applyNumberFormat="1" applyFont="1" applyFill="1" applyBorder="1" applyAlignment="1">
      <alignment vertical="center"/>
    </xf>
    <xf numFmtId="173" fontId="81" fillId="0" borderId="45" xfId="430" applyNumberFormat="1" applyFont="1" applyFill="1" applyBorder="1" applyAlignment="1">
      <alignment vertical="center"/>
    </xf>
    <xf numFmtId="173" fontId="81" fillId="45" borderId="36" xfId="430" applyNumberFormat="1" applyFont="1" applyFill="1" applyBorder="1" applyAlignment="1">
      <alignment horizontal="center" vertical="center"/>
    </xf>
    <xf numFmtId="173" fontId="81" fillId="45" borderId="35" xfId="430" applyNumberFormat="1" applyFont="1" applyFill="1" applyBorder="1" applyAlignment="1">
      <alignment horizontal="center" vertical="center"/>
    </xf>
    <xf numFmtId="173" fontId="81" fillId="45" borderId="34" xfId="430" applyNumberFormat="1" applyFont="1" applyFill="1" applyBorder="1" applyAlignment="1">
      <alignment horizontal="center" vertical="center"/>
    </xf>
    <xf numFmtId="173" fontId="81" fillId="45" borderId="102" xfId="430" applyNumberFormat="1" applyFont="1" applyFill="1" applyBorder="1" applyAlignment="1">
      <alignment horizontal="center" vertical="center"/>
    </xf>
    <xf numFmtId="190" fontId="110" fillId="0" borderId="655" xfId="0" applyNumberFormat="1" applyFont="1" applyBorder="1" applyAlignment="1">
      <alignment vertical="center"/>
    </xf>
    <xf numFmtId="1" fontId="110" fillId="0" borderId="659" xfId="0" applyNumberFormat="1" applyFont="1" applyBorder="1" applyAlignment="1">
      <alignment vertical="center"/>
    </xf>
    <xf numFmtId="190" fontId="110" fillId="0" borderId="657" xfId="0" applyNumberFormat="1" applyFont="1" applyBorder="1" applyAlignment="1">
      <alignment vertical="center"/>
    </xf>
    <xf numFmtId="0" fontId="607" fillId="0" borderId="653" xfId="0" applyFont="1" applyBorder="1" applyAlignment="1">
      <alignment vertical="center"/>
    </xf>
    <xf numFmtId="0" fontId="107" fillId="0" borderId="660" xfId="0" applyFont="1" applyBorder="1"/>
    <xf numFmtId="190" fontId="109" fillId="0" borderId="654" xfId="0" applyNumberFormat="1" applyFont="1" applyBorder="1" applyAlignment="1">
      <alignment vertical="center"/>
    </xf>
    <xf numFmtId="1" fontId="109" fillId="0" borderId="15" xfId="0" applyNumberFormat="1" applyFont="1" applyBorder="1" applyAlignment="1">
      <alignment vertical="center"/>
    </xf>
    <xf numFmtId="22" fontId="534" fillId="31" borderId="10" xfId="0" applyNumberFormat="1" applyFont="1" applyFill="1" applyBorder="1" applyAlignment="1">
      <alignment horizontal="center" vertical="center"/>
    </xf>
    <xf numFmtId="1" fontId="585" fillId="42" borderId="678" xfId="0" applyNumberFormat="1" applyFont="1" applyFill="1" applyBorder="1" applyAlignment="1" applyProtection="1">
      <alignment horizontal="center" vertical="center"/>
      <protection locked="0"/>
    </xf>
    <xf numFmtId="1" fontId="585" fillId="87" borderId="679" xfId="0" applyNumberFormat="1" applyFont="1" applyFill="1" applyBorder="1" applyAlignment="1" applyProtection="1">
      <alignment horizontal="center" vertical="center"/>
      <protection locked="0"/>
    </xf>
    <xf numFmtId="0" fontId="585" fillId="87" borderId="679" xfId="0" applyFont="1" applyFill="1" applyBorder="1" applyAlignment="1">
      <alignment horizontal="center" vertical="center"/>
    </xf>
    <xf numFmtId="1" fontId="585" fillId="87" borderId="679" xfId="0" applyNumberFormat="1" applyFont="1" applyFill="1" applyBorder="1" applyAlignment="1">
      <alignment horizontal="center" vertical="center"/>
    </xf>
    <xf numFmtId="165" fontId="585" fillId="87" borderId="679" xfId="0" applyNumberFormat="1" applyFont="1" applyFill="1" applyBorder="1" applyAlignment="1">
      <alignment horizontal="center" vertical="center"/>
    </xf>
    <xf numFmtId="0" fontId="585" fillId="87" borderId="678" xfId="0" applyFont="1" applyFill="1" applyBorder="1" applyAlignment="1">
      <alignment horizontal="center" vertical="center"/>
    </xf>
    <xf numFmtId="165" fontId="585" fillId="46" borderId="679" xfId="0" applyNumberFormat="1" applyFont="1" applyFill="1" applyBorder="1" applyAlignment="1">
      <alignment horizontal="center" vertical="center"/>
    </xf>
    <xf numFmtId="165" fontId="585" fillId="88" borderId="679" xfId="0" applyNumberFormat="1" applyFont="1" applyFill="1" applyBorder="1" applyAlignment="1">
      <alignment horizontal="center" vertical="center"/>
    </xf>
    <xf numFmtId="1" fontId="585" fillId="88" borderId="679" xfId="0" applyNumberFormat="1" applyFont="1" applyFill="1" applyBorder="1" applyAlignment="1" applyProtection="1">
      <alignment horizontal="center" vertical="center"/>
      <protection locked="0"/>
    </xf>
    <xf numFmtId="1" fontId="586" fillId="88" borderId="679" xfId="0" applyNumberFormat="1" applyFont="1" applyFill="1" applyBorder="1" applyAlignment="1" applyProtection="1">
      <alignment horizontal="center" vertical="center"/>
      <protection locked="0"/>
    </xf>
    <xf numFmtId="1" fontId="585" fillId="88" borderId="678" xfId="0" applyNumberFormat="1" applyFont="1" applyFill="1" applyBorder="1" applyAlignment="1" applyProtection="1">
      <alignment horizontal="center" vertical="center"/>
      <protection locked="0"/>
    </xf>
    <xf numFmtId="1" fontId="585" fillId="34" borderId="679" xfId="0" applyNumberFormat="1" applyFont="1" applyFill="1" applyBorder="1" applyAlignment="1" applyProtection="1">
      <alignment horizontal="center" vertical="center"/>
      <protection locked="0"/>
    </xf>
    <xf numFmtId="165" fontId="585" fillId="88" borderId="679" xfId="0" applyNumberFormat="1" applyFont="1" applyFill="1" applyBorder="1" applyAlignment="1" applyProtection="1">
      <alignment horizontal="center" vertical="center"/>
      <protection locked="0"/>
    </xf>
    <xf numFmtId="1" fontId="585" fillId="46" borderId="678" xfId="0" applyNumberFormat="1" applyFont="1" applyFill="1" applyBorder="1" applyAlignment="1" applyProtection="1">
      <alignment horizontal="center" vertical="center"/>
      <protection locked="0"/>
    </xf>
    <xf numFmtId="165" fontId="586" fillId="82" borderId="680" xfId="0" applyNumberFormat="1" applyFont="1" applyFill="1" applyBorder="1" applyAlignment="1" applyProtection="1">
      <alignment horizontal="center" vertical="center"/>
      <protection locked="0"/>
    </xf>
    <xf numFmtId="1" fontId="585" fillId="87" borderId="682" xfId="0" applyNumberFormat="1" applyFont="1" applyFill="1" applyBorder="1" applyAlignment="1" applyProtection="1">
      <alignment horizontal="center" vertical="center"/>
      <protection locked="0"/>
    </xf>
    <xf numFmtId="1" fontId="585" fillId="89" borderId="682" xfId="0" applyNumberFormat="1" applyFont="1" applyFill="1" applyBorder="1" applyAlignment="1" applyProtection="1">
      <alignment horizontal="center" vertical="center"/>
      <protection locked="0"/>
    </xf>
    <xf numFmtId="1" fontId="585" fillId="89" borderId="679" xfId="0" applyNumberFormat="1" applyFont="1" applyFill="1" applyBorder="1" applyAlignment="1" applyProtection="1">
      <alignment horizontal="center" vertical="center"/>
      <protection locked="0"/>
    </xf>
    <xf numFmtId="1" fontId="585" fillId="89" borderId="679" xfId="0" applyNumberFormat="1" applyFont="1" applyFill="1" applyBorder="1" applyAlignment="1">
      <alignment horizontal="center" vertical="center"/>
    </xf>
    <xf numFmtId="165" fontId="585" fillId="89" borderId="679" xfId="0" applyNumberFormat="1" applyFont="1" applyFill="1" applyBorder="1" applyAlignment="1">
      <alignment horizontal="center" vertical="center"/>
    </xf>
    <xf numFmtId="1" fontId="585" fillId="42" borderId="679" xfId="0" applyNumberFormat="1" applyFont="1" applyFill="1" applyBorder="1" applyAlignment="1" applyProtection="1">
      <alignment horizontal="center" vertical="center"/>
      <protection locked="0"/>
    </xf>
    <xf numFmtId="0" fontId="585" fillId="89" borderId="679" xfId="0" applyFont="1" applyFill="1" applyBorder="1" applyAlignment="1">
      <alignment horizontal="center" vertical="center"/>
    </xf>
    <xf numFmtId="165" fontId="585" fillId="68" borderId="679" xfId="0" applyNumberFormat="1" applyFont="1" applyFill="1" applyBorder="1" applyAlignment="1">
      <alignment horizontal="center" vertical="center"/>
    </xf>
    <xf numFmtId="1" fontId="585" fillId="68" borderId="679" xfId="0" applyNumberFormat="1" applyFont="1" applyFill="1" applyBorder="1" applyAlignment="1" applyProtection="1">
      <alignment horizontal="center" vertical="center"/>
      <protection locked="0"/>
    </xf>
    <xf numFmtId="1" fontId="585" fillId="68" borderId="678" xfId="0" applyNumberFormat="1" applyFont="1" applyFill="1" applyBorder="1" applyAlignment="1" applyProtection="1">
      <alignment horizontal="center" vertical="center"/>
      <protection locked="0"/>
    </xf>
    <xf numFmtId="165" fontId="585" fillId="68" borderId="679" xfId="0" applyNumberFormat="1" applyFont="1" applyFill="1" applyBorder="1" applyAlignment="1" applyProtection="1">
      <alignment horizontal="center" vertical="center"/>
      <protection locked="0"/>
    </xf>
    <xf numFmtId="1" fontId="45" fillId="87" borderId="682" xfId="0" applyNumberFormat="1" applyFont="1" applyFill="1" applyBorder="1" applyAlignment="1" applyProtection="1">
      <alignment horizontal="center" vertical="center"/>
      <protection locked="0"/>
    </xf>
    <xf numFmtId="1" fontId="45" fillId="87" borderId="679" xfId="0" applyNumberFormat="1" applyFont="1" applyFill="1" applyBorder="1" applyAlignment="1" applyProtection="1">
      <alignment horizontal="center" vertical="center"/>
      <protection locked="0"/>
    </xf>
    <xf numFmtId="1" fontId="45" fillId="87" borderId="679" xfId="0" applyNumberFormat="1" applyFont="1" applyFill="1" applyBorder="1" applyAlignment="1">
      <alignment horizontal="center" vertical="center"/>
    </xf>
    <xf numFmtId="165" fontId="45" fillId="87" borderId="679" xfId="0" applyNumberFormat="1" applyFont="1" applyFill="1" applyBorder="1" applyAlignment="1">
      <alignment horizontal="center" vertical="center"/>
    </xf>
    <xf numFmtId="1" fontId="45" fillId="42" borderId="678" xfId="0" applyNumberFormat="1" applyFont="1" applyFill="1" applyBorder="1" applyAlignment="1" applyProtection="1">
      <alignment horizontal="center" vertical="center"/>
      <protection locked="0"/>
    </xf>
    <xf numFmtId="0" fontId="45" fillId="87" borderId="679" xfId="0" applyFont="1" applyFill="1" applyBorder="1" applyAlignment="1">
      <alignment horizontal="center" vertical="center"/>
    </xf>
    <xf numFmtId="0" fontId="45" fillId="87" borderId="678" xfId="0" applyFont="1" applyFill="1" applyBorder="1" applyAlignment="1">
      <alignment horizontal="center" vertical="center"/>
    </xf>
    <xf numFmtId="165" fontId="45" fillId="46" borderId="679" xfId="0" applyNumberFormat="1" applyFont="1" applyFill="1" applyBorder="1" applyAlignment="1">
      <alignment horizontal="center" vertical="center"/>
    </xf>
    <xf numFmtId="165" fontId="45" fillId="88" borderId="679" xfId="0" applyNumberFormat="1" applyFont="1" applyFill="1" applyBorder="1" applyAlignment="1">
      <alignment horizontal="center" vertical="center"/>
    </xf>
    <xf numFmtId="1" fontId="45" fillId="88" borderId="679" xfId="0" applyNumberFormat="1" applyFont="1" applyFill="1" applyBorder="1" applyAlignment="1" applyProtection="1">
      <alignment horizontal="center" vertical="center"/>
      <protection locked="0"/>
    </xf>
    <xf numFmtId="1" fontId="50" fillId="88" borderId="679" xfId="0" applyNumberFormat="1" applyFont="1" applyFill="1" applyBorder="1" applyAlignment="1" applyProtection="1">
      <alignment horizontal="center" vertical="center"/>
      <protection locked="0"/>
    </xf>
    <xf numFmtId="1" fontId="45" fillId="88" borderId="678" xfId="0" applyNumberFormat="1" applyFont="1" applyFill="1" applyBorder="1" applyAlignment="1" applyProtection="1">
      <alignment horizontal="center" vertical="center"/>
      <protection locked="0"/>
    </xf>
    <xf numFmtId="1" fontId="45" fillId="34" borderId="679" xfId="0" applyNumberFormat="1" applyFont="1" applyFill="1" applyBorder="1" applyAlignment="1" applyProtection="1">
      <alignment horizontal="center" vertical="center"/>
      <protection locked="0"/>
    </xf>
    <xf numFmtId="165" fontId="45" fillId="88" borderId="679" xfId="0" applyNumberFormat="1" applyFont="1" applyFill="1" applyBorder="1" applyAlignment="1" applyProtection="1">
      <alignment horizontal="center" vertical="center"/>
      <protection locked="0"/>
    </xf>
    <xf numFmtId="1" fontId="45" fillId="46" borderId="678" xfId="0" applyNumberFormat="1" applyFont="1" applyFill="1" applyBorder="1" applyAlignment="1" applyProtection="1">
      <alignment horizontal="center" vertical="center"/>
      <protection locked="0"/>
    </xf>
    <xf numFmtId="165" fontId="50" fillId="82" borderId="680" xfId="0" applyNumberFormat="1" applyFont="1" applyFill="1" applyBorder="1" applyAlignment="1" applyProtection="1">
      <alignment horizontal="center" vertical="center"/>
      <protection locked="0"/>
    </xf>
    <xf numFmtId="1" fontId="45" fillId="89" borderId="682" xfId="0" applyNumberFormat="1" applyFont="1" applyFill="1" applyBorder="1" applyAlignment="1" applyProtection="1">
      <alignment horizontal="center" vertical="center"/>
      <protection locked="0"/>
    </xf>
    <xf numFmtId="1" fontId="45" fillId="89" borderId="679" xfId="0" applyNumberFormat="1" applyFont="1" applyFill="1" applyBorder="1" applyAlignment="1" applyProtection="1">
      <alignment horizontal="center" vertical="center"/>
      <protection locked="0"/>
    </xf>
    <xf numFmtId="1" fontId="45" fillId="89" borderId="679" xfId="0" applyNumberFormat="1" applyFont="1" applyFill="1" applyBorder="1" applyAlignment="1">
      <alignment horizontal="center" vertical="center"/>
    </xf>
    <xf numFmtId="165" fontId="45" fillId="89" borderId="679" xfId="0" applyNumberFormat="1" applyFont="1" applyFill="1" applyBorder="1" applyAlignment="1">
      <alignment horizontal="center" vertical="center"/>
    </xf>
    <xf numFmtId="1" fontId="45" fillId="42" borderId="679" xfId="0" applyNumberFormat="1" applyFont="1" applyFill="1" applyBorder="1" applyAlignment="1" applyProtection="1">
      <alignment horizontal="center" vertical="center"/>
      <protection locked="0"/>
    </xf>
    <xf numFmtId="0" fontId="45" fillId="89" borderId="679" xfId="0" applyFont="1" applyFill="1" applyBorder="1" applyAlignment="1">
      <alignment horizontal="center" vertical="center"/>
    </xf>
    <xf numFmtId="165" fontId="317" fillId="68" borderId="679" xfId="0" applyNumberFormat="1" applyFont="1" applyFill="1" applyBorder="1" applyAlignment="1">
      <alignment horizontal="center" vertical="center"/>
    </xf>
    <xf numFmtId="165" fontId="45" fillId="68" borderId="679" xfId="0" applyNumberFormat="1" applyFont="1" applyFill="1" applyBorder="1" applyAlignment="1">
      <alignment horizontal="center" vertical="center"/>
    </xf>
    <xf numFmtId="1" fontId="45" fillId="68" borderId="679" xfId="0" applyNumberFormat="1" applyFont="1" applyFill="1" applyBorder="1" applyAlignment="1" applyProtection="1">
      <alignment horizontal="center" vertical="center"/>
      <protection locked="0"/>
    </xf>
    <xf numFmtId="1" fontId="45" fillId="68" borderId="678" xfId="0" applyNumberFormat="1" applyFont="1" applyFill="1" applyBorder="1" applyAlignment="1" applyProtection="1">
      <alignment horizontal="center" vertical="center"/>
      <protection locked="0"/>
    </xf>
    <xf numFmtId="0" fontId="45" fillId="89" borderId="678" xfId="0" applyFont="1" applyFill="1" applyBorder="1" applyAlignment="1">
      <alignment horizontal="center" vertical="center"/>
    </xf>
    <xf numFmtId="165" fontId="45" fillId="68" borderId="679" xfId="0" applyNumberFormat="1" applyFont="1" applyFill="1" applyBorder="1" applyAlignment="1" applyProtection="1">
      <alignment horizontal="center" vertical="center"/>
      <protection locked="0"/>
    </xf>
    <xf numFmtId="1" fontId="50" fillId="68" borderId="679" xfId="0" applyNumberFormat="1" applyFont="1" applyFill="1" applyBorder="1" applyAlignment="1" applyProtection="1">
      <alignment horizontal="center" vertical="center"/>
      <protection locked="0"/>
    </xf>
    <xf numFmtId="1" fontId="45" fillId="68" borderId="679" xfId="0" applyNumberFormat="1" applyFont="1" applyFill="1" applyBorder="1" applyAlignment="1" applyProtection="1">
      <alignment horizontal="center" vertical="center" wrapText="1"/>
      <protection locked="0"/>
    </xf>
    <xf numFmtId="1" fontId="585" fillId="68" borderId="679" xfId="0" applyNumberFormat="1" applyFont="1" applyFill="1" applyBorder="1" applyAlignment="1" applyProtection="1">
      <alignment horizontal="center" vertical="center" wrapText="1"/>
      <protection locked="0"/>
    </xf>
    <xf numFmtId="0" fontId="608" fillId="0" borderId="10" xfId="0" applyFont="1" applyBorder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59" fillId="0" borderId="47" xfId="0" applyFont="1" applyFill="1" applyBorder="1" applyAlignment="1"/>
    <xf numFmtId="0" fontId="459" fillId="0" borderId="47" xfId="0" applyFont="1" applyBorder="1" applyAlignment="1"/>
    <xf numFmtId="0" fontId="464" fillId="119" borderId="617" xfId="0" applyFont="1" applyFill="1" applyBorder="1" applyAlignment="1">
      <alignment horizontal="center" vertical="top" wrapText="1"/>
    </xf>
    <xf numFmtId="0" fontId="83" fillId="0" borderId="13" xfId="0" applyFont="1" applyBorder="1" applyAlignment="1">
      <alignment vertical="center"/>
    </xf>
    <xf numFmtId="0" fontId="83" fillId="0" borderId="13" xfId="0" applyFont="1" applyFill="1" applyBorder="1" applyAlignment="1">
      <alignment vertical="center"/>
    </xf>
    <xf numFmtId="0" fontId="506" fillId="0" borderId="0" xfId="0" applyNumberFormat="1" applyFont="1" applyBorder="1" applyAlignment="1" applyProtection="1">
      <alignment vertical="center"/>
    </xf>
    <xf numFmtId="0" fontId="106" fillId="0" borderId="0" xfId="0" applyNumberFormat="1" applyFont="1" applyFill="1" applyBorder="1" applyAlignment="1"/>
    <xf numFmtId="1" fontId="0" fillId="0" borderId="0" xfId="0" applyNumberFormat="1" applyFont="1" applyFill="1" applyBorder="1"/>
    <xf numFmtId="0" fontId="0" fillId="34" borderId="10" xfId="0" applyFont="1" applyFill="1" applyBorder="1"/>
    <xf numFmtId="0" fontId="0" fillId="34" borderId="10" xfId="0" applyNumberFormat="1" applyFont="1" applyFill="1" applyBorder="1" applyAlignment="1"/>
    <xf numFmtId="1" fontId="0" fillId="34" borderId="0" xfId="0" applyNumberFormat="1" applyFont="1" applyFill="1" applyBorder="1"/>
    <xf numFmtId="0" fontId="0" fillId="121" borderId="10" xfId="0" applyFont="1" applyFill="1" applyBorder="1"/>
    <xf numFmtId="1" fontId="0" fillId="0" borderId="0" xfId="0" applyNumberFormat="1" applyFont="1" applyFill="1" applyBorder="1" applyAlignment="1"/>
    <xf numFmtId="0" fontId="0" fillId="108" borderId="10" xfId="0" applyNumberFormat="1" applyFont="1" applyFill="1" applyBorder="1" applyAlignment="1"/>
    <xf numFmtId="0" fontId="0" fillId="0" borderId="0" xfId="0" applyNumberFormat="1" applyFont="1" applyFill="1" applyBorder="1"/>
    <xf numFmtId="1" fontId="0" fillId="40" borderId="0" xfId="0" applyNumberFormat="1" applyFont="1" applyFill="1" applyBorder="1" applyAlignment="1"/>
    <xf numFmtId="0" fontId="0" fillId="122" borderId="10" xfId="0" applyNumberFormat="1" applyFont="1" applyFill="1" applyBorder="1"/>
    <xf numFmtId="0" fontId="610" fillId="122" borderId="10" xfId="0" applyNumberFormat="1" applyFont="1" applyFill="1" applyBorder="1" applyAlignment="1">
      <alignment horizontal="center" vertical="center" wrapText="1"/>
    </xf>
    <xf numFmtId="0" fontId="106" fillId="122" borderId="10" xfId="0" applyNumberFormat="1" applyFont="1" applyFill="1" applyBorder="1" applyAlignment="1">
      <alignment horizontal="center" vertical="center"/>
    </xf>
    <xf numFmtId="0" fontId="106" fillId="122" borderId="10" xfId="0" applyNumberFormat="1" applyFont="1" applyFill="1" applyBorder="1" applyAlignment="1">
      <alignment horizontal="center" vertical="center" wrapText="1"/>
    </xf>
    <xf numFmtId="0" fontId="106" fillId="122" borderId="10" xfId="0" applyNumberFormat="1" applyFont="1" applyFill="1" applyBorder="1" applyAlignment="1">
      <alignment vertical="top" wrapText="1"/>
    </xf>
    <xf numFmtId="0" fontId="90" fillId="122" borderId="10" xfId="0" applyNumberFormat="1" applyFont="1" applyFill="1" applyBorder="1" applyAlignment="1">
      <alignment horizontal="center" vertical="center" wrapText="1"/>
    </xf>
    <xf numFmtId="0" fontId="90" fillId="122" borderId="10" xfId="0" applyFont="1" applyFill="1" applyBorder="1" applyAlignment="1">
      <alignment horizontal="center" vertical="center" wrapText="1"/>
    </xf>
    <xf numFmtId="0" fontId="0" fillId="121" borderId="10" xfId="0" applyNumberFormat="1" applyFont="1" applyFill="1" applyBorder="1" applyAlignment="1"/>
    <xf numFmtId="10" fontId="0" fillId="120" borderId="10" xfId="0" applyNumberFormat="1" applyFont="1" applyFill="1" applyBorder="1" applyAlignment="1"/>
    <xf numFmtId="1" fontId="0" fillId="120" borderId="10" xfId="0" applyNumberFormat="1" applyFont="1" applyFill="1" applyBorder="1" applyAlignment="1"/>
    <xf numFmtId="0" fontId="609" fillId="120" borderId="10" xfId="0" applyNumberFormat="1" applyFont="1" applyFill="1" applyBorder="1" applyAlignment="1">
      <alignment horizontal="center" vertical="top"/>
    </xf>
    <xf numFmtId="1" fontId="0" fillId="121" borderId="10" xfId="0" applyNumberFormat="1" applyFont="1" applyFill="1" applyBorder="1"/>
    <xf numFmtId="1" fontId="90" fillId="121" borderId="10" xfId="0" applyNumberFormat="1" applyFont="1" applyFill="1" applyBorder="1"/>
    <xf numFmtId="0" fontId="106" fillId="121" borderId="10" xfId="0" applyNumberFormat="1" applyFont="1" applyFill="1" applyBorder="1" applyAlignment="1"/>
    <xf numFmtId="1" fontId="609" fillId="120" borderId="10" xfId="0" applyNumberFormat="1" applyFont="1" applyFill="1" applyBorder="1" applyAlignment="1"/>
    <xf numFmtId="0" fontId="106" fillId="121" borderId="10" xfId="0" applyFont="1" applyFill="1" applyBorder="1" applyAlignment="1"/>
    <xf numFmtId="0" fontId="609" fillId="120" borderId="10" xfId="0" applyFont="1" applyFill="1" applyBorder="1" applyAlignment="1">
      <alignment horizontal="center" vertical="top"/>
    </xf>
    <xf numFmtId="1" fontId="90" fillId="0" borderId="0" xfId="0" applyNumberFormat="1" applyFont="1" applyFill="1" applyBorder="1"/>
    <xf numFmtId="165" fontId="611" fillId="0" borderId="33" xfId="434" applyNumberFormat="1" applyFont="1" applyFill="1" applyBorder="1" applyAlignment="1">
      <alignment horizontal="right" vertical="center"/>
    </xf>
    <xf numFmtId="192" fontId="612" fillId="0" borderId="62" xfId="0" applyNumberFormat="1" applyFont="1" applyBorder="1" applyAlignment="1">
      <alignment horizontal="center" vertical="center" wrapText="1"/>
    </xf>
    <xf numFmtId="192" fontId="611" fillId="0" borderId="62" xfId="0" applyNumberFormat="1" applyFont="1" applyBorder="1" applyAlignment="1">
      <alignment horizontal="center" vertical="center" wrapText="1"/>
    </xf>
    <xf numFmtId="0" fontId="265" fillId="0" borderId="0" xfId="0" applyFont="1" applyFill="1"/>
    <xf numFmtId="0" fontId="506" fillId="0" borderId="0" xfId="0" applyFont="1" applyBorder="1" applyAlignment="1">
      <alignment vertical="center"/>
    </xf>
    <xf numFmtId="0" fontId="91" fillId="0" borderId="0" xfId="0" applyFont="1" applyBorder="1" applyAlignment="1" applyProtection="1">
      <protection locked="0"/>
    </xf>
    <xf numFmtId="0" fontId="494" fillId="0" borderId="0" xfId="0" applyFont="1" applyFill="1" applyBorder="1" applyAlignment="1">
      <alignment vertical="center"/>
    </xf>
    <xf numFmtId="0" fontId="459" fillId="0" borderId="0" xfId="0" applyNumberFormat="1" applyFont="1" applyFill="1" applyBorder="1" applyAlignment="1" applyProtection="1"/>
    <xf numFmtId="0" fontId="459" fillId="0" borderId="0" xfId="0" applyNumberFormat="1" applyFont="1" applyFill="1" applyBorder="1" applyAlignment="1" applyProtection="1">
      <alignment vertical="center"/>
    </xf>
    <xf numFmtId="0" fontId="219" fillId="0" borderId="13" xfId="0" applyFont="1" applyBorder="1" applyAlignment="1">
      <alignment vertical="center"/>
    </xf>
    <xf numFmtId="0" fontId="123" fillId="0" borderId="47" xfId="0" applyFont="1" applyBorder="1" applyAlignment="1">
      <alignment vertical="center"/>
    </xf>
    <xf numFmtId="0" fontId="613" fillId="0" borderId="13" xfId="0" applyFont="1" applyBorder="1" applyAlignment="1">
      <alignment vertical="center"/>
    </xf>
    <xf numFmtId="0" fontId="91" fillId="0" borderId="41" xfId="0" applyFont="1" applyBorder="1" applyAlignment="1">
      <alignment vertical="center"/>
    </xf>
    <xf numFmtId="0" fontId="91" fillId="0" borderId="297" xfId="0" applyFont="1" applyBorder="1" applyAlignment="1" applyProtection="1">
      <alignment vertical="center"/>
      <protection locked="0"/>
    </xf>
    <xf numFmtId="0" fontId="91" fillId="0" borderId="297" xfId="0" applyFont="1" applyBorder="1" applyAlignment="1">
      <alignment vertical="center"/>
    </xf>
    <xf numFmtId="0" fontId="123" fillId="0" borderId="48" xfId="0" applyFont="1" applyBorder="1" applyAlignment="1">
      <alignment vertical="center"/>
    </xf>
    <xf numFmtId="0" fontId="93" fillId="0" borderId="297" xfId="0" applyFont="1" applyBorder="1" applyAlignment="1">
      <alignment vertical="center"/>
    </xf>
    <xf numFmtId="0" fontId="123" fillId="0" borderId="0" xfId="0" applyFont="1" applyFill="1" applyBorder="1" applyAlignment="1">
      <alignment vertical="center"/>
    </xf>
    <xf numFmtId="0" fontId="91" fillId="0" borderId="0" xfId="0" applyFont="1" applyBorder="1" applyAlignment="1" applyProtection="1">
      <alignment vertical="center"/>
      <protection locked="0"/>
    </xf>
    <xf numFmtId="0" fontId="459" fillId="0" borderId="48" xfId="0" applyNumberFormat="1" applyFont="1" applyFill="1" applyBorder="1" applyAlignment="1" applyProtection="1">
      <alignment vertical="center"/>
    </xf>
    <xf numFmtId="0" fontId="91" fillId="0" borderId="297" xfId="0" applyFont="1" applyBorder="1" applyAlignment="1" applyProtection="1">
      <alignment vertical="center"/>
    </xf>
    <xf numFmtId="165" fontId="614" fillId="0" borderId="0" xfId="435" applyNumberFormat="1" applyFont="1" applyAlignment="1">
      <alignment horizontal="center"/>
    </xf>
    <xf numFmtId="1" fontId="615" fillId="89" borderId="682" xfId="0" applyNumberFormat="1" applyFont="1" applyFill="1" applyBorder="1" applyAlignment="1" applyProtection="1">
      <alignment horizontal="center" vertical="center"/>
      <protection locked="0"/>
    </xf>
    <xf numFmtId="1" fontId="615" fillId="89" borderId="679" xfId="0" applyNumberFormat="1" applyFont="1" applyFill="1" applyBorder="1" applyAlignment="1" applyProtection="1">
      <alignment horizontal="center" vertical="center"/>
      <protection locked="0"/>
    </xf>
    <xf numFmtId="1" fontId="615" fillId="89" borderId="679" xfId="0" applyNumberFormat="1" applyFont="1" applyFill="1" applyBorder="1" applyAlignment="1">
      <alignment horizontal="center" vertical="center"/>
    </xf>
    <xf numFmtId="165" fontId="615" fillId="89" borderId="679" xfId="0" applyNumberFormat="1" applyFont="1" applyFill="1" applyBorder="1" applyAlignment="1">
      <alignment horizontal="center"/>
    </xf>
    <xf numFmtId="1" fontId="615" fillId="42" borderId="679" xfId="0" applyNumberFormat="1" applyFont="1" applyFill="1" applyBorder="1" applyAlignment="1" applyProtection="1">
      <alignment horizontal="center" vertical="center"/>
      <protection locked="0"/>
    </xf>
    <xf numFmtId="165" fontId="615" fillId="89" borderId="679" xfId="0" applyNumberFormat="1" applyFont="1" applyFill="1" applyBorder="1" applyAlignment="1">
      <alignment horizontal="center" vertical="center"/>
    </xf>
    <xf numFmtId="0" fontId="615" fillId="89" borderId="679" xfId="0" applyFont="1" applyFill="1" applyBorder="1" applyAlignment="1">
      <alignment horizontal="center" vertical="center"/>
    </xf>
    <xf numFmtId="165" fontId="615" fillId="46" borderId="679" xfId="0" applyNumberFormat="1" applyFont="1" applyFill="1" applyBorder="1" applyAlignment="1">
      <alignment horizontal="center" vertical="center"/>
    </xf>
    <xf numFmtId="165" fontId="615" fillId="68" borderId="679" xfId="0" applyNumberFormat="1" applyFont="1" applyFill="1" applyBorder="1" applyAlignment="1">
      <alignment horizontal="center" vertical="center"/>
    </xf>
    <xf numFmtId="1" fontId="615" fillId="68" borderId="679" xfId="0" applyNumberFormat="1" applyFont="1" applyFill="1" applyBorder="1" applyAlignment="1" applyProtection="1">
      <alignment horizontal="center" vertical="center"/>
      <protection locked="0"/>
    </xf>
    <xf numFmtId="1" fontId="615" fillId="68" borderId="679" xfId="0" applyNumberFormat="1" applyFont="1" applyFill="1" applyBorder="1" applyAlignment="1" applyProtection="1">
      <alignment horizontal="center" vertical="center" wrapText="1"/>
      <protection locked="0"/>
    </xf>
    <xf numFmtId="1" fontId="615" fillId="68" borderId="678" xfId="0" applyNumberFormat="1" applyFont="1" applyFill="1" applyBorder="1" applyAlignment="1" applyProtection="1">
      <alignment horizontal="center" vertical="center"/>
      <protection locked="0"/>
    </xf>
    <xf numFmtId="1" fontId="615" fillId="34" borderId="679" xfId="0" applyNumberFormat="1" applyFont="1" applyFill="1" applyBorder="1" applyAlignment="1" applyProtection="1">
      <alignment horizontal="center" vertical="center"/>
      <protection locked="0"/>
    </xf>
    <xf numFmtId="165" fontId="615" fillId="68" borderId="679" xfId="0" applyNumberFormat="1" applyFont="1" applyFill="1" applyBorder="1" applyAlignment="1" applyProtection="1">
      <alignment horizontal="center" vertical="center"/>
      <protection locked="0"/>
    </xf>
    <xf numFmtId="0" fontId="616" fillId="119" borderId="617" xfId="0" applyFont="1" applyFill="1" applyBorder="1" applyAlignment="1">
      <alignment horizontal="center" vertical="top" wrapText="1"/>
    </xf>
    <xf numFmtId="0" fontId="617" fillId="114" borderId="617" xfId="0" applyFont="1" applyFill="1" applyBorder="1" applyAlignment="1">
      <alignment horizontal="center" vertical="top" wrapText="1"/>
    </xf>
    <xf numFmtId="1" fontId="615" fillId="86" borderId="682" xfId="0" applyNumberFormat="1" applyFont="1" applyFill="1" applyBorder="1" applyAlignment="1" applyProtection="1">
      <alignment horizontal="center" vertical="center" wrapText="1"/>
      <protection locked="0"/>
    </xf>
    <xf numFmtId="1" fontId="615" fillId="86" borderId="679" xfId="0" applyNumberFormat="1" applyFont="1" applyFill="1" applyBorder="1" applyAlignment="1" applyProtection="1">
      <alignment horizontal="center" vertical="center"/>
      <protection locked="0"/>
    </xf>
    <xf numFmtId="1" fontId="615" fillId="86" borderId="679" xfId="0" applyNumberFormat="1" applyFont="1" applyFill="1" applyBorder="1" applyAlignment="1">
      <alignment horizontal="center" vertical="center"/>
    </xf>
    <xf numFmtId="165" fontId="615" fillId="86" borderId="679" xfId="0" applyNumberFormat="1" applyFont="1" applyFill="1" applyBorder="1" applyAlignment="1">
      <alignment horizontal="center" vertical="center"/>
    </xf>
    <xf numFmtId="0" fontId="615" fillId="86" borderId="679" xfId="0" applyFont="1" applyFill="1" applyBorder="1" applyAlignment="1">
      <alignment horizontal="center" vertical="center"/>
    </xf>
    <xf numFmtId="165" fontId="615" fillId="58" borderId="679" xfId="0" applyNumberFormat="1" applyFont="1" applyFill="1" applyBorder="1" applyAlignment="1">
      <alignment horizontal="center" vertical="center"/>
    </xf>
    <xf numFmtId="1" fontId="615" fillId="58" borderId="679" xfId="0" applyNumberFormat="1" applyFont="1" applyFill="1" applyBorder="1" applyAlignment="1" applyProtection="1">
      <alignment horizontal="center" vertical="center"/>
      <protection locked="0"/>
    </xf>
    <xf numFmtId="1" fontId="615" fillId="58" borderId="679" xfId="0" applyNumberFormat="1" applyFont="1" applyFill="1" applyBorder="1" applyAlignment="1" applyProtection="1">
      <alignment horizontal="center" vertical="center" wrapText="1"/>
      <protection locked="0"/>
    </xf>
    <xf numFmtId="1" fontId="618" fillId="58" borderId="679" xfId="0" applyNumberFormat="1" applyFont="1" applyFill="1" applyBorder="1" applyAlignment="1" applyProtection="1">
      <alignment horizontal="center" vertical="center"/>
      <protection locked="0"/>
    </xf>
    <xf numFmtId="1" fontId="615" fillId="58" borderId="678" xfId="0" applyNumberFormat="1" applyFont="1" applyFill="1" applyBorder="1" applyAlignment="1" applyProtection="1">
      <alignment horizontal="center" vertical="center"/>
      <protection locked="0"/>
    </xf>
    <xf numFmtId="165" fontId="615" fillId="58" borderId="679" xfId="0" applyNumberFormat="1" applyFont="1" applyFill="1" applyBorder="1" applyAlignment="1" applyProtection="1">
      <alignment horizontal="center" vertical="center"/>
      <protection locked="0"/>
    </xf>
    <xf numFmtId="1" fontId="615" fillId="46" borderId="678" xfId="0" applyNumberFormat="1" applyFont="1" applyFill="1" applyBorder="1" applyAlignment="1" applyProtection="1">
      <alignment horizontal="center" vertical="center"/>
      <protection locked="0"/>
    </xf>
    <xf numFmtId="165" fontId="618" fillId="82" borderId="680" xfId="0" applyNumberFormat="1" applyFont="1" applyFill="1" applyBorder="1" applyAlignment="1" applyProtection="1">
      <alignment horizontal="center" vertical="center"/>
      <protection locked="0"/>
    </xf>
    <xf numFmtId="2" fontId="618" fillId="26" borderId="681" xfId="0" applyNumberFormat="1" applyFont="1" applyFill="1" applyBorder="1" applyAlignment="1">
      <alignment horizontal="center" vertical="center"/>
    </xf>
    <xf numFmtId="0" fontId="619" fillId="58" borderId="0" xfId="0" applyFont="1" applyFill="1" applyAlignment="1">
      <alignment horizontal="center"/>
    </xf>
    <xf numFmtId="1" fontId="615" fillId="86" borderId="678" xfId="0" applyNumberFormat="1" applyFont="1" applyFill="1" applyBorder="1" applyAlignment="1" applyProtection="1">
      <alignment horizontal="center" vertical="center"/>
      <protection locked="0"/>
    </xf>
    <xf numFmtId="1" fontId="615" fillId="86" borderId="678" xfId="0" applyNumberFormat="1" applyFont="1" applyFill="1" applyBorder="1" applyAlignment="1">
      <alignment horizontal="center" vertical="center"/>
    </xf>
    <xf numFmtId="165" fontId="615" fillId="86" borderId="678" xfId="0" applyNumberFormat="1" applyFont="1" applyFill="1" applyBorder="1" applyAlignment="1">
      <alignment horizontal="center" vertical="center"/>
    </xf>
    <xf numFmtId="1" fontId="615" fillId="42" borderId="678" xfId="0" applyNumberFormat="1" applyFont="1" applyFill="1" applyBorder="1" applyAlignment="1" applyProtection="1">
      <alignment horizontal="center" vertical="center"/>
      <protection locked="0"/>
    </xf>
    <xf numFmtId="1" fontId="615" fillId="86" borderId="678" xfId="0" applyNumberFormat="1" applyFont="1" applyFill="1" applyBorder="1" applyAlignment="1">
      <alignment horizontal="center"/>
    </xf>
    <xf numFmtId="0" fontId="615" fillId="86" borderId="678" xfId="0" applyFont="1" applyFill="1" applyBorder="1" applyAlignment="1">
      <alignment horizontal="center" vertical="center"/>
    </xf>
    <xf numFmtId="165" fontId="615" fillId="58" borderId="678" xfId="0" applyNumberFormat="1" applyFont="1" applyFill="1" applyBorder="1" applyAlignment="1">
      <alignment horizontal="center" vertical="center"/>
    </xf>
    <xf numFmtId="1" fontId="615" fillId="58" borderId="678" xfId="0" applyNumberFormat="1" applyFont="1" applyFill="1" applyBorder="1" applyAlignment="1" applyProtection="1">
      <alignment horizontal="center" vertical="center" wrapText="1"/>
      <protection locked="0"/>
    </xf>
    <xf numFmtId="1" fontId="615" fillId="34" borderId="678" xfId="0" applyNumberFormat="1" applyFont="1" applyFill="1" applyBorder="1" applyAlignment="1" applyProtection="1">
      <alignment horizontal="center" vertical="center"/>
      <protection locked="0"/>
    </xf>
    <xf numFmtId="165" fontId="615" fillId="58" borderId="678" xfId="0" applyNumberFormat="1" applyFont="1" applyFill="1" applyBorder="1" applyAlignment="1" applyProtection="1">
      <alignment horizontal="center" vertical="center"/>
      <protection locked="0"/>
    </xf>
    <xf numFmtId="1" fontId="618" fillId="58" borderId="678" xfId="0" applyNumberFormat="1" applyFont="1" applyFill="1" applyBorder="1" applyAlignment="1" applyProtection="1">
      <alignment horizontal="center" vertical="center"/>
      <protection locked="0"/>
    </xf>
    <xf numFmtId="1" fontId="620" fillId="74" borderId="10" xfId="0" applyNumberFormat="1" applyFont="1" applyFill="1" applyBorder="1" applyAlignment="1" applyProtection="1">
      <alignment horizontal="center" vertical="center"/>
      <protection locked="0"/>
    </xf>
    <xf numFmtId="1" fontId="621" fillId="74" borderId="10" xfId="0" applyNumberFormat="1" applyFont="1" applyFill="1" applyBorder="1" applyAlignment="1" applyProtection="1">
      <alignment horizontal="center" vertical="center"/>
      <protection locked="0"/>
    </xf>
    <xf numFmtId="1" fontId="622" fillId="74" borderId="10" xfId="0" applyNumberFormat="1" applyFont="1" applyFill="1" applyBorder="1" applyAlignment="1" applyProtection="1">
      <alignment horizontal="center" vertical="center"/>
      <protection locked="0"/>
    </xf>
    <xf numFmtId="1" fontId="621" fillId="74" borderId="0" xfId="0" applyNumberFormat="1" applyFont="1" applyFill="1" applyAlignment="1" applyProtection="1">
      <alignment horizontal="center" vertical="center"/>
      <protection locked="0"/>
    </xf>
    <xf numFmtId="165" fontId="623" fillId="73" borderId="10" xfId="0" applyNumberFormat="1" applyFont="1" applyFill="1" applyBorder="1" applyAlignment="1">
      <alignment horizontal="center" vertical="center"/>
    </xf>
    <xf numFmtId="1" fontId="623" fillId="73" borderId="10" xfId="0" applyNumberFormat="1" applyFont="1" applyFill="1" applyBorder="1" applyAlignment="1" applyProtection="1">
      <alignment horizontal="center" vertical="center"/>
      <protection locked="0"/>
    </xf>
    <xf numFmtId="1" fontId="615" fillId="34" borderId="10" xfId="0" applyNumberFormat="1" applyFont="1" applyFill="1" applyBorder="1" applyAlignment="1" applyProtection="1">
      <alignment horizontal="center" vertical="center"/>
      <protection locked="0"/>
    </xf>
    <xf numFmtId="1" fontId="615" fillId="58" borderId="10" xfId="0" applyNumberFormat="1" applyFont="1" applyFill="1" applyBorder="1" applyAlignment="1" applyProtection="1">
      <alignment horizontal="center" vertical="center"/>
      <protection locked="0"/>
    </xf>
    <xf numFmtId="165" fontId="623" fillId="73" borderId="10" xfId="0" applyNumberFormat="1" applyFont="1" applyFill="1" applyBorder="1" applyAlignment="1" applyProtection="1">
      <alignment horizontal="center" vertical="center"/>
      <protection locked="0"/>
    </xf>
    <xf numFmtId="1" fontId="624" fillId="73" borderId="10" xfId="0" applyNumberFormat="1" applyFont="1" applyFill="1" applyBorder="1" applyAlignment="1" applyProtection="1">
      <alignment horizontal="center" vertical="center"/>
      <protection locked="0"/>
    </xf>
    <xf numFmtId="1" fontId="618" fillId="46" borderId="10" xfId="0" applyNumberFormat="1" applyFont="1" applyFill="1" applyBorder="1" applyAlignment="1" applyProtection="1">
      <alignment horizontal="center" vertical="center"/>
      <protection locked="0"/>
    </xf>
    <xf numFmtId="0" fontId="534" fillId="58" borderId="10" xfId="0" applyFont="1" applyFill="1" applyBorder="1" applyAlignment="1">
      <alignment horizontal="center" vertical="center"/>
    </xf>
    <xf numFmtId="0" fontId="618" fillId="123" borderId="66" xfId="0" applyFont="1" applyFill="1" applyBorder="1" applyProtection="1"/>
    <xf numFmtId="0" fontId="618" fillId="123" borderId="75" xfId="0" applyFont="1" applyFill="1" applyBorder="1" applyProtection="1"/>
    <xf numFmtId="1" fontId="618" fillId="123" borderId="48" xfId="0" applyNumberFormat="1" applyFont="1" applyFill="1" applyBorder="1" applyAlignment="1" applyProtection="1">
      <alignment horizontal="center" vertical="center"/>
    </xf>
    <xf numFmtId="1" fontId="615" fillId="86" borderId="47" xfId="0" applyNumberFormat="1" applyFont="1" applyFill="1" applyBorder="1" applyAlignment="1" applyProtection="1">
      <alignment horizontal="center" vertical="center"/>
      <protection locked="0"/>
    </xf>
    <xf numFmtId="1" fontId="615" fillId="86" borderId="97" xfId="0" applyNumberFormat="1" applyFont="1" applyFill="1" applyBorder="1" applyAlignment="1">
      <alignment horizontal="center" vertical="center"/>
    </xf>
    <xf numFmtId="165" fontId="615" fillId="86" borderId="97" xfId="0" applyNumberFormat="1" applyFont="1" applyFill="1" applyBorder="1" applyAlignment="1">
      <alignment horizontal="center" vertical="center"/>
    </xf>
    <xf numFmtId="0" fontId="615" fillId="86" borderId="97" xfId="0" applyFont="1" applyFill="1" applyBorder="1" applyAlignment="1">
      <alignment horizontal="center" vertical="center"/>
    </xf>
    <xf numFmtId="1" fontId="615" fillId="58" borderId="97" xfId="0" applyNumberFormat="1" applyFont="1" applyFill="1" applyBorder="1" applyAlignment="1" applyProtection="1">
      <alignment horizontal="center" vertical="center"/>
      <protection locked="0"/>
    </xf>
    <xf numFmtId="1" fontId="615" fillId="86" borderId="677" xfId="0" applyNumberFormat="1" applyFont="1" applyFill="1" applyBorder="1" applyAlignment="1" applyProtection="1">
      <alignment horizontal="center" vertical="center"/>
      <protection locked="0"/>
    </xf>
    <xf numFmtId="1" fontId="615" fillId="87" borderId="679" xfId="0" applyNumberFormat="1" applyFont="1" applyFill="1" applyBorder="1" applyAlignment="1" applyProtection="1">
      <alignment horizontal="center" vertical="center"/>
      <protection locked="0"/>
    </xf>
    <xf numFmtId="1" fontId="615" fillId="87" borderId="679" xfId="0" applyNumberFormat="1" applyFont="1" applyFill="1" applyBorder="1" applyAlignment="1">
      <alignment horizontal="center" vertical="center"/>
    </xf>
    <xf numFmtId="165" fontId="615" fillId="87" borderId="679" xfId="0" applyNumberFormat="1" applyFont="1" applyFill="1" applyBorder="1" applyAlignment="1">
      <alignment horizontal="center" vertical="center"/>
    </xf>
    <xf numFmtId="0" fontId="615" fillId="87" borderId="679" xfId="0" applyFont="1" applyFill="1" applyBorder="1" applyAlignment="1">
      <alignment horizontal="center" vertical="center"/>
    </xf>
    <xf numFmtId="0" fontId="615" fillId="87" borderId="678" xfId="0" applyFont="1" applyFill="1" applyBorder="1" applyAlignment="1">
      <alignment horizontal="center" vertical="center"/>
    </xf>
    <xf numFmtId="165" fontId="615" fillId="88" borderId="679" xfId="0" applyNumberFormat="1" applyFont="1" applyFill="1" applyBorder="1" applyAlignment="1">
      <alignment horizontal="center" vertical="center"/>
    </xf>
    <xf numFmtId="1" fontId="615" fillId="88" borderId="679" xfId="0" applyNumberFormat="1" applyFont="1" applyFill="1" applyBorder="1" applyAlignment="1" applyProtection="1">
      <alignment horizontal="center" vertical="center"/>
      <protection locked="0"/>
    </xf>
    <xf numFmtId="1" fontId="615" fillId="88" borderId="678" xfId="0" applyNumberFormat="1" applyFont="1" applyFill="1" applyBorder="1" applyAlignment="1" applyProtection="1">
      <alignment horizontal="center" vertical="center"/>
      <protection locked="0"/>
    </xf>
    <xf numFmtId="165" fontId="615" fillId="88" borderId="679" xfId="0" applyNumberFormat="1" applyFont="1" applyFill="1" applyBorder="1" applyAlignment="1" applyProtection="1">
      <alignment horizontal="center" vertical="center"/>
      <protection locked="0"/>
    </xf>
    <xf numFmtId="166" fontId="203" fillId="56" borderId="44" xfId="271" applyNumberFormat="1" applyFont="1" applyFill="1" applyBorder="1" applyAlignment="1">
      <alignment vertical="center"/>
    </xf>
    <xf numFmtId="166" fontId="203" fillId="56" borderId="72" xfId="271" applyNumberFormat="1" applyFont="1" applyFill="1" applyBorder="1" applyAlignment="1">
      <alignment vertical="center"/>
    </xf>
    <xf numFmtId="166" fontId="140" fillId="56" borderId="44" xfId="271" applyNumberFormat="1" applyFont="1" applyFill="1" applyBorder="1" applyAlignment="1">
      <alignment vertical="center"/>
    </xf>
    <xf numFmtId="166" fontId="140" fillId="56" borderId="72" xfId="271" applyNumberFormat="1" applyFont="1" applyFill="1" applyBorder="1" applyAlignment="1">
      <alignment vertical="center"/>
    </xf>
    <xf numFmtId="166" fontId="204" fillId="56" borderId="72" xfId="271" applyNumberFormat="1" applyFont="1" applyFill="1" applyBorder="1" applyAlignment="1">
      <alignment vertical="center"/>
    </xf>
    <xf numFmtId="1" fontId="45" fillId="42" borderId="683" xfId="0" applyNumberFormat="1" applyFont="1" applyFill="1" applyBorder="1" applyAlignment="1" applyProtection="1">
      <alignment horizontal="center" vertical="center"/>
      <protection locked="0"/>
    </xf>
    <xf numFmtId="1" fontId="45" fillId="87" borderId="684" xfId="0" applyNumberFormat="1" applyFont="1" applyFill="1" applyBorder="1" applyAlignment="1" applyProtection="1">
      <alignment horizontal="center" vertical="center"/>
      <protection locked="0"/>
    </xf>
    <xf numFmtId="0" fontId="45" fillId="87" borderId="684" xfId="0" applyFont="1" applyFill="1" applyBorder="1" applyAlignment="1">
      <alignment horizontal="center" vertical="center"/>
    </xf>
    <xf numFmtId="1" fontId="45" fillId="87" borderId="684" xfId="0" applyNumberFormat="1" applyFont="1" applyFill="1" applyBorder="1" applyAlignment="1">
      <alignment horizontal="center" vertical="center"/>
    </xf>
    <xf numFmtId="165" fontId="45" fillId="87" borderId="684" xfId="0" applyNumberFormat="1" applyFont="1" applyFill="1" applyBorder="1" applyAlignment="1">
      <alignment horizontal="center" vertical="center"/>
    </xf>
    <xf numFmtId="0" fontId="45" fillId="87" borderId="683" xfId="0" applyFont="1" applyFill="1" applyBorder="1" applyAlignment="1">
      <alignment horizontal="center" vertical="center"/>
    </xf>
    <xf numFmtId="165" fontId="45" fillId="46" borderId="684" xfId="0" applyNumberFormat="1" applyFont="1" applyFill="1" applyBorder="1" applyAlignment="1">
      <alignment horizontal="center" vertical="center"/>
    </xf>
    <xf numFmtId="165" fontId="45" fillId="88" borderId="684" xfId="0" applyNumberFormat="1" applyFont="1" applyFill="1" applyBorder="1" applyAlignment="1">
      <alignment horizontal="center" vertical="center"/>
    </xf>
    <xf numFmtId="1" fontId="45" fillId="88" borderId="684" xfId="0" applyNumberFormat="1" applyFont="1" applyFill="1" applyBorder="1" applyAlignment="1" applyProtection="1">
      <alignment horizontal="center" vertical="center"/>
      <protection locked="0"/>
    </xf>
    <xf numFmtId="1" fontId="50" fillId="88" borderId="684" xfId="0" applyNumberFormat="1" applyFont="1" applyFill="1" applyBorder="1" applyAlignment="1" applyProtection="1">
      <alignment horizontal="center" vertical="center"/>
      <protection locked="0"/>
    </xf>
    <xf numFmtId="1" fontId="45" fillId="88" borderId="683" xfId="0" applyNumberFormat="1" applyFont="1" applyFill="1" applyBorder="1" applyAlignment="1" applyProtection="1">
      <alignment horizontal="center" vertical="center"/>
      <protection locked="0"/>
    </xf>
    <xf numFmtId="1" fontId="45" fillId="34" borderId="684" xfId="0" applyNumberFormat="1" applyFont="1" applyFill="1" applyBorder="1" applyAlignment="1" applyProtection="1">
      <alignment horizontal="center" vertical="center"/>
      <protection locked="0"/>
    </xf>
    <xf numFmtId="165" fontId="45" fillId="88" borderId="684" xfId="0" applyNumberFormat="1" applyFont="1" applyFill="1" applyBorder="1" applyAlignment="1" applyProtection="1">
      <alignment horizontal="center" vertical="center"/>
      <protection locked="0"/>
    </xf>
    <xf numFmtId="1" fontId="45" fillId="46" borderId="683" xfId="0" applyNumberFormat="1" applyFont="1" applyFill="1" applyBorder="1" applyAlignment="1" applyProtection="1">
      <alignment horizontal="center" vertical="center"/>
      <protection locked="0"/>
    </xf>
    <xf numFmtId="165" fontId="50" fillId="82" borderId="685" xfId="0" applyNumberFormat="1" applyFont="1" applyFill="1" applyBorder="1" applyAlignment="1" applyProtection="1">
      <alignment horizontal="center" vertical="center"/>
      <protection locked="0"/>
    </xf>
    <xf numFmtId="2" fontId="50" fillId="26" borderId="686" xfId="0" applyNumberFormat="1" applyFont="1" applyFill="1" applyBorder="1" applyAlignment="1">
      <alignment horizontal="center" vertical="center"/>
    </xf>
    <xf numFmtId="1" fontId="45" fillId="87" borderId="687" xfId="0" applyNumberFormat="1" applyFont="1" applyFill="1" applyBorder="1" applyAlignment="1" applyProtection="1">
      <alignment horizontal="center" vertical="center"/>
      <protection locked="0"/>
    </xf>
    <xf numFmtId="1" fontId="45" fillId="88" borderId="684" xfId="0" applyNumberFormat="1" applyFont="1" applyFill="1" applyBorder="1" applyAlignment="1" applyProtection="1">
      <alignment horizontal="center" vertical="center" wrapText="1"/>
      <protection locked="0"/>
    </xf>
    <xf numFmtId="1" fontId="615" fillId="87" borderId="687" xfId="0" applyNumberFormat="1" applyFont="1" applyFill="1" applyBorder="1" applyAlignment="1" applyProtection="1">
      <alignment horizontal="center" vertical="center"/>
      <protection locked="0"/>
    </xf>
    <xf numFmtId="1" fontId="615" fillId="87" borderId="684" xfId="0" applyNumberFormat="1" applyFont="1" applyFill="1" applyBorder="1" applyAlignment="1" applyProtection="1">
      <alignment horizontal="center" vertical="center"/>
      <protection locked="0"/>
    </xf>
    <xf numFmtId="1" fontId="615" fillId="87" borderId="684" xfId="0" applyNumberFormat="1" applyFont="1" applyFill="1" applyBorder="1" applyAlignment="1">
      <alignment horizontal="center" vertical="center"/>
    </xf>
    <xf numFmtId="165" fontId="615" fillId="87" borderId="684" xfId="0" applyNumberFormat="1" applyFont="1" applyFill="1" applyBorder="1" applyAlignment="1">
      <alignment horizontal="center" vertical="center"/>
    </xf>
    <xf numFmtId="1" fontId="615" fillId="42" borderId="683" xfId="0" applyNumberFormat="1" applyFont="1" applyFill="1" applyBorder="1" applyAlignment="1" applyProtection="1">
      <alignment horizontal="center" vertical="center"/>
      <protection locked="0"/>
    </xf>
    <xf numFmtId="0" fontId="615" fillId="87" borderId="684" xfId="0" applyFont="1" applyFill="1" applyBorder="1" applyAlignment="1">
      <alignment horizontal="center" vertical="center"/>
    </xf>
    <xf numFmtId="0" fontId="615" fillId="87" borderId="683" xfId="0" applyFont="1" applyFill="1" applyBorder="1" applyAlignment="1">
      <alignment horizontal="center" vertical="center"/>
    </xf>
    <xf numFmtId="165" fontId="615" fillId="46" borderId="684" xfId="0" applyNumberFormat="1" applyFont="1" applyFill="1" applyBorder="1" applyAlignment="1">
      <alignment horizontal="center" vertical="center"/>
    </xf>
    <xf numFmtId="165" fontId="615" fillId="88" borderId="684" xfId="0" applyNumberFormat="1" applyFont="1" applyFill="1" applyBorder="1" applyAlignment="1">
      <alignment horizontal="center" vertical="center"/>
    </xf>
    <xf numFmtId="1" fontId="615" fillId="88" borderId="684" xfId="0" applyNumberFormat="1" applyFont="1" applyFill="1" applyBorder="1" applyAlignment="1" applyProtection="1">
      <alignment horizontal="center" vertical="center"/>
      <protection locked="0"/>
    </xf>
    <xf numFmtId="1" fontId="615" fillId="88" borderId="683" xfId="0" applyNumberFormat="1" applyFont="1" applyFill="1" applyBorder="1" applyAlignment="1" applyProtection="1">
      <alignment horizontal="center" vertical="center"/>
      <protection locked="0"/>
    </xf>
    <xf numFmtId="1" fontId="615" fillId="34" borderId="684" xfId="0" applyNumberFormat="1" applyFont="1" applyFill="1" applyBorder="1" applyAlignment="1" applyProtection="1">
      <alignment horizontal="center" vertical="center"/>
      <protection locked="0"/>
    </xf>
    <xf numFmtId="165" fontId="615" fillId="88" borderId="684" xfId="0" applyNumberFormat="1" applyFont="1" applyFill="1" applyBorder="1" applyAlignment="1" applyProtection="1">
      <alignment horizontal="center" vertical="center"/>
      <protection locked="0"/>
    </xf>
    <xf numFmtId="1" fontId="615" fillId="46" borderId="683" xfId="0" applyNumberFormat="1" applyFont="1" applyFill="1" applyBorder="1" applyAlignment="1" applyProtection="1">
      <alignment horizontal="center" vertical="center"/>
      <protection locked="0"/>
    </xf>
    <xf numFmtId="165" fontId="618" fillId="82" borderId="685" xfId="0" applyNumberFormat="1" applyFont="1" applyFill="1" applyBorder="1" applyAlignment="1" applyProtection="1">
      <alignment horizontal="center" vertical="center"/>
      <protection locked="0"/>
    </xf>
    <xf numFmtId="2" fontId="618" fillId="26" borderId="686" xfId="0" applyNumberFormat="1" applyFont="1" applyFill="1" applyBorder="1" applyAlignment="1">
      <alignment horizontal="center" vertical="center"/>
    </xf>
    <xf numFmtId="1" fontId="213" fillId="0" borderId="0" xfId="0" applyNumberFormat="1" applyFont="1" applyFill="1" applyBorder="1" applyAlignment="1">
      <alignment horizontal="center" vertical="center"/>
    </xf>
    <xf numFmtId="0" fontId="117" fillId="61" borderId="14" xfId="0" applyFont="1" applyFill="1" applyBorder="1" applyAlignment="1">
      <alignment horizontal="left" vertical="center"/>
    </xf>
    <xf numFmtId="0" fontId="117" fillId="61" borderId="30" xfId="0" applyFont="1" applyFill="1" applyBorder="1" applyAlignment="1">
      <alignment horizontal="left" vertical="center"/>
    </xf>
    <xf numFmtId="14" fontId="124" fillId="0" borderId="14" xfId="0" applyNumberFormat="1" applyFont="1" applyFill="1" applyBorder="1" applyAlignment="1">
      <alignment horizontal="center" vertical="center"/>
    </xf>
    <xf numFmtId="14" fontId="124" fillId="0" borderId="30" xfId="0" applyNumberFormat="1" applyFont="1" applyFill="1" applyBorder="1" applyAlignment="1">
      <alignment horizontal="center" vertical="center"/>
    </xf>
    <xf numFmtId="0" fontId="212" fillId="0" borderId="42" xfId="0" applyFont="1" applyFill="1" applyBorder="1" applyAlignment="1">
      <alignment horizontal="left" vertical="center"/>
    </xf>
    <xf numFmtId="1" fontId="124" fillId="0" borderId="42" xfId="0" applyNumberFormat="1" applyFont="1" applyFill="1" applyBorder="1" applyAlignment="1">
      <alignment horizontal="center" vertical="center"/>
    </xf>
    <xf numFmtId="1" fontId="124" fillId="56" borderId="10" xfId="0" applyNumberFormat="1" applyFont="1" applyFill="1" applyBorder="1" applyAlignment="1">
      <alignment horizontal="center" vertical="center"/>
    </xf>
    <xf numFmtId="0" fontId="91" fillId="0" borderId="0" xfId="0" applyFont="1" applyBorder="1" applyAlignment="1">
      <alignment horizontal="center" vertical="center"/>
    </xf>
    <xf numFmtId="0" fontId="212" fillId="61" borderId="24" xfId="0" applyFont="1" applyFill="1" applyBorder="1" applyAlignment="1">
      <alignment horizontal="left" vertical="center"/>
    </xf>
    <xf numFmtId="0" fontId="212" fillId="61" borderId="41" xfId="0" applyFont="1" applyFill="1" applyBorder="1" applyAlignment="1">
      <alignment horizontal="left" vertical="center"/>
    </xf>
    <xf numFmtId="0" fontId="212" fillId="61" borderId="22" xfId="0" applyFont="1" applyFill="1" applyBorder="1" applyAlignment="1">
      <alignment horizontal="left" vertical="center"/>
    </xf>
    <xf numFmtId="0" fontId="212" fillId="61" borderId="18" xfId="0" applyFont="1" applyFill="1" applyBorder="1" applyAlignment="1">
      <alignment horizontal="left" vertical="center"/>
    </xf>
    <xf numFmtId="0" fontId="265" fillId="99" borderId="14" xfId="0" applyFont="1" applyFill="1" applyBorder="1" applyAlignment="1">
      <alignment horizontal="center" vertical="center"/>
    </xf>
    <xf numFmtId="0" fontId="265" fillId="99" borderId="30" xfId="0" applyFont="1" applyFill="1" applyBorder="1" applyAlignment="1">
      <alignment horizontal="center" vertical="center"/>
    </xf>
    <xf numFmtId="14" fontId="91" fillId="0" borderId="0" xfId="0" applyNumberFormat="1" applyFont="1" applyBorder="1" applyAlignment="1">
      <alignment horizontal="center" vertical="center"/>
    </xf>
    <xf numFmtId="14" fontId="124" fillId="0" borderId="10" xfId="0" applyNumberFormat="1" applyFont="1" applyFill="1" applyBorder="1" applyAlignment="1">
      <alignment horizontal="center" vertical="center"/>
    </xf>
    <xf numFmtId="0" fontId="212" fillId="61" borderId="14" xfId="0" applyFont="1" applyFill="1" applyBorder="1" applyAlignment="1">
      <alignment horizontal="left" vertical="center"/>
    </xf>
    <xf numFmtId="0" fontId="212" fillId="61" borderId="30" xfId="0" applyFont="1" applyFill="1" applyBorder="1" applyAlignment="1">
      <alignment horizontal="left" vertical="center"/>
    </xf>
    <xf numFmtId="0" fontId="107" fillId="0" borderId="10" xfId="0" applyFont="1" applyFill="1" applyBorder="1" applyAlignment="1">
      <alignment horizontal="left" vertical="center"/>
    </xf>
    <xf numFmtId="0" fontId="124" fillId="0" borderId="14" xfId="0" applyFont="1" applyFill="1" applyBorder="1" applyAlignment="1">
      <alignment horizontal="center" vertical="center"/>
    </xf>
    <xf numFmtId="0" fontId="124" fillId="0" borderId="30" xfId="0" applyFont="1" applyFill="1" applyBorder="1" applyAlignment="1">
      <alignment horizontal="center" vertical="center"/>
    </xf>
    <xf numFmtId="0" fontId="124" fillId="0" borderId="10" xfId="0" applyFont="1" applyFill="1" applyBorder="1" applyAlignment="1">
      <alignment horizontal="center" vertical="center"/>
    </xf>
    <xf numFmtId="0" fontId="107" fillId="0" borderId="10" xfId="0" applyFont="1" applyFill="1" applyBorder="1" applyAlignment="1">
      <alignment horizontal="center" vertical="center"/>
    </xf>
    <xf numFmtId="0" fontId="212" fillId="0" borderId="14" xfId="0" applyFont="1" applyFill="1" applyBorder="1" applyAlignment="1">
      <alignment horizontal="left" vertical="center"/>
    </xf>
    <xf numFmtId="0" fontId="212" fillId="0" borderId="30" xfId="0" applyFont="1" applyFill="1" applyBorder="1" applyAlignment="1">
      <alignment horizontal="left" vertical="center"/>
    </xf>
    <xf numFmtId="173" fontId="50" fillId="0" borderId="85" xfId="430" applyNumberFormat="1" applyFont="1" applyFill="1" applyBorder="1" applyAlignment="1">
      <alignment horizontal="center" vertical="center" wrapText="1"/>
    </xf>
    <xf numFmtId="173" fontId="50" fillId="0" borderId="153" xfId="430" applyNumberFormat="1" applyFont="1" applyFill="1" applyBorder="1" applyAlignment="1">
      <alignment horizontal="center" vertical="center" wrapText="1"/>
    </xf>
    <xf numFmtId="173" fontId="236" fillId="0" borderId="39" xfId="430" applyNumberFormat="1" applyFont="1" applyFill="1" applyBorder="1" applyAlignment="1">
      <alignment horizontal="center" vertical="center"/>
    </xf>
    <xf numFmtId="173" fontId="236" fillId="0" borderId="37" xfId="430" applyNumberFormat="1" applyFont="1" applyFill="1" applyBorder="1" applyAlignment="1">
      <alignment horizontal="center" vertical="center"/>
    </xf>
    <xf numFmtId="173" fontId="236" fillId="0" borderId="38" xfId="430" applyNumberFormat="1" applyFont="1" applyFill="1" applyBorder="1" applyAlignment="1">
      <alignment horizontal="center" vertical="center"/>
    </xf>
    <xf numFmtId="173" fontId="77" fillId="99" borderId="46" xfId="430" applyNumberFormat="1" applyFont="1" applyFill="1" applyBorder="1" applyAlignment="1">
      <alignment horizontal="center" vertical="center"/>
    </xf>
    <xf numFmtId="173" fontId="77" fillId="99" borderId="155" xfId="430" applyNumberFormat="1" applyFont="1" applyFill="1" applyBorder="1" applyAlignment="1">
      <alignment horizontal="center" vertical="center"/>
    </xf>
    <xf numFmtId="0" fontId="55" fillId="54" borderId="14" xfId="0" applyFont="1" applyFill="1" applyBorder="1" applyAlignment="1">
      <alignment horizontal="center" vertical="center"/>
    </xf>
    <xf numFmtId="0" fontId="55" fillId="54" borderId="30" xfId="0" applyFont="1" applyFill="1" applyBorder="1" applyAlignment="1">
      <alignment horizontal="center" vertical="center"/>
    </xf>
    <xf numFmtId="0" fontId="7" fillId="32" borderId="14" xfId="0" applyFont="1" applyFill="1" applyBorder="1" applyAlignment="1">
      <alignment horizontal="center" vertical="center"/>
    </xf>
    <xf numFmtId="0" fontId="7" fillId="32" borderId="30" xfId="0" applyFont="1" applyFill="1" applyBorder="1" applyAlignment="1">
      <alignment horizontal="center" vertical="center"/>
    </xf>
    <xf numFmtId="0" fontId="7" fillId="32" borderId="10" xfId="0" applyFont="1" applyFill="1" applyBorder="1" applyAlignment="1">
      <alignment horizontal="center" vertical="center"/>
    </xf>
    <xf numFmtId="2" fontId="9" fillId="0" borderId="0" xfId="436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9" fillId="46" borderId="23" xfId="0" applyFont="1" applyFill="1" applyBorder="1" applyAlignment="1">
      <alignment horizontal="center" vertical="center" wrapText="1"/>
    </xf>
    <xf numFmtId="0" fontId="9" fillId="46" borderId="31" xfId="0" applyFont="1" applyFill="1" applyBorder="1" applyAlignment="1">
      <alignment horizontal="center" vertical="center" wrapText="1"/>
    </xf>
    <xf numFmtId="0" fontId="9" fillId="46" borderId="10" xfId="0" applyFont="1" applyFill="1" applyBorder="1" applyAlignment="1">
      <alignment horizontal="center" vertical="center" wrapText="1"/>
    </xf>
    <xf numFmtId="0" fontId="9" fillId="46" borderId="23" xfId="436" applyFont="1" applyFill="1" applyBorder="1" applyAlignment="1">
      <alignment horizontal="center" vertical="center" wrapText="1"/>
    </xf>
    <xf numFmtId="0" fontId="9" fillId="46" borderId="31" xfId="436" applyFont="1" applyFill="1" applyBorder="1" applyAlignment="1">
      <alignment horizontal="center" vertical="center" wrapText="1"/>
    </xf>
    <xf numFmtId="0" fontId="9" fillId="46" borderId="10" xfId="0" applyFont="1" applyFill="1" applyBorder="1" applyAlignment="1">
      <alignment horizontal="center" vertical="center"/>
    </xf>
    <xf numFmtId="173" fontId="7" fillId="0" borderId="58" xfId="429" applyNumberFormat="1" applyFont="1" applyFill="1" applyBorder="1" applyAlignment="1" applyProtection="1">
      <alignment horizontal="center" vertical="center"/>
    </xf>
    <xf numFmtId="173" fontId="7" fillId="0" borderId="273" xfId="429" applyNumberFormat="1" applyFont="1" applyFill="1" applyBorder="1" applyAlignment="1" applyProtection="1">
      <alignment horizontal="center" vertical="center"/>
    </xf>
    <xf numFmtId="173" fontId="91" fillId="56" borderId="23" xfId="414" applyNumberFormat="1" applyFont="1" applyFill="1" applyBorder="1" applyAlignment="1">
      <alignment horizontal="center" vertical="center" wrapText="1"/>
    </xf>
    <xf numFmtId="173" fontId="91" fillId="56" borderId="31" xfId="414" applyNumberFormat="1" applyFont="1" applyFill="1" applyBorder="1" applyAlignment="1">
      <alignment horizontal="center" vertical="center" wrapText="1"/>
    </xf>
    <xf numFmtId="173" fontId="91" fillId="56" borderId="23" xfId="414" applyNumberFormat="1" applyFont="1" applyFill="1" applyBorder="1" applyAlignment="1">
      <alignment horizontal="center" vertical="center"/>
    </xf>
    <xf numFmtId="173" fontId="91" fillId="56" borderId="31" xfId="414" applyNumberFormat="1" applyFont="1" applyFill="1" applyBorder="1" applyAlignment="1">
      <alignment horizontal="center" vertical="center"/>
    </xf>
    <xf numFmtId="173" fontId="107" fillId="32" borderId="10" xfId="414" applyNumberFormat="1" applyFont="1" applyFill="1" applyBorder="1" applyAlignment="1">
      <alignment horizontal="center" vertical="center" wrapText="1"/>
    </xf>
    <xf numFmtId="10" fontId="117" fillId="32" borderId="23" xfId="458" applyNumberFormat="1" applyFont="1" applyFill="1" applyBorder="1" applyAlignment="1">
      <alignment horizontal="center" vertical="center"/>
    </xf>
    <xf numFmtId="10" fontId="117" fillId="32" borderId="43" xfId="458" applyNumberFormat="1" applyFont="1" applyFill="1" applyBorder="1" applyAlignment="1">
      <alignment horizontal="center" vertical="center"/>
    </xf>
    <xf numFmtId="10" fontId="117" fillId="32" borderId="31" xfId="458" applyNumberFormat="1" applyFont="1" applyFill="1" applyBorder="1" applyAlignment="1">
      <alignment horizontal="center" vertical="center"/>
    </xf>
    <xf numFmtId="173" fontId="13" fillId="0" borderId="91" xfId="435" applyNumberFormat="1" applyFont="1" applyBorder="1" applyAlignment="1">
      <alignment horizontal="center"/>
    </xf>
    <xf numFmtId="173" fontId="88" fillId="0" borderId="185" xfId="401" applyNumberFormat="1" applyFont="1" applyBorder="1" applyAlignment="1">
      <alignment horizontal="center"/>
    </xf>
    <xf numFmtId="173" fontId="13" fillId="0" borderId="461" xfId="435" applyNumberFormat="1" applyFont="1" applyBorder="1" applyAlignment="1">
      <alignment horizontal="center"/>
    </xf>
    <xf numFmtId="173" fontId="88" fillId="0" borderId="46" xfId="401" applyNumberFormat="1" applyFont="1" applyBorder="1" applyAlignment="1">
      <alignment horizontal="center"/>
    </xf>
    <xf numFmtId="0" fontId="166" fillId="0" borderId="57" xfId="0" applyFont="1" applyBorder="1" applyAlignment="1">
      <alignment horizontal="center" vertical="center"/>
    </xf>
    <xf numFmtId="0" fontId="166" fillId="0" borderId="102" xfId="0" applyFont="1" applyBorder="1" applyAlignment="1">
      <alignment horizontal="center" vertical="center"/>
    </xf>
    <xf numFmtId="0" fontId="29" fillId="0" borderId="304" xfId="0" applyFont="1" applyBorder="1" applyAlignment="1">
      <alignment horizontal="center" vertical="center"/>
    </xf>
    <xf numFmtId="0" fontId="29" fillId="0" borderId="103" xfId="0" applyFont="1" applyBorder="1" applyAlignment="1">
      <alignment horizontal="center" vertical="center"/>
    </xf>
    <xf numFmtId="0" fontId="29" fillId="0" borderId="14" xfId="428" applyFont="1" applyFill="1" applyBorder="1" applyAlignment="1">
      <alignment horizontal="left" vertical="center"/>
    </xf>
    <xf numFmtId="0" fontId="29" fillId="0" borderId="15" xfId="428" applyFont="1" applyFill="1" applyBorder="1" applyAlignment="1">
      <alignment horizontal="left" vertical="center"/>
    </xf>
    <xf numFmtId="0" fontId="29" fillId="0" borderId="14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30" xfId="0" applyFont="1" applyBorder="1" applyAlignment="1">
      <alignment horizontal="left" vertical="center"/>
    </xf>
    <xf numFmtId="0" fontId="167" fillId="0" borderId="14" xfId="0" applyFont="1" applyBorder="1" applyAlignment="1">
      <alignment vertical="center" wrapText="1"/>
    </xf>
    <xf numFmtId="0" fontId="167" fillId="0" borderId="15" xfId="0" applyFont="1" applyBorder="1" applyAlignment="1">
      <alignment vertical="center" wrapText="1"/>
    </xf>
    <xf numFmtId="0" fontId="167" fillId="0" borderId="30" xfId="0" applyFont="1" applyBorder="1" applyAlignment="1">
      <alignment vertical="center" wrapText="1"/>
    </xf>
    <xf numFmtId="0" fontId="29" fillId="0" borderId="24" xfId="428" applyFont="1" applyFill="1" applyBorder="1" applyAlignment="1">
      <alignment horizontal="left" vertical="center"/>
    </xf>
    <xf numFmtId="0" fontId="29" fillId="0" borderId="42" xfId="428" applyFont="1" applyFill="1" applyBorder="1" applyAlignment="1">
      <alignment horizontal="left" vertical="center"/>
    </xf>
    <xf numFmtId="0" fontId="29" fillId="0" borderId="41" xfId="428" applyFont="1" applyFill="1" applyBorder="1" applyAlignment="1">
      <alignment horizontal="left" vertical="center"/>
    </xf>
    <xf numFmtId="0" fontId="29" fillId="0" borderId="22" xfId="428" applyFont="1" applyFill="1" applyBorder="1" applyAlignment="1">
      <alignment horizontal="left" vertical="center"/>
    </xf>
    <xf numFmtId="0" fontId="29" fillId="0" borderId="17" xfId="428" applyFont="1" applyFill="1" applyBorder="1" applyAlignment="1">
      <alignment horizontal="left" vertical="center"/>
    </xf>
    <xf numFmtId="0" fontId="29" fillId="0" borderId="18" xfId="428" applyFont="1" applyFill="1" applyBorder="1" applyAlignment="1">
      <alignment horizontal="left" vertical="center"/>
    </xf>
    <xf numFmtId="1" fontId="93" fillId="48" borderId="14" xfId="0" applyNumberFormat="1" applyFont="1" applyFill="1" applyBorder="1" applyAlignment="1">
      <alignment horizontal="center" vertical="center"/>
    </xf>
    <xf numFmtId="1" fontId="93" fillId="48" borderId="15" xfId="0" applyNumberFormat="1" applyFont="1" applyFill="1" applyBorder="1" applyAlignment="1">
      <alignment horizontal="center" vertical="center"/>
    </xf>
    <xf numFmtId="1" fontId="93" fillId="48" borderId="30" xfId="0" applyNumberFormat="1" applyFont="1" applyFill="1" applyBorder="1" applyAlignment="1">
      <alignment horizontal="center" vertical="center"/>
    </xf>
    <xf numFmtId="0" fontId="27" fillId="48" borderId="39" xfId="0" applyFont="1" applyFill="1" applyBorder="1" applyAlignment="1">
      <alignment horizontal="center" vertical="center"/>
    </xf>
    <xf numFmtId="0" fontId="27" fillId="48" borderId="38" xfId="0" applyFont="1" applyFill="1" applyBorder="1" applyAlignment="1">
      <alignment horizontal="center" vertical="center"/>
    </xf>
    <xf numFmtId="0" fontId="180" fillId="48" borderId="39" xfId="0" applyFont="1" applyFill="1" applyBorder="1" applyAlignment="1">
      <alignment horizontal="center" vertical="center"/>
    </xf>
    <xf numFmtId="0" fontId="180" fillId="48" borderId="38" xfId="0" applyFont="1" applyFill="1" applyBorder="1" applyAlignment="1">
      <alignment horizontal="center" vertical="center"/>
    </xf>
    <xf numFmtId="0" fontId="27" fillId="48" borderId="14" xfId="0" applyFont="1" applyFill="1" applyBorder="1" applyAlignment="1">
      <alignment horizontal="center" vertical="center"/>
    </xf>
    <xf numFmtId="0" fontId="27" fillId="48" borderId="15" xfId="0" applyFont="1" applyFill="1" applyBorder="1" applyAlignment="1">
      <alignment horizontal="center" vertical="center"/>
    </xf>
    <xf numFmtId="0" fontId="27" fillId="48" borderId="30" xfId="0" applyFont="1" applyFill="1" applyBorder="1" applyAlignment="1">
      <alignment horizontal="center" vertical="center"/>
    </xf>
    <xf numFmtId="0" fontId="93" fillId="48" borderId="23" xfId="0" applyFont="1" applyFill="1" applyBorder="1" applyAlignment="1">
      <alignment horizontal="center" vertical="center"/>
    </xf>
    <xf numFmtId="0" fontId="93" fillId="48" borderId="31" xfId="0" applyFont="1" applyFill="1" applyBorder="1" applyAlignment="1">
      <alignment horizontal="center" vertical="center"/>
    </xf>
    <xf numFmtId="0" fontId="9" fillId="26" borderId="14" xfId="0" applyFont="1" applyFill="1" applyBorder="1" applyAlignment="1">
      <alignment horizontal="center"/>
    </xf>
    <xf numFmtId="0" fontId="9" fillId="26" borderId="30" xfId="0" applyFont="1" applyFill="1" applyBorder="1" applyAlignment="1">
      <alignment horizontal="center"/>
    </xf>
    <xf numFmtId="0" fontId="0" fillId="0" borderId="0" xfId="0"/>
    <xf numFmtId="0" fontId="140" fillId="0" borderId="24" xfId="0" applyFont="1" applyBorder="1" applyAlignment="1">
      <alignment horizontal="center"/>
    </xf>
    <xf numFmtId="0" fontId="140" fillId="0" borderId="42" xfId="0" applyFont="1" applyBorder="1" applyAlignment="1">
      <alignment horizontal="center"/>
    </xf>
    <xf numFmtId="0" fontId="140" fillId="0" borderId="41" xfId="0" applyFont="1" applyBorder="1" applyAlignment="1">
      <alignment horizontal="center"/>
    </xf>
    <xf numFmtId="0" fontId="140" fillId="0" borderId="22" xfId="0" applyFont="1" applyBorder="1" applyAlignment="1">
      <alignment horizontal="center"/>
    </xf>
    <xf numFmtId="0" fontId="140" fillId="0" borderId="17" xfId="0" applyFont="1" applyBorder="1" applyAlignment="1">
      <alignment horizontal="center"/>
    </xf>
    <xf numFmtId="0" fontId="140" fillId="0" borderId="18" xfId="0" applyFont="1" applyBorder="1" applyAlignment="1">
      <alignment horizontal="center"/>
    </xf>
    <xf numFmtId="0" fontId="550" fillId="0" borderId="40" xfId="0" applyFont="1" applyBorder="1" applyAlignment="1">
      <alignment horizontal="center" vertical="center"/>
    </xf>
    <xf numFmtId="0" fontId="550" fillId="0" borderId="0" xfId="0" applyFont="1" applyBorder="1" applyAlignment="1">
      <alignment horizontal="center" vertical="center"/>
    </xf>
    <xf numFmtId="173" fontId="77" fillId="0" borderId="0" xfId="430" applyNumberFormat="1" applyFont="1" applyFill="1" applyBorder="1" applyAlignment="1">
      <alignment horizontal="center" vertical="center"/>
    </xf>
    <xf numFmtId="1" fontId="2" fillId="48" borderId="23" xfId="428" applyNumberFormat="1" applyFont="1" applyFill="1" applyBorder="1" applyAlignment="1">
      <alignment horizontal="center" vertical="center"/>
    </xf>
    <xf numFmtId="1" fontId="2" fillId="48" borderId="31" xfId="428" applyNumberFormat="1" applyFont="1" applyFill="1" applyBorder="1" applyAlignment="1">
      <alignment horizontal="center" vertical="center"/>
    </xf>
    <xf numFmtId="0" fontId="2" fillId="28" borderId="23" xfId="428" applyFont="1" applyFill="1" applyBorder="1" applyAlignment="1">
      <alignment horizontal="center" vertical="center"/>
    </xf>
    <xf numFmtId="0" fontId="2" fillId="28" borderId="31" xfId="428" applyFont="1" applyFill="1" applyBorder="1" applyAlignment="1">
      <alignment horizontal="center" vertical="center"/>
    </xf>
    <xf numFmtId="0" fontId="119" fillId="0" borderId="0" xfId="428" applyFont="1" applyAlignment="1">
      <alignment horizontal="center"/>
    </xf>
    <xf numFmtId="0" fontId="200" fillId="0" borderId="0" xfId="428" applyFont="1" applyFill="1" applyAlignment="1">
      <alignment horizontal="center"/>
    </xf>
    <xf numFmtId="0" fontId="200" fillId="0" borderId="0" xfId="428" quotePrefix="1" applyFont="1" applyFill="1" applyAlignment="1">
      <alignment horizontal="center"/>
    </xf>
    <xf numFmtId="0" fontId="2" fillId="57" borderId="23" xfId="428" applyFont="1" applyFill="1" applyBorder="1" applyAlignment="1">
      <alignment horizontal="center" vertical="center"/>
    </xf>
    <xf numFmtId="0" fontId="2" fillId="57" borderId="31" xfId="428" applyFont="1" applyFill="1" applyBorder="1" applyAlignment="1">
      <alignment horizontal="center" vertical="center"/>
    </xf>
    <xf numFmtId="0" fontId="8" fillId="0" borderId="0" xfId="428" applyFont="1" applyAlignment="1">
      <alignment horizontal="center"/>
    </xf>
    <xf numFmtId="0" fontId="91" fillId="0" borderId="0" xfId="0" applyFont="1" applyAlignment="1">
      <alignment horizontal="center" vertical="center" wrapText="1"/>
    </xf>
    <xf numFmtId="173" fontId="88" fillId="0" borderId="0" xfId="375" applyNumberFormat="1" applyFont="1" applyAlignment="1">
      <alignment horizontal="center"/>
    </xf>
    <xf numFmtId="20" fontId="9" fillId="47" borderId="24" xfId="431" applyNumberFormat="1" applyFont="1" applyFill="1" applyBorder="1" applyAlignment="1">
      <alignment horizontal="center" vertical="center"/>
    </xf>
    <xf numFmtId="20" fontId="9" fillId="47" borderId="41" xfId="431" applyNumberFormat="1" applyFont="1" applyFill="1" applyBorder="1" applyAlignment="1">
      <alignment horizontal="center" vertical="center"/>
    </xf>
    <xf numFmtId="173" fontId="130" fillId="0" borderId="58" xfId="375" applyNumberFormat="1" applyFont="1" applyBorder="1" applyAlignment="1">
      <alignment horizontal="center" vertical="center" textRotation="90"/>
    </xf>
    <xf numFmtId="173" fontId="130" fillId="0" borderId="44" xfId="375" applyNumberFormat="1" applyFont="1" applyBorder="1" applyAlignment="1">
      <alignment horizontal="center" vertical="center" textRotation="90"/>
    </xf>
    <xf numFmtId="173" fontId="130" fillId="0" borderId="64" xfId="375" applyNumberFormat="1" applyFont="1" applyBorder="1" applyAlignment="1">
      <alignment horizontal="center" vertical="center" textRotation="90"/>
    </xf>
    <xf numFmtId="0" fontId="167" fillId="43" borderId="10" xfId="0" applyFont="1" applyFill="1" applyBorder="1" applyAlignment="1">
      <alignment horizontal="center" vertical="center"/>
    </xf>
    <xf numFmtId="173" fontId="50" fillId="0" borderId="39" xfId="430" applyNumberFormat="1" applyFont="1" applyFill="1" applyBorder="1" applyAlignment="1">
      <alignment horizontal="center" vertical="center"/>
    </xf>
    <xf numFmtId="173" fontId="50" fillId="0" borderId="37" xfId="430" applyNumberFormat="1" applyFont="1" applyFill="1" applyBorder="1" applyAlignment="1">
      <alignment horizontal="center" vertical="center"/>
    </xf>
    <xf numFmtId="173" fontId="50" fillId="0" borderId="38" xfId="430" applyNumberFormat="1" applyFont="1" applyFill="1" applyBorder="1" applyAlignment="1">
      <alignment horizontal="center" vertical="center"/>
    </xf>
    <xf numFmtId="0" fontId="125" fillId="0" borderId="0" xfId="0" applyFont="1" applyAlignment="1">
      <alignment horizontal="left" wrapText="1"/>
    </xf>
    <xf numFmtId="173" fontId="77" fillId="44" borderId="85" xfId="430" applyNumberFormat="1" applyFont="1" applyFill="1" applyBorder="1" applyAlignment="1">
      <alignment horizontal="center" vertical="center" wrapText="1"/>
    </xf>
    <xf numFmtId="173" fontId="77" fillId="44" borderId="153" xfId="430" applyNumberFormat="1" applyFont="1" applyFill="1" applyBorder="1" applyAlignment="1">
      <alignment horizontal="center" vertical="center" wrapText="1"/>
    </xf>
    <xf numFmtId="173" fontId="77" fillId="44" borderId="46" xfId="430" applyNumberFormat="1" applyFont="1" applyFill="1" applyBorder="1" applyAlignment="1">
      <alignment horizontal="center" vertical="center"/>
    </xf>
    <xf numFmtId="173" fontId="77" fillId="44" borderId="155" xfId="430" applyNumberFormat="1" applyFont="1" applyFill="1" applyBorder="1" applyAlignment="1">
      <alignment horizontal="center" vertical="center"/>
    </xf>
    <xf numFmtId="0" fontId="91" fillId="43" borderId="10" xfId="0" applyFont="1" applyFill="1" applyBorder="1" applyAlignment="1">
      <alignment horizontal="left" vertical="center"/>
    </xf>
    <xf numFmtId="0" fontId="91" fillId="43" borderId="14" xfId="0" applyFont="1" applyFill="1" applyBorder="1" applyAlignment="1">
      <alignment horizontal="left" vertical="center"/>
    </xf>
    <xf numFmtId="0" fontId="91" fillId="43" borderId="30" xfId="0" applyFont="1" applyFill="1" applyBorder="1" applyAlignment="1">
      <alignment horizontal="left" vertical="center"/>
    </xf>
    <xf numFmtId="164" fontId="99" fillId="43" borderId="14" xfId="0" applyNumberFormat="1" applyFont="1" applyFill="1" applyBorder="1" applyAlignment="1">
      <alignment horizontal="left" vertical="center"/>
    </xf>
    <xf numFmtId="164" fontId="99" fillId="43" borderId="30" xfId="0" applyNumberFormat="1" applyFont="1" applyFill="1" applyBorder="1" applyAlignment="1">
      <alignment horizontal="left" vertical="center"/>
    </xf>
    <xf numFmtId="0" fontId="132" fillId="52" borderId="58" xfId="0" applyNumberFormat="1" applyFont="1" applyFill="1" applyBorder="1" applyAlignment="1">
      <alignment horizontal="center" vertical="center" wrapText="1"/>
    </xf>
    <xf numFmtId="0" fontId="132" fillId="52" borderId="64" xfId="0" applyNumberFormat="1" applyFont="1" applyFill="1" applyBorder="1" applyAlignment="1">
      <alignment horizontal="center" vertical="center" wrapText="1"/>
    </xf>
  </cellXfs>
  <cellStyles count="556">
    <cellStyle name="20% - Accent1 10" xfId="1" xr:uid="{00000000-0005-0000-0000-000000000000}"/>
    <cellStyle name="20% - Accent1 11" xfId="2" xr:uid="{00000000-0005-0000-0000-000001000000}"/>
    <cellStyle name="20% - Accent1 2" xfId="3" xr:uid="{00000000-0005-0000-0000-000002000000}"/>
    <cellStyle name="20% - Accent1 3" xfId="4" xr:uid="{00000000-0005-0000-0000-000003000000}"/>
    <cellStyle name="20% - Accent1 4" xfId="5" xr:uid="{00000000-0005-0000-0000-000004000000}"/>
    <cellStyle name="20% - Accent1 5" xfId="6" xr:uid="{00000000-0005-0000-0000-000005000000}"/>
    <cellStyle name="20% - Accent1 6" xfId="7" xr:uid="{00000000-0005-0000-0000-000006000000}"/>
    <cellStyle name="20% - Accent1 7" xfId="8" xr:uid="{00000000-0005-0000-0000-000007000000}"/>
    <cellStyle name="20% - Accent1 8" xfId="9" xr:uid="{00000000-0005-0000-0000-000008000000}"/>
    <cellStyle name="20% - Accent1 9" xfId="10" xr:uid="{00000000-0005-0000-0000-000009000000}"/>
    <cellStyle name="20% - Accent2 10" xfId="11" xr:uid="{00000000-0005-0000-0000-00000A000000}"/>
    <cellStyle name="20% - Accent2 11" xfId="12" xr:uid="{00000000-0005-0000-0000-00000B000000}"/>
    <cellStyle name="20% - Accent2 2" xfId="13" xr:uid="{00000000-0005-0000-0000-00000C000000}"/>
    <cellStyle name="20% - Accent2 3" xfId="14" xr:uid="{00000000-0005-0000-0000-00000D000000}"/>
    <cellStyle name="20% - Accent2 4" xfId="15" xr:uid="{00000000-0005-0000-0000-00000E000000}"/>
    <cellStyle name="20% - Accent2 5" xfId="16" xr:uid="{00000000-0005-0000-0000-00000F000000}"/>
    <cellStyle name="20% - Accent2 6" xfId="17" xr:uid="{00000000-0005-0000-0000-000010000000}"/>
    <cellStyle name="20% - Accent2 7" xfId="18" xr:uid="{00000000-0005-0000-0000-000011000000}"/>
    <cellStyle name="20% - Accent2 8" xfId="19" xr:uid="{00000000-0005-0000-0000-000012000000}"/>
    <cellStyle name="20% - Accent2 9" xfId="20" xr:uid="{00000000-0005-0000-0000-000013000000}"/>
    <cellStyle name="20% - Accent3 10" xfId="21" xr:uid="{00000000-0005-0000-0000-000014000000}"/>
    <cellStyle name="20% - Accent3 11" xfId="22" xr:uid="{00000000-0005-0000-0000-000015000000}"/>
    <cellStyle name="20% - Accent3 2" xfId="23" xr:uid="{00000000-0005-0000-0000-000016000000}"/>
    <cellStyle name="20% - Accent3 3" xfId="24" xr:uid="{00000000-0005-0000-0000-000017000000}"/>
    <cellStyle name="20% - Accent3 4" xfId="25" xr:uid="{00000000-0005-0000-0000-000018000000}"/>
    <cellStyle name="20% - Accent3 5" xfId="26" xr:uid="{00000000-0005-0000-0000-000019000000}"/>
    <cellStyle name="20% - Accent3 6" xfId="27" xr:uid="{00000000-0005-0000-0000-00001A000000}"/>
    <cellStyle name="20% - Accent3 7" xfId="28" xr:uid="{00000000-0005-0000-0000-00001B000000}"/>
    <cellStyle name="20% - Accent3 8" xfId="29" xr:uid="{00000000-0005-0000-0000-00001C000000}"/>
    <cellStyle name="20% - Accent3 9" xfId="30" xr:uid="{00000000-0005-0000-0000-00001D000000}"/>
    <cellStyle name="20% - Accent4 10" xfId="31" xr:uid="{00000000-0005-0000-0000-00001E000000}"/>
    <cellStyle name="20% - Accent4 11" xfId="32" xr:uid="{00000000-0005-0000-0000-00001F000000}"/>
    <cellStyle name="20% - Accent4 2" xfId="33" xr:uid="{00000000-0005-0000-0000-000020000000}"/>
    <cellStyle name="20% - Accent4 3" xfId="34" xr:uid="{00000000-0005-0000-0000-000021000000}"/>
    <cellStyle name="20% - Accent4 4" xfId="35" xr:uid="{00000000-0005-0000-0000-000022000000}"/>
    <cellStyle name="20% - Accent4 5" xfId="36" xr:uid="{00000000-0005-0000-0000-000023000000}"/>
    <cellStyle name="20% - Accent4 6" xfId="37" xr:uid="{00000000-0005-0000-0000-000024000000}"/>
    <cellStyle name="20% - Accent4 7" xfId="38" xr:uid="{00000000-0005-0000-0000-000025000000}"/>
    <cellStyle name="20% - Accent4 8" xfId="39" xr:uid="{00000000-0005-0000-0000-000026000000}"/>
    <cellStyle name="20% - Accent4 9" xfId="40" xr:uid="{00000000-0005-0000-0000-000027000000}"/>
    <cellStyle name="20% - Accent5 10" xfId="41" xr:uid="{00000000-0005-0000-0000-000028000000}"/>
    <cellStyle name="20% - Accent5 11" xfId="42" xr:uid="{00000000-0005-0000-0000-000029000000}"/>
    <cellStyle name="20% - Accent5 2" xfId="43" xr:uid="{00000000-0005-0000-0000-00002A000000}"/>
    <cellStyle name="20% - Accent5 3" xfId="44" xr:uid="{00000000-0005-0000-0000-00002B000000}"/>
    <cellStyle name="20% - Accent5 4" xfId="45" xr:uid="{00000000-0005-0000-0000-00002C000000}"/>
    <cellStyle name="20% - Accent5 5" xfId="46" xr:uid="{00000000-0005-0000-0000-00002D000000}"/>
    <cellStyle name="20% - Accent5 6" xfId="47" xr:uid="{00000000-0005-0000-0000-00002E000000}"/>
    <cellStyle name="20% - Accent5 7" xfId="48" xr:uid="{00000000-0005-0000-0000-00002F000000}"/>
    <cellStyle name="20% - Accent5 8" xfId="49" xr:uid="{00000000-0005-0000-0000-000030000000}"/>
    <cellStyle name="20% - Accent5 9" xfId="50" xr:uid="{00000000-0005-0000-0000-000031000000}"/>
    <cellStyle name="20% - Accent6 10" xfId="51" xr:uid="{00000000-0005-0000-0000-000032000000}"/>
    <cellStyle name="20% - Accent6 11" xfId="52" xr:uid="{00000000-0005-0000-0000-000033000000}"/>
    <cellStyle name="20% - Accent6 2" xfId="53" xr:uid="{00000000-0005-0000-0000-000034000000}"/>
    <cellStyle name="20% - Accent6 3" xfId="54" xr:uid="{00000000-0005-0000-0000-000035000000}"/>
    <cellStyle name="20% - Accent6 4" xfId="55" xr:uid="{00000000-0005-0000-0000-000036000000}"/>
    <cellStyle name="20% - Accent6 5" xfId="56" xr:uid="{00000000-0005-0000-0000-000037000000}"/>
    <cellStyle name="20% - Accent6 6" xfId="57" xr:uid="{00000000-0005-0000-0000-000038000000}"/>
    <cellStyle name="20% - Accent6 7" xfId="58" xr:uid="{00000000-0005-0000-0000-000039000000}"/>
    <cellStyle name="20% - Accent6 8" xfId="59" xr:uid="{00000000-0005-0000-0000-00003A000000}"/>
    <cellStyle name="20% - Accent6 9" xfId="60" xr:uid="{00000000-0005-0000-0000-00003B000000}"/>
    <cellStyle name="40% - Accent1 10" xfId="61" xr:uid="{00000000-0005-0000-0000-00003C000000}"/>
    <cellStyle name="40% - Accent1 11" xfId="62" xr:uid="{00000000-0005-0000-0000-00003D000000}"/>
    <cellStyle name="40% - Accent1 2" xfId="63" xr:uid="{00000000-0005-0000-0000-00003E000000}"/>
    <cellStyle name="40% - Accent1 3" xfId="64" xr:uid="{00000000-0005-0000-0000-00003F000000}"/>
    <cellStyle name="40% - Accent1 4" xfId="65" xr:uid="{00000000-0005-0000-0000-000040000000}"/>
    <cellStyle name="40% - Accent1 5" xfId="66" xr:uid="{00000000-0005-0000-0000-000041000000}"/>
    <cellStyle name="40% - Accent1 6" xfId="67" xr:uid="{00000000-0005-0000-0000-000042000000}"/>
    <cellStyle name="40% - Accent1 7" xfId="68" xr:uid="{00000000-0005-0000-0000-000043000000}"/>
    <cellStyle name="40% - Accent1 8" xfId="69" xr:uid="{00000000-0005-0000-0000-000044000000}"/>
    <cellStyle name="40% - Accent1 9" xfId="70" xr:uid="{00000000-0005-0000-0000-000045000000}"/>
    <cellStyle name="40% - Accent2 10" xfId="71" xr:uid="{00000000-0005-0000-0000-000046000000}"/>
    <cellStyle name="40% - Accent2 11" xfId="72" xr:uid="{00000000-0005-0000-0000-000047000000}"/>
    <cellStyle name="40% - Accent2 2" xfId="73" xr:uid="{00000000-0005-0000-0000-000048000000}"/>
    <cellStyle name="40% - Accent2 3" xfId="74" xr:uid="{00000000-0005-0000-0000-000049000000}"/>
    <cellStyle name="40% - Accent2 4" xfId="75" xr:uid="{00000000-0005-0000-0000-00004A000000}"/>
    <cellStyle name="40% - Accent2 5" xfId="76" xr:uid="{00000000-0005-0000-0000-00004B000000}"/>
    <cellStyle name="40% - Accent2 6" xfId="77" xr:uid="{00000000-0005-0000-0000-00004C000000}"/>
    <cellStyle name="40% - Accent2 7" xfId="78" xr:uid="{00000000-0005-0000-0000-00004D000000}"/>
    <cellStyle name="40% - Accent2 8" xfId="79" xr:uid="{00000000-0005-0000-0000-00004E000000}"/>
    <cellStyle name="40% - Accent2 9" xfId="80" xr:uid="{00000000-0005-0000-0000-00004F000000}"/>
    <cellStyle name="40% - Accent3 10" xfId="81" xr:uid="{00000000-0005-0000-0000-000050000000}"/>
    <cellStyle name="40% - Accent3 11" xfId="82" xr:uid="{00000000-0005-0000-0000-000051000000}"/>
    <cellStyle name="40% - Accent3 2" xfId="83" xr:uid="{00000000-0005-0000-0000-000052000000}"/>
    <cellStyle name="40% - Accent3 3" xfId="84" xr:uid="{00000000-0005-0000-0000-000053000000}"/>
    <cellStyle name="40% - Accent3 4" xfId="85" xr:uid="{00000000-0005-0000-0000-000054000000}"/>
    <cellStyle name="40% - Accent3 5" xfId="86" xr:uid="{00000000-0005-0000-0000-000055000000}"/>
    <cellStyle name="40% - Accent3 6" xfId="87" xr:uid="{00000000-0005-0000-0000-000056000000}"/>
    <cellStyle name="40% - Accent3 7" xfId="88" xr:uid="{00000000-0005-0000-0000-000057000000}"/>
    <cellStyle name="40% - Accent3 8" xfId="89" xr:uid="{00000000-0005-0000-0000-000058000000}"/>
    <cellStyle name="40% - Accent3 9" xfId="90" xr:uid="{00000000-0005-0000-0000-000059000000}"/>
    <cellStyle name="40% - Accent4 10" xfId="91" xr:uid="{00000000-0005-0000-0000-00005A000000}"/>
    <cellStyle name="40% - Accent4 11" xfId="92" xr:uid="{00000000-0005-0000-0000-00005B000000}"/>
    <cellStyle name="40% - Accent4 2" xfId="93" xr:uid="{00000000-0005-0000-0000-00005C000000}"/>
    <cellStyle name="40% - Accent4 3" xfId="94" xr:uid="{00000000-0005-0000-0000-00005D000000}"/>
    <cellStyle name="40% - Accent4 4" xfId="95" xr:uid="{00000000-0005-0000-0000-00005E000000}"/>
    <cellStyle name="40% - Accent4 5" xfId="96" xr:uid="{00000000-0005-0000-0000-00005F000000}"/>
    <cellStyle name="40% - Accent4 6" xfId="97" xr:uid="{00000000-0005-0000-0000-000060000000}"/>
    <cellStyle name="40% - Accent4 7" xfId="98" xr:uid="{00000000-0005-0000-0000-000061000000}"/>
    <cellStyle name="40% - Accent4 8" xfId="99" xr:uid="{00000000-0005-0000-0000-000062000000}"/>
    <cellStyle name="40% - Accent4 9" xfId="100" xr:uid="{00000000-0005-0000-0000-000063000000}"/>
    <cellStyle name="40% - Accent5 10" xfId="101" xr:uid="{00000000-0005-0000-0000-000064000000}"/>
    <cellStyle name="40% - Accent5 11" xfId="102" xr:uid="{00000000-0005-0000-0000-000065000000}"/>
    <cellStyle name="40% - Accent5 2" xfId="103" xr:uid="{00000000-0005-0000-0000-000066000000}"/>
    <cellStyle name="40% - Accent5 3" xfId="104" xr:uid="{00000000-0005-0000-0000-000067000000}"/>
    <cellStyle name="40% - Accent5 4" xfId="105" xr:uid="{00000000-0005-0000-0000-000068000000}"/>
    <cellStyle name="40% - Accent5 5" xfId="106" xr:uid="{00000000-0005-0000-0000-000069000000}"/>
    <cellStyle name="40% - Accent5 6" xfId="107" xr:uid="{00000000-0005-0000-0000-00006A000000}"/>
    <cellStyle name="40% - Accent5 7" xfId="108" xr:uid="{00000000-0005-0000-0000-00006B000000}"/>
    <cellStyle name="40% - Accent5 8" xfId="109" xr:uid="{00000000-0005-0000-0000-00006C000000}"/>
    <cellStyle name="40% - Accent5 9" xfId="110" xr:uid="{00000000-0005-0000-0000-00006D000000}"/>
    <cellStyle name="40% - Accent6 10" xfId="111" xr:uid="{00000000-0005-0000-0000-00006E000000}"/>
    <cellStyle name="40% - Accent6 11" xfId="112" xr:uid="{00000000-0005-0000-0000-00006F000000}"/>
    <cellStyle name="40% - Accent6 2" xfId="113" xr:uid="{00000000-0005-0000-0000-000070000000}"/>
    <cellStyle name="40% - Accent6 3" xfId="114" xr:uid="{00000000-0005-0000-0000-000071000000}"/>
    <cellStyle name="40% - Accent6 4" xfId="115" xr:uid="{00000000-0005-0000-0000-000072000000}"/>
    <cellStyle name="40% - Accent6 5" xfId="116" xr:uid="{00000000-0005-0000-0000-000073000000}"/>
    <cellStyle name="40% - Accent6 6" xfId="117" xr:uid="{00000000-0005-0000-0000-000074000000}"/>
    <cellStyle name="40% - Accent6 7" xfId="118" xr:uid="{00000000-0005-0000-0000-000075000000}"/>
    <cellStyle name="40% - Accent6 8" xfId="119" xr:uid="{00000000-0005-0000-0000-000076000000}"/>
    <cellStyle name="40% - Accent6 9" xfId="120" xr:uid="{00000000-0005-0000-0000-000077000000}"/>
    <cellStyle name="60% - Accent1 10" xfId="121" xr:uid="{00000000-0005-0000-0000-000078000000}"/>
    <cellStyle name="60% - Accent1 11" xfId="122" xr:uid="{00000000-0005-0000-0000-000079000000}"/>
    <cellStyle name="60% - Accent1 2" xfId="123" xr:uid="{00000000-0005-0000-0000-00007A000000}"/>
    <cellStyle name="60% - Accent1 3" xfId="124" xr:uid="{00000000-0005-0000-0000-00007B000000}"/>
    <cellStyle name="60% - Accent1 4" xfId="125" xr:uid="{00000000-0005-0000-0000-00007C000000}"/>
    <cellStyle name="60% - Accent1 5" xfId="126" xr:uid="{00000000-0005-0000-0000-00007D000000}"/>
    <cellStyle name="60% - Accent1 6" xfId="127" xr:uid="{00000000-0005-0000-0000-00007E000000}"/>
    <cellStyle name="60% - Accent1 7" xfId="128" xr:uid="{00000000-0005-0000-0000-00007F000000}"/>
    <cellStyle name="60% - Accent1 8" xfId="129" xr:uid="{00000000-0005-0000-0000-000080000000}"/>
    <cellStyle name="60% - Accent1 9" xfId="130" xr:uid="{00000000-0005-0000-0000-000081000000}"/>
    <cellStyle name="60% - Accent2 10" xfId="131" xr:uid="{00000000-0005-0000-0000-000082000000}"/>
    <cellStyle name="60% - Accent2 11" xfId="132" xr:uid="{00000000-0005-0000-0000-000083000000}"/>
    <cellStyle name="60% - Accent2 2" xfId="133" xr:uid="{00000000-0005-0000-0000-000084000000}"/>
    <cellStyle name="60% - Accent2 3" xfId="134" xr:uid="{00000000-0005-0000-0000-000085000000}"/>
    <cellStyle name="60% - Accent2 4" xfId="135" xr:uid="{00000000-0005-0000-0000-000086000000}"/>
    <cellStyle name="60% - Accent2 5" xfId="136" xr:uid="{00000000-0005-0000-0000-000087000000}"/>
    <cellStyle name="60% - Accent2 6" xfId="137" xr:uid="{00000000-0005-0000-0000-000088000000}"/>
    <cellStyle name="60% - Accent2 7" xfId="138" xr:uid="{00000000-0005-0000-0000-000089000000}"/>
    <cellStyle name="60% - Accent2 8" xfId="139" xr:uid="{00000000-0005-0000-0000-00008A000000}"/>
    <cellStyle name="60% - Accent2 9" xfId="140" xr:uid="{00000000-0005-0000-0000-00008B000000}"/>
    <cellStyle name="60% - Accent3 10" xfId="141" xr:uid="{00000000-0005-0000-0000-00008C000000}"/>
    <cellStyle name="60% - Accent3 11" xfId="142" xr:uid="{00000000-0005-0000-0000-00008D000000}"/>
    <cellStyle name="60% - Accent3 2" xfId="143" xr:uid="{00000000-0005-0000-0000-00008E000000}"/>
    <cellStyle name="60% - Accent3 3" xfId="144" xr:uid="{00000000-0005-0000-0000-00008F000000}"/>
    <cellStyle name="60% - Accent3 4" xfId="145" xr:uid="{00000000-0005-0000-0000-000090000000}"/>
    <cellStyle name="60% - Accent3 5" xfId="146" xr:uid="{00000000-0005-0000-0000-000091000000}"/>
    <cellStyle name="60% - Accent3 6" xfId="147" xr:uid="{00000000-0005-0000-0000-000092000000}"/>
    <cellStyle name="60% - Accent3 7" xfId="148" xr:uid="{00000000-0005-0000-0000-000093000000}"/>
    <cellStyle name="60% - Accent3 8" xfId="149" xr:uid="{00000000-0005-0000-0000-000094000000}"/>
    <cellStyle name="60% - Accent3 9" xfId="150" xr:uid="{00000000-0005-0000-0000-000095000000}"/>
    <cellStyle name="60% - Accent4 10" xfId="151" xr:uid="{00000000-0005-0000-0000-000096000000}"/>
    <cellStyle name="60% - Accent4 11" xfId="152" xr:uid="{00000000-0005-0000-0000-000097000000}"/>
    <cellStyle name="60% - Accent4 2" xfId="153" xr:uid="{00000000-0005-0000-0000-000098000000}"/>
    <cellStyle name="60% - Accent4 3" xfId="154" xr:uid="{00000000-0005-0000-0000-000099000000}"/>
    <cellStyle name="60% - Accent4 4" xfId="155" xr:uid="{00000000-0005-0000-0000-00009A000000}"/>
    <cellStyle name="60% - Accent4 5" xfId="156" xr:uid="{00000000-0005-0000-0000-00009B000000}"/>
    <cellStyle name="60% - Accent4 6" xfId="157" xr:uid="{00000000-0005-0000-0000-00009C000000}"/>
    <cellStyle name="60% - Accent4 7" xfId="158" xr:uid="{00000000-0005-0000-0000-00009D000000}"/>
    <cellStyle name="60% - Accent4 8" xfId="159" xr:uid="{00000000-0005-0000-0000-00009E000000}"/>
    <cellStyle name="60% - Accent4 9" xfId="160" xr:uid="{00000000-0005-0000-0000-00009F000000}"/>
    <cellStyle name="60% - Accent5 10" xfId="161" xr:uid="{00000000-0005-0000-0000-0000A0000000}"/>
    <cellStyle name="60% - Accent5 11" xfId="162" xr:uid="{00000000-0005-0000-0000-0000A1000000}"/>
    <cellStyle name="60% - Accent5 2" xfId="163" xr:uid="{00000000-0005-0000-0000-0000A2000000}"/>
    <cellStyle name="60% - Accent5 3" xfId="164" xr:uid="{00000000-0005-0000-0000-0000A3000000}"/>
    <cellStyle name="60% - Accent5 4" xfId="165" xr:uid="{00000000-0005-0000-0000-0000A4000000}"/>
    <cellStyle name="60% - Accent5 5" xfId="166" xr:uid="{00000000-0005-0000-0000-0000A5000000}"/>
    <cellStyle name="60% - Accent5 6" xfId="167" xr:uid="{00000000-0005-0000-0000-0000A6000000}"/>
    <cellStyle name="60% - Accent5 7" xfId="168" xr:uid="{00000000-0005-0000-0000-0000A7000000}"/>
    <cellStyle name="60% - Accent5 8" xfId="169" xr:uid="{00000000-0005-0000-0000-0000A8000000}"/>
    <cellStyle name="60% - Accent5 9" xfId="170" xr:uid="{00000000-0005-0000-0000-0000A9000000}"/>
    <cellStyle name="60% - Accent6 10" xfId="171" xr:uid="{00000000-0005-0000-0000-0000AA000000}"/>
    <cellStyle name="60% - Accent6 11" xfId="172" xr:uid="{00000000-0005-0000-0000-0000AB000000}"/>
    <cellStyle name="60% - Accent6 2" xfId="173" xr:uid="{00000000-0005-0000-0000-0000AC000000}"/>
    <cellStyle name="60% - Accent6 3" xfId="174" xr:uid="{00000000-0005-0000-0000-0000AD000000}"/>
    <cellStyle name="60% - Accent6 4" xfId="175" xr:uid="{00000000-0005-0000-0000-0000AE000000}"/>
    <cellStyle name="60% - Accent6 5" xfId="176" xr:uid="{00000000-0005-0000-0000-0000AF000000}"/>
    <cellStyle name="60% - Accent6 6" xfId="177" xr:uid="{00000000-0005-0000-0000-0000B0000000}"/>
    <cellStyle name="60% - Accent6 7" xfId="178" xr:uid="{00000000-0005-0000-0000-0000B1000000}"/>
    <cellStyle name="60% - Accent6 8" xfId="179" xr:uid="{00000000-0005-0000-0000-0000B2000000}"/>
    <cellStyle name="60% - Accent6 9" xfId="180" xr:uid="{00000000-0005-0000-0000-0000B3000000}"/>
    <cellStyle name="Accent1 10" xfId="181" xr:uid="{00000000-0005-0000-0000-0000B4000000}"/>
    <cellStyle name="Accent1 11" xfId="182" xr:uid="{00000000-0005-0000-0000-0000B5000000}"/>
    <cellStyle name="Accent1 2" xfId="183" xr:uid="{00000000-0005-0000-0000-0000B6000000}"/>
    <cellStyle name="Accent1 3" xfId="184" xr:uid="{00000000-0005-0000-0000-0000B7000000}"/>
    <cellStyle name="Accent1 4" xfId="185" xr:uid="{00000000-0005-0000-0000-0000B8000000}"/>
    <cellStyle name="Accent1 5" xfId="186" xr:uid="{00000000-0005-0000-0000-0000B9000000}"/>
    <cellStyle name="Accent1 6" xfId="187" xr:uid="{00000000-0005-0000-0000-0000BA000000}"/>
    <cellStyle name="Accent1 7" xfId="188" xr:uid="{00000000-0005-0000-0000-0000BB000000}"/>
    <cellStyle name="Accent1 8" xfId="189" xr:uid="{00000000-0005-0000-0000-0000BC000000}"/>
    <cellStyle name="Accent1 9" xfId="190" xr:uid="{00000000-0005-0000-0000-0000BD000000}"/>
    <cellStyle name="Accent2 10" xfId="191" xr:uid="{00000000-0005-0000-0000-0000BE000000}"/>
    <cellStyle name="Accent2 11" xfId="192" xr:uid="{00000000-0005-0000-0000-0000BF000000}"/>
    <cellStyle name="Accent2 2" xfId="193" xr:uid="{00000000-0005-0000-0000-0000C0000000}"/>
    <cellStyle name="Accent2 3" xfId="194" xr:uid="{00000000-0005-0000-0000-0000C1000000}"/>
    <cellStyle name="Accent2 4" xfId="195" xr:uid="{00000000-0005-0000-0000-0000C2000000}"/>
    <cellStyle name="Accent2 5" xfId="196" xr:uid="{00000000-0005-0000-0000-0000C3000000}"/>
    <cellStyle name="Accent2 6" xfId="197" xr:uid="{00000000-0005-0000-0000-0000C4000000}"/>
    <cellStyle name="Accent2 7" xfId="198" xr:uid="{00000000-0005-0000-0000-0000C5000000}"/>
    <cellStyle name="Accent2 8" xfId="199" xr:uid="{00000000-0005-0000-0000-0000C6000000}"/>
    <cellStyle name="Accent2 9" xfId="200" xr:uid="{00000000-0005-0000-0000-0000C7000000}"/>
    <cellStyle name="Accent3 10" xfId="201" xr:uid="{00000000-0005-0000-0000-0000C8000000}"/>
    <cellStyle name="Accent3 11" xfId="202" xr:uid="{00000000-0005-0000-0000-0000C9000000}"/>
    <cellStyle name="Accent3 2" xfId="203" xr:uid="{00000000-0005-0000-0000-0000CA000000}"/>
    <cellStyle name="Accent3 3" xfId="204" xr:uid="{00000000-0005-0000-0000-0000CB000000}"/>
    <cellStyle name="Accent3 4" xfId="205" xr:uid="{00000000-0005-0000-0000-0000CC000000}"/>
    <cellStyle name="Accent3 5" xfId="206" xr:uid="{00000000-0005-0000-0000-0000CD000000}"/>
    <cellStyle name="Accent3 6" xfId="207" xr:uid="{00000000-0005-0000-0000-0000CE000000}"/>
    <cellStyle name="Accent3 7" xfId="208" xr:uid="{00000000-0005-0000-0000-0000CF000000}"/>
    <cellStyle name="Accent3 8" xfId="209" xr:uid="{00000000-0005-0000-0000-0000D0000000}"/>
    <cellStyle name="Accent3 9" xfId="210" xr:uid="{00000000-0005-0000-0000-0000D1000000}"/>
    <cellStyle name="Accent4 10" xfId="211" xr:uid="{00000000-0005-0000-0000-0000D2000000}"/>
    <cellStyle name="Accent4 11" xfId="212" xr:uid="{00000000-0005-0000-0000-0000D3000000}"/>
    <cellStyle name="Accent4 2" xfId="213" xr:uid="{00000000-0005-0000-0000-0000D4000000}"/>
    <cellStyle name="Accent4 3" xfId="214" xr:uid="{00000000-0005-0000-0000-0000D5000000}"/>
    <cellStyle name="Accent4 4" xfId="215" xr:uid="{00000000-0005-0000-0000-0000D6000000}"/>
    <cellStyle name="Accent4 5" xfId="216" xr:uid="{00000000-0005-0000-0000-0000D7000000}"/>
    <cellStyle name="Accent4 6" xfId="217" xr:uid="{00000000-0005-0000-0000-0000D8000000}"/>
    <cellStyle name="Accent4 7" xfId="218" xr:uid="{00000000-0005-0000-0000-0000D9000000}"/>
    <cellStyle name="Accent4 8" xfId="219" xr:uid="{00000000-0005-0000-0000-0000DA000000}"/>
    <cellStyle name="Accent4 9" xfId="220" xr:uid="{00000000-0005-0000-0000-0000DB000000}"/>
    <cellStyle name="Accent5 10" xfId="221" xr:uid="{00000000-0005-0000-0000-0000DC000000}"/>
    <cellStyle name="Accent5 11" xfId="222" xr:uid="{00000000-0005-0000-0000-0000DD000000}"/>
    <cellStyle name="Accent5 2" xfId="223" xr:uid="{00000000-0005-0000-0000-0000DE000000}"/>
    <cellStyle name="Accent5 3" xfId="224" xr:uid="{00000000-0005-0000-0000-0000DF000000}"/>
    <cellStyle name="Accent5 4" xfId="225" xr:uid="{00000000-0005-0000-0000-0000E0000000}"/>
    <cellStyle name="Accent5 5" xfId="226" xr:uid="{00000000-0005-0000-0000-0000E1000000}"/>
    <cellStyle name="Accent5 6" xfId="227" xr:uid="{00000000-0005-0000-0000-0000E2000000}"/>
    <cellStyle name="Accent5 7" xfId="228" xr:uid="{00000000-0005-0000-0000-0000E3000000}"/>
    <cellStyle name="Accent5 8" xfId="229" xr:uid="{00000000-0005-0000-0000-0000E4000000}"/>
    <cellStyle name="Accent5 9" xfId="230" xr:uid="{00000000-0005-0000-0000-0000E5000000}"/>
    <cellStyle name="Accent6 10" xfId="231" xr:uid="{00000000-0005-0000-0000-0000E6000000}"/>
    <cellStyle name="Accent6 11" xfId="232" xr:uid="{00000000-0005-0000-0000-0000E7000000}"/>
    <cellStyle name="Accent6 2" xfId="233" xr:uid="{00000000-0005-0000-0000-0000E8000000}"/>
    <cellStyle name="Accent6 3" xfId="234" xr:uid="{00000000-0005-0000-0000-0000E9000000}"/>
    <cellStyle name="Accent6 4" xfId="235" xr:uid="{00000000-0005-0000-0000-0000EA000000}"/>
    <cellStyle name="Accent6 5" xfId="236" xr:uid="{00000000-0005-0000-0000-0000EB000000}"/>
    <cellStyle name="Accent6 6" xfId="237" xr:uid="{00000000-0005-0000-0000-0000EC000000}"/>
    <cellStyle name="Accent6 7" xfId="238" xr:uid="{00000000-0005-0000-0000-0000ED000000}"/>
    <cellStyle name="Accent6 8" xfId="239" xr:uid="{00000000-0005-0000-0000-0000EE000000}"/>
    <cellStyle name="Accent6 9" xfId="240" xr:uid="{00000000-0005-0000-0000-0000EF000000}"/>
    <cellStyle name="Bad 10" xfId="241" xr:uid="{00000000-0005-0000-0000-0000F0000000}"/>
    <cellStyle name="Bad 11" xfId="242" xr:uid="{00000000-0005-0000-0000-0000F1000000}"/>
    <cellStyle name="Bad 2" xfId="243" xr:uid="{00000000-0005-0000-0000-0000F2000000}"/>
    <cellStyle name="Bad 3" xfId="244" xr:uid="{00000000-0005-0000-0000-0000F3000000}"/>
    <cellStyle name="Bad 4" xfId="245" xr:uid="{00000000-0005-0000-0000-0000F4000000}"/>
    <cellStyle name="Bad 5" xfId="246" xr:uid="{00000000-0005-0000-0000-0000F5000000}"/>
    <cellStyle name="Bad 6" xfId="247" xr:uid="{00000000-0005-0000-0000-0000F6000000}"/>
    <cellStyle name="Bad 7" xfId="248" xr:uid="{00000000-0005-0000-0000-0000F7000000}"/>
    <cellStyle name="Bad 8" xfId="249" xr:uid="{00000000-0005-0000-0000-0000F8000000}"/>
    <cellStyle name="Bad 9" xfId="250" xr:uid="{00000000-0005-0000-0000-0000F9000000}"/>
    <cellStyle name="Calculation 10" xfId="251" xr:uid="{00000000-0005-0000-0000-0000FA000000}"/>
    <cellStyle name="Calculation 11" xfId="252" xr:uid="{00000000-0005-0000-0000-0000FB000000}"/>
    <cellStyle name="Calculation 2" xfId="253" xr:uid="{00000000-0005-0000-0000-0000FC000000}"/>
    <cellStyle name="Calculation 3" xfId="254" xr:uid="{00000000-0005-0000-0000-0000FD000000}"/>
    <cellStyle name="Calculation 4" xfId="255" xr:uid="{00000000-0005-0000-0000-0000FE000000}"/>
    <cellStyle name="Calculation 5" xfId="256" xr:uid="{00000000-0005-0000-0000-0000FF000000}"/>
    <cellStyle name="Calculation 6" xfId="257" xr:uid="{00000000-0005-0000-0000-000000010000}"/>
    <cellStyle name="Calculation 7" xfId="258" xr:uid="{00000000-0005-0000-0000-000001010000}"/>
    <cellStyle name="Calculation 8" xfId="259" xr:uid="{00000000-0005-0000-0000-000002010000}"/>
    <cellStyle name="Calculation 9" xfId="260" xr:uid="{00000000-0005-0000-0000-000003010000}"/>
    <cellStyle name="Check Cell 10" xfId="261" xr:uid="{00000000-0005-0000-0000-000004010000}"/>
    <cellStyle name="Check Cell 11" xfId="262" xr:uid="{00000000-0005-0000-0000-000005010000}"/>
    <cellStyle name="Check Cell 2" xfId="263" xr:uid="{00000000-0005-0000-0000-000006010000}"/>
    <cellStyle name="Check Cell 3" xfId="264" xr:uid="{00000000-0005-0000-0000-000007010000}"/>
    <cellStyle name="Check Cell 4" xfId="265" xr:uid="{00000000-0005-0000-0000-000008010000}"/>
    <cellStyle name="Check Cell 5" xfId="266" xr:uid="{00000000-0005-0000-0000-000009010000}"/>
    <cellStyle name="Check Cell 6" xfId="267" xr:uid="{00000000-0005-0000-0000-00000A010000}"/>
    <cellStyle name="Check Cell 7" xfId="268" xr:uid="{00000000-0005-0000-0000-00000B010000}"/>
    <cellStyle name="Check Cell 8" xfId="269" xr:uid="{00000000-0005-0000-0000-00000C010000}"/>
    <cellStyle name="Check Cell 9" xfId="270" xr:uid="{00000000-0005-0000-0000-00000D010000}"/>
    <cellStyle name="Comma" xfId="271" builtinId="3"/>
    <cellStyle name="Currency_8am report" xfId="501" xr:uid="{00000000-0005-0000-0000-00000F010000}"/>
    <cellStyle name="Explanatory Text 10" xfId="272" xr:uid="{00000000-0005-0000-0000-000010010000}"/>
    <cellStyle name="Explanatory Text 11" xfId="273" xr:uid="{00000000-0005-0000-0000-000011010000}"/>
    <cellStyle name="Explanatory Text 2" xfId="274" xr:uid="{00000000-0005-0000-0000-000012010000}"/>
    <cellStyle name="Explanatory Text 3" xfId="275" xr:uid="{00000000-0005-0000-0000-000013010000}"/>
    <cellStyle name="Explanatory Text 4" xfId="276" xr:uid="{00000000-0005-0000-0000-000014010000}"/>
    <cellStyle name="Explanatory Text 5" xfId="277" xr:uid="{00000000-0005-0000-0000-000015010000}"/>
    <cellStyle name="Explanatory Text 6" xfId="278" xr:uid="{00000000-0005-0000-0000-000016010000}"/>
    <cellStyle name="Explanatory Text 7" xfId="279" xr:uid="{00000000-0005-0000-0000-000017010000}"/>
    <cellStyle name="Explanatory Text 8" xfId="280" xr:uid="{00000000-0005-0000-0000-000018010000}"/>
    <cellStyle name="Explanatory Text 9" xfId="281" xr:uid="{00000000-0005-0000-0000-000019010000}"/>
    <cellStyle name="Good 10" xfId="282" xr:uid="{00000000-0005-0000-0000-00001A010000}"/>
    <cellStyle name="Good 11" xfId="283" xr:uid="{00000000-0005-0000-0000-00001B010000}"/>
    <cellStyle name="Good 2" xfId="284" xr:uid="{00000000-0005-0000-0000-00001C010000}"/>
    <cellStyle name="Good 3" xfId="285" xr:uid="{00000000-0005-0000-0000-00001D010000}"/>
    <cellStyle name="Good 4" xfId="286" xr:uid="{00000000-0005-0000-0000-00001E010000}"/>
    <cellStyle name="Good 5" xfId="287" xr:uid="{00000000-0005-0000-0000-00001F010000}"/>
    <cellStyle name="Good 6" xfId="288" xr:uid="{00000000-0005-0000-0000-000020010000}"/>
    <cellStyle name="Good 7" xfId="289" xr:uid="{00000000-0005-0000-0000-000021010000}"/>
    <cellStyle name="Good 8" xfId="290" xr:uid="{00000000-0005-0000-0000-000022010000}"/>
    <cellStyle name="Good 9" xfId="291" xr:uid="{00000000-0005-0000-0000-000023010000}"/>
    <cellStyle name="Heading 1 10" xfId="292" xr:uid="{00000000-0005-0000-0000-000024010000}"/>
    <cellStyle name="Heading 1 11" xfId="293" xr:uid="{00000000-0005-0000-0000-000025010000}"/>
    <cellStyle name="Heading 1 2" xfId="294" xr:uid="{00000000-0005-0000-0000-000026010000}"/>
    <cellStyle name="Heading 1 3" xfId="295" xr:uid="{00000000-0005-0000-0000-000027010000}"/>
    <cellStyle name="Heading 1 4" xfId="296" xr:uid="{00000000-0005-0000-0000-000028010000}"/>
    <cellStyle name="Heading 1 5" xfId="297" xr:uid="{00000000-0005-0000-0000-000029010000}"/>
    <cellStyle name="Heading 1 6" xfId="298" xr:uid="{00000000-0005-0000-0000-00002A010000}"/>
    <cellStyle name="Heading 1 7" xfId="299" xr:uid="{00000000-0005-0000-0000-00002B010000}"/>
    <cellStyle name="Heading 1 8" xfId="300" xr:uid="{00000000-0005-0000-0000-00002C010000}"/>
    <cellStyle name="Heading 1 9" xfId="301" xr:uid="{00000000-0005-0000-0000-00002D010000}"/>
    <cellStyle name="Heading 2 10" xfId="302" xr:uid="{00000000-0005-0000-0000-00002E010000}"/>
    <cellStyle name="Heading 2 11" xfId="303" xr:uid="{00000000-0005-0000-0000-00002F010000}"/>
    <cellStyle name="Heading 2 2" xfId="304" xr:uid="{00000000-0005-0000-0000-000030010000}"/>
    <cellStyle name="Heading 2 3" xfId="305" xr:uid="{00000000-0005-0000-0000-000031010000}"/>
    <cellStyle name="Heading 2 4" xfId="306" xr:uid="{00000000-0005-0000-0000-000032010000}"/>
    <cellStyle name="Heading 2 5" xfId="307" xr:uid="{00000000-0005-0000-0000-000033010000}"/>
    <cellStyle name="Heading 2 6" xfId="308" xr:uid="{00000000-0005-0000-0000-000034010000}"/>
    <cellStyle name="Heading 2 7" xfId="309" xr:uid="{00000000-0005-0000-0000-000035010000}"/>
    <cellStyle name="Heading 2 8" xfId="310" xr:uid="{00000000-0005-0000-0000-000036010000}"/>
    <cellStyle name="Heading 2 9" xfId="311" xr:uid="{00000000-0005-0000-0000-000037010000}"/>
    <cellStyle name="Heading 3 10" xfId="312" xr:uid="{00000000-0005-0000-0000-000038010000}"/>
    <cellStyle name="Heading 3 10 2" xfId="506" xr:uid="{00000000-0005-0000-0000-000039010000}"/>
    <cellStyle name="Heading 3 11" xfId="313" xr:uid="{00000000-0005-0000-0000-00003A010000}"/>
    <cellStyle name="Heading 3 11 2" xfId="507" xr:uid="{00000000-0005-0000-0000-00003B010000}"/>
    <cellStyle name="Heading 3 2" xfId="314" xr:uid="{00000000-0005-0000-0000-00003C010000}"/>
    <cellStyle name="Heading 3 2 10" xfId="315" xr:uid="{00000000-0005-0000-0000-00003D010000}"/>
    <cellStyle name="Heading 3 2 10 2" xfId="509" xr:uid="{00000000-0005-0000-0000-00003E010000}"/>
    <cellStyle name="Heading 3 2 11" xfId="508" xr:uid="{00000000-0005-0000-0000-00003F010000}"/>
    <cellStyle name="Heading 3 2 2" xfId="316" xr:uid="{00000000-0005-0000-0000-000040010000}"/>
    <cellStyle name="Heading 3 2 2 2" xfId="510" xr:uid="{00000000-0005-0000-0000-000041010000}"/>
    <cellStyle name="Heading 3 2 3" xfId="317" xr:uid="{00000000-0005-0000-0000-000042010000}"/>
    <cellStyle name="Heading 3 2 3 2" xfId="511" xr:uid="{00000000-0005-0000-0000-000043010000}"/>
    <cellStyle name="Heading 3 2 4" xfId="318" xr:uid="{00000000-0005-0000-0000-000044010000}"/>
    <cellStyle name="Heading 3 2 4 2" xfId="512" xr:uid="{00000000-0005-0000-0000-000045010000}"/>
    <cellStyle name="Heading 3 2 5" xfId="319" xr:uid="{00000000-0005-0000-0000-000046010000}"/>
    <cellStyle name="Heading 3 2 5 2" xfId="513" xr:uid="{00000000-0005-0000-0000-000047010000}"/>
    <cellStyle name="Heading 3 2 6" xfId="320" xr:uid="{00000000-0005-0000-0000-000048010000}"/>
    <cellStyle name="Heading 3 2 6 2" xfId="514" xr:uid="{00000000-0005-0000-0000-000049010000}"/>
    <cellStyle name="Heading 3 2 7" xfId="321" xr:uid="{00000000-0005-0000-0000-00004A010000}"/>
    <cellStyle name="Heading 3 2 7 2" xfId="515" xr:uid="{00000000-0005-0000-0000-00004B010000}"/>
    <cellStyle name="Heading 3 2 8" xfId="322" xr:uid="{00000000-0005-0000-0000-00004C010000}"/>
    <cellStyle name="Heading 3 2 8 2" xfId="516" xr:uid="{00000000-0005-0000-0000-00004D010000}"/>
    <cellStyle name="Heading 3 2 9" xfId="323" xr:uid="{00000000-0005-0000-0000-00004E010000}"/>
    <cellStyle name="Heading 3 2 9 2" xfId="517" xr:uid="{00000000-0005-0000-0000-00004F010000}"/>
    <cellStyle name="Heading 3 3" xfId="324" xr:uid="{00000000-0005-0000-0000-000050010000}"/>
    <cellStyle name="Heading 3 3 2" xfId="518" xr:uid="{00000000-0005-0000-0000-000051010000}"/>
    <cellStyle name="Heading 3 4" xfId="325" xr:uid="{00000000-0005-0000-0000-000052010000}"/>
    <cellStyle name="Heading 3 4 2" xfId="519" xr:uid="{00000000-0005-0000-0000-000053010000}"/>
    <cellStyle name="Heading 3 5" xfId="326" xr:uid="{00000000-0005-0000-0000-000054010000}"/>
    <cellStyle name="Heading 3 5 2" xfId="520" xr:uid="{00000000-0005-0000-0000-000055010000}"/>
    <cellStyle name="Heading 3 6" xfId="327" xr:uid="{00000000-0005-0000-0000-000056010000}"/>
    <cellStyle name="Heading 3 6 2" xfId="521" xr:uid="{00000000-0005-0000-0000-000057010000}"/>
    <cellStyle name="Heading 3 7" xfId="328" xr:uid="{00000000-0005-0000-0000-000058010000}"/>
    <cellStyle name="Heading 3 7 2" xfId="522" xr:uid="{00000000-0005-0000-0000-000059010000}"/>
    <cellStyle name="Heading 3 8" xfId="329" xr:uid="{00000000-0005-0000-0000-00005A010000}"/>
    <cellStyle name="Heading 3 8 2" xfId="523" xr:uid="{00000000-0005-0000-0000-00005B010000}"/>
    <cellStyle name="Heading 3 9" xfId="330" xr:uid="{00000000-0005-0000-0000-00005C010000}"/>
    <cellStyle name="Heading 3 9 2" xfId="524" xr:uid="{00000000-0005-0000-0000-00005D010000}"/>
    <cellStyle name="Heading 4 10" xfId="331" xr:uid="{00000000-0005-0000-0000-00005E010000}"/>
    <cellStyle name="Heading 4 11" xfId="332" xr:uid="{00000000-0005-0000-0000-00005F010000}"/>
    <cellStyle name="Heading 4 2" xfId="333" xr:uid="{00000000-0005-0000-0000-000060010000}"/>
    <cellStyle name="Heading 4 3" xfId="334" xr:uid="{00000000-0005-0000-0000-000061010000}"/>
    <cellStyle name="Heading 4 4" xfId="335" xr:uid="{00000000-0005-0000-0000-000062010000}"/>
    <cellStyle name="Heading 4 5" xfId="336" xr:uid="{00000000-0005-0000-0000-000063010000}"/>
    <cellStyle name="Heading 4 6" xfId="337" xr:uid="{00000000-0005-0000-0000-000064010000}"/>
    <cellStyle name="Heading 4 7" xfId="338" xr:uid="{00000000-0005-0000-0000-000065010000}"/>
    <cellStyle name="Heading 4 8" xfId="339" xr:uid="{00000000-0005-0000-0000-000066010000}"/>
    <cellStyle name="Heading 4 9" xfId="340" xr:uid="{00000000-0005-0000-0000-000067010000}"/>
    <cellStyle name="Hyperlink" xfId="341" builtinId="8"/>
    <cellStyle name="Input 10" xfId="342" xr:uid="{00000000-0005-0000-0000-000069010000}"/>
    <cellStyle name="Input 11" xfId="343" xr:uid="{00000000-0005-0000-0000-00006A010000}"/>
    <cellStyle name="Input 2" xfId="344" xr:uid="{00000000-0005-0000-0000-00006B010000}"/>
    <cellStyle name="Input 3" xfId="345" xr:uid="{00000000-0005-0000-0000-00006C010000}"/>
    <cellStyle name="Input 4" xfId="346" xr:uid="{00000000-0005-0000-0000-00006D010000}"/>
    <cellStyle name="Input 5" xfId="347" xr:uid="{00000000-0005-0000-0000-00006E010000}"/>
    <cellStyle name="Input 6" xfId="348" xr:uid="{00000000-0005-0000-0000-00006F010000}"/>
    <cellStyle name="Input 7" xfId="349" xr:uid="{00000000-0005-0000-0000-000070010000}"/>
    <cellStyle name="Input 8" xfId="350" xr:uid="{00000000-0005-0000-0000-000071010000}"/>
    <cellStyle name="Input 9" xfId="351" xr:uid="{00000000-0005-0000-0000-000072010000}"/>
    <cellStyle name="Linked Cell 10" xfId="352" xr:uid="{00000000-0005-0000-0000-000073010000}"/>
    <cellStyle name="Linked Cell 11" xfId="353" xr:uid="{00000000-0005-0000-0000-000074010000}"/>
    <cellStyle name="Linked Cell 2" xfId="354" xr:uid="{00000000-0005-0000-0000-000075010000}"/>
    <cellStyle name="Linked Cell 3" xfId="355" xr:uid="{00000000-0005-0000-0000-000076010000}"/>
    <cellStyle name="Linked Cell 4" xfId="356" xr:uid="{00000000-0005-0000-0000-000077010000}"/>
    <cellStyle name="Linked Cell 5" xfId="357" xr:uid="{00000000-0005-0000-0000-000078010000}"/>
    <cellStyle name="Linked Cell 6" xfId="358" xr:uid="{00000000-0005-0000-0000-000079010000}"/>
    <cellStyle name="Linked Cell 7" xfId="359" xr:uid="{00000000-0005-0000-0000-00007A010000}"/>
    <cellStyle name="Linked Cell 8" xfId="360" xr:uid="{00000000-0005-0000-0000-00007B010000}"/>
    <cellStyle name="Linked Cell 9" xfId="361" xr:uid="{00000000-0005-0000-0000-00007C010000}"/>
    <cellStyle name="Neutral 10" xfId="362" xr:uid="{00000000-0005-0000-0000-00007D010000}"/>
    <cellStyle name="Neutral 11" xfId="363" xr:uid="{00000000-0005-0000-0000-00007E010000}"/>
    <cellStyle name="Neutral 2" xfId="364" xr:uid="{00000000-0005-0000-0000-00007F010000}"/>
    <cellStyle name="Neutral 3" xfId="365" xr:uid="{00000000-0005-0000-0000-000080010000}"/>
    <cellStyle name="Neutral 4" xfId="366" xr:uid="{00000000-0005-0000-0000-000081010000}"/>
    <cellStyle name="Neutral 5" xfId="367" xr:uid="{00000000-0005-0000-0000-000082010000}"/>
    <cellStyle name="Neutral 6" xfId="368" xr:uid="{00000000-0005-0000-0000-000083010000}"/>
    <cellStyle name="Neutral 7" xfId="369" xr:uid="{00000000-0005-0000-0000-000084010000}"/>
    <cellStyle name="Neutral 8" xfId="370" xr:uid="{00000000-0005-0000-0000-000085010000}"/>
    <cellStyle name="Neutral 9" xfId="371" xr:uid="{00000000-0005-0000-0000-000086010000}"/>
    <cellStyle name="Normal" xfId="0" builtinId="0"/>
    <cellStyle name="Normal 10" xfId="372" xr:uid="{00000000-0005-0000-0000-000088010000}"/>
    <cellStyle name="Normal 10 2" xfId="525" xr:uid="{00000000-0005-0000-0000-000089010000}"/>
    <cellStyle name="Normal 11" xfId="373" xr:uid="{00000000-0005-0000-0000-00008A010000}"/>
    <cellStyle name="Normal 11 2" xfId="502" xr:uid="{00000000-0005-0000-0000-00008B010000}"/>
    <cellStyle name="Normal 11 3" xfId="526" xr:uid="{00000000-0005-0000-0000-00008C010000}"/>
    <cellStyle name="Normal 14" xfId="374" xr:uid="{00000000-0005-0000-0000-00008D010000}"/>
    <cellStyle name="Normal 14 2" xfId="527" xr:uid="{00000000-0005-0000-0000-00008E010000}"/>
    <cellStyle name="Normal 2" xfId="375" xr:uid="{00000000-0005-0000-0000-00008F010000}"/>
    <cellStyle name="Normal 2 10" xfId="376" xr:uid="{00000000-0005-0000-0000-000090010000}"/>
    <cellStyle name="Normal 2 11" xfId="377" xr:uid="{00000000-0005-0000-0000-000091010000}"/>
    <cellStyle name="Normal 2 12" xfId="378" xr:uid="{00000000-0005-0000-0000-000092010000}"/>
    <cellStyle name="Normal 2 13" xfId="379" xr:uid="{00000000-0005-0000-0000-000093010000}"/>
    <cellStyle name="Normal 2 2" xfId="380" xr:uid="{00000000-0005-0000-0000-000094010000}"/>
    <cellStyle name="Normal 2 3" xfId="381" xr:uid="{00000000-0005-0000-0000-000095010000}"/>
    <cellStyle name="Normal 2 4" xfId="382" xr:uid="{00000000-0005-0000-0000-000096010000}"/>
    <cellStyle name="Normal 2 5" xfId="383" xr:uid="{00000000-0005-0000-0000-000097010000}"/>
    <cellStyle name="Normal 2 6" xfId="384" xr:uid="{00000000-0005-0000-0000-000098010000}"/>
    <cellStyle name="Normal 2 7" xfId="385" xr:uid="{00000000-0005-0000-0000-000099010000}"/>
    <cellStyle name="Normal 2 8" xfId="386" xr:uid="{00000000-0005-0000-0000-00009A010000}"/>
    <cellStyle name="Normal 2 9" xfId="387" xr:uid="{00000000-0005-0000-0000-00009B010000}"/>
    <cellStyle name="Normal 3" xfId="388" xr:uid="{00000000-0005-0000-0000-00009C010000}"/>
    <cellStyle name="Normal 3 10" xfId="389" xr:uid="{00000000-0005-0000-0000-00009D010000}"/>
    <cellStyle name="Normal 3 11" xfId="390" xr:uid="{00000000-0005-0000-0000-00009E010000}"/>
    <cellStyle name="Normal 3 12" xfId="391" xr:uid="{00000000-0005-0000-0000-00009F010000}"/>
    <cellStyle name="Normal 3 13" xfId="392" xr:uid="{00000000-0005-0000-0000-0000A0010000}"/>
    <cellStyle name="Normal 3 2" xfId="393" xr:uid="{00000000-0005-0000-0000-0000A1010000}"/>
    <cellStyle name="Normal 3 3" xfId="394" xr:uid="{00000000-0005-0000-0000-0000A2010000}"/>
    <cellStyle name="Normal 3 4" xfId="395" xr:uid="{00000000-0005-0000-0000-0000A3010000}"/>
    <cellStyle name="Normal 3 5" xfId="396" xr:uid="{00000000-0005-0000-0000-0000A4010000}"/>
    <cellStyle name="Normal 3 6" xfId="397" xr:uid="{00000000-0005-0000-0000-0000A5010000}"/>
    <cellStyle name="Normal 3 7" xfId="398" xr:uid="{00000000-0005-0000-0000-0000A6010000}"/>
    <cellStyle name="Normal 3 8" xfId="399" xr:uid="{00000000-0005-0000-0000-0000A7010000}"/>
    <cellStyle name="Normal 3 9" xfId="400" xr:uid="{00000000-0005-0000-0000-0000A8010000}"/>
    <cellStyle name="Normal 4" xfId="401" xr:uid="{00000000-0005-0000-0000-0000A9010000}"/>
    <cellStyle name="Normal 4 10" xfId="402" xr:uid="{00000000-0005-0000-0000-0000AA010000}"/>
    <cellStyle name="Normal 4 11" xfId="403" xr:uid="{00000000-0005-0000-0000-0000AB010000}"/>
    <cellStyle name="Normal 4 12" xfId="404" xr:uid="{00000000-0005-0000-0000-0000AC010000}"/>
    <cellStyle name="Normal 4 13" xfId="405" xr:uid="{00000000-0005-0000-0000-0000AD010000}"/>
    <cellStyle name="Normal 4 2" xfId="406" xr:uid="{00000000-0005-0000-0000-0000AE010000}"/>
    <cellStyle name="Normal 4 3" xfId="407" xr:uid="{00000000-0005-0000-0000-0000AF010000}"/>
    <cellStyle name="Normal 4 4" xfId="408" xr:uid="{00000000-0005-0000-0000-0000B0010000}"/>
    <cellStyle name="Normal 4 5" xfId="409" xr:uid="{00000000-0005-0000-0000-0000B1010000}"/>
    <cellStyle name="Normal 4 6" xfId="410" xr:uid="{00000000-0005-0000-0000-0000B2010000}"/>
    <cellStyle name="Normal 4 7" xfId="411" xr:uid="{00000000-0005-0000-0000-0000B3010000}"/>
    <cellStyle name="Normal 4 8" xfId="412" xr:uid="{00000000-0005-0000-0000-0000B4010000}"/>
    <cellStyle name="Normal 4 9" xfId="413" xr:uid="{00000000-0005-0000-0000-0000B5010000}"/>
    <cellStyle name="Normal 5" xfId="414" xr:uid="{00000000-0005-0000-0000-0000B6010000}"/>
    <cellStyle name="Normal 5 10" xfId="415" xr:uid="{00000000-0005-0000-0000-0000B7010000}"/>
    <cellStyle name="Normal 5 10 2" xfId="504" xr:uid="{00000000-0005-0000-0000-0000B8010000}"/>
    <cellStyle name="Normal 5 11" xfId="416" xr:uid="{00000000-0005-0000-0000-0000B9010000}"/>
    <cellStyle name="Normal 5 12" xfId="417" xr:uid="{00000000-0005-0000-0000-0000BA010000}"/>
    <cellStyle name="Normal 5 13" xfId="418" xr:uid="{00000000-0005-0000-0000-0000BB010000}"/>
    <cellStyle name="Normal 5 2" xfId="419" xr:uid="{00000000-0005-0000-0000-0000BC010000}"/>
    <cellStyle name="Normal 5 3" xfId="420" xr:uid="{00000000-0005-0000-0000-0000BD010000}"/>
    <cellStyle name="Normal 5 4" xfId="421" xr:uid="{00000000-0005-0000-0000-0000BE010000}"/>
    <cellStyle name="Normal 5 5" xfId="422" xr:uid="{00000000-0005-0000-0000-0000BF010000}"/>
    <cellStyle name="Normal 5 6" xfId="423" xr:uid="{00000000-0005-0000-0000-0000C0010000}"/>
    <cellStyle name="Normal 5 7" xfId="424" xr:uid="{00000000-0005-0000-0000-0000C1010000}"/>
    <cellStyle name="Normal 5 8" xfId="425" xr:uid="{00000000-0005-0000-0000-0000C2010000}"/>
    <cellStyle name="Normal 5 9" xfId="426" xr:uid="{00000000-0005-0000-0000-0000C3010000}"/>
    <cellStyle name="Normal 6" xfId="427" xr:uid="{00000000-0005-0000-0000-0000C4010000}"/>
    <cellStyle name="Normal 7" xfId="503" xr:uid="{00000000-0005-0000-0000-0000C5010000}"/>
    <cellStyle name="Normal 8" xfId="554" xr:uid="{00000000-0005-0000-0000-0000C6010000}"/>
    <cellStyle name="Normal 9" xfId="555" xr:uid="{00000000-0005-0000-0000-0000C7010000}"/>
    <cellStyle name="Normal_8am report" xfId="428" xr:uid="{00000000-0005-0000-0000-0000C8010000}"/>
    <cellStyle name="Normal_8am report 2" xfId="498" xr:uid="{00000000-0005-0000-0000-0000C9010000}"/>
    <cellStyle name="Normal_8am report 3" xfId="429" xr:uid="{00000000-0005-0000-0000-0000CA010000}"/>
    <cellStyle name="Normal_8am report 3 2" xfId="499" xr:uid="{00000000-0005-0000-0000-0000CB010000}"/>
    <cellStyle name="Normal_Daily Generation Report" xfId="430" xr:uid="{00000000-0005-0000-0000-0000CC010000}"/>
    <cellStyle name="Normal_Daily Generation Report 2" xfId="431" xr:uid="{00000000-0005-0000-0000-0000CD010000}"/>
    <cellStyle name="Normal_EVENING REPORT" xfId="432" xr:uid="{00000000-0005-0000-0000-0000CE010000}"/>
    <cellStyle name="Normal_EVENING REPORT 2" xfId="433" xr:uid="{00000000-0005-0000-0000-0000CF010000}"/>
    <cellStyle name="Normal_EVENING REPORT 3" xfId="434" xr:uid="{00000000-0005-0000-0000-0000D0010000}"/>
    <cellStyle name="Normal_EVENING REPORT 3 2" xfId="500" xr:uid="{00000000-0005-0000-0000-0000D1010000}"/>
    <cellStyle name="Normal_Format . Prime Minister 2" xfId="435" xr:uid="{00000000-0005-0000-0000-0000D2010000}"/>
    <cellStyle name="Normal_REPORT" xfId="436" xr:uid="{00000000-0005-0000-0000-0000D3010000}"/>
    <cellStyle name="Normal_REPORT 2" xfId="437" xr:uid="{00000000-0005-0000-0000-0000D4010000}"/>
    <cellStyle name="Note 10" xfId="438" xr:uid="{00000000-0005-0000-0000-0000D5010000}"/>
    <cellStyle name="Note 10 2" xfId="528" xr:uid="{00000000-0005-0000-0000-0000D6010000}"/>
    <cellStyle name="Note 11" xfId="439" xr:uid="{00000000-0005-0000-0000-0000D7010000}"/>
    <cellStyle name="Note 11 2" xfId="529" xr:uid="{00000000-0005-0000-0000-0000D8010000}"/>
    <cellStyle name="Note 2" xfId="440" xr:uid="{00000000-0005-0000-0000-0000D9010000}"/>
    <cellStyle name="Note 3" xfId="441" xr:uid="{00000000-0005-0000-0000-0000DA010000}"/>
    <cellStyle name="Note 4" xfId="442" xr:uid="{00000000-0005-0000-0000-0000DB010000}"/>
    <cellStyle name="Note 4 2" xfId="530" xr:uid="{00000000-0005-0000-0000-0000DC010000}"/>
    <cellStyle name="Note 5" xfId="443" xr:uid="{00000000-0005-0000-0000-0000DD010000}"/>
    <cellStyle name="Note 5 2" xfId="531" xr:uid="{00000000-0005-0000-0000-0000DE010000}"/>
    <cellStyle name="Note 6" xfId="444" xr:uid="{00000000-0005-0000-0000-0000DF010000}"/>
    <cellStyle name="Note 6 2" xfId="532" xr:uid="{00000000-0005-0000-0000-0000E0010000}"/>
    <cellStyle name="Note 7" xfId="445" xr:uid="{00000000-0005-0000-0000-0000E1010000}"/>
    <cellStyle name="Note 7 2" xfId="533" xr:uid="{00000000-0005-0000-0000-0000E2010000}"/>
    <cellStyle name="Note 8" xfId="446" xr:uid="{00000000-0005-0000-0000-0000E3010000}"/>
    <cellStyle name="Note 8 2" xfId="534" xr:uid="{00000000-0005-0000-0000-0000E4010000}"/>
    <cellStyle name="Note 9" xfId="447" xr:uid="{00000000-0005-0000-0000-0000E5010000}"/>
    <cellStyle name="Note 9 2" xfId="535" xr:uid="{00000000-0005-0000-0000-0000E6010000}"/>
    <cellStyle name="Output 10" xfId="448" xr:uid="{00000000-0005-0000-0000-0000E7010000}"/>
    <cellStyle name="Output 11" xfId="449" xr:uid="{00000000-0005-0000-0000-0000E8010000}"/>
    <cellStyle name="Output 2" xfId="450" xr:uid="{00000000-0005-0000-0000-0000E9010000}"/>
    <cellStyle name="Output 3" xfId="451" xr:uid="{00000000-0005-0000-0000-0000EA010000}"/>
    <cellStyle name="Output 4" xfId="452" xr:uid="{00000000-0005-0000-0000-0000EB010000}"/>
    <cellStyle name="Output 5" xfId="453" xr:uid="{00000000-0005-0000-0000-0000EC010000}"/>
    <cellStyle name="Output 6" xfId="454" xr:uid="{00000000-0005-0000-0000-0000ED010000}"/>
    <cellStyle name="Output 7" xfId="455" xr:uid="{00000000-0005-0000-0000-0000EE010000}"/>
    <cellStyle name="Output 8" xfId="456" xr:uid="{00000000-0005-0000-0000-0000EF010000}"/>
    <cellStyle name="Output 9" xfId="457" xr:uid="{00000000-0005-0000-0000-0000F0010000}"/>
    <cellStyle name="Percent" xfId="458" builtinId="5"/>
    <cellStyle name="Percent 2" xfId="505" xr:uid="{00000000-0005-0000-0000-0000F2010000}"/>
    <cellStyle name="STYLEAL" xfId="459" xr:uid="{00000000-0005-0000-0000-0000F3010000}"/>
    <cellStyle name="STYLEAL 2" xfId="460" xr:uid="{00000000-0005-0000-0000-0000F4010000}"/>
    <cellStyle name="STYLEAL 2 2" xfId="536" xr:uid="{00000000-0005-0000-0000-0000F5010000}"/>
    <cellStyle name="STYLEAL 3" xfId="461" xr:uid="{00000000-0005-0000-0000-0000F6010000}"/>
    <cellStyle name="STYLEAL 3 2" xfId="537" xr:uid="{00000000-0005-0000-0000-0000F7010000}"/>
    <cellStyle name="STYLEAL 4" xfId="462" xr:uid="{00000000-0005-0000-0000-0000F8010000}"/>
    <cellStyle name="STYLEAL 4 2" xfId="538" xr:uid="{00000000-0005-0000-0000-0000F9010000}"/>
    <cellStyle name="STYLEAL 5" xfId="463" xr:uid="{00000000-0005-0000-0000-0000FA010000}"/>
    <cellStyle name="STYLEAL 5 2" xfId="539" xr:uid="{00000000-0005-0000-0000-0000FB010000}"/>
    <cellStyle name="STYLEAL 6" xfId="464" xr:uid="{00000000-0005-0000-0000-0000FC010000}"/>
    <cellStyle name="STYLEAL 6 2" xfId="540" xr:uid="{00000000-0005-0000-0000-0000FD010000}"/>
    <cellStyle name="STYLEAL 7" xfId="465" xr:uid="{00000000-0005-0000-0000-0000FE010000}"/>
    <cellStyle name="STYLEAL 7 2" xfId="541" xr:uid="{00000000-0005-0000-0000-0000FF010000}"/>
    <cellStyle name="STYLEAL 8" xfId="466" xr:uid="{00000000-0005-0000-0000-000000020000}"/>
    <cellStyle name="STYLEAL 8 2" xfId="542" xr:uid="{00000000-0005-0000-0000-000001020000}"/>
    <cellStyle name="STYLEAL 9" xfId="467" xr:uid="{00000000-0005-0000-0000-000002020000}"/>
    <cellStyle name="STYLEAL 9 2" xfId="543" xr:uid="{00000000-0005-0000-0000-000003020000}"/>
    <cellStyle name="Title 10" xfId="468" xr:uid="{00000000-0005-0000-0000-000004020000}"/>
    <cellStyle name="Title 11" xfId="469" xr:uid="{00000000-0005-0000-0000-000005020000}"/>
    <cellStyle name="Title 2" xfId="470" xr:uid="{00000000-0005-0000-0000-000006020000}"/>
    <cellStyle name="Title 3" xfId="471" xr:uid="{00000000-0005-0000-0000-000007020000}"/>
    <cellStyle name="Title 4" xfId="472" xr:uid="{00000000-0005-0000-0000-000008020000}"/>
    <cellStyle name="Title 5" xfId="473" xr:uid="{00000000-0005-0000-0000-000009020000}"/>
    <cellStyle name="Title 6" xfId="474" xr:uid="{00000000-0005-0000-0000-00000A020000}"/>
    <cellStyle name="Title 7" xfId="475" xr:uid="{00000000-0005-0000-0000-00000B020000}"/>
    <cellStyle name="Title 8" xfId="476" xr:uid="{00000000-0005-0000-0000-00000C020000}"/>
    <cellStyle name="Title 9" xfId="477" xr:uid="{00000000-0005-0000-0000-00000D020000}"/>
    <cellStyle name="Total 10" xfId="478" xr:uid="{00000000-0005-0000-0000-00000E020000}"/>
    <cellStyle name="Total 10 2" xfId="544" xr:uid="{00000000-0005-0000-0000-00000F020000}"/>
    <cellStyle name="Total 11" xfId="479" xr:uid="{00000000-0005-0000-0000-000010020000}"/>
    <cellStyle name="Total 11 2" xfId="545" xr:uid="{00000000-0005-0000-0000-000011020000}"/>
    <cellStyle name="Total 2" xfId="480" xr:uid="{00000000-0005-0000-0000-000012020000}"/>
    <cellStyle name="Total 2 2" xfId="546" xr:uid="{00000000-0005-0000-0000-000013020000}"/>
    <cellStyle name="Total 3" xfId="481" xr:uid="{00000000-0005-0000-0000-000014020000}"/>
    <cellStyle name="Total 3 2" xfId="547" xr:uid="{00000000-0005-0000-0000-000015020000}"/>
    <cellStyle name="Total 4" xfId="482" xr:uid="{00000000-0005-0000-0000-000016020000}"/>
    <cellStyle name="Total 4 2" xfId="548" xr:uid="{00000000-0005-0000-0000-000017020000}"/>
    <cellStyle name="Total 5" xfId="483" xr:uid="{00000000-0005-0000-0000-000018020000}"/>
    <cellStyle name="Total 5 2" xfId="549" xr:uid="{00000000-0005-0000-0000-000019020000}"/>
    <cellStyle name="Total 6" xfId="484" xr:uid="{00000000-0005-0000-0000-00001A020000}"/>
    <cellStyle name="Total 6 2" xfId="550" xr:uid="{00000000-0005-0000-0000-00001B020000}"/>
    <cellStyle name="Total 7" xfId="485" xr:uid="{00000000-0005-0000-0000-00001C020000}"/>
    <cellStyle name="Total 7 2" xfId="551" xr:uid="{00000000-0005-0000-0000-00001D020000}"/>
    <cellStyle name="Total 8" xfId="486" xr:uid="{00000000-0005-0000-0000-00001E020000}"/>
    <cellStyle name="Total 8 2" xfId="552" xr:uid="{00000000-0005-0000-0000-00001F020000}"/>
    <cellStyle name="Total 9" xfId="487" xr:uid="{00000000-0005-0000-0000-000020020000}"/>
    <cellStyle name="Total 9 2" xfId="553" xr:uid="{00000000-0005-0000-0000-000021020000}"/>
    <cellStyle name="Warning Text 10" xfId="488" xr:uid="{00000000-0005-0000-0000-000022020000}"/>
    <cellStyle name="Warning Text 11" xfId="489" xr:uid="{00000000-0005-0000-0000-000023020000}"/>
    <cellStyle name="Warning Text 2" xfId="490" xr:uid="{00000000-0005-0000-0000-000024020000}"/>
    <cellStyle name="Warning Text 3" xfId="491" xr:uid="{00000000-0005-0000-0000-000025020000}"/>
    <cellStyle name="Warning Text 4" xfId="492" xr:uid="{00000000-0005-0000-0000-000026020000}"/>
    <cellStyle name="Warning Text 5" xfId="493" xr:uid="{00000000-0005-0000-0000-000027020000}"/>
    <cellStyle name="Warning Text 6" xfId="494" xr:uid="{00000000-0005-0000-0000-000028020000}"/>
    <cellStyle name="Warning Text 7" xfId="495" xr:uid="{00000000-0005-0000-0000-000029020000}"/>
    <cellStyle name="Warning Text 8" xfId="496" xr:uid="{00000000-0005-0000-0000-00002A020000}"/>
    <cellStyle name="Warning Text 9" xfId="497" xr:uid="{00000000-0005-0000-0000-00002B020000}"/>
  </cellStyles>
  <dxfs count="2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60"/>
      </font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6">
    <tableStyle name="Max Load-style" pivot="0" count="3" xr9:uid="{00000000-0011-0000-FFFF-FFFF00000000}">
      <tableStyleElement type="headerRow" dxfId="19"/>
      <tableStyleElement type="firstRowStripe" dxfId="18"/>
      <tableStyleElement type="secondRowStripe" dxfId="17"/>
    </tableStyle>
    <tableStyle name="Max Load-style 2" pivot="0" count="2" xr9:uid="{00000000-0011-0000-FFFF-FFFF01000000}">
      <tableStyleElement type="firstRowStripe" dxfId="16"/>
      <tableStyleElement type="secondRowStripe" dxfId="15"/>
    </tableStyle>
    <tableStyle name="Max Load-style 4" pivot="0" count="2" xr9:uid="{00000000-0011-0000-FFFF-FFFF02000000}">
      <tableStyleElement type="firstRowStripe" dxfId="14"/>
      <tableStyleElement type="secondRowStripe" dxfId="13"/>
    </tableStyle>
    <tableStyle name="Max-Load-style" pivot="0" count="3" xr9:uid="{00000000-0011-0000-FFFF-FFFF03000000}">
      <tableStyleElement type="headerRow" dxfId="12"/>
      <tableStyleElement type="firstRowStripe" dxfId="11"/>
      <tableStyleElement type="secondRowStripe" dxfId="10"/>
    </tableStyle>
    <tableStyle name="Max-Min Voltage-style" pivot="0" count="3" xr9:uid="{00000000-0011-0000-FFFF-FFFF04000000}">
      <tableStyleElement type="headerRow" dxfId="9"/>
      <tableStyleElement type="firstRowStripe" dxfId="8"/>
      <tableStyleElement type="secondRowStripe" dxfId="7"/>
    </tableStyle>
    <tableStyle name="Max-Min Voltage-style 2" pivot="0" count="2" xr9:uid="{00000000-0011-0000-FFFF-FFFF05000000}">
      <tableStyleElement type="firstRowStripe" dxfId="6"/>
      <tableStyleElement type="secondRowStripe" dxfId="5"/>
    </tableStyle>
  </tableStyles>
  <colors>
    <mruColors>
      <color rgb="FFFFFF00"/>
      <color rgb="FF0000FF"/>
      <color rgb="FF00FFFF"/>
      <color rgb="FFFFFF99"/>
      <color rgb="FFADF1EE"/>
      <color rgb="FFFFFFCC"/>
      <color rgb="FF99CC00"/>
      <color rgb="FFFFCCFF"/>
      <color rgb="FF99FFCC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BackColor" ax:value="16776960"/>
  <ax:ocxPr ax:name="Caption" ax:value="Transfer Data"/>
  <ax:ocxPr ax:name="Size" ax:value="6509;1588"/>
  <ax:ocxPr ax:name="FontName" ax:value="Arial Narrow"/>
  <ax:ocxPr ax:name="FontEffects" ax:value="1073741825"/>
  <ax:ocxPr ax:name="FontHeight" ax:value="405"/>
  <ax:ocxPr ax:name="FontCharSet" ax:value="0"/>
  <ax:ocxPr ax:name="FontPitchAndFamily" ax:value="2"/>
  <ax:ocxPr ax:name="ParagraphAlign" ax:value="3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BackColor" ax:value="16776960"/>
  <ax:ocxPr ax:name="Caption" ax:value="Add Machine"/>
  <ax:ocxPr ax:name="Size" ax:value="5292;1588"/>
  <ax:ocxPr ax:name="FontName" ax:value="Arial Narrow"/>
  <ax:ocxPr ax:name="FontEffects" ax:value="1073741825"/>
  <ax:ocxPr ax:name="FontHeight" ax:value="360"/>
  <ax:ocxPr ax:name="FontCharSet" ax:value="0"/>
  <ax:ocxPr ax:name="FontPitchAndFamily" ax:value="2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>
  <ax:ocxPr ax:name="BackColor" ax:value="16776960"/>
  <ax:ocxPr ax:name="Caption" ax:value="Delete Machine"/>
  <ax:ocxPr ax:name="Size" ax:value="5292;1588"/>
  <ax:ocxPr ax:name="FontName" ax:value="Arial Narrow"/>
  <ax:ocxPr ax:name="FontEffects" ax:value="1073741825"/>
  <ax:ocxPr ax:name="FontHeight" ax:value="360"/>
  <ax:ocxPr ax:name="FontCharSet" ax:value="0"/>
  <ax:ocxPr ax:name="FontPitchAndFamily" ax:value="2"/>
  <ax:ocxPr ax:name="ParagraphAlign" ax:value="3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>
  <ax:ocxPr ax:name="BackColor" ax:value="16776960"/>
  <ax:ocxPr ax:name="Caption" ax:value="Add To Report"/>
  <ax:ocxPr ax:name="Size" ax:value="5292;1588"/>
  <ax:ocxPr ax:name="FontName" ax:value="Arial Narrow"/>
  <ax:ocxPr ax:name="FontEffects" ax:value="1073741825"/>
  <ax:ocxPr ax:name="FontHeight" ax:value="360"/>
  <ax:ocxPr ax:name="FontCharSet" ax:value="0"/>
  <ax:ocxPr ax:name="FontPitchAndFamily" ax:value="2"/>
  <ax:ocxPr ax:name="ParagraphAlign" ax:value="3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>
  <ax:ocxPr ax:name="BackColor" ax:value="16776960"/>
  <ax:ocxPr ax:name="Caption" ax:value="Delete From Report"/>
  <ax:ocxPr ax:name="Size" ax:value="5292;1588"/>
  <ax:ocxPr ax:name="FontName" ax:value="Arial Narrow"/>
  <ax:ocxPr ax:name="FontEffects" ax:value="1073741825"/>
  <ax:ocxPr ax:name="FontHeight" ax:value="360"/>
  <ax:ocxPr ax:name="FontCharSet" ax:value="0"/>
  <ax:ocxPr ax:name="FontPitchAndFamily" ax:value="2"/>
  <ax:ocxPr ax:name="ParagraphAlign" ax:value="3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>
  <ax:ocxPr ax:name="BackColor" ax:value="16776960"/>
  <ax:ocxPr ax:name="Caption" ax:value="Create Daily Report"/>
  <ax:ocxPr ax:name="Size" ax:value="6509;1588"/>
  <ax:ocxPr ax:name="FontName" ax:value="Arial Narrow"/>
  <ax:ocxPr ax:name="FontEffects" ax:value="1073741825"/>
  <ax:ocxPr ax:name="FontHeight" ax:value="360"/>
  <ax:ocxPr ax:name="FontCharSet" ax:value="0"/>
  <ax:ocxPr ax:name="FontPitchAndFamily" ax:value="2"/>
  <ax:ocxPr ax:name="ParagraphAlign" ax:value="3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>
  <ax:ocxPr ax:name="BackColor" ax:value="16776960"/>
  <ax:ocxPr ax:name="Caption" ax:value="Create Morning Report"/>
  <ax:ocxPr ax:name="Size" ax:value="6509;1588"/>
  <ax:ocxPr ax:name="FontName" ax:value="Arial Narrow"/>
  <ax:ocxPr ax:name="FontEffects" ax:value="1073741825"/>
  <ax:ocxPr ax:name="FontHeight" ax:value="360"/>
  <ax:ocxPr ax:name="FontCharSet" ax:value="0"/>
  <ax:ocxPr ax:name="FontPitchAndFamily" ax:value="2"/>
  <ax:ocxPr ax:name="ParagraphAlign" ax:value="3"/>
  <ax:ocxPr ax:name="FontWeight" ax:value="700"/>
</ax:ocx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>
  <ax:ocxPr ax:name="BackColor" ax:value="2147483650"/>
  <ax:ocxPr ax:name="DisplayStyle" ax:value="4"/>
  <ax:ocxPr ax:name="Size" ax:value="6588;1191"/>
  <ax:ocxPr ax:name="Value" ax:value="0"/>
  <ax:ocxPr ax:name="Caption" ax:value="LogSheet in Local"/>
  <ax:ocxPr ax:name="GroupName" ax:value="GEntry"/>
  <ax:ocxPr ax:name="FontName" ax:value="Arial"/>
  <ax:ocxPr ax:name="FontEffects" ax:value="1073741825"/>
  <ax:ocxPr ax:name="FontHeight" ax:value="360"/>
  <ax:ocxPr ax:name="FontCharSet" ax:value="0"/>
  <ax:ocxPr ax:name="FontPitchAndFamily" ax:value="2"/>
  <ax:ocxPr ax:name="FontWeight" ax:value="700"/>
</ax:ocx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>
  <ax:ocxPr ax:name="BackColor" ax:value="2147483650"/>
  <ax:ocxPr ax:name="DisplayStyle" ax:value="4"/>
  <ax:ocxPr ax:name="Size" ax:value="6588;1191"/>
  <ax:ocxPr ax:name="Value" ax:value="1"/>
  <ax:ocxPr ax:name="Caption" ax:value="Insert and shift right"/>
  <ax:ocxPr ax:name="GroupName" ax:value="GEntry"/>
  <ax:ocxPr ax:name="FontName" ax:value="Arial"/>
  <ax:ocxPr ax:name="FontEffects" ax:value="1073741825"/>
  <ax:ocxPr ax:name="FontHeight" ax:value="315"/>
  <ax:ocxPr ax:name="FontCharSet" ax:value="0"/>
  <ax:ocxPr ax:name="FontPitchAndFamily" ax:value="2"/>
  <ax:ocxPr ax:name="FontWeight" ax:value="700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>
  <ax:ocxPr ax:name="BackColor" ax:value="16776960"/>
  <ax:ocxPr ax:name="Caption" ax:value="Update Peak"/>
  <ax:ocxPr ax:name="Size" ax:value="3678;1111"/>
  <ax:ocxPr ax:name="FontName" ax:value="Arial Narrow"/>
  <ax:ocxPr ax:name="FontHeight" ax:value="285"/>
  <ax:ocxPr ax:name="FontCharSet" ax:value="0"/>
  <ax:ocxPr ax:name="FontPitchAndFamily" ax:value="2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>
  <ax:ocxPr ax:name="BackColor" ax:value="16776960"/>
  <ax:ocxPr ax:name="Caption" ax:value="Create Ev Report"/>
  <ax:ocxPr ax:name="Size" ax:value="3704;1111"/>
  <ax:ocxPr ax:name="FontName" ax:value="Arial Narrow"/>
  <ax:ocxPr ax:name="FontHeight" ax:value="285"/>
  <ax:ocxPr ax:name="FontCharSet" ax:value="0"/>
  <ax:ocxPr ax:name="FontPitchAndFamily" ax:value="2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>
  <ax:ocxPr ax:name="BackColor" ax:value="16776960"/>
  <ax:ocxPr ax:name="Caption" ax:value="Update Energy"/>
  <ax:ocxPr ax:name="Size" ax:value="3678;1111"/>
  <ax:ocxPr ax:name="FontName" ax:value="Arial Narrow"/>
  <ax:ocxPr ax:name="FontHeight" ax:value="285"/>
  <ax:ocxPr ax:name="FontCharSet" ax:value="0"/>
  <ax:ocxPr ax:name="FontPitchAndFamily" ax:value="2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>
  <ax:ocxPr ax:name="BackColor" ax:value="16776960"/>
  <ax:ocxPr ax:name="Caption" ax:value="Create Energy Report"/>
  <ax:ocxPr ax:name="Size" ax:value="6165;1111"/>
  <ax:ocxPr ax:name="FontName" ax:value="Arial Narrow"/>
  <ax:ocxPr ax:name="FontHeight" ax:value="285"/>
  <ax:ocxPr ax:name="FontCharSet" ax:value="0"/>
  <ax:ocxPr ax:name="FontPitchAndFamily" ax:value="2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>
  <ax:ocxPr ax:name="BackColor" ax:value="16776960"/>
  <ax:ocxPr ax:name="Caption" ax:value="VAR Check"/>
  <ax:ocxPr ax:name="Size" ax:value="5847;1111"/>
  <ax:ocxPr ax:name="FontName" ax:value="Arial Narrow"/>
  <ax:ocxPr ax:name="FontHeight" ax:value="285"/>
  <ax:ocxPr ax:name="FontCharSet" ax:value="0"/>
  <ax:ocxPr ax:name="FontPitchAndFamily" ax:value="2"/>
  <ax:ocxPr ax:name="ParagraphAlign" ax:value="3"/>
</ax:ocx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61750060363217"/>
          <c:y val="2.1879449544886041E-2"/>
          <c:w val="0.8613509397910275"/>
          <c:h val="0.83836169722332265"/>
        </c:manualLayout>
      </c:layout>
      <c:lineChart>
        <c:grouping val="standard"/>
        <c:varyColors val="0"/>
        <c:ser>
          <c:idx val="0"/>
          <c:order val="0"/>
          <c:tx>
            <c:strRef>
              <c:f>'L-Curve'!$B$3</c:f>
              <c:strCache>
                <c:ptCount val="1"/>
                <c:pt idx="0">
                  <c:v>E-W INT.(Export)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'L-Curve'!$A$4:$A$52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'L-Curve'!$B$4:$B$52</c:f>
              <c:numCache>
                <c:formatCode>0</c:formatCode>
                <c:ptCount val="49"/>
                <c:pt idx="0" formatCode="General">
                  <c:v>996</c:v>
                </c:pt>
                <c:pt idx="1">
                  <c:v>818</c:v>
                </c:pt>
                <c:pt idx="2" formatCode="General">
                  <c:v>640</c:v>
                </c:pt>
                <c:pt idx="3">
                  <c:v>621</c:v>
                </c:pt>
                <c:pt idx="4" formatCode="General">
                  <c:v>602</c:v>
                </c:pt>
                <c:pt idx="5">
                  <c:v>584</c:v>
                </c:pt>
                <c:pt idx="6" formatCode="General">
                  <c:v>566</c:v>
                </c:pt>
                <c:pt idx="7">
                  <c:v>547</c:v>
                </c:pt>
                <c:pt idx="8" formatCode="General">
                  <c:v>528</c:v>
                </c:pt>
                <c:pt idx="9">
                  <c:v>491</c:v>
                </c:pt>
                <c:pt idx="10" formatCode="General">
                  <c:v>454</c:v>
                </c:pt>
                <c:pt idx="11">
                  <c:v>454</c:v>
                </c:pt>
                <c:pt idx="12" formatCode="General">
                  <c:v>454</c:v>
                </c:pt>
                <c:pt idx="13">
                  <c:v>486</c:v>
                </c:pt>
                <c:pt idx="14" formatCode="General">
                  <c:v>518</c:v>
                </c:pt>
                <c:pt idx="15">
                  <c:v>575</c:v>
                </c:pt>
                <c:pt idx="16" formatCode="General">
                  <c:v>632</c:v>
                </c:pt>
                <c:pt idx="17">
                  <c:v>771</c:v>
                </c:pt>
                <c:pt idx="18" formatCode="General">
                  <c:v>910</c:v>
                </c:pt>
                <c:pt idx="19">
                  <c:v>996</c:v>
                </c:pt>
                <c:pt idx="20" formatCode="General">
                  <c:v>1082</c:v>
                </c:pt>
                <c:pt idx="21">
                  <c:v>1030</c:v>
                </c:pt>
                <c:pt idx="22" formatCode="General">
                  <c:v>978</c:v>
                </c:pt>
                <c:pt idx="23">
                  <c:v>961</c:v>
                </c:pt>
                <c:pt idx="24" formatCode="General">
                  <c:v>944</c:v>
                </c:pt>
                <c:pt idx="25">
                  <c:v>924</c:v>
                </c:pt>
                <c:pt idx="26" formatCode="General">
                  <c:v>904</c:v>
                </c:pt>
                <c:pt idx="27">
                  <c:v>883</c:v>
                </c:pt>
                <c:pt idx="28" formatCode="General">
                  <c:v>862</c:v>
                </c:pt>
                <c:pt idx="29">
                  <c:v>963</c:v>
                </c:pt>
                <c:pt idx="30" formatCode="General">
                  <c:v>1064</c:v>
                </c:pt>
                <c:pt idx="31">
                  <c:v>1044</c:v>
                </c:pt>
                <c:pt idx="32" formatCode="General">
                  <c:v>1024</c:v>
                </c:pt>
                <c:pt idx="33">
                  <c:v>1012</c:v>
                </c:pt>
                <c:pt idx="34" formatCode="General">
                  <c:v>1000</c:v>
                </c:pt>
                <c:pt idx="35">
                  <c:v>978</c:v>
                </c:pt>
                <c:pt idx="36" formatCode="General">
                  <c:v>956</c:v>
                </c:pt>
                <c:pt idx="37">
                  <c:v>875</c:v>
                </c:pt>
                <c:pt idx="38" formatCode="General">
                  <c:v>794</c:v>
                </c:pt>
                <c:pt idx="39">
                  <c:v>754</c:v>
                </c:pt>
                <c:pt idx="40" formatCode="General">
                  <c:v>772</c:v>
                </c:pt>
                <c:pt idx="41">
                  <c:v>754</c:v>
                </c:pt>
                <c:pt idx="42" formatCode="General">
                  <c:v>736</c:v>
                </c:pt>
                <c:pt idx="43">
                  <c:v>799</c:v>
                </c:pt>
                <c:pt idx="44" formatCode="General">
                  <c:v>862</c:v>
                </c:pt>
                <c:pt idx="45">
                  <c:v>902</c:v>
                </c:pt>
                <c:pt idx="46" formatCode="General">
                  <c:v>942</c:v>
                </c:pt>
                <c:pt idx="47">
                  <c:v>969</c:v>
                </c:pt>
                <c:pt idx="48" formatCode="General">
                  <c:v>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1-4BB5-B5DE-45FF4525F125}"/>
            </c:ext>
          </c:extLst>
        </c:ser>
        <c:ser>
          <c:idx val="1"/>
          <c:order val="1"/>
          <c:tx>
            <c:strRef>
              <c:f>'L-Curve'!$C$3</c:f>
              <c:strCache>
                <c:ptCount val="1"/>
                <c:pt idx="0">
                  <c:v>EAST GRID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2"/>
            <c:spPr>
              <a:solidFill>
                <a:srgbClr val="99CC0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'L-Curve'!$A$4:$A$52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'L-Curve'!$C$4:$C$52</c:f>
              <c:numCache>
                <c:formatCode>General</c:formatCode>
                <c:ptCount val="49"/>
                <c:pt idx="0" formatCode="0">
                  <c:v>7455</c:v>
                </c:pt>
                <c:pt idx="1">
                  <c:v>7002</c:v>
                </c:pt>
                <c:pt idx="2" formatCode="0">
                  <c:v>6549</c:v>
                </c:pt>
                <c:pt idx="3">
                  <c:v>6429</c:v>
                </c:pt>
                <c:pt idx="4" formatCode="0">
                  <c:v>6309</c:v>
                </c:pt>
                <c:pt idx="5">
                  <c:v>6307.5</c:v>
                </c:pt>
                <c:pt idx="6" formatCode="0">
                  <c:v>6306</c:v>
                </c:pt>
                <c:pt idx="7">
                  <c:v>6271.5</c:v>
                </c:pt>
                <c:pt idx="8" formatCode="0">
                  <c:v>6237</c:v>
                </c:pt>
                <c:pt idx="9">
                  <c:v>6263</c:v>
                </c:pt>
                <c:pt idx="10" formatCode="0">
                  <c:v>6289</c:v>
                </c:pt>
                <c:pt idx="11">
                  <c:v>6193</c:v>
                </c:pt>
                <c:pt idx="12" formatCode="0">
                  <c:v>6097</c:v>
                </c:pt>
                <c:pt idx="13">
                  <c:v>6129</c:v>
                </c:pt>
                <c:pt idx="14" formatCode="0">
                  <c:v>6161</c:v>
                </c:pt>
                <c:pt idx="15">
                  <c:v>6110</c:v>
                </c:pt>
                <c:pt idx="16" formatCode="0">
                  <c:v>6059</c:v>
                </c:pt>
                <c:pt idx="17">
                  <c:v>6061.5</c:v>
                </c:pt>
                <c:pt idx="18" formatCode="0">
                  <c:v>6064</c:v>
                </c:pt>
                <c:pt idx="19">
                  <c:v>5993.5</c:v>
                </c:pt>
                <c:pt idx="20" formatCode="0">
                  <c:v>5923</c:v>
                </c:pt>
                <c:pt idx="21">
                  <c:v>5981.5</c:v>
                </c:pt>
                <c:pt idx="22" formatCode="0">
                  <c:v>6040</c:v>
                </c:pt>
                <c:pt idx="23">
                  <c:v>5982.5</c:v>
                </c:pt>
                <c:pt idx="24" formatCode="0">
                  <c:v>5925</c:v>
                </c:pt>
                <c:pt idx="25">
                  <c:v>6070</c:v>
                </c:pt>
                <c:pt idx="26" formatCode="0">
                  <c:v>6215</c:v>
                </c:pt>
                <c:pt idx="27">
                  <c:v>6312.5</c:v>
                </c:pt>
                <c:pt idx="28" formatCode="0">
                  <c:v>6410</c:v>
                </c:pt>
                <c:pt idx="29">
                  <c:v>6503.5</c:v>
                </c:pt>
                <c:pt idx="30" formatCode="0">
                  <c:v>6597</c:v>
                </c:pt>
                <c:pt idx="31">
                  <c:v>6540</c:v>
                </c:pt>
                <c:pt idx="32" formatCode="0">
                  <c:v>6483</c:v>
                </c:pt>
                <c:pt idx="33">
                  <c:v>6610</c:v>
                </c:pt>
                <c:pt idx="34" formatCode="0">
                  <c:v>6737</c:v>
                </c:pt>
                <c:pt idx="35">
                  <c:v>6857.5</c:v>
                </c:pt>
                <c:pt idx="36" formatCode="0">
                  <c:v>6978</c:v>
                </c:pt>
                <c:pt idx="37" formatCode="0">
                  <c:v>7307.5</c:v>
                </c:pt>
                <c:pt idx="38" formatCode="0">
                  <c:v>7637</c:v>
                </c:pt>
                <c:pt idx="39" formatCode="0">
                  <c:v>7765</c:v>
                </c:pt>
                <c:pt idx="40" formatCode="0">
                  <c:v>7821</c:v>
                </c:pt>
                <c:pt idx="41">
                  <c:v>8077</c:v>
                </c:pt>
                <c:pt idx="42" formatCode="0">
                  <c:v>8333</c:v>
                </c:pt>
                <c:pt idx="43">
                  <c:v>8307</c:v>
                </c:pt>
                <c:pt idx="44" formatCode="0">
                  <c:v>8281</c:v>
                </c:pt>
                <c:pt idx="45">
                  <c:v>8249</c:v>
                </c:pt>
                <c:pt idx="46" formatCode="0">
                  <c:v>8217</c:v>
                </c:pt>
                <c:pt idx="47">
                  <c:v>7836</c:v>
                </c:pt>
                <c:pt idx="48" formatCode="0">
                  <c:v>7455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61-4BB5-B5DE-45FF4525F125}"/>
            </c:ext>
          </c:extLst>
        </c:ser>
        <c:ser>
          <c:idx val="2"/>
          <c:order val="2"/>
          <c:tx>
            <c:strRef>
              <c:f>'L-Curve'!$D$3</c:f>
              <c:strCache>
                <c:ptCount val="1"/>
                <c:pt idx="0">
                  <c:v>WEST GRID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triangle"/>
            <c:size val="3"/>
            <c:spPr>
              <a:solidFill>
                <a:srgbClr val="FF66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'L-Curve'!$A$4:$A$52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'L-Curve'!$D$4:$D$52</c:f>
              <c:numCache>
                <c:formatCode>General</c:formatCode>
                <c:ptCount val="49"/>
                <c:pt idx="0" formatCode="0">
                  <c:v>4704</c:v>
                </c:pt>
                <c:pt idx="1">
                  <c:v>4593</c:v>
                </c:pt>
                <c:pt idx="2" formatCode="0">
                  <c:v>4482</c:v>
                </c:pt>
                <c:pt idx="3">
                  <c:v>4475</c:v>
                </c:pt>
                <c:pt idx="4" formatCode="0">
                  <c:v>4468</c:v>
                </c:pt>
                <c:pt idx="5">
                  <c:v>4468.5</c:v>
                </c:pt>
                <c:pt idx="6" formatCode="0">
                  <c:v>4469</c:v>
                </c:pt>
                <c:pt idx="7">
                  <c:v>4473.5</c:v>
                </c:pt>
                <c:pt idx="8" formatCode="0">
                  <c:v>4478</c:v>
                </c:pt>
                <c:pt idx="9">
                  <c:v>4467.5</c:v>
                </c:pt>
                <c:pt idx="10" formatCode="0">
                  <c:v>4457</c:v>
                </c:pt>
                <c:pt idx="11">
                  <c:v>4390</c:v>
                </c:pt>
                <c:pt idx="12" formatCode="0">
                  <c:v>4323</c:v>
                </c:pt>
                <c:pt idx="13">
                  <c:v>4306</c:v>
                </c:pt>
                <c:pt idx="14" formatCode="0">
                  <c:v>4289</c:v>
                </c:pt>
                <c:pt idx="15">
                  <c:v>4260</c:v>
                </c:pt>
                <c:pt idx="16" formatCode="0">
                  <c:v>4231</c:v>
                </c:pt>
                <c:pt idx="17">
                  <c:v>4158</c:v>
                </c:pt>
                <c:pt idx="18" formatCode="0">
                  <c:v>4085</c:v>
                </c:pt>
                <c:pt idx="19">
                  <c:v>4058.5</c:v>
                </c:pt>
                <c:pt idx="20" formatCode="0">
                  <c:v>4032</c:v>
                </c:pt>
                <c:pt idx="21">
                  <c:v>4047</c:v>
                </c:pt>
                <c:pt idx="22" formatCode="0">
                  <c:v>4062</c:v>
                </c:pt>
                <c:pt idx="23">
                  <c:v>4024</c:v>
                </c:pt>
                <c:pt idx="24" formatCode="0">
                  <c:v>3986</c:v>
                </c:pt>
                <c:pt idx="25">
                  <c:v>3973.5</c:v>
                </c:pt>
                <c:pt idx="26" formatCode="0">
                  <c:v>3961</c:v>
                </c:pt>
                <c:pt idx="27">
                  <c:v>3946</c:v>
                </c:pt>
                <c:pt idx="28" formatCode="0">
                  <c:v>3931</c:v>
                </c:pt>
                <c:pt idx="29">
                  <c:v>3895</c:v>
                </c:pt>
                <c:pt idx="30" formatCode="0">
                  <c:v>3859</c:v>
                </c:pt>
                <c:pt idx="31">
                  <c:v>3909</c:v>
                </c:pt>
                <c:pt idx="32" formatCode="0">
                  <c:v>3959</c:v>
                </c:pt>
                <c:pt idx="33">
                  <c:v>4013.5</c:v>
                </c:pt>
                <c:pt idx="34" formatCode="0">
                  <c:v>4068</c:v>
                </c:pt>
                <c:pt idx="35">
                  <c:v>4135</c:v>
                </c:pt>
                <c:pt idx="36" formatCode="0">
                  <c:v>4202</c:v>
                </c:pt>
                <c:pt idx="37" formatCode="0">
                  <c:v>4292</c:v>
                </c:pt>
                <c:pt idx="38" formatCode="0">
                  <c:v>4382</c:v>
                </c:pt>
                <c:pt idx="39" formatCode="0">
                  <c:v>4721</c:v>
                </c:pt>
                <c:pt idx="40" formatCode="0">
                  <c:v>4869</c:v>
                </c:pt>
                <c:pt idx="41">
                  <c:v>4881.5</c:v>
                </c:pt>
                <c:pt idx="42" formatCode="0">
                  <c:v>4894</c:v>
                </c:pt>
                <c:pt idx="43">
                  <c:v>4918</c:v>
                </c:pt>
                <c:pt idx="44" formatCode="0">
                  <c:v>4942</c:v>
                </c:pt>
                <c:pt idx="45">
                  <c:v>4859.5</c:v>
                </c:pt>
                <c:pt idx="46" formatCode="0">
                  <c:v>4777</c:v>
                </c:pt>
                <c:pt idx="47">
                  <c:v>4740.5</c:v>
                </c:pt>
                <c:pt idx="48" formatCode="0">
                  <c:v>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61-4BB5-B5DE-45FF4525F125}"/>
            </c:ext>
          </c:extLst>
        </c:ser>
        <c:ser>
          <c:idx val="3"/>
          <c:order val="3"/>
          <c:tx>
            <c:strRef>
              <c:f>'L-Curve'!$E$3</c:f>
              <c:strCache>
                <c:ptCount val="1"/>
                <c:pt idx="0">
                  <c:v>TOTAL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2"/>
            <c:spPr>
              <a:solidFill>
                <a:srgbClr val="00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'L-Curve'!$A$4:$A$52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'L-Curve'!$E$4:$E$52</c:f>
              <c:numCache>
                <c:formatCode>General</c:formatCode>
                <c:ptCount val="49"/>
                <c:pt idx="0" formatCode="0">
                  <c:v>12159</c:v>
                </c:pt>
                <c:pt idx="1">
                  <c:v>11595</c:v>
                </c:pt>
                <c:pt idx="2">
                  <c:v>11031</c:v>
                </c:pt>
                <c:pt idx="3">
                  <c:v>10904</c:v>
                </c:pt>
                <c:pt idx="4">
                  <c:v>10777</c:v>
                </c:pt>
                <c:pt idx="5">
                  <c:v>10776</c:v>
                </c:pt>
                <c:pt idx="6">
                  <c:v>10775</c:v>
                </c:pt>
                <c:pt idx="7">
                  <c:v>10745</c:v>
                </c:pt>
                <c:pt idx="8">
                  <c:v>10715</c:v>
                </c:pt>
                <c:pt idx="9">
                  <c:v>10730.5</c:v>
                </c:pt>
                <c:pt idx="10">
                  <c:v>10746</c:v>
                </c:pt>
                <c:pt idx="11">
                  <c:v>10583</c:v>
                </c:pt>
                <c:pt idx="12">
                  <c:v>10420</c:v>
                </c:pt>
                <c:pt idx="13">
                  <c:v>10435</c:v>
                </c:pt>
                <c:pt idx="14">
                  <c:v>10450</c:v>
                </c:pt>
                <c:pt idx="15">
                  <c:v>10370</c:v>
                </c:pt>
                <c:pt idx="16">
                  <c:v>10290</c:v>
                </c:pt>
                <c:pt idx="17">
                  <c:v>10219.5</c:v>
                </c:pt>
                <c:pt idx="18">
                  <c:v>10149</c:v>
                </c:pt>
                <c:pt idx="19">
                  <c:v>10052</c:v>
                </c:pt>
                <c:pt idx="20">
                  <c:v>9955</c:v>
                </c:pt>
                <c:pt idx="21">
                  <c:v>10028.5</c:v>
                </c:pt>
                <c:pt idx="22">
                  <c:v>10102</c:v>
                </c:pt>
                <c:pt idx="23">
                  <c:v>10006.5</c:v>
                </c:pt>
                <c:pt idx="24">
                  <c:v>9911</c:v>
                </c:pt>
                <c:pt idx="25">
                  <c:v>10043.5</c:v>
                </c:pt>
                <c:pt idx="26">
                  <c:v>10176</c:v>
                </c:pt>
                <c:pt idx="27">
                  <c:v>10258.5</c:v>
                </c:pt>
                <c:pt idx="28">
                  <c:v>10341</c:v>
                </c:pt>
                <c:pt idx="29">
                  <c:v>10398.5</c:v>
                </c:pt>
                <c:pt idx="30">
                  <c:v>10456</c:v>
                </c:pt>
                <c:pt idx="31">
                  <c:v>10449</c:v>
                </c:pt>
                <c:pt idx="32">
                  <c:v>10442</c:v>
                </c:pt>
                <c:pt idx="33">
                  <c:v>10623.5</c:v>
                </c:pt>
                <c:pt idx="34">
                  <c:v>10805</c:v>
                </c:pt>
                <c:pt idx="35">
                  <c:v>10992.5</c:v>
                </c:pt>
                <c:pt idx="36">
                  <c:v>11180</c:v>
                </c:pt>
                <c:pt idx="37">
                  <c:v>11599.5</c:v>
                </c:pt>
                <c:pt idx="38">
                  <c:v>12019</c:v>
                </c:pt>
                <c:pt idx="39">
                  <c:v>12486</c:v>
                </c:pt>
                <c:pt idx="40">
                  <c:v>12690</c:v>
                </c:pt>
                <c:pt idx="41">
                  <c:v>12958.5</c:v>
                </c:pt>
                <c:pt idx="42">
                  <c:v>13227</c:v>
                </c:pt>
                <c:pt idx="43">
                  <c:v>13225</c:v>
                </c:pt>
                <c:pt idx="44">
                  <c:v>13223</c:v>
                </c:pt>
                <c:pt idx="45">
                  <c:v>13108.5</c:v>
                </c:pt>
                <c:pt idx="46">
                  <c:v>12994</c:v>
                </c:pt>
                <c:pt idx="47">
                  <c:v>12576.5</c:v>
                </c:pt>
                <c:pt idx="48">
                  <c:v>12159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61-4BB5-B5DE-45FF4525F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663232"/>
        <c:axId val="109303680"/>
      </c:lineChart>
      <c:catAx>
        <c:axId val="93663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Times New Roman" pitchFamily="18" charset="0"/>
                    <a:ea typeface="Arial"/>
                    <a:cs typeface="Times New Roman" pitchFamily="18" charset="0"/>
                  </a:defRPr>
                </a:pPr>
                <a:r>
                  <a:rPr lang="en-US">
                    <a:latin typeface="Times New Roman" pitchFamily="18" charset="0"/>
                    <a:cs typeface="Times New Roman" pitchFamily="18" charset="0"/>
                  </a:rPr>
                  <a:t>HOUR</a:t>
                </a:r>
              </a:p>
            </c:rich>
          </c:tx>
          <c:layout>
            <c:manualLayout>
              <c:xMode val="edge"/>
              <c:yMode val="edge"/>
              <c:x val="0.53654859656304565"/>
              <c:y val="0.90523910808107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cross"/>
        <c:tickLblPos val="nextTo"/>
        <c:spPr>
          <a:ln w="3175">
            <a:solidFill>
              <a:srgbClr val="339966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imes New Roman" pitchFamily="18" charset="0"/>
                <a:ea typeface="Arial"/>
                <a:cs typeface="Times New Roman" pitchFamily="18" charset="0"/>
              </a:defRPr>
            </a:pPr>
            <a:endParaRPr lang="en-US"/>
          </a:p>
        </c:txPr>
        <c:crossAx val="109303680"/>
        <c:crossesAt val="0"/>
        <c:auto val="0"/>
        <c:lblAlgn val="ctr"/>
        <c:lblOffset val="100"/>
        <c:tickLblSkip val="4"/>
        <c:tickMarkSkip val="4"/>
        <c:noMultiLvlLbl val="0"/>
      </c:catAx>
      <c:valAx>
        <c:axId val="109303680"/>
        <c:scaling>
          <c:orientation val="minMax"/>
          <c:max val="14000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75" b="1" i="0" u="none" strike="noStrike" baseline="0">
                    <a:solidFill>
                      <a:srgbClr val="000000"/>
                    </a:solidFill>
                    <a:latin typeface="Times New Roman" pitchFamily="18" charset="0"/>
                    <a:ea typeface="Arial"/>
                    <a:cs typeface="Times New Roman" pitchFamily="18" charset="0"/>
                  </a:defRPr>
                </a:pPr>
                <a:r>
                  <a:rPr lang="en-US">
                    <a:latin typeface="Times New Roman" pitchFamily="18" charset="0"/>
                    <a:cs typeface="Times New Roman" pitchFamily="18" charset="0"/>
                  </a:rPr>
                  <a:t>MW</a:t>
                </a:r>
              </a:p>
            </c:rich>
          </c:tx>
          <c:layout>
            <c:manualLayout>
              <c:xMode val="edge"/>
              <c:yMode val="edge"/>
              <c:x val="2.7056277056288092E-3"/>
              <c:y val="0.341954385012332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8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 pitchFamily="18" charset="0"/>
                <a:ea typeface="Arial"/>
                <a:cs typeface="Times New Roman" pitchFamily="18" charset="0"/>
              </a:defRPr>
            </a:pPr>
            <a:endParaRPr lang="en-US"/>
          </a:p>
        </c:txPr>
        <c:crossAx val="93663232"/>
        <c:crosses val="autoZero"/>
        <c:crossBetween val="midCat"/>
        <c:majorUnit val="500"/>
      </c:valAx>
      <c:spPr>
        <a:noFill/>
        <a:ln w="12700">
          <a:solidFill>
            <a:srgbClr val="339966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3361934856405591"/>
          <c:y val="0.94225112816617385"/>
          <c:w val="0.75811756484984827"/>
          <c:h val="4.3103448275861947E-2"/>
        </c:manualLayout>
      </c:layout>
      <c:overlay val="0"/>
      <c:spPr>
        <a:solidFill>
          <a:srgbClr val="FFFFFF"/>
        </a:solidFill>
        <a:ln w="12700">
          <a:solidFill>
            <a:srgbClr val="008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 pitchFamily="34" charset="0"/>
              <a:ea typeface="Arial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8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051184969272728E-2"/>
          <c:y val="1.6328639214598442E-2"/>
          <c:w val="0.87906315260391465"/>
          <c:h val="0.9160666751651414"/>
        </c:manualLayout>
      </c:layout>
      <c:areaChart>
        <c:grouping val="stacked"/>
        <c:varyColors val="0"/>
        <c:ser>
          <c:idx val="3"/>
          <c:order val="0"/>
          <c:tx>
            <c:strRef>
              <c:f>'En-Curve'!$B$5</c:f>
              <c:strCache>
                <c:ptCount val="1"/>
                <c:pt idx="0">
                  <c:v>GAS</c:v>
                </c:pt>
              </c:strCache>
            </c:strRef>
          </c:tx>
          <c:spPr>
            <a:pattFill prst="dkDnDiag">
              <a:fgClr>
                <a:srgbClr val="FF00FF"/>
              </a:fgClr>
              <a:bgClr>
                <a:srgbClr val="FFFFFF"/>
              </a:bgClr>
            </a:pattFill>
            <a:ln w="3175">
              <a:solidFill>
                <a:srgbClr val="993300"/>
              </a:solidFill>
              <a:prstDash val="solid"/>
            </a:ln>
          </c:spPr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'En-Curve'!$B$6:$B$54</c:f>
              <c:numCache>
                <c:formatCode>0</c:formatCode>
                <c:ptCount val="49"/>
                <c:pt idx="0">
                  <c:v>3598</c:v>
                </c:pt>
                <c:pt idx="1">
                  <c:v>3495</c:v>
                </c:pt>
                <c:pt idx="2">
                  <c:v>3392</c:v>
                </c:pt>
                <c:pt idx="3">
                  <c:v>3344</c:v>
                </c:pt>
                <c:pt idx="4">
                  <c:v>3296</c:v>
                </c:pt>
                <c:pt idx="5">
                  <c:v>3332</c:v>
                </c:pt>
                <c:pt idx="6">
                  <c:v>3368</c:v>
                </c:pt>
                <c:pt idx="7">
                  <c:v>3369</c:v>
                </c:pt>
                <c:pt idx="8">
                  <c:v>3370</c:v>
                </c:pt>
                <c:pt idx="9">
                  <c:v>3406</c:v>
                </c:pt>
                <c:pt idx="10">
                  <c:v>3442</c:v>
                </c:pt>
                <c:pt idx="11">
                  <c:v>3401</c:v>
                </c:pt>
                <c:pt idx="12">
                  <c:v>3360</c:v>
                </c:pt>
                <c:pt idx="13">
                  <c:v>3388.5</c:v>
                </c:pt>
                <c:pt idx="14">
                  <c:v>3417</c:v>
                </c:pt>
                <c:pt idx="15">
                  <c:v>3345.5</c:v>
                </c:pt>
                <c:pt idx="16">
                  <c:v>3274</c:v>
                </c:pt>
                <c:pt idx="17">
                  <c:v>3268</c:v>
                </c:pt>
                <c:pt idx="18">
                  <c:v>3262</c:v>
                </c:pt>
                <c:pt idx="19">
                  <c:v>3232.5</c:v>
                </c:pt>
                <c:pt idx="20">
                  <c:v>3203</c:v>
                </c:pt>
                <c:pt idx="21">
                  <c:v>3246</c:v>
                </c:pt>
                <c:pt idx="22">
                  <c:v>3289</c:v>
                </c:pt>
                <c:pt idx="23">
                  <c:v>3253</c:v>
                </c:pt>
                <c:pt idx="24">
                  <c:v>3217</c:v>
                </c:pt>
                <c:pt idx="25">
                  <c:v>3241.5</c:v>
                </c:pt>
                <c:pt idx="26">
                  <c:v>3266</c:v>
                </c:pt>
                <c:pt idx="27">
                  <c:v>3266</c:v>
                </c:pt>
                <c:pt idx="28">
                  <c:v>3266</c:v>
                </c:pt>
                <c:pt idx="29">
                  <c:v>3281</c:v>
                </c:pt>
                <c:pt idx="30">
                  <c:v>3296</c:v>
                </c:pt>
                <c:pt idx="31">
                  <c:v>3244</c:v>
                </c:pt>
                <c:pt idx="32">
                  <c:v>3192</c:v>
                </c:pt>
                <c:pt idx="33">
                  <c:v>3227</c:v>
                </c:pt>
                <c:pt idx="34">
                  <c:v>3227</c:v>
                </c:pt>
                <c:pt idx="35">
                  <c:v>3229.5</c:v>
                </c:pt>
                <c:pt idx="36">
                  <c:v>3232</c:v>
                </c:pt>
                <c:pt idx="37">
                  <c:v>3237.5</c:v>
                </c:pt>
                <c:pt idx="38">
                  <c:v>3243</c:v>
                </c:pt>
                <c:pt idx="39">
                  <c:v>3268</c:v>
                </c:pt>
                <c:pt idx="40">
                  <c:v>3340</c:v>
                </c:pt>
                <c:pt idx="41">
                  <c:v>3458</c:v>
                </c:pt>
                <c:pt idx="42">
                  <c:v>3576</c:v>
                </c:pt>
                <c:pt idx="43">
                  <c:v>3583</c:v>
                </c:pt>
                <c:pt idx="44">
                  <c:v>3590</c:v>
                </c:pt>
                <c:pt idx="45">
                  <c:v>3587</c:v>
                </c:pt>
                <c:pt idx="46">
                  <c:v>3584</c:v>
                </c:pt>
                <c:pt idx="47">
                  <c:v>3591</c:v>
                </c:pt>
                <c:pt idx="48">
                  <c:v>3598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88-4145-A723-501E1236CBE2}"/>
            </c:ext>
          </c:extLst>
        </c:ser>
        <c:ser>
          <c:idx val="0"/>
          <c:order val="1"/>
          <c:tx>
            <c:strRef>
              <c:f>'En-Curve'!$D$5</c:f>
              <c:strCache>
                <c:ptCount val="1"/>
                <c:pt idx="0">
                  <c:v>P.GEN(GAS).</c:v>
                </c:pt>
              </c:strCache>
            </c:strRef>
          </c:tx>
          <c:spPr>
            <a:pattFill prst="lgConfetti">
              <a:fgClr>
                <a:srgbClr val="9999FF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'En-Curve'!$D$6:$D$54</c:f>
              <c:numCache>
                <c:formatCode>0</c:formatCode>
                <c:ptCount val="49"/>
                <c:pt idx="0">
                  <c:v>1898</c:v>
                </c:pt>
                <c:pt idx="1">
                  <c:v>1954</c:v>
                </c:pt>
                <c:pt idx="2">
                  <c:v>2010</c:v>
                </c:pt>
                <c:pt idx="3">
                  <c:v>2006.5</c:v>
                </c:pt>
                <c:pt idx="4">
                  <c:v>2003</c:v>
                </c:pt>
                <c:pt idx="5">
                  <c:v>1970</c:v>
                </c:pt>
                <c:pt idx="6">
                  <c:v>1937</c:v>
                </c:pt>
                <c:pt idx="7">
                  <c:v>1929</c:v>
                </c:pt>
                <c:pt idx="8">
                  <c:v>1921</c:v>
                </c:pt>
                <c:pt idx="9">
                  <c:v>1908.5</c:v>
                </c:pt>
                <c:pt idx="10">
                  <c:v>1896</c:v>
                </c:pt>
                <c:pt idx="11">
                  <c:v>1909</c:v>
                </c:pt>
                <c:pt idx="12">
                  <c:v>1922</c:v>
                </c:pt>
                <c:pt idx="13">
                  <c:v>1913</c:v>
                </c:pt>
                <c:pt idx="14">
                  <c:v>1904</c:v>
                </c:pt>
                <c:pt idx="15">
                  <c:v>1883.5</c:v>
                </c:pt>
                <c:pt idx="16">
                  <c:v>1863</c:v>
                </c:pt>
                <c:pt idx="17">
                  <c:v>1850</c:v>
                </c:pt>
                <c:pt idx="18">
                  <c:v>1837</c:v>
                </c:pt>
                <c:pt idx="19">
                  <c:v>1805</c:v>
                </c:pt>
                <c:pt idx="20">
                  <c:v>1773</c:v>
                </c:pt>
                <c:pt idx="21">
                  <c:v>1767</c:v>
                </c:pt>
                <c:pt idx="22">
                  <c:v>1761</c:v>
                </c:pt>
                <c:pt idx="23">
                  <c:v>1756.5</c:v>
                </c:pt>
                <c:pt idx="24">
                  <c:v>1752</c:v>
                </c:pt>
                <c:pt idx="25">
                  <c:v>1758.5</c:v>
                </c:pt>
                <c:pt idx="26">
                  <c:v>1765</c:v>
                </c:pt>
                <c:pt idx="27">
                  <c:v>1765</c:v>
                </c:pt>
                <c:pt idx="28">
                  <c:v>1765</c:v>
                </c:pt>
                <c:pt idx="29">
                  <c:v>1773</c:v>
                </c:pt>
                <c:pt idx="30">
                  <c:v>1781</c:v>
                </c:pt>
                <c:pt idx="31">
                  <c:v>1758</c:v>
                </c:pt>
                <c:pt idx="32">
                  <c:v>1735</c:v>
                </c:pt>
                <c:pt idx="33">
                  <c:v>1741.5</c:v>
                </c:pt>
                <c:pt idx="34">
                  <c:v>1748</c:v>
                </c:pt>
                <c:pt idx="35">
                  <c:v>1751.5</c:v>
                </c:pt>
                <c:pt idx="36">
                  <c:v>1755</c:v>
                </c:pt>
                <c:pt idx="37">
                  <c:v>1790</c:v>
                </c:pt>
                <c:pt idx="38">
                  <c:v>1825</c:v>
                </c:pt>
                <c:pt idx="39">
                  <c:v>1842</c:v>
                </c:pt>
                <c:pt idx="40">
                  <c:v>1864</c:v>
                </c:pt>
                <c:pt idx="41">
                  <c:v>1845</c:v>
                </c:pt>
                <c:pt idx="42">
                  <c:v>1826</c:v>
                </c:pt>
                <c:pt idx="43">
                  <c:v>1862.5</c:v>
                </c:pt>
                <c:pt idx="44">
                  <c:v>1899</c:v>
                </c:pt>
                <c:pt idx="45">
                  <c:v>1907.5</c:v>
                </c:pt>
                <c:pt idx="46">
                  <c:v>1916</c:v>
                </c:pt>
                <c:pt idx="47">
                  <c:v>1907</c:v>
                </c:pt>
                <c:pt idx="48">
                  <c:v>1898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88-4145-A723-501E1236CBE2}"/>
            </c:ext>
          </c:extLst>
        </c:ser>
        <c:ser>
          <c:idx val="7"/>
          <c:order val="2"/>
          <c:tx>
            <c:strRef>
              <c:f>'En-Curve'!$C$5</c:f>
              <c:strCache>
                <c:ptCount val="1"/>
                <c:pt idx="0">
                  <c:v> HVDC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'En-Curve'!$C$6:$C$54</c:f>
              <c:numCache>
                <c:formatCode>0</c:formatCode>
                <c:ptCount val="49"/>
                <c:pt idx="0">
                  <c:v>909</c:v>
                </c:pt>
                <c:pt idx="1">
                  <c:v>911.5</c:v>
                </c:pt>
                <c:pt idx="2">
                  <c:v>914</c:v>
                </c:pt>
                <c:pt idx="3">
                  <c:v>914</c:v>
                </c:pt>
                <c:pt idx="4">
                  <c:v>914</c:v>
                </c:pt>
                <c:pt idx="5">
                  <c:v>913.5</c:v>
                </c:pt>
                <c:pt idx="6">
                  <c:v>913</c:v>
                </c:pt>
                <c:pt idx="7">
                  <c:v>913</c:v>
                </c:pt>
                <c:pt idx="8">
                  <c:v>913</c:v>
                </c:pt>
                <c:pt idx="9">
                  <c:v>913.5</c:v>
                </c:pt>
                <c:pt idx="10">
                  <c:v>914</c:v>
                </c:pt>
                <c:pt idx="11">
                  <c:v>914</c:v>
                </c:pt>
                <c:pt idx="12">
                  <c:v>914</c:v>
                </c:pt>
                <c:pt idx="13">
                  <c:v>913.5</c:v>
                </c:pt>
                <c:pt idx="14">
                  <c:v>913</c:v>
                </c:pt>
                <c:pt idx="15">
                  <c:v>913.5</c:v>
                </c:pt>
                <c:pt idx="16">
                  <c:v>914</c:v>
                </c:pt>
                <c:pt idx="17">
                  <c:v>914</c:v>
                </c:pt>
                <c:pt idx="18">
                  <c:v>914</c:v>
                </c:pt>
                <c:pt idx="19">
                  <c:v>914</c:v>
                </c:pt>
                <c:pt idx="20">
                  <c:v>914</c:v>
                </c:pt>
                <c:pt idx="21">
                  <c:v>914</c:v>
                </c:pt>
                <c:pt idx="22">
                  <c:v>914</c:v>
                </c:pt>
                <c:pt idx="23">
                  <c:v>914</c:v>
                </c:pt>
                <c:pt idx="24">
                  <c:v>914</c:v>
                </c:pt>
                <c:pt idx="25">
                  <c:v>913.5</c:v>
                </c:pt>
                <c:pt idx="26">
                  <c:v>913</c:v>
                </c:pt>
                <c:pt idx="27">
                  <c:v>913</c:v>
                </c:pt>
                <c:pt idx="28">
                  <c:v>913</c:v>
                </c:pt>
                <c:pt idx="29">
                  <c:v>910</c:v>
                </c:pt>
                <c:pt idx="30">
                  <c:v>907</c:v>
                </c:pt>
                <c:pt idx="31">
                  <c:v>907</c:v>
                </c:pt>
                <c:pt idx="32">
                  <c:v>907</c:v>
                </c:pt>
                <c:pt idx="33">
                  <c:v>907</c:v>
                </c:pt>
                <c:pt idx="34">
                  <c:v>907</c:v>
                </c:pt>
                <c:pt idx="35">
                  <c:v>906.5</c:v>
                </c:pt>
                <c:pt idx="36">
                  <c:v>906</c:v>
                </c:pt>
                <c:pt idx="37">
                  <c:v>906.5</c:v>
                </c:pt>
                <c:pt idx="38">
                  <c:v>907</c:v>
                </c:pt>
                <c:pt idx="39">
                  <c:v>909</c:v>
                </c:pt>
                <c:pt idx="40">
                  <c:v>909</c:v>
                </c:pt>
                <c:pt idx="41">
                  <c:v>909</c:v>
                </c:pt>
                <c:pt idx="42">
                  <c:v>909</c:v>
                </c:pt>
                <c:pt idx="43">
                  <c:v>909</c:v>
                </c:pt>
                <c:pt idx="44">
                  <c:v>909</c:v>
                </c:pt>
                <c:pt idx="45">
                  <c:v>909</c:v>
                </c:pt>
                <c:pt idx="46">
                  <c:v>909</c:v>
                </c:pt>
                <c:pt idx="47">
                  <c:v>909</c:v>
                </c:pt>
                <c:pt idx="48">
                  <c:v>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88-4145-A723-501E1236CBE2}"/>
            </c:ext>
          </c:extLst>
        </c:ser>
        <c:ser>
          <c:idx val="9"/>
          <c:order val="3"/>
          <c:tx>
            <c:strRef>
              <c:f>'En-Curve'!$K$5</c:f>
              <c:strCache>
                <c:ptCount val="1"/>
                <c:pt idx="0">
                  <c:v>TRIPURA</c:v>
                </c:pt>
              </c:strCache>
            </c:strRef>
          </c:tx>
          <c:dLbls>
            <c:dLbl>
              <c:idx val="0"/>
              <c:layout>
                <c:manualLayout>
                  <c:x val="4.413715526322444E-2"/>
                  <c:y val="-8.3268083548610067E-3"/>
                </c:manualLayout>
              </c:layout>
              <c:tx>
                <c:rich>
                  <a:bodyPr/>
                  <a:lstStyle/>
                  <a:p>
                    <a:r>
                      <a:rPr lang="en-US" b="1">
                        <a:solidFill>
                          <a:srgbClr val="0909F7"/>
                        </a:solidFill>
                      </a:rPr>
                      <a:t>Tripura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5D7-40F9-A333-22FC86709C2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'En-Curve'!$K$6:$K$54</c:f>
              <c:numCache>
                <c:formatCode>0</c:formatCode>
                <c:ptCount val="49"/>
                <c:pt idx="0">
                  <c:v>162</c:v>
                </c:pt>
                <c:pt idx="1">
                  <c:v>167</c:v>
                </c:pt>
                <c:pt idx="2">
                  <c:v>172</c:v>
                </c:pt>
                <c:pt idx="3">
                  <c:v>172</c:v>
                </c:pt>
                <c:pt idx="4">
                  <c:v>172</c:v>
                </c:pt>
                <c:pt idx="5">
                  <c:v>171</c:v>
                </c:pt>
                <c:pt idx="6">
                  <c:v>170</c:v>
                </c:pt>
                <c:pt idx="7">
                  <c:v>169</c:v>
                </c:pt>
                <c:pt idx="8">
                  <c:v>168</c:v>
                </c:pt>
                <c:pt idx="9">
                  <c:v>166</c:v>
                </c:pt>
                <c:pt idx="10">
                  <c:v>164</c:v>
                </c:pt>
                <c:pt idx="11">
                  <c:v>157</c:v>
                </c:pt>
                <c:pt idx="12">
                  <c:v>150</c:v>
                </c:pt>
                <c:pt idx="13">
                  <c:v>145</c:v>
                </c:pt>
                <c:pt idx="14">
                  <c:v>140</c:v>
                </c:pt>
                <c:pt idx="15">
                  <c:v>144</c:v>
                </c:pt>
                <c:pt idx="16">
                  <c:v>148</c:v>
                </c:pt>
                <c:pt idx="17">
                  <c:v>149</c:v>
                </c:pt>
                <c:pt idx="18">
                  <c:v>150</c:v>
                </c:pt>
                <c:pt idx="19">
                  <c:v>145</c:v>
                </c:pt>
                <c:pt idx="20">
                  <c:v>140</c:v>
                </c:pt>
                <c:pt idx="21">
                  <c:v>151</c:v>
                </c:pt>
                <c:pt idx="22">
                  <c:v>162</c:v>
                </c:pt>
                <c:pt idx="23">
                  <c:v>163</c:v>
                </c:pt>
                <c:pt idx="24">
                  <c:v>164</c:v>
                </c:pt>
                <c:pt idx="25">
                  <c:v>166</c:v>
                </c:pt>
                <c:pt idx="26">
                  <c:v>168</c:v>
                </c:pt>
                <c:pt idx="27">
                  <c:v>168</c:v>
                </c:pt>
                <c:pt idx="28">
                  <c:v>168</c:v>
                </c:pt>
                <c:pt idx="29">
                  <c:v>175</c:v>
                </c:pt>
                <c:pt idx="30">
                  <c:v>182</c:v>
                </c:pt>
                <c:pt idx="31">
                  <c:v>173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159</c:v>
                </c:pt>
                <c:pt idx="36">
                  <c:v>158</c:v>
                </c:pt>
                <c:pt idx="37">
                  <c:v>158</c:v>
                </c:pt>
                <c:pt idx="38">
                  <c:v>158</c:v>
                </c:pt>
                <c:pt idx="39">
                  <c:v>160</c:v>
                </c:pt>
                <c:pt idx="40">
                  <c:v>160</c:v>
                </c:pt>
                <c:pt idx="41">
                  <c:v>160</c:v>
                </c:pt>
                <c:pt idx="42">
                  <c:v>160</c:v>
                </c:pt>
                <c:pt idx="43">
                  <c:v>165</c:v>
                </c:pt>
                <c:pt idx="44">
                  <c:v>170</c:v>
                </c:pt>
                <c:pt idx="45">
                  <c:v>166</c:v>
                </c:pt>
                <c:pt idx="46">
                  <c:v>162</c:v>
                </c:pt>
                <c:pt idx="47">
                  <c:v>162</c:v>
                </c:pt>
                <c:pt idx="48">
                  <c:v>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88-4145-A723-501E1236CBE2}"/>
            </c:ext>
          </c:extLst>
        </c:ser>
        <c:ser>
          <c:idx val="1"/>
          <c:order val="4"/>
          <c:tx>
            <c:strRef>
              <c:f>'En-Curve'!$H$5</c:f>
              <c:strCache>
                <c:ptCount val="1"/>
                <c:pt idx="0">
                  <c:v>HYDRO</c:v>
                </c:pt>
              </c:strCache>
            </c:strRef>
          </c:tx>
          <c:spPr>
            <a:noFill/>
            <a:ln w="12700">
              <a:solidFill>
                <a:srgbClr val="000000"/>
              </a:solidFill>
              <a:prstDash val="solid"/>
            </a:ln>
          </c:spPr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'En-Curve'!$H$6:$H$54</c:f>
              <c:numCache>
                <c:formatCode>0</c:formatCode>
                <c:ptCount val="49"/>
                <c:pt idx="0">
                  <c:v>116</c:v>
                </c:pt>
                <c:pt idx="1">
                  <c:v>114.5</c:v>
                </c:pt>
                <c:pt idx="2">
                  <c:v>113</c:v>
                </c:pt>
                <c:pt idx="3">
                  <c:v>113</c:v>
                </c:pt>
                <c:pt idx="4">
                  <c:v>113</c:v>
                </c:pt>
                <c:pt idx="5">
                  <c:v>113</c:v>
                </c:pt>
                <c:pt idx="6">
                  <c:v>113</c:v>
                </c:pt>
                <c:pt idx="7">
                  <c:v>113</c:v>
                </c:pt>
                <c:pt idx="8">
                  <c:v>113</c:v>
                </c:pt>
                <c:pt idx="9">
                  <c:v>113.5</c:v>
                </c:pt>
                <c:pt idx="10">
                  <c:v>114</c:v>
                </c:pt>
                <c:pt idx="11">
                  <c:v>114</c:v>
                </c:pt>
                <c:pt idx="12">
                  <c:v>114</c:v>
                </c:pt>
                <c:pt idx="13">
                  <c:v>113</c:v>
                </c:pt>
                <c:pt idx="14">
                  <c:v>112</c:v>
                </c:pt>
                <c:pt idx="15">
                  <c:v>113</c:v>
                </c:pt>
                <c:pt idx="16">
                  <c:v>114</c:v>
                </c:pt>
                <c:pt idx="17">
                  <c:v>112.5</c:v>
                </c:pt>
                <c:pt idx="18">
                  <c:v>111</c:v>
                </c:pt>
                <c:pt idx="19">
                  <c:v>112</c:v>
                </c:pt>
                <c:pt idx="20">
                  <c:v>113</c:v>
                </c:pt>
                <c:pt idx="21">
                  <c:v>113.5</c:v>
                </c:pt>
                <c:pt idx="22">
                  <c:v>114</c:v>
                </c:pt>
                <c:pt idx="23">
                  <c:v>114</c:v>
                </c:pt>
                <c:pt idx="24">
                  <c:v>114</c:v>
                </c:pt>
                <c:pt idx="25">
                  <c:v>114.5</c:v>
                </c:pt>
                <c:pt idx="26">
                  <c:v>115</c:v>
                </c:pt>
                <c:pt idx="27">
                  <c:v>115</c:v>
                </c:pt>
                <c:pt idx="28">
                  <c:v>115</c:v>
                </c:pt>
                <c:pt idx="29">
                  <c:v>115</c:v>
                </c:pt>
                <c:pt idx="30">
                  <c:v>115</c:v>
                </c:pt>
                <c:pt idx="31">
                  <c:v>115.5</c:v>
                </c:pt>
                <c:pt idx="32">
                  <c:v>116</c:v>
                </c:pt>
                <c:pt idx="33">
                  <c:v>117</c:v>
                </c:pt>
                <c:pt idx="34">
                  <c:v>118</c:v>
                </c:pt>
                <c:pt idx="35">
                  <c:v>118</c:v>
                </c:pt>
                <c:pt idx="36">
                  <c:v>118</c:v>
                </c:pt>
                <c:pt idx="37">
                  <c:v>118</c:v>
                </c:pt>
                <c:pt idx="38">
                  <c:v>118</c:v>
                </c:pt>
                <c:pt idx="39">
                  <c:v>118</c:v>
                </c:pt>
                <c:pt idx="40">
                  <c:v>118</c:v>
                </c:pt>
                <c:pt idx="41">
                  <c:v>117</c:v>
                </c:pt>
                <c:pt idx="42">
                  <c:v>116</c:v>
                </c:pt>
                <c:pt idx="43">
                  <c:v>116</c:v>
                </c:pt>
                <c:pt idx="44">
                  <c:v>116</c:v>
                </c:pt>
                <c:pt idx="45">
                  <c:v>116</c:v>
                </c:pt>
                <c:pt idx="46">
                  <c:v>116</c:v>
                </c:pt>
                <c:pt idx="47">
                  <c:v>116</c:v>
                </c:pt>
                <c:pt idx="48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88-4145-A723-501E1236CBE2}"/>
            </c:ext>
          </c:extLst>
        </c:ser>
        <c:ser>
          <c:idx val="2"/>
          <c:order val="5"/>
          <c:tx>
            <c:strRef>
              <c:f>'En-Curve'!$G$5</c:f>
              <c:strCache>
                <c:ptCount val="1"/>
                <c:pt idx="0">
                  <c:v>COAL</c:v>
                </c:pt>
              </c:strCache>
            </c:strRef>
          </c:tx>
          <c:spPr>
            <a:pattFill prst="solidDmnd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5D7-40F9-A333-22FC86709C2A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'En-Curve'!$G$6:$G$54</c:f>
              <c:numCache>
                <c:formatCode>0</c:formatCode>
                <c:ptCount val="49"/>
                <c:pt idx="0">
                  <c:v>1040</c:v>
                </c:pt>
                <c:pt idx="1">
                  <c:v>1155</c:v>
                </c:pt>
                <c:pt idx="2">
                  <c:v>1270</c:v>
                </c:pt>
                <c:pt idx="3">
                  <c:v>1280</c:v>
                </c:pt>
                <c:pt idx="4">
                  <c:v>1290</c:v>
                </c:pt>
                <c:pt idx="5">
                  <c:v>1285</c:v>
                </c:pt>
                <c:pt idx="6">
                  <c:v>1280</c:v>
                </c:pt>
                <c:pt idx="7">
                  <c:v>1280</c:v>
                </c:pt>
                <c:pt idx="8">
                  <c:v>1280</c:v>
                </c:pt>
                <c:pt idx="9">
                  <c:v>1275</c:v>
                </c:pt>
                <c:pt idx="10">
                  <c:v>1270</c:v>
                </c:pt>
                <c:pt idx="11">
                  <c:v>1255</c:v>
                </c:pt>
                <c:pt idx="12">
                  <c:v>1240</c:v>
                </c:pt>
                <c:pt idx="13">
                  <c:v>1235</c:v>
                </c:pt>
                <c:pt idx="14">
                  <c:v>1230</c:v>
                </c:pt>
                <c:pt idx="15">
                  <c:v>1205</c:v>
                </c:pt>
                <c:pt idx="16">
                  <c:v>1180</c:v>
                </c:pt>
                <c:pt idx="17">
                  <c:v>1160</c:v>
                </c:pt>
                <c:pt idx="18">
                  <c:v>1140</c:v>
                </c:pt>
                <c:pt idx="19">
                  <c:v>1134.5</c:v>
                </c:pt>
                <c:pt idx="20">
                  <c:v>1129</c:v>
                </c:pt>
                <c:pt idx="21">
                  <c:v>1129.5</c:v>
                </c:pt>
                <c:pt idx="22">
                  <c:v>1130</c:v>
                </c:pt>
                <c:pt idx="23">
                  <c:v>1074.5</c:v>
                </c:pt>
                <c:pt idx="24">
                  <c:v>1019</c:v>
                </c:pt>
                <c:pt idx="25">
                  <c:v>1019.5</c:v>
                </c:pt>
                <c:pt idx="26">
                  <c:v>1020</c:v>
                </c:pt>
                <c:pt idx="27">
                  <c:v>1020</c:v>
                </c:pt>
                <c:pt idx="28">
                  <c:v>1020</c:v>
                </c:pt>
                <c:pt idx="29">
                  <c:v>935</c:v>
                </c:pt>
                <c:pt idx="30">
                  <c:v>850</c:v>
                </c:pt>
                <c:pt idx="31">
                  <c:v>835</c:v>
                </c:pt>
                <c:pt idx="32">
                  <c:v>820</c:v>
                </c:pt>
                <c:pt idx="33">
                  <c:v>810.5</c:v>
                </c:pt>
                <c:pt idx="34">
                  <c:v>801</c:v>
                </c:pt>
                <c:pt idx="35">
                  <c:v>805</c:v>
                </c:pt>
                <c:pt idx="36">
                  <c:v>809</c:v>
                </c:pt>
                <c:pt idx="37">
                  <c:v>859.5</c:v>
                </c:pt>
                <c:pt idx="38">
                  <c:v>910</c:v>
                </c:pt>
                <c:pt idx="39">
                  <c:v>1030</c:v>
                </c:pt>
                <c:pt idx="40">
                  <c:v>1041</c:v>
                </c:pt>
                <c:pt idx="41">
                  <c:v>1040.5</c:v>
                </c:pt>
                <c:pt idx="42">
                  <c:v>1040</c:v>
                </c:pt>
                <c:pt idx="43">
                  <c:v>1040</c:v>
                </c:pt>
                <c:pt idx="44">
                  <c:v>1040</c:v>
                </c:pt>
                <c:pt idx="45">
                  <c:v>1040</c:v>
                </c:pt>
                <c:pt idx="46">
                  <c:v>1040</c:v>
                </c:pt>
                <c:pt idx="47">
                  <c:v>1040</c:v>
                </c:pt>
                <c:pt idx="48">
                  <c:v>1040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88-4145-A723-501E1236CBE2}"/>
            </c:ext>
          </c:extLst>
        </c:ser>
        <c:ser>
          <c:idx val="6"/>
          <c:order val="6"/>
          <c:tx>
            <c:strRef>
              <c:f>'En-Curve'!$L$5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00FFFF"/>
            </a:solidFill>
          </c:spPr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'En-Curve'!$L$6:$L$54</c:f>
              <c:numCache>
                <c:formatCode>0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5.5</c:v>
                </c:pt>
                <c:pt idx="12">
                  <c:v>11</c:v>
                </c:pt>
                <c:pt idx="13">
                  <c:v>26.5</c:v>
                </c:pt>
                <c:pt idx="14">
                  <c:v>42</c:v>
                </c:pt>
                <c:pt idx="15">
                  <c:v>78.5</c:v>
                </c:pt>
                <c:pt idx="16">
                  <c:v>115</c:v>
                </c:pt>
                <c:pt idx="17">
                  <c:v>124</c:v>
                </c:pt>
                <c:pt idx="18">
                  <c:v>133</c:v>
                </c:pt>
                <c:pt idx="19">
                  <c:v>144</c:v>
                </c:pt>
                <c:pt idx="20">
                  <c:v>155</c:v>
                </c:pt>
                <c:pt idx="21">
                  <c:v>176</c:v>
                </c:pt>
                <c:pt idx="22">
                  <c:v>197</c:v>
                </c:pt>
                <c:pt idx="23">
                  <c:v>204.5</c:v>
                </c:pt>
                <c:pt idx="24">
                  <c:v>212</c:v>
                </c:pt>
                <c:pt idx="25">
                  <c:v>203.5</c:v>
                </c:pt>
                <c:pt idx="26">
                  <c:v>195</c:v>
                </c:pt>
                <c:pt idx="27">
                  <c:v>195</c:v>
                </c:pt>
                <c:pt idx="28">
                  <c:v>195</c:v>
                </c:pt>
                <c:pt idx="29">
                  <c:v>176.5</c:v>
                </c:pt>
                <c:pt idx="30">
                  <c:v>158</c:v>
                </c:pt>
                <c:pt idx="31">
                  <c:v>137.5</c:v>
                </c:pt>
                <c:pt idx="32">
                  <c:v>117</c:v>
                </c:pt>
                <c:pt idx="33">
                  <c:v>79</c:v>
                </c:pt>
                <c:pt idx="34">
                  <c:v>41</c:v>
                </c:pt>
                <c:pt idx="35">
                  <c:v>28.5</c:v>
                </c:pt>
                <c:pt idx="36">
                  <c:v>16</c:v>
                </c:pt>
                <c:pt idx="37">
                  <c:v>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C88-4145-A723-501E1236CBE2}"/>
            </c:ext>
          </c:extLst>
        </c:ser>
        <c:ser>
          <c:idx val="4"/>
          <c:order val="7"/>
          <c:tx>
            <c:strRef>
              <c:f>'En-Curve'!$J$5</c:f>
              <c:strCache>
                <c:ptCount val="1"/>
                <c:pt idx="0">
                  <c:v>G.GEN(HFO)</c:v>
                </c:pt>
              </c:strCache>
            </c:strRef>
          </c:tx>
          <c:spPr>
            <a:pattFill prst="diagBrick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D7-40F9-A333-22FC86709C2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'En-Curve'!$J$6:$J$54</c:f>
              <c:numCache>
                <c:formatCode>0</c:formatCode>
                <c:ptCount val="49"/>
                <c:pt idx="0">
                  <c:v>687</c:v>
                </c:pt>
                <c:pt idx="1">
                  <c:v>676.5</c:v>
                </c:pt>
                <c:pt idx="2">
                  <c:v>666</c:v>
                </c:pt>
                <c:pt idx="3">
                  <c:v>661.5</c:v>
                </c:pt>
                <c:pt idx="4">
                  <c:v>657</c:v>
                </c:pt>
                <c:pt idx="5">
                  <c:v>657.5</c:v>
                </c:pt>
                <c:pt idx="6">
                  <c:v>658</c:v>
                </c:pt>
                <c:pt idx="7">
                  <c:v>641</c:v>
                </c:pt>
                <c:pt idx="8">
                  <c:v>624</c:v>
                </c:pt>
                <c:pt idx="9">
                  <c:v>624</c:v>
                </c:pt>
                <c:pt idx="10">
                  <c:v>624</c:v>
                </c:pt>
                <c:pt idx="11">
                  <c:v>562</c:v>
                </c:pt>
                <c:pt idx="12">
                  <c:v>500</c:v>
                </c:pt>
                <c:pt idx="13">
                  <c:v>492</c:v>
                </c:pt>
                <c:pt idx="14">
                  <c:v>484</c:v>
                </c:pt>
                <c:pt idx="15">
                  <c:v>471.5</c:v>
                </c:pt>
                <c:pt idx="16">
                  <c:v>459</c:v>
                </c:pt>
                <c:pt idx="17">
                  <c:v>445</c:v>
                </c:pt>
                <c:pt idx="18">
                  <c:v>431</c:v>
                </c:pt>
                <c:pt idx="19">
                  <c:v>422.5</c:v>
                </c:pt>
                <c:pt idx="20">
                  <c:v>414</c:v>
                </c:pt>
                <c:pt idx="21">
                  <c:v>416</c:v>
                </c:pt>
                <c:pt idx="22">
                  <c:v>418</c:v>
                </c:pt>
                <c:pt idx="23">
                  <c:v>433.5</c:v>
                </c:pt>
                <c:pt idx="24">
                  <c:v>449</c:v>
                </c:pt>
                <c:pt idx="25">
                  <c:v>458</c:v>
                </c:pt>
                <c:pt idx="26">
                  <c:v>467</c:v>
                </c:pt>
                <c:pt idx="27">
                  <c:v>467</c:v>
                </c:pt>
                <c:pt idx="28">
                  <c:v>467</c:v>
                </c:pt>
                <c:pt idx="29">
                  <c:v>451</c:v>
                </c:pt>
                <c:pt idx="30">
                  <c:v>435</c:v>
                </c:pt>
                <c:pt idx="31">
                  <c:v>500</c:v>
                </c:pt>
                <c:pt idx="32">
                  <c:v>565</c:v>
                </c:pt>
                <c:pt idx="33">
                  <c:v>590</c:v>
                </c:pt>
                <c:pt idx="34">
                  <c:v>615</c:v>
                </c:pt>
                <c:pt idx="35">
                  <c:v>637</c:v>
                </c:pt>
                <c:pt idx="36">
                  <c:v>659</c:v>
                </c:pt>
                <c:pt idx="37">
                  <c:v>699.5</c:v>
                </c:pt>
                <c:pt idx="38">
                  <c:v>740</c:v>
                </c:pt>
                <c:pt idx="39">
                  <c:v>776</c:v>
                </c:pt>
                <c:pt idx="40">
                  <c:v>773</c:v>
                </c:pt>
                <c:pt idx="41">
                  <c:v>775</c:v>
                </c:pt>
                <c:pt idx="42">
                  <c:v>777</c:v>
                </c:pt>
                <c:pt idx="43">
                  <c:v>780</c:v>
                </c:pt>
                <c:pt idx="44">
                  <c:v>783</c:v>
                </c:pt>
                <c:pt idx="45">
                  <c:v>773.5</c:v>
                </c:pt>
                <c:pt idx="46">
                  <c:v>764</c:v>
                </c:pt>
                <c:pt idx="47">
                  <c:v>725.5</c:v>
                </c:pt>
                <c:pt idx="48">
                  <c:v>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88-4145-A723-501E1236CBE2}"/>
            </c:ext>
          </c:extLst>
        </c:ser>
        <c:ser>
          <c:idx val="5"/>
          <c:order val="8"/>
          <c:tx>
            <c:strRef>
              <c:f>'En-Curve'!$F$5</c:f>
              <c:strCache>
                <c:ptCount val="1"/>
                <c:pt idx="0">
                  <c:v>P.GEN(HFO).</c:v>
                </c:pt>
              </c:strCache>
            </c:strRef>
          </c:tx>
          <c:spPr>
            <a:pattFill prst="wdUpDiag">
              <a:fgClr>
                <a:srgbClr val="FFCC0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prstDash val="solid"/>
            </a:ln>
          </c:spPr>
          <c:dLbls>
            <c:dLbl>
              <c:idx val="0"/>
              <c:layout>
                <c:manualLayout>
                  <c:x val="0.34446280248566963"/>
                  <c:y val="-5.054853970640095E-3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Private(HFO</a:t>
                    </a:r>
                    <a:r>
                      <a:rPr lang="en-US"/>
                      <a:t>).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5D7-40F9-A333-22FC86709C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'En-Curve'!$A$6:$A$54</c:f>
              <c:strCache>
                <c:ptCount val="49"/>
                <c:pt idx="0">
                  <c:v>0:00</c:v>
                </c:pt>
                <c:pt idx="1">
                  <c:v>0:30</c:v>
                </c:pt>
                <c:pt idx="2">
                  <c:v>1:00</c:v>
                </c:pt>
                <c:pt idx="3">
                  <c:v>1:30</c:v>
                </c:pt>
                <c:pt idx="4">
                  <c:v>2:00</c:v>
                </c:pt>
                <c:pt idx="5">
                  <c:v>2:30</c:v>
                </c:pt>
                <c:pt idx="6">
                  <c:v>3:00</c:v>
                </c:pt>
                <c:pt idx="7">
                  <c:v>3:30</c:v>
                </c:pt>
                <c:pt idx="8">
                  <c:v>4:00</c:v>
                </c:pt>
                <c:pt idx="9">
                  <c:v>4:30</c:v>
                </c:pt>
                <c:pt idx="10">
                  <c:v>5:00</c:v>
                </c:pt>
                <c:pt idx="11">
                  <c:v>5:30</c:v>
                </c:pt>
                <c:pt idx="12">
                  <c:v>6:00</c:v>
                </c:pt>
                <c:pt idx="13">
                  <c:v>6:30</c:v>
                </c:pt>
                <c:pt idx="14">
                  <c:v>7:00</c:v>
                </c:pt>
                <c:pt idx="15">
                  <c:v>7:30</c:v>
                </c:pt>
                <c:pt idx="16">
                  <c:v>8:00</c:v>
                </c:pt>
                <c:pt idx="17">
                  <c:v>8:30</c:v>
                </c:pt>
                <c:pt idx="18">
                  <c:v>9:00</c:v>
                </c:pt>
                <c:pt idx="19">
                  <c:v>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  <c:pt idx="48">
                  <c:v>24:00</c:v>
                </c:pt>
              </c:strCache>
            </c:strRef>
          </c:cat>
          <c:val>
            <c:numRef>
              <c:f>'En-Curve'!$F$6:$F$54</c:f>
              <c:numCache>
                <c:formatCode>0</c:formatCode>
                <c:ptCount val="49"/>
                <c:pt idx="0">
                  <c:v>2588</c:v>
                </c:pt>
                <c:pt idx="1">
                  <c:v>2433</c:v>
                </c:pt>
                <c:pt idx="2">
                  <c:v>2278</c:v>
                </c:pt>
                <c:pt idx="3">
                  <c:v>2193.5</c:v>
                </c:pt>
                <c:pt idx="4">
                  <c:v>2109</c:v>
                </c:pt>
                <c:pt idx="5">
                  <c:v>2109.5</c:v>
                </c:pt>
                <c:pt idx="6">
                  <c:v>2110</c:v>
                </c:pt>
                <c:pt idx="7">
                  <c:v>2105</c:v>
                </c:pt>
                <c:pt idx="8">
                  <c:v>2100</c:v>
                </c:pt>
                <c:pt idx="9">
                  <c:v>2098</c:v>
                </c:pt>
                <c:pt idx="10">
                  <c:v>2096</c:v>
                </c:pt>
                <c:pt idx="11">
                  <c:v>2039.5</c:v>
                </c:pt>
                <c:pt idx="12">
                  <c:v>1983</c:v>
                </c:pt>
                <c:pt idx="13">
                  <c:v>1983</c:v>
                </c:pt>
                <c:pt idx="14">
                  <c:v>1983</c:v>
                </c:pt>
                <c:pt idx="15">
                  <c:v>1991</c:v>
                </c:pt>
                <c:pt idx="16">
                  <c:v>1999</c:v>
                </c:pt>
                <c:pt idx="17">
                  <c:v>1974.5</c:v>
                </c:pt>
                <c:pt idx="18">
                  <c:v>1950</c:v>
                </c:pt>
                <c:pt idx="19">
                  <c:v>1919.5</c:v>
                </c:pt>
                <c:pt idx="20">
                  <c:v>1889</c:v>
                </c:pt>
                <c:pt idx="21">
                  <c:v>1889.5</c:v>
                </c:pt>
                <c:pt idx="22">
                  <c:v>1890</c:v>
                </c:pt>
                <c:pt idx="23">
                  <c:v>1866.5</c:v>
                </c:pt>
                <c:pt idx="24">
                  <c:v>1843</c:v>
                </c:pt>
                <c:pt idx="25">
                  <c:v>1940</c:v>
                </c:pt>
                <c:pt idx="26">
                  <c:v>2037</c:v>
                </c:pt>
                <c:pt idx="27">
                  <c:v>2037</c:v>
                </c:pt>
                <c:pt idx="28">
                  <c:v>2037</c:v>
                </c:pt>
                <c:pt idx="29">
                  <c:v>2224</c:v>
                </c:pt>
                <c:pt idx="30">
                  <c:v>2411</c:v>
                </c:pt>
                <c:pt idx="31">
                  <c:v>2337.5</c:v>
                </c:pt>
                <c:pt idx="32">
                  <c:v>2264</c:v>
                </c:pt>
                <c:pt idx="33">
                  <c:v>2380.5</c:v>
                </c:pt>
                <c:pt idx="34">
                  <c:v>2497</c:v>
                </c:pt>
                <c:pt idx="35">
                  <c:v>2693</c:v>
                </c:pt>
                <c:pt idx="36">
                  <c:v>2889</c:v>
                </c:pt>
                <c:pt idx="37">
                  <c:v>3010.5</c:v>
                </c:pt>
                <c:pt idx="38">
                  <c:v>3132</c:v>
                </c:pt>
                <c:pt idx="39">
                  <c:v>3446</c:v>
                </c:pt>
                <c:pt idx="40">
                  <c:v>3544</c:v>
                </c:pt>
                <c:pt idx="41">
                  <c:v>3598</c:v>
                </c:pt>
                <c:pt idx="42">
                  <c:v>3652</c:v>
                </c:pt>
                <c:pt idx="43">
                  <c:v>3672</c:v>
                </c:pt>
                <c:pt idx="44">
                  <c:v>3692</c:v>
                </c:pt>
                <c:pt idx="45">
                  <c:v>3507.5</c:v>
                </c:pt>
                <c:pt idx="46">
                  <c:v>3323</c:v>
                </c:pt>
                <c:pt idx="47">
                  <c:v>2955.5</c:v>
                </c:pt>
                <c:pt idx="48">
                  <c:v>2588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C88-4145-A723-501E1236CBE2}"/>
            </c:ext>
          </c:extLst>
        </c:ser>
        <c:ser>
          <c:idx val="11"/>
          <c:order val="9"/>
          <c:tx>
            <c:strRef>
              <c:f>'En-Curve'!$I$5</c:f>
              <c:strCache>
                <c:ptCount val="1"/>
                <c:pt idx="0">
                  <c:v>G.GEN(HSD)</c:v>
                </c:pt>
              </c:strCache>
            </c:strRef>
          </c:tx>
          <c:val>
            <c:numRef>
              <c:f>'En-Curve'!$I$6:$I$54</c:f>
              <c:numCache>
                <c:formatCode>0</c:formatCode>
                <c:ptCount val="49"/>
                <c:pt idx="0">
                  <c:v>438</c:v>
                </c:pt>
                <c:pt idx="1">
                  <c:v>434.5</c:v>
                </c:pt>
                <c:pt idx="2">
                  <c:v>431</c:v>
                </c:pt>
                <c:pt idx="3">
                  <c:v>434</c:v>
                </c:pt>
                <c:pt idx="4">
                  <c:v>437</c:v>
                </c:pt>
                <c:pt idx="5">
                  <c:v>439</c:v>
                </c:pt>
                <c:pt idx="6">
                  <c:v>441</c:v>
                </c:pt>
                <c:pt idx="7">
                  <c:v>441</c:v>
                </c:pt>
                <c:pt idx="8">
                  <c:v>441</c:v>
                </c:pt>
                <c:pt idx="9">
                  <c:v>441</c:v>
                </c:pt>
                <c:pt idx="10">
                  <c:v>441</c:v>
                </c:pt>
                <c:pt idx="11">
                  <c:v>440</c:v>
                </c:pt>
                <c:pt idx="12">
                  <c:v>439</c:v>
                </c:pt>
                <c:pt idx="13">
                  <c:v>439</c:v>
                </c:pt>
                <c:pt idx="14">
                  <c:v>439</c:v>
                </c:pt>
                <c:pt idx="15">
                  <c:v>438.5</c:v>
                </c:pt>
                <c:pt idx="16">
                  <c:v>438</c:v>
                </c:pt>
                <c:pt idx="17">
                  <c:v>436</c:v>
                </c:pt>
                <c:pt idx="18">
                  <c:v>434</c:v>
                </c:pt>
                <c:pt idx="19">
                  <c:v>431</c:v>
                </c:pt>
                <c:pt idx="20">
                  <c:v>428</c:v>
                </c:pt>
                <c:pt idx="21">
                  <c:v>427.5</c:v>
                </c:pt>
                <c:pt idx="22">
                  <c:v>427</c:v>
                </c:pt>
                <c:pt idx="23">
                  <c:v>427</c:v>
                </c:pt>
                <c:pt idx="24">
                  <c:v>427</c:v>
                </c:pt>
                <c:pt idx="25">
                  <c:v>413.5</c:v>
                </c:pt>
                <c:pt idx="26">
                  <c:v>400</c:v>
                </c:pt>
                <c:pt idx="27">
                  <c:v>400</c:v>
                </c:pt>
                <c:pt idx="28">
                  <c:v>400</c:v>
                </c:pt>
                <c:pt idx="29">
                  <c:v>375.5</c:v>
                </c:pt>
                <c:pt idx="30">
                  <c:v>351</c:v>
                </c:pt>
                <c:pt idx="31">
                  <c:v>374</c:v>
                </c:pt>
                <c:pt idx="32">
                  <c:v>397</c:v>
                </c:pt>
                <c:pt idx="33">
                  <c:v>416</c:v>
                </c:pt>
                <c:pt idx="34">
                  <c:v>435</c:v>
                </c:pt>
                <c:pt idx="35">
                  <c:v>435</c:v>
                </c:pt>
                <c:pt idx="36">
                  <c:v>435</c:v>
                </c:pt>
                <c:pt idx="37">
                  <c:v>434.5</c:v>
                </c:pt>
                <c:pt idx="38">
                  <c:v>434</c:v>
                </c:pt>
                <c:pt idx="39">
                  <c:v>439</c:v>
                </c:pt>
                <c:pt idx="40">
                  <c:v>441</c:v>
                </c:pt>
                <c:pt idx="41">
                  <c:v>441</c:v>
                </c:pt>
                <c:pt idx="42">
                  <c:v>441</c:v>
                </c:pt>
                <c:pt idx="43">
                  <c:v>440</c:v>
                </c:pt>
                <c:pt idx="44">
                  <c:v>439</c:v>
                </c:pt>
                <c:pt idx="45">
                  <c:v>438.5</c:v>
                </c:pt>
                <c:pt idx="46">
                  <c:v>438</c:v>
                </c:pt>
                <c:pt idx="47">
                  <c:v>438</c:v>
                </c:pt>
                <c:pt idx="48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D7-40F9-A333-22FC86709C2A}"/>
            </c:ext>
          </c:extLst>
        </c:ser>
        <c:ser>
          <c:idx val="8"/>
          <c:order val="10"/>
          <c:tx>
            <c:strRef>
              <c:f>'En-Curve'!$E$5</c:f>
              <c:strCache>
                <c:ptCount val="1"/>
                <c:pt idx="0">
                  <c:v>P.GEN(HSD)</c:v>
                </c:pt>
              </c:strCache>
            </c:strRef>
          </c:tx>
          <c:spPr>
            <a:solidFill>
              <a:srgbClr val="4F81BD"/>
            </a:solidFill>
          </c:spPr>
          <c:val>
            <c:numRef>
              <c:f>'En-Curve'!$E$6:$E$54</c:f>
              <c:numCache>
                <c:formatCode>0</c:formatCode>
                <c:ptCount val="49"/>
                <c:pt idx="0">
                  <c:v>934</c:v>
                </c:pt>
                <c:pt idx="1">
                  <c:v>467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50</c:v>
                </c:pt>
                <c:pt idx="30">
                  <c:v>100</c:v>
                </c:pt>
                <c:pt idx="31">
                  <c:v>220.5</c:v>
                </c:pt>
                <c:pt idx="32">
                  <c:v>341</c:v>
                </c:pt>
                <c:pt idx="33">
                  <c:v>403</c:v>
                </c:pt>
                <c:pt idx="34">
                  <c:v>465</c:v>
                </c:pt>
                <c:pt idx="35">
                  <c:v>439.5</c:v>
                </c:pt>
                <c:pt idx="36">
                  <c:v>414</c:v>
                </c:pt>
                <c:pt idx="37">
                  <c:v>588.5</c:v>
                </c:pt>
                <c:pt idx="38">
                  <c:v>763</c:v>
                </c:pt>
                <c:pt idx="39">
                  <c:v>711</c:v>
                </c:pt>
                <c:pt idx="40">
                  <c:v>714</c:v>
                </c:pt>
                <c:pt idx="41">
                  <c:v>828.5</c:v>
                </c:pt>
                <c:pt idx="42">
                  <c:v>943</c:v>
                </c:pt>
                <c:pt idx="43">
                  <c:v>870</c:v>
                </c:pt>
                <c:pt idx="44">
                  <c:v>797</c:v>
                </c:pt>
                <c:pt idx="45">
                  <c:v>875</c:v>
                </c:pt>
                <c:pt idx="46">
                  <c:v>953</c:v>
                </c:pt>
                <c:pt idx="47">
                  <c:v>943.5</c:v>
                </c:pt>
                <c:pt idx="48">
                  <c:v>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D7-40F9-A333-22FC86709C2A}"/>
            </c:ext>
          </c:extLst>
        </c:ser>
        <c:ser>
          <c:idx val="10"/>
          <c:order val="11"/>
          <c:tx>
            <c:strRef>
              <c:f>'En-Curve'!$M$5</c:f>
              <c:strCache>
                <c:ptCount val="1"/>
                <c:pt idx="0">
                  <c:v>SHORTAGE</c:v>
                </c:pt>
              </c:strCache>
            </c:strRef>
          </c:tx>
          <c:spPr>
            <a:solidFill>
              <a:srgbClr val="FF0000"/>
            </a:solidFill>
            <a:effectLst>
              <a:outerShdw blurRad="50800" dist="50800" dir="5400000" sx="101000" sy="101000" algn="ctr" rotWithShape="0">
                <a:srgbClr val="FF0000"/>
              </a:outerShdw>
            </a:effectLst>
          </c:spPr>
          <c:val>
            <c:numRef>
              <c:f>'En-Curve'!$M$6:$M$54</c:f>
              <c:numCache>
                <c:formatCode>0</c:formatCode>
                <c:ptCount val="49"/>
                <c:pt idx="0">
                  <c:v>0</c:v>
                </c:pt>
                <c:pt idx="1">
                  <c:v>769.05433749999975</c:v>
                </c:pt>
                <c:pt idx="2">
                  <c:v>1538.1086749999995</c:v>
                </c:pt>
                <c:pt idx="3">
                  <c:v>1609.0699499999992</c:v>
                </c:pt>
                <c:pt idx="4">
                  <c:v>1680.0312249999988</c:v>
                </c:pt>
                <c:pt idx="5">
                  <c:v>1634.8740499999994</c:v>
                </c:pt>
                <c:pt idx="6">
                  <c:v>1589.7168750000001</c:v>
                </c:pt>
                <c:pt idx="7">
                  <c:v>1571.2853749999995</c:v>
                </c:pt>
                <c:pt idx="8">
                  <c:v>1552.8538749999989</c:v>
                </c:pt>
                <c:pt idx="9">
                  <c:v>1400.3332124999997</c:v>
                </c:pt>
                <c:pt idx="10">
                  <c:v>1247.8125500000006</c:v>
                </c:pt>
                <c:pt idx="11">
                  <c:v>1167.6355250000006</c:v>
                </c:pt>
                <c:pt idx="12">
                  <c:v>1087.4585000000006</c:v>
                </c:pt>
                <c:pt idx="13">
                  <c:v>1027.5561250000001</c:v>
                </c:pt>
                <c:pt idx="14">
                  <c:v>967.65374999999949</c:v>
                </c:pt>
                <c:pt idx="15">
                  <c:v>1133.5372499999994</c:v>
                </c:pt>
                <c:pt idx="16">
                  <c:v>1299.4207499999993</c:v>
                </c:pt>
                <c:pt idx="17">
                  <c:v>1456.5492875</c:v>
                </c:pt>
                <c:pt idx="18">
                  <c:v>1613.6778250000007</c:v>
                </c:pt>
                <c:pt idx="19">
                  <c:v>1795.2281000000003</c:v>
                </c:pt>
                <c:pt idx="20">
                  <c:v>1976.7783749999999</c:v>
                </c:pt>
                <c:pt idx="21">
                  <c:v>2001.2001124999997</c:v>
                </c:pt>
                <c:pt idx="22">
                  <c:v>2025.6218499999995</c:v>
                </c:pt>
                <c:pt idx="23">
                  <c:v>2159.7110124999999</c:v>
                </c:pt>
                <c:pt idx="24">
                  <c:v>2293.8001750000003</c:v>
                </c:pt>
                <c:pt idx="25">
                  <c:v>2125.6127374999996</c:v>
                </c:pt>
                <c:pt idx="26">
                  <c:v>1957.425299999999</c:v>
                </c:pt>
                <c:pt idx="27">
                  <c:v>1957.425299999999</c:v>
                </c:pt>
                <c:pt idx="28">
                  <c:v>1957.425299999999</c:v>
                </c:pt>
                <c:pt idx="29">
                  <c:v>1920.7126499999995</c:v>
                </c:pt>
                <c:pt idx="30">
                  <c:v>1884</c:v>
                </c:pt>
                <c:pt idx="31">
                  <c:v>1844</c:v>
                </c:pt>
                <c:pt idx="32">
                  <c:v>1804</c:v>
                </c:pt>
                <c:pt idx="33">
                  <c:v>1545</c:v>
                </c:pt>
                <c:pt idx="34">
                  <c:v>1286</c:v>
                </c:pt>
                <c:pt idx="35">
                  <c:v>1020.8457500000004</c:v>
                </c:pt>
                <c:pt idx="36">
                  <c:v>755.69150000000081</c:v>
                </c:pt>
                <c:pt idx="37">
                  <c:v>921.84575000000041</c:v>
                </c:pt>
                <c:pt idx="38">
                  <c:v>1088</c:v>
                </c:pt>
                <c:pt idx="39">
                  <c:v>1072.7132999999994</c:v>
                </c:pt>
                <c:pt idx="40">
                  <c:v>1207.26325</c:v>
                </c:pt>
                <c:pt idx="41">
                  <c:v>1051.9778624999999</c:v>
                </c:pt>
                <c:pt idx="42">
                  <c:v>896.69247499999983</c:v>
                </c:pt>
                <c:pt idx="43">
                  <c:v>852.45687499999985</c:v>
                </c:pt>
                <c:pt idx="44">
                  <c:v>808.22127499999988</c:v>
                </c:pt>
                <c:pt idx="45">
                  <c:v>821.58411250000063</c:v>
                </c:pt>
                <c:pt idx="46">
                  <c:v>834.94695000000138</c:v>
                </c:pt>
                <c:pt idx="47">
                  <c:v>417.47347500000069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D7-40F9-A333-22FC86709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54688"/>
        <c:axId val="114807168"/>
      </c:areaChart>
      <c:catAx>
        <c:axId val="114754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layout>
            <c:manualLayout>
              <c:xMode val="edge"/>
              <c:yMode val="edge"/>
              <c:x val="0.51437463179576759"/>
              <c:y val="0.97559857928237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114807168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114807168"/>
        <c:scaling>
          <c:orientation val="minMax"/>
          <c:max val="15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MW</a:t>
                </a:r>
              </a:p>
            </c:rich>
          </c:tx>
          <c:layout>
            <c:manualLayout>
              <c:xMode val="edge"/>
              <c:yMode val="edge"/>
              <c:x val="5.010777646199914E-3"/>
              <c:y val="0.322875674166135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33996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14754688"/>
        <c:crosses val="autoZero"/>
        <c:crossBetween val="midCat"/>
        <c:majorUnit val="500"/>
        <c:minorUnit val="50"/>
      </c:valAx>
      <c:spPr>
        <a:noFill/>
        <a:ln w="25400">
          <a:solidFill>
            <a:srgbClr val="006600"/>
          </a:solidFill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FF0000"/>
          </a:solidFill>
          <a:latin typeface="Arial" pitchFamily="34" charset="0"/>
          <a:ea typeface="Arial"/>
          <a:cs typeface="Arial" pitchFamily="34" charset="0"/>
        </a:defRPr>
      </a:pPr>
      <a:endParaRPr lang="en-US"/>
    </a:p>
  </c:txPr>
  <c:printSettings>
    <c:headerFooter alignWithMargins="0"/>
    <c:pageMargins b="1" l="0.75000000000001665" r="0.75000000000001665" t="1" header="0.5" footer="0.5"/>
    <c:pageSetup paperSize="9" orientation="portrait"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0</xdr:rowOff>
        </xdr:from>
        <xdr:to>
          <xdr:col>0</xdr:col>
          <xdr:colOff>2428875</xdr:colOff>
          <xdr:row>35</xdr:row>
          <xdr:rowOff>247650</xdr:rowOff>
        </xdr:to>
        <xdr:sp macro="" textlink="">
          <xdr:nvSpPr>
            <xdr:cNvPr id="2049" name="CBtnTransfer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219075</xdr:rowOff>
        </xdr:from>
        <xdr:to>
          <xdr:col>0</xdr:col>
          <xdr:colOff>2028825</xdr:colOff>
          <xdr:row>44</xdr:row>
          <xdr:rowOff>104775</xdr:rowOff>
        </xdr:to>
        <xdr:sp macro="" textlink="">
          <xdr:nvSpPr>
            <xdr:cNvPr id="2053" name="CBtnAddMachin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171450</xdr:rowOff>
        </xdr:from>
        <xdr:to>
          <xdr:col>0</xdr:col>
          <xdr:colOff>2028825</xdr:colOff>
          <xdr:row>46</xdr:row>
          <xdr:rowOff>19050</xdr:rowOff>
        </xdr:to>
        <xdr:sp macro="" textlink="">
          <xdr:nvSpPr>
            <xdr:cNvPr id="2054" name="CBtnDeleteMachin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46</xdr:row>
          <xdr:rowOff>371475</xdr:rowOff>
        </xdr:from>
        <xdr:to>
          <xdr:col>0</xdr:col>
          <xdr:colOff>2028825</xdr:colOff>
          <xdr:row>48</xdr:row>
          <xdr:rowOff>104775</xdr:rowOff>
        </xdr:to>
        <xdr:sp macro="" textlink="">
          <xdr:nvSpPr>
            <xdr:cNvPr id="2055" name="CBtnAddToRepor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48</xdr:row>
          <xdr:rowOff>161925</xdr:rowOff>
        </xdr:from>
        <xdr:to>
          <xdr:col>0</xdr:col>
          <xdr:colOff>2028825</xdr:colOff>
          <xdr:row>49</xdr:row>
          <xdr:rowOff>314325</xdr:rowOff>
        </xdr:to>
        <xdr:sp macro="" textlink="">
          <xdr:nvSpPr>
            <xdr:cNvPr id="2056" name="CBtDeleteFromRepor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180975</xdr:rowOff>
        </xdr:from>
        <xdr:to>
          <xdr:col>0</xdr:col>
          <xdr:colOff>2466975</xdr:colOff>
          <xdr:row>40</xdr:row>
          <xdr:rowOff>133350</xdr:rowOff>
        </xdr:to>
        <xdr:sp macro="" textlink="">
          <xdr:nvSpPr>
            <xdr:cNvPr id="2057" name="CBtnCreateDailyReport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152400</xdr:rowOff>
        </xdr:from>
        <xdr:to>
          <xdr:col>0</xdr:col>
          <xdr:colOff>2466975</xdr:colOff>
          <xdr:row>38</xdr:row>
          <xdr:rowOff>47625</xdr:rowOff>
        </xdr:to>
        <xdr:sp macro="" textlink="">
          <xdr:nvSpPr>
            <xdr:cNvPr id="2058" name="CBtnCreateMorningReport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50</xdr:row>
          <xdr:rowOff>38100</xdr:rowOff>
        </xdr:from>
        <xdr:to>
          <xdr:col>0</xdr:col>
          <xdr:colOff>2428875</xdr:colOff>
          <xdr:row>51</xdr:row>
          <xdr:rowOff>57150</xdr:rowOff>
        </xdr:to>
        <xdr:sp macro="" textlink="">
          <xdr:nvSpPr>
            <xdr:cNvPr id="2061" name="CBoxLoca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41</xdr:row>
          <xdr:rowOff>38100</xdr:rowOff>
        </xdr:from>
        <xdr:to>
          <xdr:col>0</xdr:col>
          <xdr:colOff>2476500</xdr:colOff>
          <xdr:row>42</xdr:row>
          <xdr:rowOff>142875</xdr:rowOff>
        </xdr:to>
        <xdr:sp macro="" textlink="">
          <xdr:nvSpPr>
            <xdr:cNvPr id="2062" name="CBox_Insert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694532</xdr:colOff>
      <xdr:row>0</xdr:row>
      <xdr:rowOff>0</xdr:rowOff>
    </xdr:from>
    <xdr:to>
      <xdr:col>3</xdr:col>
      <xdr:colOff>783829</xdr:colOff>
      <xdr:row>1</xdr:row>
      <xdr:rowOff>367508</xdr:rowOff>
    </xdr:to>
    <xdr:pic>
      <xdr:nvPicPr>
        <xdr:cNvPr id="2" name="Picture 1" descr="C:\Users\NLDC\Desktop\download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lum bright="10000"/>
        </a:blip>
        <a:srcRect r="1183" b="17045"/>
        <a:stretch>
          <a:fillRect/>
        </a:stretch>
      </xdr:blipFill>
      <xdr:spPr bwMode="auto">
        <a:xfrm>
          <a:off x="1218407" y="0"/>
          <a:ext cx="908447" cy="777083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533400</xdr:rowOff>
        </xdr:from>
        <xdr:to>
          <xdr:col>14</xdr:col>
          <xdr:colOff>142875</xdr:colOff>
          <xdr:row>6</xdr:row>
          <xdr:rowOff>85725</xdr:rowOff>
        </xdr:to>
        <xdr:sp macro="" textlink="">
          <xdr:nvSpPr>
            <xdr:cNvPr id="6147" name="CBnUpdatePeak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8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4</xdr:row>
          <xdr:rowOff>504825</xdr:rowOff>
        </xdr:from>
        <xdr:to>
          <xdr:col>15</xdr:col>
          <xdr:colOff>390525</xdr:colOff>
          <xdr:row>6</xdr:row>
          <xdr:rowOff>57150</xdr:rowOff>
        </xdr:to>
        <xdr:sp macro="" textlink="">
          <xdr:nvSpPr>
            <xdr:cNvPr id="6148" name="CmdBtn_Create_EvReport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5</xdr:row>
      <xdr:rowOff>110491</xdr:rowOff>
    </xdr:from>
    <xdr:to>
      <xdr:col>17</xdr:col>
      <xdr:colOff>0</xdr:colOff>
      <xdr:row>39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1905</xdr:colOff>
      <xdr:row>7</xdr:row>
      <xdr:rowOff>156210</xdr:rowOff>
    </xdr:from>
    <xdr:to>
      <xdr:col>16</xdr:col>
      <xdr:colOff>89534</xdr:colOff>
      <xdr:row>8</xdr:row>
      <xdr:rowOff>160021</xdr:rowOff>
    </xdr:to>
    <xdr:sp macro="" textlink="AA9">
      <xdr:nvSpPr>
        <xdr:cNvPr id="3" name="Text Box 29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>
          <a:spLocks noChangeArrowheads="1"/>
        </xdr:cNvSpPr>
      </xdr:nvSpPr>
      <xdr:spPr bwMode="auto">
        <a:xfrm>
          <a:off x="10374630" y="1784985"/>
          <a:ext cx="1306829" cy="1847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fld id="{CF192C34-7A9C-4B70-92B8-AE098F1FDC7E}" type="TxLink">
            <a:rPr lang="en-US" sz="1050" b="1" i="0" strike="noStrike" baseline="0">
              <a:solidFill>
                <a:srgbClr val="000080"/>
              </a:solidFill>
              <a:latin typeface="Arial" pitchFamily="34" charset="0"/>
              <a:cs typeface="Arial" pitchFamily="34" charset="0"/>
            </a:rPr>
            <a:pPr algn="l" rtl="1">
              <a:defRPr sz="1000"/>
            </a:pPr>
            <a:t>13227 MW (21:00 )</a:t>
          </a:fld>
          <a:endParaRPr lang="en-US" sz="1000" b="1" i="0" strike="noStrike">
            <a:solidFill>
              <a:srgbClr val="00008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11</xdr:col>
      <xdr:colOff>577215</xdr:colOff>
      <xdr:row>9</xdr:row>
      <xdr:rowOff>49531</xdr:rowOff>
    </xdr:from>
    <xdr:to>
      <xdr:col>13</xdr:col>
      <xdr:colOff>262889</xdr:colOff>
      <xdr:row>10</xdr:row>
      <xdr:rowOff>112396</xdr:rowOff>
    </xdr:to>
    <xdr:sp macro="" textlink="AA11">
      <xdr:nvSpPr>
        <xdr:cNvPr id="4" name="Text Box 29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>
          <a:spLocks noChangeArrowheads="1"/>
        </xdr:cNvSpPr>
      </xdr:nvSpPr>
      <xdr:spPr bwMode="auto">
        <a:xfrm>
          <a:off x="8749665" y="2049781"/>
          <a:ext cx="1276349" cy="2533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fld id="{C34C113F-2342-4354-9C2E-4B003882D26A}" type="TxLink">
            <a:rPr lang="en-US" sz="1050" b="1" i="0" strike="noStrike" baseline="0">
              <a:solidFill>
                <a:srgbClr val="000080"/>
              </a:solidFill>
              <a:latin typeface="Arial" pitchFamily="34" charset="0"/>
              <a:cs typeface="Arial" pitchFamily="34" charset="0"/>
            </a:rPr>
            <a:pPr algn="l" rtl="1">
              <a:defRPr sz="1000"/>
            </a:pPr>
            <a:t>10149 MW (09:00 )</a:t>
          </a:fld>
          <a:endParaRPr lang="en-US" sz="1050" b="1" i="0" strike="noStrike">
            <a:solidFill>
              <a:srgbClr val="000080"/>
            </a:solidFill>
            <a:latin typeface="Times New Roman" pitchFamily="18" charset="0"/>
            <a:cs typeface="Times New Roman" pitchFamily="18" charset="0"/>
          </a:endParaRP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0.99165</cdr:x>
      <cdr:y>0.99089</cdr:y>
    </cdr:from>
    <cdr:to>
      <cdr:x>0.99165</cdr:x>
      <cdr:y>0.99089</cdr:y>
    </cdr:to>
    <cdr:sp macro="" textlink="">
      <cdr:nvSpPr>
        <cdr:cNvPr id="51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31030" y="518477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1931.5 MW (09:00)</a:t>
          </a: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 MW (11:00)</a:t>
          </a:r>
        </a:p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0 MW(12:00)</a:t>
          </a:r>
        </a:p>
      </cdr:txBody>
    </cdr:sp>
  </cdr:relSizeAnchor>
  <cdr:relSizeAnchor xmlns:cdr="http://schemas.openxmlformats.org/drawingml/2006/chartDrawing">
    <cdr:from>
      <cdr:x>0.9919</cdr:x>
      <cdr:y>0.99089</cdr:y>
    </cdr:from>
    <cdr:to>
      <cdr:x>0.9919</cdr:x>
      <cdr:y>0.99089</cdr:y>
    </cdr:to>
    <cdr:sp macro="" textlink="">
      <cdr:nvSpPr>
        <cdr:cNvPr id="512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32475" y="518477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2484.4 MW (19:00)</a:t>
          </a:r>
        </a:p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0)</a:t>
          </a: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0)</a:t>
          </a:r>
        </a:p>
        <a:p xmlns:a="http://schemas.openxmlformats.org/drawingml/2006/main">
          <a:pPr algn="l" rtl="0">
            <a:defRPr sz="1000"/>
          </a:pPr>
          <a:r>
            <a:rPr lang="en-US" sz="925" b="0" i="0" strike="noStrike">
              <a:solidFill>
                <a:srgbClr val="0000FF"/>
              </a:solidFill>
              <a:latin typeface="Arial"/>
              <a:cs typeface="Arial"/>
            </a:rPr>
            <a:t>00)</a:t>
          </a: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endParaRPr lang="en-US" sz="925" b="0" i="0" strike="noStrike">
            <a:solidFill>
              <a:srgbClr val="0000FF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0.98377</cdr:x>
      <cdr:y>0.95631</cdr:y>
    </cdr:from>
    <cdr:to>
      <cdr:x>0.98084</cdr:x>
      <cdr:y>0.95632</cdr:y>
    </cdr:to>
    <cdr:sp macro="" textlink="">
      <cdr:nvSpPr>
        <cdr:cNvPr id="5125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32475" y="5184775"/>
          <a:ext cx="95398" cy="2284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146539</xdr:colOff>
      <xdr:row>4</xdr:row>
      <xdr:rowOff>138166</xdr:rowOff>
    </xdr:from>
    <xdr:to>
      <xdr:col>25</xdr:col>
      <xdr:colOff>464736</xdr:colOff>
      <xdr:row>51</xdr:row>
      <xdr:rowOff>79550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25</xdr:col>
      <xdr:colOff>161925</xdr:colOff>
      <xdr:row>38</xdr:row>
      <xdr:rowOff>95250</xdr:rowOff>
    </xdr:from>
    <xdr:ext cx="781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17945100" y="7496175"/>
          <a:ext cx="7810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100" b="1"/>
        </a:p>
      </xdr:txBody>
    </xdr:sp>
    <xdr:clientData/>
  </xdr:oneCellAnchor>
  <xdr:oneCellAnchor>
    <xdr:from>
      <xdr:col>31</xdr:col>
      <xdr:colOff>485775</xdr:colOff>
      <xdr:row>5</xdr:row>
      <xdr:rowOff>123825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21736050" y="1238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22</xdr:col>
      <xdr:colOff>764192</xdr:colOff>
      <xdr:row>48</xdr:row>
      <xdr:rowOff>62663</xdr:rowOff>
    </xdr:from>
    <xdr:ext cx="593055" cy="254493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 txBox="1"/>
      </xdr:nvSpPr>
      <xdr:spPr>
        <a:xfrm rot="10800000" flipV="1">
          <a:off x="16556642" y="9378113"/>
          <a:ext cx="59305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100" b="1">
            <a:solidFill>
              <a:srgbClr val="FF33CC"/>
            </a:solidFill>
            <a:latin typeface="Times New Roman" pitchFamily="18" charset="0"/>
            <a:cs typeface="Times New Roman" pitchFamily="18" charset="0"/>
          </a:endParaRPr>
        </a:p>
      </xdr:txBody>
    </xdr:sp>
    <xdr:clientData/>
  </xdr:oneCellAnchor>
  <xdr:oneCellAnchor>
    <xdr:from>
      <xdr:col>19</xdr:col>
      <xdr:colOff>381000</xdr:colOff>
      <xdr:row>22</xdr:row>
      <xdr:rowOff>76200</xdr:rowOff>
    </xdr:from>
    <xdr:ext cx="43238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13544550" y="4429125"/>
          <a:ext cx="4323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29</xdr:col>
      <xdr:colOff>504825</xdr:colOff>
      <xdr:row>3</xdr:row>
      <xdr:rowOff>47625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 txBox="1"/>
      </xdr:nvSpPr>
      <xdr:spPr>
        <a:xfrm>
          <a:off x="20535900" y="76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30</xdr:col>
      <xdr:colOff>495300</xdr:colOff>
      <xdr:row>5</xdr:row>
      <xdr:rowOff>114300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 txBox="1"/>
      </xdr:nvSpPr>
      <xdr:spPr>
        <a:xfrm>
          <a:off x="21135975" y="1228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29</xdr:col>
      <xdr:colOff>285750</xdr:colOff>
      <xdr:row>5</xdr:row>
      <xdr:rowOff>76200</xdr:rowOff>
    </xdr:from>
    <xdr:ext cx="942975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 txBox="1"/>
      </xdr:nvSpPr>
      <xdr:spPr>
        <a:xfrm>
          <a:off x="20316825" y="1190625"/>
          <a:ext cx="9429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21</xdr:col>
      <xdr:colOff>89297</xdr:colOff>
      <xdr:row>27</xdr:row>
      <xdr:rowOff>148827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 txBox="1"/>
      </xdr:nvSpPr>
      <xdr:spPr>
        <a:xfrm>
          <a:off x="14710172" y="54542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>
            <a:solidFill>
              <a:srgbClr val="FF33CC"/>
            </a:solidFill>
          </a:endParaRPr>
        </a:p>
      </xdr:txBody>
    </xdr:sp>
    <xdr:clientData/>
  </xdr:oneCellAnchor>
  <xdr:oneCellAnchor>
    <xdr:from>
      <xdr:col>20</xdr:col>
      <xdr:colOff>295743</xdr:colOff>
      <xdr:row>40</xdr:row>
      <xdr:rowOff>7818</xdr:rowOff>
    </xdr:from>
    <xdr:ext cx="1180644" cy="342786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 txBox="1"/>
      </xdr:nvSpPr>
      <xdr:spPr>
        <a:xfrm>
          <a:off x="14249868" y="7961193"/>
          <a:ext cx="118064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600" b="1"/>
            <a:t>Public(GAS)</a:t>
          </a:r>
        </a:p>
      </xdr:txBody>
    </xdr:sp>
    <xdr:clientData/>
  </xdr:oneCellAnchor>
  <xdr:oneCellAnchor>
    <xdr:from>
      <xdr:col>23</xdr:col>
      <xdr:colOff>418167</xdr:colOff>
      <xdr:row>11</xdr:row>
      <xdr:rowOff>150599</xdr:rowOff>
    </xdr:from>
    <xdr:ext cx="90917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 txBox="1"/>
      </xdr:nvSpPr>
      <xdr:spPr>
        <a:xfrm>
          <a:off x="17159755" y="2571070"/>
          <a:ext cx="9091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100" b="1"/>
            <a:t>Public(HSD)</a:t>
          </a:r>
        </a:p>
      </xdr:txBody>
    </xdr:sp>
    <xdr:clientData/>
  </xdr:oneCellAnchor>
  <xdr:oneCellAnchor>
    <xdr:from>
      <xdr:col>24</xdr:col>
      <xdr:colOff>64393</xdr:colOff>
      <xdr:row>13</xdr:row>
      <xdr:rowOff>86201</xdr:rowOff>
    </xdr:from>
    <xdr:ext cx="184731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 txBox="1"/>
      </xdr:nvSpPr>
      <xdr:spPr>
        <a:xfrm>
          <a:off x="17237968" y="27055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17</xdr:col>
      <xdr:colOff>949701</xdr:colOff>
      <xdr:row>32</xdr:row>
      <xdr:rowOff>58806</xdr:rowOff>
    </xdr:from>
    <xdr:ext cx="911225" cy="311496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 txBox="1"/>
      </xdr:nvSpPr>
      <xdr:spPr>
        <a:xfrm>
          <a:off x="11909054" y="6502188"/>
          <a:ext cx="91122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>
              <a:solidFill>
                <a:srgbClr val="000000"/>
              </a:solidFill>
            </a:rPr>
            <a:t>HVDC</a:t>
          </a:r>
        </a:p>
      </xdr:txBody>
    </xdr:sp>
    <xdr:clientData/>
  </xdr:oneCellAnchor>
  <xdr:oneCellAnchor>
    <xdr:from>
      <xdr:col>18</xdr:col>
      <xdr:colOff>533400</xdr:colOff>
      <xdr:row>18</xdr:row>
      <xdr:rowOff>152400</xdr:rowOff>
    </xdr:from>
    <xdr:ext cx="184731" cy="28020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 txBox="1"/>
      </xdr:nvSpPr>
      <xdr:spPr>
        <a:xfrm>
          <a:off x="12801600" y="3724275"/>
          <a:ext cx="1847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200" b="1"/>
        </a:p>
      </xdr:txBody>
    </xdr:sp>
    <xdr:clientData/>
  </xdr:oneCellAnchor>
  <xdr:oneCellAnchor>
    <xdr:from>
      <xdr:col>17</xdr:col>
      <xdr:colOff>1019298</xdr:colOff>
      <xdr:row>29</xdr:row>
      <xdr:rowOff>41996</xdr:rowOff>
    </xdr:from>
    <xdr:ext cx="786673" cy="311496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 txBox="1"/>
      </xdr:nvSpPr>
      <xdr:spPr>
        <a:xfrm rot="235675" flipH="1">
          <a:off x="11978651" y="5913878"/>
          <a:ext cx="78667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400" b="1">
              <a:solidFill>
                <a:srgbClr val="FF33CC"/>
              </a:solidFill>
            </a:rPr>
            <a:t>COAL</a:t>
          </a:r>
        </a:p>
      </xdr:txBody>
    </xdr:sp>
    <xdr:clientData/>
  </xdr:oneCellAnchor>
  <xdr:oneCellAnchor>
    <xdr:from>
      <xdr:col>24</xdr:col>
      <xdr:colOff>533401</xdr:colOff>
      <xdr:row>25</xdr:row>
      <xdr:rowOff>161925</xdr:rowOff>
    </xdr:from>
    <xdr:ext cx="581023" cy="311496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 txBox="1"/>
      </xdr:nvSpPr>
      <xdr:spPr>
        <a:xfrm>
          <a:off x="17706976" y="5086350"/>
          <a:ext cx="5810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400" b="1"/>
        </a:p>
      </xdr:txBody>
    </xdr:sp>
    <xdr:clientData/>
  </xdr:oneCellAnchor>
  <xdr:oneCellAnchor>
    <xdr:from>
      <xdr:col>22</xdr:col>
      <xdr:colOff>762000</xdr:colOff>
      <xdr:row>11</xdr:row>
      <xdr:rowOff>159936</xdr:rowOff>
    </xdr:from>
    <xdr:ext cx="390826" cy="342786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 txBox="1"/>
      </xdr:nvSpPr>
      <xdr:spPr>
        <a:xfrm>
          <a:off x="16554450" y="2398311"/>
          <a:ext cx="390826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US" sz="1600" b="1"/>
        </a:p>
      </xdr:txBody>
    </xdr:sp>
    <xdr:clientData/>
  </xdr:oneCellAnchor>
  <xdr:oneCellAnchor>
    <xdr:from>
      <xdr:col>27</xdr:col>
      <xdr:colOff>323850</xdr:colOff>
      <xdr:row>47</xdr:row>
      <xdr:rowOff>161925</xdr:rowOff>
    </xdr:from>
    <xdr:ext cx="184731" cy="264560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 txBox="1"/>
      </xdr:nvSpPr>
      <xdr:spPr>
        <a:xfrm>
          <a:off x="18935700" y="9286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 b="1"/>
        </a:p>
      </xdr:txBody>
    </xdr:sp>
    <xdr:clientData/>
  </xdr:oneCellAnchor>
  <xdr:oneCellAnchor>
    <xdr:from>
      <xdr:col>19</xdr:col>
      <xdr:colOff>207330</xdr:colOff>
      <xdr:row>30</xdr:row>
      <xdr:rowOff>121364</xdr:rowOff>
    </xdr:from>
    <xdr:ext cx="610745" cy="26456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 txBox="1"/>
      </xdr:nvSpPr>
      <xdr:spPr>
        <a:xfrm>
          <a:off x="13542330" y="6183746"/>
          <a:ext cx="61074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 b="1"/>
            <a:t>HYDRO</a:t>
          </a:r>
        </a:p>
      </xdr:txBody>
    </xdr:sp>
    <xdr:clientData/>
  </xdr:oneCellAnchor>
  <xdr:twoCellAnchor>
    <xdr:from>
      <xdr:col>18</xdr:col>
      <xdr:colOff>495094</xdr:colOff>
      <xdr:row>7</xdr:row>
      <xdr:rowOff>3246</xdr:rowOff>
    </xdr:from>
    <xdr:to>
      <xdr:col>21</xdr:col>
      <xdr:colOff>940593</xdr:colOff>
      <xdr:row>11</xdr:row>
      <xdr:rowOff>160823</xdr:rowOff>
    </xdr:to>
    <xdr:sp macro="" textlink="AM9">
      <xdr:nvSpPr>
        <xdr:cNvPr id="21" name="Text Box 2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 txBox="1">
          <a:spLocks noChangeArrowheads="1"/>
        </xdr:cNvSpPr>
      </xdr:nvSpPr>
      <xdr:spPr bwMode="auto">
        <a:xfrm>
          <a:off x="12944269" y="1574871"/>
          <a:ext cx="2798174" cy="99577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0" anchor="ctr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1">
            <a:defRPr sz="1000"/>
          </a:pPr>
          <a:fld id="{40F72271-D7A6-4088-ABC4-D6CC7E246BAD}" type="TxLink">
            <a:rPr lang="en-US" sz="1100" b="0" i="0" strike="noStrike">
              <a:solidFill>
                <a:srgbClr val="000000"/>
              </a:solidFill>
              <a:latin typeface="Times New Roman" pitchFamily="18" charset="0"/>
              <a:ea typeface="Tahoma" pitchFamily="34" charset="0"/>
              <a:cs typeface="Times New Roman" pitchFamily="18" charset="0"/>
            </a:rPr>
            <a:pPr algn="l" rtl="1">
              <a:defRPr sz="1000"/>
            </a:pPr>
            <a:t>Total Energy Gen 268.039 MKWHr 
Energy Not Served   31.983 MKWHr 
Energy Requirement     300.022 MKWHr </a:t>
          </a:fld>
          <a:endParaRPr lang="en-US" sz="1100" b="0" i="0" strike="noStrike">
            <a:solidFill>
              <a:srgbClr val="000000"/>
            </a:solidFill>
            <a:latin typeface="Times New Roman" pitchFamily="18" charset="0"/>
            <a:ea typeface="Tahoma" pitchFamily="34" charset="0"/>
            <a:cs typeface="Times New Roman" pitchFamily="18" charset="0"/>
          </a:endParaRPr>
        </a:p>
      </xdr:txBody>
    </xdr:sp>
    <xdr:clientData/>
  </xdr:twoCellAnchor>
  <xdr:oneCellAnchor>
    <xdr:from>
      <xdr:col>20</xdr:col>
      <xdr:colOff>87874</xdr:colOff>
      <xdr:row>36</xdr:row>
      <xdr:rowOff>7258</xdr:rowOff>
    </xdr:from>
    <xdr:ext cx="1269963" cy="342786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 txBox="1"/>
      </xdr:nvSpPr>
      <xdr:spPr>
        <a:xfrm>
          <a:off x="14027992" y="7212640"/>
          <a:ext cx="126996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600" b="1"/>
            <a:t>Private(GAS)</a:t>
          </a:r>
        </a:p>
      </xdr:txBody>
    </xdr:sp>
    <xdr:clientData/>
  </xdr:one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7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8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9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0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1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6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7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8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19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0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1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6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7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8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29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0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1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6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7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8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39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0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1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6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7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8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49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0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1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6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7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8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59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0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1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2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3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4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0.8738</cdr:x>
      <cdr:y>0.94518</cdr:y>
    </cdr:from>
    <cdr:to>
      <cdr:x>1</cdr:x>
      <cdr:y>0.9837</cdr:y>
    </cdr:to>
    <cdr:sp macro="" textlink="">
      <cdr:nvSpPr>
        <cdr:cNvPr id="65" name="Text Box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57850" y="6076940"/>
          <a:ext cx="752487" cy="247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1">
            <a:defRPr sz="1000"/>
          </a:pPr>
          <a:endParaRPr lang="en-US" sz="1000" b="0" i="0" strike="noStrike">
            <a:solidFill>
              <a:srgbClr val="00008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0.8088</cdr:x>
      <cdr:y>0.45789</cdr:y>
    </cdr:from>
    <cdr:to>
      <cdr:x>0.95193</cdr:x>
      <cdr:y>0.49369</cdr:y>
    </cdr:to>
    <cdr:sp macro="" textlink="">
      <cdr:nvSpPr>
        <cdr:cNvPr id="66" name="TextBox 65"/>
        <cdr:cNvSpPr txBox="1"/>
      </cdr:nvSpPr>
      <cdr:spPr>
        <a:xfrm xmlns:a="http://schemas.openxmlformats.org/drawingml/2006/main">
          <a:off x="6619788" y="4149812"/>
          <a:ext cx="1171480" cy="3244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sz="1200" b="1"/>
            <a:t>Public(HFO)</a:t>
          </a:r>
        </a:p>
      </cdr:txBody>
    </cdr:sp>
  </cdr:relSizeAnchor>
  <cdr:relSizeAnchor xmlns:cdr="http://schemas.openxmlformats.org/drawingml/2006/chartDrawing">
    <cdr:from>
      <cdr:x>0.81479</cdr:x>
      <cdr:y>0.11399</cdr:y>
    </cdr:from>
    <cdr:to>
      <cdr:x>0.95791</cdr:x>
      <cdr:y>0.14979</cdr:y>
    </cdr:to>
    <cdr:sp macro="" textlink="">
      <cdr:nvSpPr>
        <cdr:cNvPr id="67" name="TextBox 1"/>
        <cdr:cNvSpPr txBox="1"/>
      </cdr:nvSpPr>
      <cdr:spPr>
        <a:xfrm xmlns:a="http://schemas.openxmlformats.org/drawingml/2006/main">
          <a:off x="6668866" y="1033107"/>
          <a:ext cx="1171398" cy="3244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200" b="1"/>
            <a:t>Private(HSD)</a:t>
          </a:r>
        </a:p>
      </cdr:txBody>
    </cdr:sp>
  </cdr:relSizeAnchor>
  <cdr:relSizeAnchor xmlns:cdr="http://schemas.openxmlformats.org/drawingml/2006/chartDrawing">
    <cdr:from>
      <cdr:x>0.51849</cdr:x>
      <cdr:y>0.50581</cdr:y>
    </cdr:from>
    <cdr:to>
      <cdr:x>0.61113</cdr:x>
      <cdr:y>0.54161</cdr:y>
    </cdr:to>
    <cdr:sp macro="" textlink="">
      <cdr:nvSpPr>
        <cdr:cNvPr id="68" name="TextBox 1"/>
        <cdr:cNvSpPr txBox="1"/>
      </cdr:nvSpPr>
      <cdr:spPr>
        <a:xfrm xmlns:a="http://schemas.openxmlformats.org/drawingml/2006/main">
          <a:off x="4243675" y="4584184"/>
          <a:ext cx="758233" cy="3244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200" b="1">
              <a:solidFill>
                <a:sysClr val="windowText" lastClr="000000"/>
              </a:solidFill>
            </a:rPr>
            <a:t>SOLAR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400050</xdr:colOff>
          <xdr:row>5</xdr:row>
          <xdr:rowOff>66675</xdr:rowOff>
        </xdr:from>
        <xdr:to>
          <xdr:col>15</xdr:col>
          <xdr:colOff>790575</xdr:colOff>
          <xdr:row>5</xdr:row>
          <xdr:rowOff>466725</xdr:rowOff>
        </xdr:to>
        <xdr:sp macro="" textlink="">
          <xdr:nvSpPr>
            <xdr:cNvPr id="7170" name="Cmd_Btn_Create_Energy_Report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5</xdr:row>
          <xdr:rowOff>66675</xdr:rowOff>
        </xdr:from>
        <xdr:to>
          <xdr:col>10</xdr:col>
          <xdr:colOff>285750</xdr:colOff>
          <xdr:row>5</xdr:row>
          <xdr:rowOff>466725</xdr:rowOff>
        </xdr:to>
        <xdr:sp macro="" textlink="">
          <xdr:nvSpPr>
            <xdr:cNvPr id="7171" name="Cmd_Btn_Update_Energy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1A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3</xdr:row>
          <xdr:rowOff>0</xdr:rowOff>
        </xdr:from>
        <xdr:to>
          <xdr:col>8</xdr:col>
          <xdr:colOff>0</xdr:colOff>
          <xdr:row>4</xdr:row>
          <xdr:rowOff>133350</xdr:rowOff>
        </xdr:to>
        <xdr:sp macro="" textlink="">
          <xdr:nvSpPr>
            <xdr:cNvPr id="9217" name="Cmd_Btn_VAR_Check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vmlDrawing" Target="../drawings/vmlDrawing1.vml"/><Relationship Id="rId18" Type="http://schemas.openxmlformats.org/officeDocument/2006/relationships/control" Target="../activeX/activeX3.xml"/><Relationship Id="rId26" Type="http://schemas.openxmlformats.org/officeDocument/2006/relationships/control" Target="../activeX/activeX7.xml"/><Relationship Id="rId3" Type="http://schemas.openxmlformats.org/officeDocument/2006/relationships/printerSettings" Target="../printerSettings/printerSettings3.bin"/><Relationship Id="rId21" Type="http://schemas.openxmlformats.org/officeDocument/2006/relationships/image" Target="../media/image4.emf"/><Relationship Id="rId7" Type="http://schemas.openxmlformats.org/officeDocument/2006/relationships/printerSettings" Target="../printerSettings/printerSettings7.bin"/><Relationship Id="rId12" Type="http://schemas.openxmlformats.org/officeDocument/2006/relationships/drawing" Target="../drawings/drawing1.xml"/><Relationship Id="rId17" Type="http://schemas.openxmlformats.org/officeDocument/2006/relationships/image" Target="../media/image2.emf"/><Relationship Id="rId25" Type="http://schemas.openxmlformats.org/officeDocument/2006/relationships/image" Target="../media/image6.emf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2.xml"/><Relationship Id="rId20" Type="http://schemas.openxmlformats.org/officeDocument/2006/relationships/control" Target="../activeX/activeX4.xml"/><Relationship Id="rId29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control" Target="../activeX/activeX6.xml"/><Relationship Id="rId5" Type="http://schemas.openxmlformats.org/officeDocument/2006/relationships/printerSettings" Target="../printerSettings/printerSettings5.bin"/><Relationship Id="rId15" Type="http://schemas.openxmlformats.org/officeDocument/2006/relationships/image" Target="../media/image1.emf"/><Relationship Id="rId23" Type="http://schemas.openxmlformats.org/officeDocument/2006/relationships/image" Target="../media/image5.emf"/><Relationship Id="rId28" Type="http://schemas.openxmlformats.org/officeDocument/2006/relationships/control" Target="../activeX/activeX8.xml"/><Relationship Id="rId10" Type="http://schemas.openxmlformats.org/officeDocument/2006/relationships/printerSettings" Target="../printerSettings/printerSettings10.bin"/><Relationship Id="rId19" Type="http://schemas.openxmlformats.org/officeDocument/2006/relationships/image" Target="../media/image3.emf"/><Relationship Id="rId31" Type="http://schemas.openxmlformats.org/officeDocument/2006/relationships/image" Target="../media/image9.emf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control" Target="../activeX/activeX1.xml"/><Relationship Id="rId22" Type="http://schemas.openxmlformats.org/officeDocument/2006/relationships/control" Target="../activeX/activeX5.xml"/><Relationship Id="rId27" Type="http://schemas.openxmlformats.org/officeDocument/2006/relationships/image" Target="../media/image7.emf"/><Relationship Id="rId30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5" Type="http://schemas.openxmlformats.org/officeDocument/2006/relationships/printerSettings" Target="../printerSettings/printerSettings27.bin"/><Relationship Id="rId4" Type="http://schemas.openxmlformats.org/officeDocument/2006/relationships/printerSettings" Target="../printerSettings/printerSettings26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printerSettings" Target="../printerSettings/printerSettings32.bin"/><Relationship Id="rId7" Type="http://schemas.openxmlformats.org/officeDocument/2006/relationships/printerSettings" Target="../printerSettings/printerSettings36.bin"/><Relationship Id="rId12" Type="http://schemas.openxmlformats.org/officeDocument/2006/relationships/drawing" Target="../drawings/drawing2.xml"/><Relationship Id="rId2" Type="http://schemas.openxmlformats.org/officeDocument/2006/relationships/printerSettings" Target="../printerSettings/printerSettings31.bin"/><Relationship Id="rId1" Type="http://schemas.openxmlformats.org/officeDocument/2006/relationships/printerSettings" Target="../printerSettings/printerSettings30.bin"/><Relationship Id="rId6" Type="http://schemas.openxmlformats.org/officeDocument/2006/relationships/printerSettings" Target="../printerSettings/printerSettings35.bin"/><Relationship Id="rId11" Type="http://schemas.openxmlformats.org/officeDocument/2006/relationships/printerSettings" Target="../printerSettings/printerSettings40.bin"/><Relationship Id="rId5" Type="http://schemas.openxmlformats.org/officeDocument/2006/relationships/printerSettings" Target="../printerSettings/printerSettings34.bin"/><Relationship Id="rId10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3.bin"/><Relationship Id="rId9" Type="http://schemas.openxmlformats.org/officeDocument/2006/relationships/printerSettings" Target="../printerSettings/printerSettings38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11" Type="http://schemas.openxmlformats.org/officeDocument/2006/relationships/printerSettings" Target="../printerSettings/printerSettings51.bin"/><Relationship Id="rId5" Type="http://schemas.openxmlformats.org/officeDocument/2006/relationships/printerSettings" Target="../printerSettings/printerSettings45.bin"/><Relationship Id="rId10" Type="http://schemas.openxmlformats.org/officeDocument/2006/relationships/printerSettings" Target="../printerSettings/printerSettings50.bin"/><Relationship Id="rId4" Type="http://schemas.openxmlformats.org/officeDocument/2006/relationships/printerSettings" Target="../printerSettings/printerSettings44.bin"/><Relationship Id="rId9" Type="http://schemas.openxmlformats.org/officeDocument/2006/relationships/printerSettings" Target="../printerSettings/printerSettings49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9.bin"/><Relationship Id="rId3" Type="http://schemas.openxmlformats.org/officeDocument/2006/relationships/printerSettings" Target="../printerSettings/printerSettings54.bin"/><Relationship Id="rId7" Type="http://schemas.openxmlformats.org/officeDocument/2006/relationships/printerSettings" Target="../printerSettings/printerSettings58.bin"/><Relationship Id="rId2" Type="http://schemas.openxmlformats.org/officeDocument/2006/relationships/printerSettings" Target="../printerSettings/printerSettings53.bin"/><Relationship Id="rId1" Type="http://schemas.openxmlformats.org/officeDocument/2006/relationships/printerSettings" Target="../printerSettings/printerSettings52.bin"/><Relationship Id="rId6" Type="http://schemas.openxmlformats.org/officeDocument/2006/relationships/printerSettings" Target="../printerSettings/printerSettings57.bin"/><Relationship Id="rId11" Type="http://schemas.openxmlformats.org/officeDocument/2006/relationships/printerSettings" Target="../printerSettings/printerSettings62.bin"/><Relationship Id="rId5" Type="http://schemas.openxmlformats.org/officeDocument/2006/relationships/printerSettings" Target="../printerSettings/printerSettings56.bin"/><Relationship Id="rId10" Type="http://schemas.openxmlformats.org/officeDocument/2006/relationships/printerSettings" Target="../printerSettings/printerSettings61.bin"/><Relationship Id="rId4" Type="http://schemas.openxmlformats.org/officeDocument/2006/relationships/printerSettings" Target="../printerSettings/printerSettings55.bin"/><Relationship Id="rId9" Type="http://schemas.openxmlformats.org/officeDocument/2006/relationships/printerSettings" Target="../printerSettings/printerSettings60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0.bin"/><Relationship Id="rId3" Type="http://schemas.openxmlformats.org/officeDocument/2006/relationships/printerSettings" Target="../printerSettings/printerSettings65.bin"/><Relationship Id="rId7" Type="http://schemas.openxmlformats.org/officeDocument/2006/relationships/printerSettings" Target="../printerSettings/printerSettings69.bin"/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Relationship Id="rId6" Type="http://schemas.openxmlformats.org/officeDocument/2006/relationships/printerSettings" Target="../printerSettings/printerSettings68.bin"/><Relationship Id="rId11" Type="http://schemas.openxmlformats.org/officeDocument/2006/relationships/printerSettings" Target="../printerSettings/printerSettings73.bin"/><Relationship Id="rId5" Type="http://schemas.openxmlformats.org/officeDocument/2006/relationships/printerSettings" Target="../printerSettings/printerSettings67.bin"/><Relationship Id="rId10" Type="http://schemas.openxmlformats.org/officeDocument/2006/relationships/printerSettings" Target="../printerSettings/printerSettings72.bin"/><Relationship Id="rId4" Type="http://schemas.openxmlformats.org/officeDocument/2006/relationships/printerSettings" Target="../printerSettings/printerSettings66.bin"/><Relationship Id="rId9" Type="http://schemas.openxmlformats.org/officeDocument/2006/relationships/printerSettings" Target="../printerSettings/printerSettings71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1.bin"/><Relationship Id="rId3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80.bin"/><Relationship Id="rId2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74.bin"/><Relationship Id="rId6" Type="http://schemas.openxmlformats.org/officeDocument/2006/relationships/printerSettings" Target="../printerSettings/printerSettings79.bin"/><Relationship Id="rId11" Type="http://schemas.openxmlformats.org/officeDocument/2006/relationships/printerSettings" Target="../printerSettings/printerSettings84.bin"/><Relationship Id="rId5" Type="http://schemas.openxmlformats.org/officeDocument/2006/relationships/printerSettings" Target="../printerSettings/printerSettings78.bin"/><Relationship Id="rId10" Type="http://schemas.openxmlformats.org/officeDocument/2006/relationships/printerSettings" Target="../printerSettings/printerSettings83.bin"/><Relationship Id="rId4" Type="http://schemas.openxmlformats.org/officeDocument/2006/relationships/printerSettings" Target="../printerSettings/printerSettings77.bin"/><Relationship Id="rId9" Type="http://schemas.openxmlformats.org/officeDocument/2006/relationships/printerSettings" Target="../printerSettings/printerSettings82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2.bin"/><Relationship Id="rId13" Type="http://schemas.openxmlformats.org/officeDocument/2006/relationships/vmlDrawing" Target="../drawings/vmlDrawing2.vml"/><Relationship Id="rId3" Type="http://schemas.openxmlformats.org/officeDocument/2006/relationships/printerSettings" Target="../printerSettings/printerSettings87.bin"/><Relationship Id="rId7" Type="http://schemas.openxmlformats.org/officeDocument/2006/relationships/printerSettings" Target="../printerSettings/printerSettings91.bin"/><Relationship Id="rId12" Type="http://schemas.openxmlformats.org/officeDocument/2006/relationships/drawing" Target="../drawings/drawing3.xml"/><Relationship Id="rId17" Type="http://schemas.openxmlformats.org/officeDocument/2006/relationships/image" Target="../media/image12.emf"/><Relationship Id="rId2" Type="http://schemas.openxmlformats.org/officeDocument/2006/relationships/printerSettings" Target="../printerSettings/printerSettings86.bin"/><Relationship Id="rId16" Type="http://schemas.openxmlformats.org/officeDocument/2006/relationships/control" Target="../activeX/activeX11.xml"/><Relationship Id="rId1" Type="http://schemas.openxmlformats.org/officeDocument/2006/relationships/printerSettings" Target="../printerSettings/printerSettings85.bin"/><Relationship Id="rId6" Type="http://schemas.openxmlformats.org/officeDocument/2006/relationships/printerSettings" Target="../printerSettings/printerSettings90.bin"/><Relationship Id="rId11" Type="http://schemas.openxmlformats.org/officeDocument/2006/relationships/printerSettings" Target="../printerSettings/printerSettings95.bin"/><Relationship Id="rId5" Type="http://schemas.openxmlformats.org/officeDocument/2006/relationships/printerSettings" Target="../printerSettings/printerSettings89.bin"/><Relationship Id="rId15" Type="http://schemas.openxmlformats.org/officeDocument/2006/relationships/image" Target="../media/image11.emf"/><Relationship Id="rId10" Type="http://schemas.openxmlformats.org/officeDocument/2006/relationships/printerSettings" Target="../printerSettings/printerSettings94.bin"/><Relationship Id="rId4" Type="http://schemas.openxmlformats.org/officeDocument/2006/relationships/printerSettings" Target="../printerSettings/printerSettings88.bin"/><Relationship Id="rId9" Type="http://schemas.openxmlformats.org/officeDocument/2006/relationships/printerSettings" Target="../printerSettings/printerSettings93.bin"/><Relationship Id="rId14" Type="http://schemas.openxmlformats.org/officeDocument/2006/relationships/control" Target="../activeX/activeX1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3.bin"/><Relationship Id="rId3" Type="http://schemas.openxmlformats.org/officeDocument/2006/relationships/printerSettings" Target="../printerSettings/printerSettings98.bin"/><Relationship Id="rId7" Type="http://schemas.openxmlformats.org/officeDocument/2006/relationships/printerSettings" Target="../printerSettings/printerSettings102.bin"/><Relationship Id="rId2" Type="http://schemas.openxmlformats.org/officeDocument/2006/relationships/printerSettings" Target="../printerSettings/printerSettings97.bin"/><Relationship Id="rId1" Type="http://schemas.openxmlformats.org/officeDocument/2006/relationships/printerSettings" Target="../printerSettings/printerSettings96.bin"/><Relationship Id="rId6" Type="http://schemas.openxmlformats.org/officeDocument/2006/relationships/printerSettings" Target="../printerSettings/printerSettings101.bin"/><Relationship Id="rId11" Type="http://schemas.openxmlformats.org/officeDocument/2006/relationships/printerSettings" Target="../printerSettings/printerSettings106.bin"/><Relationship Id="rId5" Type="http://schemas.openxmlformats.org/officeDocument/2006/relationships/printerSettings" Target="../printerSettings/printerSettings100.bin"/><Relationship Id="rId10" Type="http://schemas.openxmlformats.org/officeDocument/2006/relationships/printerSettings" Target="../printerSettings/printerSettings105.bin"/><Relationship Id="rId4" Type="http://schemas.openxmlformats.org/officeDocument/2006/relationships/printerSettings" Target="../printerSettings/printerSettings99.bin"/><Relationship Id="rId9" Type="http://schemas.openxmlformats.org/officeDocument/2006/relationships/printerSettings" Target="../printerSettings/printerSettings104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4.bin"/><Relationship Id="rId3" Type="http://schemas.openxmlformats.org/officeDocument/2006/relationships/printerSettings" Target="../printerSettings/printerSettings109.bin"/><Relationship Id="rId7" Type="http://schemas.openxmlformats.org/officeDocument/2006/relationships/printerSettings" Target="../printerSettings/printerSettings113.bin"/><Relationship Id="rId2" Type="http://schemas.openxmlformats.org/officeDocument/2006/relationships/printerSettings" Target="../printerSettings/printerSettings108.bin"/><Relationship Id="rId1" Type="http://schemas.openxmlformats.org/officeDocument/2006/relationships/printerSettings" Target="../printerSettings/printerSettings107.bin"/><Relationship Id="rId6" Type="http://schemas.openxmlformats.org/officeDocument/2006/relationships/printerSettings" Target="../printerSettings/printerSettings112.bin"/><Relationship Id="rId11" Type="http://schemas.openxmlformats.org/officeDocument/2006/relationships/printerSettings" Target="../printerSettings/printerSettings117.bin"/><Relationship Id="rId5" Type="http://schemas.openxmlformats.org/officeDocument/2006/relationships/printerSettings" Target="../printerSettings/printerSettings111.bin"/><Relationship Id="rId10" Type="http://schemas.openxmlformats.org/officeDocument/2006/relationships/printerSettings" Target="../printerSettings/printerSettings116.bin"/><Relationship Id="rId4" Type="http://schemas.openxmlformats.org/officeDocument/2006/relationships/printerSettings" Target="../printerSettings/printerSettings110.bin"/><Relationship Id="rId9" Type="http://schemas.openxmlformats.org/officeDocument/2006/relationships/printerSettings" Target="../printerSettings/printerSettings115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25.bin"/><Relationship Id="rId3" Type="http://schemas.openxmlformats.org/officeDocument/2006/relationships/printerSettings" Target="../printerSettings/printerSettings120.bin"/><Relationship Id="rId7" Type="http://schemas.openxmlformats.org/officeDocument/2006/relationships/printerSettings" Target="../printerSettings/printerSettings124.bin"/><Relationship Id="rId2" Type="http://schemas.openxmlformats.org/officeDocument/2006/relationships/printerSettings" Target="../printerSettings/printerSettings119.bin"/><Relationship Id="rId1" Type="http://schemas.openxmlformats.org/officeDocument/2006/relationships/printerSettings" Target="../printerSettings/printerSettings118.bin"/><Relationship Id="rId6" Type="http://schemas.openxmlformats.org/officeDocument/2006/relationships/printerSettings" Target="../printerSettings/printerSettings123.bin"/><Relationship Id="rId11" Type="http://schemas.openxmlformats.org/officeDocument/2006/relationships/printerSettings" Target="../printerSettings/printerSettings128.bin"/><Relationship Id="rId5" Type="http://schemas.openxmlformats.org/officeDocument/2006/relationships/printerSettings" Target="../printerSettings/printerSettings122.bin"/><Relationship Id="rId10" Type="http://schemas.openxmlformats.org/officeDocument/2006/relationships/printerSettings" Target="../printerSettings/printerSettings127.bin"/><Relationship Id="rId4" Type="http://schemas.openxmlformats.org/officeDocument/2006/relationships/printerSettings" Target="../printerSettings/printerSettings121.bin"/><Relationship Id="rId9" Type="http://schemas.openxmlformats.org/officeDocument/2006/relationships/printerSettings" Target="../printerSettings/printerSettings126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36.bin"/><Relationship Id="rId3" Type="http://schemas.openxmlformats.org/officeDocument/2006/relationships/printerSettings" Target="../printerSettings/printerSettings131.bin"/><Relationship Id="rId7" Type="http://schemas.openxmlformats.org/officeDocument/2006/relationships/printerSettings" Target="../printerSettings/printerSettings135.bin"/><Relationship Id="rId2" Type="http://schemas.openxmlformats.org/officeDocument/2006/relationships/printerSettings" Target="../printerSettings/printerSettings130.bin"/><Relationship Id="rId1" Type="http://schemas.openxmlformats.org/officeDocument/2006/relationships/printerSettings" Target="../printerSettings/printerSettings129.bin"/><Relationship Id="rId6" Type="http://schemas.openxmlformats.org/officeDocument/2006/relationships/printerSettings" Target="../printerSettings/printerSettings134.bin"/><Relationship Id="rId11" Type="http://schemas.openxmlformats.org/officeDocument/2006/relationships/printerSettings" Target="../printerSettings/printerSettings139.bin"/><Relationship Id="rId5" Type="http://schemas.openxmlformats.org/officeDocument/2006/relationships/printerSettings" Target="../printerSettings/printerSettings133.bin"/><Relationship Id="rId10" Type="http://schemas.openxmlformats.org/officeDocument/2006/relationships/printerSettings" Target="../printerSettings/printerSettings138.bin"/><Relationship Id="rId4" Type="http://schemas.openxmlformats.org/officeDocument/2006/relationships/printerSettings" Target="../printerSettings/printerSettings132.bin"/><Relationship Id="rId9" Type="http://schemas.openxmlformats.org/officeDocument/2006/relationships/printerSettings" Target="../printerSettings/printerSettings137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47.bin"/><Relationship Id="rId3" Type="http://schemas.openxmlformats.org/officeDocument/2006/relationships/printerSettings" Target="../printerSettings/printerSettings142.bin"/><Relationship Id="rId7" Type="http://schemas.openxmlformats.org/officeDocument/2006/relationships/printerSettings" Target="../printerSettings/printerSettings146.bin"/><Relationship Id="rId2" Type="http://schemas.openxmlformats.org/officeDocument/2006/relationships/printerSettings" Target="../printerSettings/printerSettings141.bin"/><Relationship Id="rId1" Type="http://schemas.openxmlformats.org/officeDocument/2006/relationships/printerSettings" Target="../printerSettings/printerSettings140.bin"/><Relationship Id="rId6" Type="http://schemas.openxmlformats.org/officeDocument/2006/relationships/printerSettings" Target="../printerSettings/printerSettings145.bin"/><Relationship Id="rId11" Type="http://schemas.openxmlformats.org/officeDocument/2006/relationships/printerSettings" Target="../printerSettings/printerSettings150.bin"/><Relationship Id="rId5" Type="http://schemas.openxmlformats.org/officeDocument/2006/relationships/printerSettings" Target="../printerSettings/printerSettings144.bin"/><Relationship Id="rId10" Type="http://schemas.openxmlformats.org/officeDocument/2006/relationships/printerSettings" Target="../printerSettings/printerSettings149.bin"/><Relationship Id="rId4" Type="http://schemas.openxmlformats.org/officeDocument/2006/relationships/printerSettings" Target="../printerSettings/printerSettings143.bin"/><Relationship Id="rId9" Type="http://schemas.openxmlformats.org/officeDocument/2006/relationships/printerSettings" Target="../printerSettings/printerSettings148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58.bin"/><Relationship Id="rId3" Type="http://schemas.openxmlformats.org/officeDocument/2006/relationships/printerSettings" Target="../printerSettings/printerSettings153.bin"/><Relationship Id="rId7" Type="http://schemas.openxmlformats.org/officeDocument/2006/relationships/printerSettings" Target="../printerSettings/printerSettings157.bin"/><Relationship Id="rId2" Type="http://schemas.openxmlformats.org/officeDocument/2006/relationships/printerSettings" Target="../printerSettings/printerSettings152.bin"/><Relationship Id="rId1" Type="http://schemas.openxmlformats.org/officeDocument/2006/relationships/printerSettings" Target="../printerSettings/printerSettings151.bin"/><Relationship Id="rId6" Type="http://schemas.openxmlformats.org/officeDocument/2006/relationships/printerSettings" Target="../printerSettings/printerSettings156.bin"/><Relationship Id="rId11" Type="http://schemas.openxmlformats.org/officeDocument/2006/relationships/printerSettings" Target="../printerSettings/printerSettings161.bin"/><Relationship Id="rId5" Type="http://schemas.openxmlformats.org/officeDocument/2006/relationships/printerSettings" Target="../printerSettings/printerSettings155.bin"/><Relationship Id="rId10" Type="http://schemas.openxmlformats.org/officeDocument/2006/relationships/printerSettings" Target="../printerSettings/printerSettings160.bin"/><Relationship Id="rId4" Type="http://schemas.openxmlformats.org/officeDocument/2006/relationships/printerSettings" Target="../printerSettings/printerSettings154.bin"/><Relationship Id="rId9" Type="http://schemas.openxmlformats.org/officeDocument/2006/relationships/printerSettings" Target="../printerSettings/printerSettings159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69.bin"/><Relationship Id="rId3" Type="http://schemas.openxmlformats.org/officeDocument/2006/relationships/printerSettings" Target="../printerSettings/printerSettings164.bin"/><Relationship Id="rId7" Type="http://schemas.openxmlformats.org/officeDocument/2006/relationships/printerSettings" Target="../printerSettings/printerSettings168.bin"/><Relationship Id="rId2" Type="http://schemas.openxmlformats.org/officeDocument/2006/relationships/printerSettings" Target="../printerSettings/printerSettings163.bin"/><Relationship Id="rId1" Type="http://schemas.openxmlformats.org/officeDocument/2006/relationships/printerSettings" Target="../printerSettings/printerSettings162.bin"/><Relationship Id="rId6" Type="http://schemas.openxmlformats.org/officeDocument/2006/relationships/printerSettings" Target="../printerSettings/printerSettings167.bin"/><Relationship Id="rId11" Type="http://schemas.openxmlformats.org/officeDocument/2006/relationships/printerSettings" Target="../printerSettings/printerSettings172.bin"/><Relationship Id="rId5" Type="http://schemas.openxmlformats.org/officeDocument/2006/relationships/printerSettings" Target="../printerSettings/printerSettings166.bin"/><Relationship Id="rId10" Type="http://schemas.openxmlformats.org/officeDocument/2006/relationships/printerSettings" Target="../printerSettings/printerSettings171.bin"/><Relationship Id="rId4" Type="http://schemas.openxmlformats.org/officeDocument/2006/relationships/printerSettings" Target="../printerSettings/printerSettings165.bin"/><Relationship Id="rId9" Type="http://schemas.openxmlformats.org/officeDocument/2006/relationships/printerSettings" Target="../printerSettings/printerSettings170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0.bin"/><Relationship Id="rId3" Type="http://schemas.openxmlformats.org/officeDocument/2006/relationships/printerSettings" Target="../printerSettings/printerSettings175.bin"/><Relationship Id="rId7" Type="http://schemas.openxmlformats.org/officeDocument/2006/relationships/printerSettings" Target="../printerSettings/printerSettings179.bin"/><Relationship Id="rId12" Type="http://schemas.openxmlformats.org/officeDocument/2006/relationships/drawing" Target="../drawings/drawing4.xml"/><Relationship Id="rId2" Type="http://schemas.openxmlformats.org/officeDocument/2006/relationships/printerSettings" Target="../printerSettings/printerSettings174.bin"/><Relationship Id="rId1" Type="http://schemas.openxmlformats.org/officeDocument/2006/relationships/printerSettings" Target="../printerSettings/printerSettings173.bin"/><Relationship Id="rId6" Type="http://schemas.openxmlformats.org/officeDocument/2006/relationships/printerSettings" Target="../printerSettings/printerSettings178.bin"/><Relationship Id="rId11" Type="http://schemas.openxmlformats.org/officeDocument/2006/relationships/printerSettings" Target="../printerSettings/printerSettings183.bin"/><Relationship Id="rId5" Type="http://schemas.openxmlformats.org/officeDocument/2006/relationships/printerSettings" Target="../printerSettings/printerSettings177.bin"/><Relationship Id="rId10" Type="http://schemas.openxmlformats.org/officeDocument/2006/relationships/printerSettings" Target="../printerSettings/printerSettings182.bin"/><Relationship Id="rId4" Type="http://schemas.openxmlformats.org/officeDocument/2006/relationships/printerSettings" Target="../printerSettings/printerSettings176.bin"/><Relationship Id="rId9" Type="http://schemas.openxmlformats.org/officeDocument/2006/relationships/printerSettings" Target="../printerSettings/printerSettings181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1.bin"/><Relationship Id="rId3" Type="http://schemas.openxmlformats.org/officeDocument/2006/relationships/printerSettings" Target="../printerSettings/printerSettings186.bin"/><Relationship Id="rId7" Type="http://schemas.openxmlformats.org/officeDocument/2006/relationships/printerSettings" Target="../printerSettings/printerSettings190.bin"/><Relationship Id="rId12" Type="http://schemas.openxmlformats.org/officeDocument/2006/relationships/drawing" Target="../drawings/drawing6.xml"/><Relationship Id="rId2" Type="http://schemas.openxmlformats.org/officeDocument/2006/relationships/printerSettings" Target="../printerSettings/printerSettings185.bin"/><Relationship Id="rId1" Type="http://schemas.openxmlformats.org/officeDocument/2006/relationships/printerSettings" Target="../printerSettings/printerSettings184.bin"/><Relationship Id="rId6" Type="http://schemas.openxmlformats.org/officeDocument/2006/relationships/printerSettings" Target="../printerSettings/printerSettings189.bin"/><Relationship Id="rId11" Type="http://schemas.openxmlformats.org/officeDocument/2006/relationships/printerSettings" Target="../printerSettings/printerSettings194.bin"/><Relationship Id="rId5" Type="http://schemas.openxmlformats.org/officeDocument/2006/relationships/printerSettings" Target="../printerSettings/printerSettings188.bin"/><Relationship Id="rId10" Type="http://schemas.openxmlformats.org/officeDocument/2006/relationships/printerSettings" Target="../printerSettings/printerSettings193.bin"/><Relationship Id="rId4" Type="http://schemas.openxmlformats.org/officeDocument/2006/relationships/printerSettings" Target="../printerSettings/printerSettings187.bin"/><Relationship Id="rId9" Type="http://schemas.openxmlformats.org/officeDocument/2006/relationships/printerSettings" Target="../printerSettings/printerSettings192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02.bin"/><Relationship Id="rId3" Type="http://schemas.openxmlformats.org/officeDocument/2006/relationships/printerSettings" Target="../printerSettings/printerSettings197.bin"/><Relationship Id="rId7" Type="http://schemas.openxmlformats.org/officeDocument/2006/relationships/printerSettings" Target="../printerSettings/printerSettings201.bin"/><Relationship Id="rId2" Type="http://schemas.openxmlformats.org/officeDocument/2006/relationships/printerSettings" Target="../printerSettings/printerSettings196.bin"/><Relationship Id="rId1" Type="http://schemas.openxmlformats.org/officeDocument/2006/relationships/printerSettings" Target="../printerSettings/printerSettings195.bin"/><Relationship Id="rId6" Type="http://schemas.openxmlformats.org/officeDocument/2006/relationships/printerSettings" Target="../printerSettings/printerSettings200.bin"/><Relationship Id="rId11" Type="http://schemas.openxmlformats.org/officeDocument/2006/relationships/printerSettings" Target="../printerSettings/printerSettings205.bin"/><Relationship Id="rId5" Type="http://schemas.openxmlformats.org/officeDocument/2006/relationships/printerSettings" Target="../printerSettings/printerSettings199.bin"/><Relationship Id="rId10" Type="http://schemas.openxmlformats.org/officeDocument/2006/relationships/printerSettings" Target="../printerSettings/printerSettings204.bin"/><Relationship Id="rId4" Type="http://schemas.openxmlformats.org/officeDocument/2006/relationships/printerSettings" Target="../printerSettings/printerSettings198.bin"/><Relationship Id="rId9" Type="http://schemas.openxmlformats.org/officeDocument/2006/relationships/printerSettings" Target="../printerSettings/printerSettings203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13.bin"/><Relationship Id="rId3" Type="http://schemas.openxmlformats.org/officeDocument/2006/relationships/printerSettings" Target="../printerSettings/printerSettings208.bin"/><Relationship Id="rId7" Type="http://schemas.openxmlformats.org/officeDocument/2006/relationships/printerSettings" Target="../printerSettings/printerSettings212.bin"/><Relationship Id="rId2" Type="http://schemas.openxmlformats.org/officeDocument/2006/relationships/printerSettings" Target="../printerSettings/printerSettings207.bin"/><Relationship Id="rId1" Type="http://schemas.openxmlformats.org/officeDocument/2006/relationships/printerSettings" Target="../printerSettings/printerSettings206.bin"/><Relationship Id="rId6" Type="http://schemas.openxmlformats.org/officeDocument/2006/relationships/printerSettings" Target="../printerSettings/printerSettings211.bin"/><Relationship Id="rId11" Type="http://schemas.openxmlformats.org/officeDocument/2006/relationships/printerSettings" Target="../printerSettings/printerSettings216.bin"/><Relationship Id="rId5" Type="http://schemas.openxmlformats.org/officeDocument/2006/relationships/printerSettings" Target="../printerSettings/printerSettings210.bin"/><Relationship Id="rId10" Type="http://schemas.openxmlformats.org/officeDocument/2006/relationships/printerSettings" Target="../printerSettings/printerSettings215.bin"/><Relationship Id="rId4" Type="http://schemas.openxmlformats.org/officeDocument/2006/relationships/printerSettings" Target="../printerSettings/printerSettings209.bin"/><Relationship Id="rId9" Type="http://schemas.openxmlformats.org/officeDocument/2006/relationships/printerSettings" Target="../printerSettings/printerSettings214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24.bin"/><Relationship Id="rId3" Type="http://schemas.openxmlformats.org/officeDocument/2006/relationships/printerSettings" Target="../printerSettings/printerSettings219.bin"/><Relationship Id="rId7" Type="http://schemas.openxmlformats.org/officeDocument/2006/relationships/printerSettings" Target="../printerSettings/printerSettings223.bin"/><Relationship Id="rId2" Type="http://schemas.openxmlformats.org/officeDocument/2006/relationships/printerSettings" Target="../printerSettings/printerSettings218.bin"/><Relationship Id="rId1" Type="http://schemas.openxmlformats.org/officeDocument/2006/relationships/printerSettings" Target="../printerSettings/printerSettings217.bin"/><Relationship Id="rId6" Type="http://schemas.openxmlformats.org/officeDocument/2006/relationships/printerSettings" Target="../printerSettings/printerSettings222.bin"/><Relationship Id="rId11" Type="http://schemas.openxmlformats.org/officeDocument/2006/relationships/printerSettings" Target="../printerSettings/printerSettings227.bin"/><Relationship Id="rId5" Type="http://schemas.openxmlformats.org/officeDocument/2006/relationships/printerSettings" Target="../printerSettings/printerSettings221.bin"/><Relationship Id="rId10" Type="http://schemas.openxmlformats.org/officeDocument/2006/relationships/printerSettings" Target="../printerSettings/printerSettings226.bin"/><Relationship Id="rId4" Type="http://schemas.openxmlformats.org/officeDocument/2006/relationships/printerSettings" Target="../printerSettings/printerSettings220.bin"/><Relationship Id="rId9" Type="http://schemas.openxmlformats.org/officeDocument/2006/relationships/printerSettings" Target="../printerSettings/printerSettings225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35.bin"/><Relationship Id="rId3" Type="http://schemas.openxmlformats.org/officeDocument/2006/relationships/printerSettings" Target="../printerSettings/printerSettings230.bin"/><Relationship Id="rId7" Type="http://schemas.openxmlformats.org/officeDocument/2006/relationships/printerSettings" Target="../printerSettings/printerSettings234.bin"/><Relationship Id="rId2" Type="http://schemas.openxmlformats.org/officeDocument/2006/relationships/printerSettings" Target="../printerSettings/printerSettings229.bin"/><Relationship Id="rId1" Type="http://schemas.openxmlformats.org/officeDocument/2006/relationships/printerSettings" Target="../printerSettings/printerSettings228.bin"/><Relationship Id="rId6" Type="http://schemas.openxmlformats.org/officeDocument/2006/relationships/printerSettings" Target="../printerSettings/printerSettings233.bin"/><Relationship Id="rId11" Type="http://schemas.openxmlformats.org/officeDocument/2006/relationships/printerSettings" Target="../printerSettings/printerSettings238.bin"/><Relationship Id="rId5" Type="http://schemas.openxmlformats.org/officeDocument/2006/relationships/printerSettings" Target="../printerSettings/printerSettings232.bin"/><Relationship Id="rId10" Type="http://schemas.openxmlformats.org/officeDocument/2006/relationships/printerSettings" Target="../printerSettings/printerSettings237.bin"/><Relationship Id="rId4" Type="http://schemas.openxmlformats.org/officeDocument/2006/relationships/printerSettings" Target="../printerSettings/printerSettings231.bin"/><Relationship Id="rId9" Type="http://schemas.openxmlformats.org/officeDocument/2006/relationships/printerSettings" Target="../printerSettings/printerSettings236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46.bin"/><Relationship Id="rId3" Type="http://schemas.openxmlformats.org/officeDocument/2006/relationships/printerSettings" Target="../printerSettings/printerSettings241.bin"/><Relationship Id="rId7" Type="http://schemas.openxmlformats.org/officeDocument/2006/relationships/printerSettings" Target="../printerSettings/printerSettings245.bin"/><Relationship Id="rId2" Type="http://schemas.openxmlformats.org/officeDocument/2006/relationships/printerSettings" Target="../printerSettings/printerSettings240.bin"/><Relationship Id="rId1" Type="http://schemas.openxmlformats.org/officeDocument/2006/relationships/printerSettings" Target="../printerSettings/printerSettings239.bin"/><Relationship Id="rId6" Type="http://schemas.openxmlformats.org/officeDocument/2006/relationships/printerSettings" Target="../printerSettings/printerSettings244.bin"/><Relationship Id="rId11" Type="http://schemas.openxmlformats.org/officeDocument/2006/relationships/printerSettings" Target="../printerSettings/printerSettings249.bin"/><Relationship Id="rId5" Type="http://schemas.openxmlformats.org/officeDocument/2006/relationships/printerSettings" Target="../printerSettings/printerSettings243.bin"/><Relationship Id="rId10" Type="http://schemas.openxmlformats.org/officeDocument/2006/relationships/printerSettings" Target="../printerSettings/printerSettings248.bin"/><Relationship Id="rId4" Type="http://schemas.openxmlformats.org/officeDocument/2006/relationships/printerSettings" Target="../printerSettings/printerSettings242.bin"/><Relationship Id="rId9" Type="http://schemas.openxmlformats.org/officeDocument/2006/relationships/printerSettings" Target="../printerSettings/printerSettings247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57.bin"/><Relationship Id="rId3" Type="http://schemas.openxmlformats.org/officeDocument/2006/relationships/printerSettings" Target="../printerSettings/printerSettings252.bin"/><Relationship Id="rId7" Type="http://schemas.openxmlformats.org/officeDocument/2006/relationships/printerSettings" Target="../printerSettings/printerSettings256.bin"/><Relationship Id="rId2" Type="http://schemas.openxmlformats.org/officeDocument/2006/relationships/printerSettings" Target="../printerSettings/printerSettings251.bin"/><Relationship Id="rId1" Type="http://schemas.openxmlformats.org/officeDocument/2006/relationships/printerSettings" Target="../printerSettings/printerSettings250.bin"/><Relationship Id="rId6" Type="http://schemas.openxmlformats.org/officeDocument/2006/relationships/printerSettings" Target="../printerSettings/printerSettings255.bin"/><Relationship Id="rId11" Type="http://schemas.openxmlformats.org/officeDocument/2006/relationships/printerSettings" Target="../printerSettings/printerSettings260.bin"/><Relationship Id="rId5" Type="http://schemas.openxmlformats.org/officeDocument/2006/relationships/printerSettings" Target="../printerSettings/printerSettings254.bin"/><Relationship Id="rId10" Type="http://schemas.openxmlformats.org/officeDocument/2006/relationships/printerSettings" Target="../printerSettings/printerSettings259.bin"/><Relationship Id="rId4" Type="http://schemas.openxmlformats.org/officeDocument/2006/relationships/printerSettings" Target="../printerSettings/printerSettings253.bin"/><Relationship Id="rId9" Type="http://schemas.openxmlformats.org/officeDocument/2006/relationships/printerSettings" Target="../printerSettings/printerSettings25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3.bin"/><Relationship Id="rId2" Type="http://schemas.openxmlformats.org/officeDocument/2006/relationships/printerSettings" Target="../printerSettings/printerSettings262.bin"/><Relationship Id="rId1" Type="http://schemas.openxmlformats.org/officeDocument/2006/relationships/printerSettings" Target="../printerSettings/printerSettings261.bin"/><Relationship Id="rId6" Type="http://schemas.openxmlformats.org/officeDocument/2006/relationships/printerSettings" Target="../printerSettings/printerSettings266.bin"/><Relationship Id="rId5" Type="http://schemas.openxmlformats.org/officeDocument/2006/relationships/printerSettings" Target="../printerSettings/printerSettings265.bin"/><Relationship Id="rId4" Type="http://schemas.openxmlformats.org/officeDocument/2006/relationships/printerSettings" Target="../printerSettings/printerSettings264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74.bin"/><Relationship Id="rId3" Type="http://schemas.openxmlformats.org/officeDocument/2006/relationships/printerSettings" Target="../printerSettings/printerSettings269.bin"/><Relationship Id="rId7" Type="http://schemas.openxmlformats.org/officeDocument/2006/relationships/printerSettings" Target="../printerSettings/printerSettings273.bin"/><Relationship Id="rId2" Type="http://schemas.openxmlformats.org/officeDocument/2006/relationships/printerSettings" Target="../printerSettings/printerSettings268.bin"/><Relationship Id="rId1" Type="http://schemas.openxmlformats.org/officeDocument/2006/relationships/printerSettings" Target="../printerSettings/printerSettings267.bin"/><Relationship Id="rId6" Type="http://schemas.openxmlformats.org/officeDocument/2006/relationships/printerSettings" Target="../printerSettings/printerSettings272.bin"/><Relationship Id="rId5" Type="http://schemas.openxmlformats.org/officeDocument/2006/relationships/printerSettings" Target="../printerSettings/printerSettings271.bin"/><Relationship Id="rId10" Type="http://schemas.openxmlformats.org/officeDocument/2006/relationships/printerSettings" Target="../printerSettings/printerSettings276.bin"/><Relationship Id="rId4" Type="http://schemas.openxmlformats.org/officeDocument/2006/relationships/printerSettings" Target="../printerSettings/printerSettings270.bin"/><Relationship Id="rId9" Type="http://schemas.openxmlformats.org/officeDocument/2006/relationships/printerSettings" Target="../printerSettings/printerSettings275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4.bin"/><Relationship Id="rId13" Type="http://schemas.openxmlformats.org/officeDocument/2006/relationships/control" Target="../activeX/activeX12.xml"/><Relationship Id="rId3" Type="http://schemas.openxmlformats.org/officeDocument/2006/relationships/printerSettings" Target="../printerSettings/printerSettings279.bin"/><Relationship Id="rId7" Type="http://schemas.openxmlformats.org/officeDocument/2006/relationships/printerSettings" Target="../printerSettings/printerSettings283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78.bin"/><Relationship Id="rId16" Type="http://schemas.openxmlformats.org/officeDocument/2006/relationships/image" Target="../media/image14.emf"/><Relationship Id="rId1" Type="http://schemas.openxmlformats.org/officeDocument/2006/relationships/printerSettings" Target="../printerSettings/printerSettings277.bin"/><Relationship Id="rId6" Type="http://schemas.openxmlformats.org/officeDocument/2006/relationships/printerSettings" Target="../printerSettings/printerSettings282.bin"/><Relationship Id="rId11" Type="http://schemas.openxmlformats.org/officeDocument/2006/relationships/drawing" Target="../drawings/drawing8.xml"/><Relationship Id="rId5" Type="http://schemas.openxmlformats.org/officeDocument/2006/relationships/printerSettings" Target="../printerSettings/printerSettings281.bin"/><Relationship Id="rId15" Type="http://schemas.openxmlformats.org/officeDocument/2006/relationships/control" Target="../activeX/activeX13.xml"/><Relationship Id="rId10" Type="http://schemas.openxmlformats.org/officeDocument/2006/relationships/printerSettings" Target="../printerSettings/printerSettings286.bin"/><Relationship Id="rId4" Type="http://schemas.openxmlformats.org/officeDocument/2006/relationships/printerSettings" Target="../printerSettings/printerSettings280.bin"/><Relationship Id="rId9" Type="http://schemas.openxmlformats.org/officeDocument/2006/relationships/printerSettings" Target="../printerSettings/printerSettings285.bin"/><Relationship Id="rId14" Type="http://schemas.openxmlformats.org/officeDocument/2006/relationships/image" Target="../media/image13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printerSettings" Target="../printerSettings/printerSettings289.bin"/><Relationship Id="rId7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288.bin"/><Relationship Id="rId1" Type="http://schemas.openxmlformats.org/officeDocument/2006/relationships/printerSettings" Target="../printerSettings/printerSettings287.bin"/><Relationship Id="rId6" Type="http://schemas.openxmlformats.org/officeDocument/2006/relationships/drawing" Target="../drawings/drawing9.xml"/><Relationship Id="rId5" Type="http://schemas.openxmlformats.org/officeDocument/2006/relationships/printerSettings" Target="../printerSettings/printerSettings291.bin"/><Relationship Id="rId4" Type="http://schemas.openxmlformats.org/officeDocument/2006/relationships/printerSettings" Target="../printerSettings/printerSettings290.bin"/><Relationship Id="rId9" Type="http://schemas.openxmlformats.org/officeDocument/2006/relationships/image" Target="../media/image15.emf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3.bin"/><Relationship Id="rId1" Type="http://schemas.openxmlformats.org/officeDocument/2006/relationships/printerSettings" Target="../printerSettings/printerSettings29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NV210"/>
  <sheetViews>
    <sheetView zoomScaleNormal="70" zoomScaleSheetLayoutView="80" workbookViewId="0">
      <pane xSplit="1" ySplit="3" topLeftCell="B31" activePane="bottomRight" state="frozen"/>
      <selection pane="topRight" activeCell="B1" sqref="B1"/>
      <selection pane="bottomLeft" activeCell="A4" sqref="A4"/>
      <selection pane="bottomRight" activeCell="G44" sqref="G44"/>
    </sheetView>
  </sheetViews>
  <sheetFormatPr defaultColWidth="9.140625" defaultRowHeight="33"/>
  <cols>
    <col min="1" max="1" width="37.7109375" style="2" customWidth="1"/>
    <col min="2" max="2" width="25.7109375" style="2" bestFit="1" customWidth="1"/>
    <col min="3" max="3" width="23.42578125" style="2" customWidth="1"/>
    <col min="4" max="4" width="22" style="2" customWidth="1"/>
    <col min="5" max="5" width="20.85546875" style="2" customWidth="1"/>
    <col min="6" max="6" width="21.28515625" style="2" bestFit="1" customWidth="1"/>
    <col min="7" max="7" width="21.28515625" style="138" customWidth="1"/>
    <col min="8" max="8" width="20.42578125" style="2" customWidth="1"/>
    <col min="9" max="9" width="20.28515625" style="2" customWidth="1"/>
    <col min="10" max="10" width="19.5703125" style="2" customWidth="1"/>
    <col min="11" max="11" width="24" style="2" customWidth="1"/>
    <col min="12" max="12" width="20.85546875" style="2" customWidth="1"/>
    <col min="13" max="13" width="19.140625" style="2" customWidth="1"/>
    <col min="14" max="16" width="19.42578125" style="138" customWidth="1"/>
    <col min="17" max="17" width="17.5703125" style="2" bestFit="1" customWidth="1"/>
    <col min="18" max="18" width="21" style="2" bestFit="1" customWidth="1"/>
    <col min="19" max="19" width="24.140625" style="2" bestFit="1" customWidth="1"/>
    <col min="20" max="20" width="24.42578125" style="2" customWidth="1"/>
    <col min="21" max="21" width="16.85546875" style="2" customWidth="1"/>
    <col min="22" max="22" width="27.85546875" style="2" customWidth="1"/>
    <col min="23" max="23" width="22.5703125" style="2" customWidth="1"/>
    <col min="24" max="24" width="16.42578125" style="2" customWidth="1"/>
    <col min="25" max="25" width="20.7109375" style="2" customWidth="1"/>
    <col min="26" max="26" width="20.140625" style="2" customWidth="1"/>
    <col min="27" max="27" width="14.28515625" style="138" customWidth="1"/>
    <col min="28" max="28" width="20.7109375" style="138" customWidth="1"/>
    <col min="29" max="29" width="13.5703125" style="2" customWidth="1"/>
    <col min="30" max="30" width="24.140625" style="2" bestFit="1" customWidth="1"/>
    <col min="31" max="31" width="19.85546875" style="2" customWidth="1"/>
    <col min="32" max="32" width="19.140625" style="2" customWidth="1"/>
    <col min="33" max="33" width="19.85546875" style="2" customWidth="1"/>
    <col min="34" max="34" width="22.5703125" style="2" customWidth="1"/>
    <col min="35" max="35" width="21.7109375" style="2" customWidth="1"/>
    <col min="36" max="36" width="20.5703125" style="2" customWidth="1"/>
    <col min="37" max="37" width="20.5703125" style="138" customWidth="1"/>
    <col min="38" max="38" width="18.140625" style="138" customWidth="1"/>
    <col min="39" max="39" width="20.28515625" style="2" customWidth="1"/>
    <col min="40" max="40" width="17.28515625" style="2" customWidth="1"/>
    <col min="41" max="41" width="20.7109375" style="2" bestFit="1" customWidth="1"/>
    <col min="42" max="42" width="21" style="2" bestFit="1" customWidth="1"/>
    <col min="43" max="45" width="24.140625" style="2" bestFit="1" customWidth="1"/>
    <col min="46" max="46" width="25.7109375" style="2" bestFit="1" customWidth="1"/>
    <col min="47" max="47" width="21.5703125" style="2" customWidth="1"/>
    <col min="48" max="48" width="19.85546875" style="2" customWidth="1"/>
    <col min="49" max="49" width="19.28515625" style="2" customWidth="1"/>
    <col min="50" max="50" width="24.42578125" style="2" customWidth="1"/>
    <col min="51" max="51" width="18.5703125" style="2" customWidth="1"/>
    <col min="52" max="52" width="18.5703125" style="138" customWidth="1"/>
    <col min="53" max="53" width="20.28515625" style="2" customWidth="1"/>
    <col min="54" max="54" width="22.85546875" style="2" customWidth="1"/>
    <col min="55" max="55" width="20.85546875" style="2" customWidth="1"/>
    <col min="56" max="56" width="19.42578125" style="2" customWidth="1"/>
    <col min="57" max="57" width="21.42578125" style="2" customWidth="1"/>
    <col min="58" max="58" width="18.7109375" style="2" customWidth="1"/>
    <col min="59" max="59" width="21.140625" style="2" bestFit="1" customWidth="1"/>
    <col min="60" max="60" width="21.140625" style="2" customWidth="1"/>
    <col min="61" max="61" width="19.140625" style="2" customWidth="1"/>
    <col min="62" max="62" width="19.140625" style="138" customWidth="1"/>
    <col min="63" max="63" width="19" style="2" customWidth="1"/>
    <col min="64" max="64" width="19.42578125" style="2" customWidth="1"/>
    <col min="65" max="65" width="18.85546875" style="2" customWidth="1"/>
    <col min="66" max="66" width="17" style="2" customWidth="1"/>
    <col min="67" max="67" width="17.85546875" style="2" customWidth="1"/>
    <col min="68" max="68" width="19.7109375" style="2" customWidth="1"/>
    <col min="69" max="69" width="23" style="2" customWidth="1"/>
    <col min="70" max="70" width="20.28515625" style="2" customWidth="1"/>
    <col min="71" max="71" width="24.42578125" style="2" customWidth="1"/>
    <col min="72" max="72" width="28.5703125" style="2" customWidth="1"/>
    <col min="73" max="73" width="16.7109375" style="2" customWidth="1"/>
    <col min="74" max="74" width="19.42578125" style="2" customWidth="1"/>
    <col min="75" max="75" width="19.140625" style="2" customWidth="1"/>
    <col min="76" max="76" width="19.28515625" style="2" customWidth="1"/>
    <col min="77" max="77" width="20.42578125" style="2" customWidth="1"/>
    <col min="78" max="78" width="19.28515625" style="2" customWidth="1"/>
    <col min="79" max="81" width="19.28515625" style="138" customWidth="1"/>
    <col min="82" max="82" width="24" style="2" bestFit="1" customWidth="1"/>
    <col min="83" max="83" width="16.7109375" style="2" customWidth="1"/>
    <col min="84" max="84" width="20.42578125" style="2" customWidth="1"/>
    <col min="85" max="85" width="21.5703125" style="2" customWidth="1"/>
    <col min="86" max="86" width="21.42578125" style="2" customWidth="1"/>
    <col min="87" max="90" width="21.42578125" style="138" customWidth="1"/>
    <col min="91" max="91" width="17.85546875" style="2" customWidth="1"/>
    <col min="92" max="92" width="18.140625" style="2" customWidth="1"/>
    <col min="93" max="93" width="21" style="2" bestFit="1" customWidth="1"/>
    <col min="94" max="94" width="28.7109375" style="2" customWidth="1"/>
    <col min="95" max="95" width="24" style="2" bestFit="1" customWidth="1"/>
    <col min="96" max="96" width="20" style="2" customWidth="1"/>
    <col min="97" max="97" width="20" style="138" customWidth="1"/>
    <col min="98" max="98" width="27.7109375" style="2" customWidth="1"/>
    <col min="99" max="99" width="17.42578125" style="2" customWidth="1"/>
    <col min="100" max="100" width="19.140625" style="2" customWidth="1"/>
    <col min="101" max="101" width="21.42578125" style="2" customWidth="1"/>
    <col min="102" max="102" width="19.7109375" style="2" customWidth="1"/>
    <col min="103" max="103" width="18" style="2" customWidth="1"/>
    <col min="104" max="104" width="17.5703125" style="2" customWidth="1"/>
    <col min="105" max="105" width="24" style="2" bestFit="1" customWidth="1"/>
    <col min="106" max="106" width="16" style="2" customWidth="1"/>
    <col min="107" max="107" width="21.140625" style="2" customWidth="1"/>
    <col min="108" max="108" width="17.28515625" style="2" customWidth="1"/>
    <col min="109" max="109" width="17" style="2" customWidth="1"/>
    <col min="110" max="110" width="21.140625" style="2" customWidth="1"/>
    <col min="111" max="111" width="17.5703125" style="2" customWidth="1"/>
    <col min="112" max="112" width="21" style="2" customWidth="1"/>
    <col min="113" max="113" width="19.85546875" style="138" customWidth="1"/>
    <col min="114" max="114" width="24.28515625" style="138" customWidth="1"/>
    <col min="115" max="115" width="21.42578125" style="138" customWidth="1"/>
    <col min="116" max="116" width="19.42578125" style="138" customWidth="1"/>
    <col min="117" max="117" width="20" style="138" customWidth="1"/>
    <col min="118" max="118" width="14" style="138" customWidth="1"/>
    <col min="119" max="119" width="19.5703125" style="138" bestFit="1" customWidth="1"/>
    <col min="120" max="120" width="13.28515625" style="138" customWidth="1"/>
    <col min="121" max="123" width="16.140625" style="138" customWidth="1"/>
    <col min="124" max="129" width="19.85546875" style="138" customWidth="1"/>
    <col min="130" max="130" width="29.140625" style="2" customWidth="1"/>
    <col min="131" max="131" width="19.42578125" style="138" customWidth="1"/>
    <col min="132" max="132" width="16.85546875" style="2" customWidth="1"/>
    <col min="133" max="133" width="23.5703125" style="2" customWidth="1"/>
    <col min="134" max="134" width="20.5703125" style="2" customWidth="1"/>
    <col min="135" max="135" width="20.5703125" style="138" customWidth="1"/>
    <col min="136" max="136" width="20.5703125" style="2"/>
    <col min="137" max="138" width="21" style="2" bestFit="1" customWidth="1"/>
    <col min="139" max="140" width="22.85546875" style="126" customWidth="1"/>
    <col min="141" max="145" width="20.5703125" style="2"/>
    <col min="146" max="146" width="24" style="2" bestFit="1" customWidth="1"/>
    <col min="147" max="147" width="21" style="2" bestFit="1" customWidth="1"/>
    <col min="148" max="148" width="21" style="138" customWidth="1"/>
    <col min="149" max="149" width="24" style="2" bestFit="1" customWidth="1"/>
    <col min="150" max="150" width="21" style="2" bestFit="1" customWidth="1"/>
    <col min="151" max="151" width="21" style="138" customWidth="1"/>
    <col min="152" max="153" width="21" style="2" bestFit="1" customWidth="1"/>
    <col min="154" max="154" width="17.7109375" style="2" customWidth="1"/>
    <col min="155" max="155" width="29" style="2" customWidth="1"/>
    <col min="156" max="156" width="19.85546875" style="2" customWidth="1"/>
    <col min="157" max="157" width="22.28515625" style="2" customWidth="1"/>
    <col min="158" max="159" width="20.5703125" style="2"/>
    <col min="160" max="160" width="21.7109375" style="2" customWidth="1"/>
    <col min="161" max="161" width="20" style="2" customWidth="1"/>
    <col min="162" max="162" width="19.7109375" style="2" customWidth="1"/>
    <col min="163" max="163" width="20.85546875" style="2" customWidth="1"/>
    <col min="164" max="164" width="18.42578125" style="2" customWidth="1"/>
    <col min="165" max="165" width="21" style="2" bestFit="1" customWidth="1"/>
    <col min="166" max="166" width="22.85546875" style="2" customWidth="1"/>
    <col min="167" max="167" width="22.42578125" style="2" customWidth="1"/>
    <col min="168" max="168" width="20.5703125" style="2"/>
    <col min="169" max="174" width="21.7109375" style="138" customWidth="1"/>
    <col min="175" max="179" width="21" style="2" bestFit="1" customWidth="1"/>
    <col min="180" max="180" width="16.7109375" style="2" customWidth="1"/>
    <col min="181" max="181" width="18.28515625" style="2" customWidth="1"/>
    <col min="182" max="183" width="18" style="2" customWidth="1"/>
    <col min="184" max="184" width="29.85546875" style="2" bestFit="1" customWidth="1"/>
    <col min="185" max="185" width="20.5703125" style="2"/>
    <col min="186" max="186" width="26.5703125" style="2" customWidth="1"/>
    <col min="187" max="187" width="28.85546875" style="138" customWidth="1"/>
    <col min="188" max="188" width="23.28515625" style="2" customWidth="1"/>
    <col min="189" max="189" width="17" style="2" customWidth="1"/>
    <col min="190" max="190" width="19.140625" style="2" customWidth="1"/>
    <col min="191" max="191" width="21.28515625" style="2" customWidth="1"/>
    <col min="192" max="192" width="22.7109375" style="2" customWidth="1"/>
    <col min="193" max="193" width="17.7109375" style="138" customWidth="1"/>
    <col min="194" max="194" width="28.7109375" style="2" customWidth="1"/>
    <col min="195" max="195" width="35.7109375" style="2" customWidth="1"/>
    <col min="196" max="196" width="21.7109375" style="2" customWidth="1"/>
    <col min="197" max="197" width="16.7109375" style="919" customWidth="1"/>
    <col min="198" max="220" width="9.140625" style="2"/>
    <col min="221" max="221" width="12.7109375" style="2" bestFit="1" customWidth="1"/>
    <col min="222" max="16384" width="9.140625" style="2"/>
  </cols>
  <sheetData>
    <row r="1" spans="1:386" s="138" customFormat="1" ht="11.25" customHeight="1" thickBot="1">
      <c r="EI1" s="126"/>
      <c r="EJ1" s="126"/>
      <c r="GK1" s="138">
        <v>0.3</v>
      </c>
      <c r="GO1" s="919"/>
    </row>
    <row r="2" spans="1:386" ht="33.75" customHeight="1" thickBot="1">
      <c r="A2" s="2167">
        <v>43319</v>
      </c>
      <c r="B2" s="2965"/>
      <c r="C2" s="2965"/>
      <c r="D2" s="2965"/>
      <c r="E2" s="2965"/>
      <c r="F2" s="2965"/>
      <c r="G2" s="2965"/>
      <c r="H2" s="2965"/>
      <c r="I2" s="2965"/>
      <c r="J2" s="2965"/>
      <c r="K2" s="2965"/>
      <c r="L2" s="2965"/>
      <c r="M2" s="2965"/>
      <c r="N2" s="2965"/>
      <c r="O2" s="2965"/>
      <c r="P2" s="2965"/>
      <c r="Q2" s="2965"/>
      <c r="R2" s="2965"/>
      <c r="S2" s="2965"/>
      <c r="T2" s="2965"/>
      <c r="U2" s="2965"/>
      <c r="V2" s="2965"/>
      <c r="W2" s="2965"/>
      <c r="X2" s="2965"/>
      <c r="Y2" s="2965"/>
      <c r="Z2" s="2965"/>
      <c r="AA2" s="2965"/>
      <c r="AB2" s="2965"/>
      <c r="AC2" s="2965"/>
      <c r="AD2" s="2965"/>
      <c r="AE2" s="2965"/>
      <c r="AF2" s="2965"/>
      <c r="AG2" s="2965"/>
      <c r="AH2" s="2965"/>
      <c r="AI2" s="2965"/>
      <c r="AJ2" s="2965"/>
      <c r="AK2" s="3113"/>
      <c r="AL2" s="2965"/>
      <c r="AM2" s="2965"/>
      <c r="AN2" s="2965"/>
      <c r="AO2" s="2965"/>
      <c r="AP2" s="2965"/>
      <c r="AQ2" s="2965"/>
      <c r="AR2" s="2965"/>
      <c r="AS2" s="2965"/>
      <c r="AT2" s="2965"/>
      <c r="AU2" s="2965"/>
      <c r="AV2" s="2965"/>
      <c r="AW2" s="2965"/>
      <c r="AX2" s="2965"/>
      <c r="AY2" s="2965"/>
      <c r="AZ2" s="2965"/>
      <c r="BA2" s="2965"/>
      <c r="BB2" s="2965"/>
      <c r="BC2" s="2965"/>
      <c r="BD2" s="2965"/>
      <c r="BE2" s="2965"/>
      <c r="BF2" s="2965"/>
      <c r="BG2" s="2965"/>
      <c r="BH2" s="2965"/>
      <c r="BI2" s="2965"/>
      <c r="BJ2" s="2965"/>
      <c r="BK2" s="2965"/>
      <c r="BL2" s="2965"/>
      <c r="BM2" s="2965"/>
      <c r="BN2" s="2965"/>
      <c r="BO2" s="2965"/>
      <c r="BP2" s="2965"/>
      <c r="BQ2" s="2965"/>
      <c r="BR2" s="2965"/>
      <c r="BS2" s="2965"/>
      <c r="BT2" s="2965"/>
      <c r="BU2" s="2965"/>
      <c r="BV2" s="2965"/>
      <c r="BW2" s="2965"/>
      <c r="BX2" s="2965"/>
      <c r="BY2" s="2965"/>
      <c r="BZ2" s="2965"/>
      <c r="CA2" s="2965"/>
      <c r="CB2" s="2965"/>
      <c r="CC2" s="2965"/>
      <c r="CD2" s="2965"/>
      <c r="CE2" s="2965"/>
      <c r="CF2" s="2965"/>
      <c r="CG2" s="2965"/>
      <c r="CH2" s="2965"/>
      <c r="CI2" s="2965"/>
      <c r="CJ2" s="2965"/>
      <c r="CK2" s="2965"/>
      <c r="CL2" s="2965"/>
      <c r="CM2" s="2965"/>
      <c r="CN2" s="2965"/>
      <c r="CO2" s="2965"/>
      <c r="CP2" s="2965"/>
      <c r="CQ2" s="2965"/>
      <c r="CR2" s="2965"/>
      <c r="CS2" s="2965"/>
      <c r="CT2" s="2965"/>
      <c r="CU2" s="2965"/>
      <c r="CV2" s="2965"/>
      <c r="CW2" s="2965"/>
      <c r="CX2" s="2965"/>
      <c r="CY2" s="2965"/>
      <c r="CZ2" s="2965"/>
      <c r="DA2" s="2965"/>
      <c r="DB2" s="2965"/>
      <c r="DC2" s="2965"/>
      <c r="DD2" s="2965"/>
      <c r="DE2" s="2965"/>
      <c r="DF2" s="2965"/>
      <c r="DG2" s="2965"/>
      <c r="DH2" s="2965"/>
      <c r="DI2" s="2965"/>
      <c r="DJ2" s="2965"/>
      <c r="DK2" s="2965"/>
      <c r="DL2" s="2965"/>
      <c r="DM2" s="2965"/>
      <c r="DN2" s="2965"/>
      <c r="DO2" s="2965"/>
      <c r="DP2" s="2965"/>
      <c r="DQ2" s="2965"/>
      <c r="DR2" s="2965"/>
      <c r="DS2" s="2965"/>
      <c r="DT2" s="2965"/>
      <c r="DU2" s="2965"/>
      <c r="DV2" s="2965"/>
      <c r="DW2" s="2965"/>
      <c r="DX2" s="3113"/>
      <c r="DY2" s="3113"/>
      <c r="DZ2" s="2965"/>
      <c r="EA2" s="2965"/>
      <c r="EB2" s="2965"/>
      <c r="EC2" s="2965"/>
      <c r="ED2" s="2965"/>
      <c r="EE2" s="3113"/>
      <c r="EF2" s="2965"/>
      <c r="EG2" s="2965"/>
      <c r="EH2" s="2965"/>
      <c r="EI2" s="2965"/>
      <c r="EJ2" s="2965"/>
      <c r="EK2" s="2965"/>
      <c r="EL2" s="2965"/>
      <c r="EM2" s="2965"/>
      <c r="EN2" s="2965"/>
      <c r="EO2" s="2965"/>
      <c r="EP2" s="2965"/>
      <c r="EQ2" s="2965"/>
      <c r="ER2" s="2965"/>
      <c r="ES2" s="2965"/>
      <c r="ET2" s="2965"/>
      <c r="EU2" s="2965"/>
      <c r="EV2" s="2965"/>
      <c r="EW2" s="2965"/>
      <c r="EX2" s="2965"/>
      <c r="EY2" s="2965"/>
      <c r="EZ2" s="2965"/>
      <c r="FA2" s="2965"/>
      <c r="FB2" s="2965"/>
      <c r="FC2" s="2965"/>
      <c r="FD2" s="2965"/>
      <c r="FE2" s="2965"/>
      <c r="FF2" s="2965"/>
      <c r="FG2" s="2965"/>
      <c r="FH2" s="2965"/>
      <c r="FI2" s="2965"/>
      <c r="FJ2" s="2965"/>
      <c r="FK2" s="2965"/>
      <c r="FL2" s="2965"/>
      <c r="FM2" s="2965"/>
      <c r="FN2" s="2965"/>
      <c r="FO2" s="2965"/>
      <c r="FP2" s="2965"/>
      <c r="FQ2" s="2965"/>
      <c r="FR2" s="2965"/>
      <c r="FS2" s="2965"/>
      <c r="FT2" s="2965"/>
      <c r="FU2" s="2965"/>
      <c r="FV2" s="2965"/>
      <c r="FW2" s="2965"/>
      <c r="FX2" s="2965"/>
      <c r="FY2" s="2965"/>
      <c r="FZ2" s="2965"/>
      <c r="GA2" s="2965"/>
      <c r="GB2" s="2965"/>
      <c r="GC2" s="2965"/>
      <c r="GD2" s="2965"/>
      <c r="GE2" s="2965"/>
      <c r="GF2" s="2966" t="s">
        <v>774</v>
      </c>
      <c r="GG2" s="2966"/>
      <c r="GH2" s="5032">
        <v>91.24</v>
      </c>
      <c r="GI2" s="2965"/>
      <c r="GJ2" s="2966" t="s">
        <v>775</v>
      </c>
      <c r="GK2" s="3061">
        <v>1.3</v>
      </c>
      <c r="GL2" s="2141"/>
      <c r="GM2" s="2142"/>
      <c r="GN2" s="2143"/>
      <c r="GO2" s="2143"/>
    </row>
    <row r="3" spans="1:386" s="2541" customFormat="1" ht="53.25" customHeight="1" thickBot="1">
      <c r="A3" s="2536" t="s">
        <v>0</v>
      </c>
      <c r="B3" s="2537" t="str">
        <f>Master!AL3</f>
        <v>Karnaphuli Hydro PP Unit-1, 2 &amp; 3</v>
      </c>
      <c r="C3" s="2538" t="str">
        <f>Master!AM3</f>
        <v>Karnaphuli Hydro PP Unit-4 &amp; 5</v>
      </c>
      <c r="D3" s="2537" t="str">
        <f>Master!AN3</f>
        <v xml:space="preserve">Chattogram TPP-1 </v>
      </c>
      <c r="E3" s="2537" t="str">
        <f>Master!AO3</f>
        <v>Chattogram TPP-2</v>
      </c>
      <c r="F3" s="2537" t="str">
        <f>Master!AP3</f>
        <v>Raozan 25 MW PP</v>
      </c>
      <c r="G3" s="2537" t="str">
        <f>Master!CY3</f>
        <v>Teknaf  20MW PP (Solartech)</v>
      </c>
      <c r="H3" s="2537" t="str">
        <f>Master!AQ3</f>
        <v>Sikalbaha 225MW CCPP (Gas)</v>
      </c>
      <c r="I3" s="2537" t="str">
        <f>Master!AR3</f>
        <v>Sikalbaha 225MW CCPP(Oil)</v>
      </c>
      <c r="J3" s="2537"/>
      <c r="K3" s="2537" t="str">
        <f>Master!AS3</f>
        <v>Sikalbaha 150MW GTPP</v>
      </c>
      <c r="L3" s="2537" t="str">
        <f>Master!AT3</f>
        <v>Sikalbaha 150MW GTPP(Oil)</v>
      </c>
      <c r="M3" s="2537" t="str">
        <f>Master!AX3</f>
        <v>Dohazari -Kalaish 100 MW Peaking</v>
      </c>
      <c r="N3" s="2537" t="str">
        <f>Master!AW3</f>
        <v>Hathazari 100 MW peaking PP</v>
      </c>
      <c r="O3" s="2537" t="str">
        <f>Master!DF3</f>
        <v>Sikalbaha 105 MW PP (Baraka Sikalbaha)</v>
      </c>
      <c r="P3" s="2537" t="str">
        <f>Master!CR3</f>
        <v>Daudkandi 200 MW PP (B.Trac)</v>
      </c>
      <c r="Q3" s="2537" t="str">
        <f>Master!BQ3</f>
        <v>Titas 50 MW Peaking PP</v>
      </c>
      <c r="R3" s="2537" t="str">
        <f>Master!S3</f>
        <v>210 MW Siddhirgonj TPP</v>
      </c>
      <c r="S3" s="2537" t="str">
        <f>Master!T3</f>
        <v xml:space="preserve">Siddhirgonj 2*120 MW GTPP </v>
      </c>
      <c r="T3" s="2537" t="str">
        <f>Master!R3</f>
        <v>Siddhirganj 335 MW CCPP</v>
      </c>
      <c r="U3" s="2537" t="str">
        <f>Master!CS3</f>
        <v xml:space="preserve">Kodda 300 MW PP Unit-2 (Summit) </v>
      </c>
      <c r="V3" s="2537" t="str">
        <f>Master!BJ3</f>
        <v xml:space="preserve">Ashuganj 195MW PP (APSCL-United) </v>
      </c>
      <c r="W3" s="2537" t="str">
        <f>Master!B3</f>
        <v>Ghorasal TPP (Unit-1&amp;2)</v>
      </c>
      <c r="X3" s="2539" t="str">
        <f>Master!C3</f>
        <v>Ghorasal Repowered CCPP:Unit-3 (GT</v>
      </c>
      <c r="Y3" s="2537" t="str">
        <f>Master!D3</f>
        <v>Ghorasal Repowered CCPP Unit-4</v>
      </c>
      <c r="Z3" s="2537" t="str">
        <f>Master!E3</f>
        <v>Ghorasal TPP Unit-5</v>
      </c>
      <c r="AA3" s="2537"/>
      <c r="AB3" s="2537" t="str">
        <f>Master!F3</f>
        <v>Ghorasal 365 MW CCPP Unit-7</v>
      </c>
      <c r="AC3" s="2537"/>
      <c r="AD3" s="2537" t="str">
        <f>Master!BD3</f>
        <v>Ashuganj TPP Unit- 3</v>
      </c>
      <c r="AE3" s="2537" t="str">
        <f>Master!BE3</f>
        <v>Ashuganj TPP Unit- 4</v>
      </c>
      <c r="AF3" s="2537" t="str">
        <f>Master!BF3</f>
        <v>Ashuganj TPP Unit- 5</v>
      </c>
      <c r="AG3" s="2537" t="str">
        <f>Master!BL3</f>
        <v xml:space="preserve">Ashuganj 50 MW PP </v>
      </c>
      <c r="AH3" s="2537" t="str">
        <f>Master!BI3</f>
        <v xml:space="preserve">Ashuganj 225 MW  CCPP </v>
      </c>
      <c r="AI3" s="2537" t="str">
        <f>Master!BH3</f>
        <v>Ashuganj 450 MW CCPP(South)</v>
      </c>
      <c r="AJ3" s="2537" t="str">
        <f>Master!BG3</f>
        <v>Ashuganj 450 MW CCPP(North)</v>
      </c>
      <c r="AK3" s="2537" t="str">
        <f>Master!DX3</f>
        <v>Ashuganj 420 MW CCPP(East)</v>
      </c>
      <c r="AL3" s="2537" t="str">
        <f>Master!BM3</f>
        <v xml:space="preserve">Ashuganj 55 MW PP  (Precision) </v>
      </c>
      <c r="AM3" s="2537" t="str">
        <f>Master!BK3</f>
        <v>Chandpur 150 MW CCPP</v>
      </c>
      <c r="AN3" s="2537" t="str">
        <f>Master!AK3</f>
        <v>Tongi 80 MW GTPP</v>
      </c>
      <c r="AO3" s="2537" t="str">
        <f>Master!L3</f>
        <v>Haripur GTPP</v>
      </c>
      <c r="AP3" s="2537" t="str">
        <f>Master!I3</f>
        <v>Haripur  412 MW CCPP</v>
      </c>
      <c r="AQ3" s="2537" t="str">
        <f>Master!M3</f>
        <v>Meghnaghat 450 MW CCPP(MPL)</v>
      </c>
      <c r="AR3" s="2537" t="str">
        <f>Master!J3</f>
        <v>Haripur 360MW CCPP(HPL)</v>
      </c>
      <c r="AS3" s="2537" t="str">
        <f>Master!BX3</f>
        <v>RPCL 210MW CCPP</v>
      </c>
      <c r="AT3" s="2537" t="str">
        <f>Master!DP3</f>
        <v>Sutiakhali 50 MW Solar PP</v>
      </c>
      <c r="AU3" s="2537" t="str">
        <f>Master!CB3</f>
        <v>Fenchugonj CCPP Phase-1</v>
      </c>
      <c r="AV3" s="2537" t="str">
        <f>Master!CC3</f>
        <v>Fenchugonj CCPP Phase-2</v>
      </c>
      <c r="AW3" s="2537" t="str">
        <f>Master!CG3</f>
        <v>Shajibazar 330 MW CCPP</v>
      </c>
      <c r="AX3" s="2537" t="str">
        <f>Master!CH3</f>
        <v xml:space="preserve">Shahjibazar GTPP Unit- 8 &amp; 9 </v>
      </c>
      <c r="AY3" s="2537" t="str">
        <f>Master!CI3</f>
        <v>Shahjibazar 86MW PP (Shahjibazar)</v>
      </c>
      <c r="AZ3" s="2537" t="str">
        <f>Master!DS3</f>
        <v>Shahjibazar 100 MW GTPP</v>
      </c>
      <c r="BA3" s="2537" t="str">
        <f>Master!CJ3</f>
        <v xml:space="preserve">Shahjibazar  50MW PP (EPL)  </v>
      </c>
      <c r="BB3" s="2537" t="str">
        <f>Master!CK3</f>
        <v>Sylhet 225 MW CCPP</v>
      </c>
      <c r="BC3" s="2537" t="str">
        <f>Master!CL3</f>
        <v>Sylhet  20 MW GTPP</v>
      </c>
      <c r="BD3" s="2537" t="str">
        <f>Master!CM3</f>
        <v>Sylhet  50MW PP (EPL)</v>
      </c>
      <c r="BE3" s="2537" t="str">
        <f>Master!CN3</f>
        <v xml:space="preserve">Sylhet 10MW PP (Desh)  </v>
      </c>
      <c r="BF3" s="2537" t="str">
        <f>Master!CQ3</f>
        <v>Hobiganj  11MW PP Cofidence-E</v>
      </c>
      <c r="BG3" s="2537" t="str">
        <f>Master!CD3</f>
        <v xml:space="preserve">Fenchugonj 51 MW PP  (Barakatullah) </v>
      </c>
      <c r="BH3" s="2537" t="str">
        <f>Master!CP3</f>
        <v>Shahjahanulla 25 MW PP</v>
      </c>
      <c r="BI3" s="2537" t="str">
        <f>Master!CO3</f>
        <v>Bibiana-II 341 MW CCPP (Summit)</v>
      </c>
      <c r="BJ3" s="2537" t="str">
        <f>Master!DN3</f>
        <v>Bibiyana South 400 MW</v>
      </c>
      <c r="BK3" s="2537" t="str">
        <f>Master!AD3</f>
        <v>Nababganj 55 MW PP (Southern power )</v>
      </c>
      <c r="BL3" s="2537" t="str">
        <f>Master!AV3</f>
        <v>Tangail Palli Power Gen 22 MW</v>
      </c>
      <c r="BM3" s="2537" t="str">
        <f>Master!BB3</f>
        <v>Barabkunda  22 MW PP (Regent)</v>
      </c>
      <c r="BN3" s="2537" t="str">
        <f>Master!AE3</f>
        <v>Narshingdi 22 MW PP  (Doreen)</v>
      </c>
      <c r="BO3" s="2537" t="str">
        <f>Master!BZ3</f>
        <v>Tangail  22 MW PP (Doreen)</v>
      </c>
      <c r="BP3" s="2617" t="str">
        <f>Master!BW3</f>
        <v>Impoprt (Tripura)</v>
      </c>
      <c r="BQ3" s="2537" t="str">
        <f>Master!BC3</f>
        <v>Malancha, Ctg. EPZ (United)</v>
      </c>
      <c r="BR3" s="2537" t="str">
        <f>Master!BS3</f>
        <v>Feni  22MW PP (Doreen)</v>
      </c>
      <c r="BS3" s="2537" t="str">
        <f>Master!BT3</f>
        <v>Feni 11 MW PP  (Doreen)</v>
      </c>
      <c r="BT3" s="2537" t="str">
        <f>Master!BU3</f>
        <v xml:space="preserve">Jangalia 33MW PP (Summit) </v>
      </c>
      <c r="BU3" s="2537" t="str">
        <f>Master!BV3</f>
        <v>Cumilla 25 MW PP (Summit)</v>
      </c>
      <c r="BV3" s="2537" t="str">
        <f>Master!AF3</f>
        <v>Summit Ashulia</v>
      </c>
      <c r="BW3" s="2537" t="str">
        <f>Master!AG3</f>
        <v>Summit Madhabdi</v>
      </c>
      <c r="BX3" s="2537" t="str">
        <f>Master!AH3</f>
        <v>Maona 33 MW PP(Summit)</v>
      </c>
      <c r="BY3" s="2537" t="str">
        <f>Master!AI3</f>
        <v xml:space="preserve">Rupganj 33 MW PP(Summit) </v>
      </c>
      <c r="BZ3" s="2537" t="str">
        <f>Master!G3</f>
        <v>Ghorashal 108MW PP (Regent)</v>
      </c>
      <c r="CA3" s="2537" t="str">
        <f>Master!DK3</f>
        <v>Feni Lanka Power</v>
      </c>
      <c r="CB3" s="2537" t="str">
        <f>Master!DL3</f>
        <v>Chowmuhani 113 MW</v>
      </c>
      <c r="CC3" s="2537" t="str">
        <f>Master!DQ3</f>
        <v>Manikgonj 162MW PP(MPGL)</v>
      </c>
      <c r="CD3" s="2537" t="str">
        <f>Master!U3</f>
        <v>Siddhirganj 100 PP(Dutch Bangla)</v>
      </c>
      <c r="CE3" s="2537" t="str">
        <f>Master!AJ3</f>
        <v>Gazipur 52 MW PP</v>
      </c>
      <c r="CF3" s="2537" t="str">
        <f>Master!W3</f>
        <v>Kodda 150MW PP</v>
      </c>
      <c r="CG3" s="2537" t="str">
        <f>Master!BY3</f>
        <v>Jamalpur 95 MW PP(Powerpac)</v>
      </c>
      <c r="CH3" s="2537" t="str">
        <f>Master!BR3</f>
        <v>Jangalia 52 MW PP (Lakdanavi)</v>
      </c>
      <c r="CI3" s="2537" t="str">
        <f>Master!DE3</f>
        <v>Gazipur 100 MW PP</v>
      </c>
      <c r="CJ3" s="2537" t="str">
        <f>Master!DG3</f>
        <v>Kaptai 7 MW  Solar PP</v>
      </c>
      <c r="CK3" s="2537" t="str">
        <f>Master!DI3</f>
        <v>Jodiac Power</v>
      </c>
      <c r="CL3" s="2537" t="str">
        <f>Master!DJ3</f>
        <v>Karnaphuli Power Ltd.</v>
      </c>
      <c r="CM3" s="2537" t="str">
        <f>Master!P3</f>
        <v>Madanganj 102 PP(Summit)</v>
      </c>
      <c r="CN3" s="2537" t="str">
        <f>Master!Z3</f>
        <v>Pagla (DPA )</v>
      </c>
      <c r="CO3" s="2537" t="str">
        <f>Master!BP3</f>
        <v>B.Baria (Aggreko) 85MW</v>
      </c>
      <c r="CP3" s="2537" t="str">
        <f>Master!X3</f>
        <v>Keraniganj 100 MW PP (Powerpac)</v>
      </c>
      <c r="CQ3" s="2537" t="s">
        <v>1219</v>
      </c>
      <c r="CR3" s="2537" t="str">
        <f>Master!O3</f>
        <v>Meghnaghat 100 MW(IEL)</v>
      </c>
      <c r="CS3" s="2537" t="str">
        <f>Master!DO3</f>
        <v>Meghnaghat 104 MW PP (OPCL)</v>
      </c>
      <c r="CT3" s="2537" t="str">
        <f>Master!H3</f>
        <v>Ghorashal 78.5 MW PP(MAX)</v>
      </c>
      <c r="CU3" s="2537" t="str">
        <f>Master!BN3</f>
        <v>Ashuganj 53MW PP (United)</v>
      </c>
      <c r="CV3" s="2537" t="str">
        <f>Master!AY3</f>
        <v>Juldah 100 MW Unit-1 (Acorn)</v>
      </c>
      <c r="CW3" s="2537" t="str">
        <f>Master!CE3</f>
        <v>Fenchuganj  44MW (Energyprima)</v>
      </c>
      <c r="CX3" s="2537" t="str">
        <f>Master!BO3</f>
        <v>Ashuganj  51 MW PP (Midland)</v>
      </c>
      <c r="CY3" s="2537" t="str">
        <f>Master!V3</f>
        <v>Gagnagar 102 MW PP (Digital Power)</v>
      </c>
      <c r="CZ3" s="2537" t="str">
        <f>Master!BA3</f>
        <v>Patenga 50MW PP (Baraka)</v>
      </c>
      <c r="DA3" s="2537" t="str">
        <f>Master!AZ3</f>
        <v>Chattogram 108 MW PP (ECPV)</v>
      </c>
      <c r="DB3" s="2537" t="s">
        <v>1173</v>
      </c>
      <c r="DC3" s="2537" t="str">
        <f>Master!Y3</f>
        <v>Bosila 108MW PP(CLC)</v>
      </c>
      <c r="DD3" s="2537" t="str">
        <f>Master!Q3</f>
        <v>Madanganj-55 MW PP(Summit)</v>
      </c>
      <c r="DE3" s="2537" t="str">
        <f>Master!AC3</f>
        <v>Manikganj 55 MW PP (Northern)</v>
      </c>
      <c r="DF3" s="2537" t="str">
        <f>Master!CF3</f>
        <v>Kushiara 163 MW CCPP (KP)</v>
      </c>
      <c r="DG3" s="2537" t="str">
        <f>Master!CA3</f>
        <v>Sarishabari 3 MW Solar Plant</v>
      </c>
      <c r="DH3" s="2537" t="str">
        <f>Master!AB3</f>
        <v>Kamalaghat 54 MW PP(Banco Energy)</v>
      </c>
      <c r="DI3" s="2537" t="str">
        <f>Master!CT3</f>
        <v xml:space="preserve"> Keranigonj 300 MW PP (APR)</v>
      </c>
      <c r="DJ3" s="2537" t="str">
        <f>Master!CU3</f>
        <v xml:space="preserve"> Bramhangoan 100 MW PP (Aggreko)</v>
      </c>
      <c r="DK3" s="2537" t="str">
        <f>Master!CV3</f>
        <v xml:space="preserve"> Mymensingh 200 MW PP (United)</v>
      </c>
      <c r="DL3" s="2537" t="str">
        <f>Master!CW3</f>
        <v>Aurahati 100MW PP (Aggreko)</v>
      </c>
      <c r="DM3" s="2537" t="str">
        <f>Master!CX3</f>
        <v xml:space="preserve">Kodda 149 MW PP Unit-1 (Summit) </v>
      </c>
      <c r="DN3" s="2537" t="str">
        <f>Master!CZ3</f>
        <v>Juldah 100 MW PP Unit-3 (Acorn)</v>
      </c>
      <c r="DO3" s="2537" t="str">
        <f>Master!DA3</f>
        <v>Chandpur 200MW (Desh energy)</v>
      </c>
      <c r="DP3" s="2537" t="str">
        <f>Master!DB3</f>
        <v>Ashuganj 150MW PP (Midland)</v>
      </c>
      <c r="DQ3" s="2537" t="str">
        <f>Master!DC3</f>
        <v>Bibiyana-III     400 MW CCPP</v>
      </c>
      <c r="DR3" s="2537" t="str">
        <f>Master!DD3</f>
        <v>Jamalpur 115 MW PP (United)</v>
      </c>
      <c r="DS3" s="2537" t="str">
        <f>Master!DH3</f>
        <v>Anwara 300 MW PP (United)</v>
      </c>
      <c r="DT3" s="2537" t="str">
        <f>Master!DM3</f>
        <v>Juldah unit-2 (Acorn)</v>
      </c>
      <c r="DU3" s="2537" t="str">
        <f>Master!DR3</f>
        <v>Anlima Energy Ltd.</v>
      </c>
      <c r="DV3" s="2537" t="str">
        <f>Master!DT3</f>
        <v>Bhairob 54.5 MW</v>
      </c>
      <c r="DW3" s="2537" t="str">
        <f>Master!DU3</f>
        <v>Spectra Solar Plant Ltd.</v>
      </c>
      <c r="DX3" s="2537" t="str">
        <f>Master!DV3</f>
        <v xml:space="preserve">Chandpur 115(Doreen) </v>
      </c>
      <c r="DY3" s="2537" t="str">
        <f>Master!DW3</f>
        <v>Kanchan Purbachal Power Generation  Ltd.</v>
      </c>
      <c r="DZ3" s="4853" t="s">
        <v>740</v>
      </c>
      <c r="EA3" s="2537" t="s">
        <v>1593</v>
      </c>
      <c r="EB3" s="2537" t="str">
        <f>Master!EF3</f>
        <v>Khulna 60MW</v>
      </c>
      <c r="EC3" s="2537" t="str">
        <f>Master!EC3</f>
        <v>Khulna  115 MW PP  (KPCL-1 &amp; 3)</v>
      </c>
      <c r="ED3" s="2537" t="str">
        <f>Master!ED3</f>
        <v>Khulna 115 PP MW (KPCL-2)</v>
      </c>
      <c r="EE3" s="2537" t="str">
        <f>Master!GF3</f>
        <v>Khulna 330 MW CCPP (GAS)</v>
      </c>
      <c r="EF3" s="2537" t="str">
        <f>Master!GE3</f>
        <v>Khulna 330 MW CCPP (OIL)</v>
      </c>
      <c r="EG3" s="2537" t="str">
        <f>Master!EG3</f>
        <v>Khulna (Aggreeco) 55MW</v>
      </c>
      <c r="EH3" s="2537" t="str">
        <f>Master!EH3</f>
        <v>Faridpur 50 MW Peaking PP</v>
      </c>
      <c r="EI3" s="2537" t="str">
        <f>Master!EE3</f>
        <v>Khulna  225 MW CCPP</v>
      </c>
      <c r="EJ3" s="2537" t="str">
        <f>Master!FP3</f>
        <v>Rupsha 105 MW PP (Orion rupsha)</v>
      </c>
      <c r="EK3" s="2537" t="str">
        <f>Master!GC3</f>
        <v>Mongla Orion 100 MW Solar PP</v>
      </c>
      <c r="EL3" s="2537"/>
      <c r="EM3" s="2537" t="str">
        <f>Master!GA3</f>
        <v>United Payra Power Ltd.</v>
      </c>
      <c r="EN3" s="2537" t="str">
        <f>Master!FY3</f>
        <v>Bhola Nutan Biddut BD LTD (GAS)</v>
      </c>
      <c r="EO3" s="2537" t="str">
        <f>Master!FZ3</f>
        <v>Bhola Nutan Biddut BD LTD (OIL)</v>
      </c>
      <c r="EP3" s="2537" t="str">
        <f>Master!EM3</f>
        <v>Barisal 110 MW PP (Summit )</v>
      </c>
      <c r="EQ3" s="2537" t="str">
        <f>Master!EN3</f>
        <v>Barisal GT PP Unit-1&amp; 2</v>
      </c>
      <c r="ER3" s="2537" t="str">
        <f>Master!FK3</f>
        <v>Bhola 95 MW PP (Aggreko)</v>
      </c>
      <c r="ES3" s="2537" t="str">
        <f>Master!EK3</f>
        <v>Bhola 225 MW  CCPP</v>
      </c>
      <c r="ET3" s="2537" t="str">
        <f>Master!EL3</f>
        <v>Bhola  33 MW PP (Venture)</v>
      </c>
      <c r="EU3" s="2537" t="str">
        <f>Master!FL3</f>
        <v xml:space="preserve"> Noapara 100 MW PP (Bangla Trac)</v>
      </c>
      <c r="EV3" s="2537" t="str">
        <f>Master!EJ3</f>
        <v>Noapara 40 MW PP (Khanjahan Ali)</v>
      </c>
      <c r="EW3" s="2537" t="str">
        <f>Master!EI3</f>
        <v>Gopalganj 100 MW Peaking PP</v>
      </c>
      <c r="EX3" s="2537" t="str">
        <f>Master!EA3</f>
        <v>Bheramara GTPP Unit-3</v>
      </c>
      <c r="EY3" s="2537" t="str">
        <f>Master!FS3</f>
        <v>Madhumati 100 MW PP</v>
      </c>
      <c r="EZ3" s="2535" t="s">
        <v>835</v>
      </c>
      <c r="FA3" s="2537" t="str">
        <f>Master!EB3</f>
        <v>Bheramara 410 MW CCPP</v>
      </c>
      <c r="FB3" s="2537" t="str">
        <f>Master!FX3</f>
        <v>Payra 1320 MW</v>
      </c>
      <c r="FC3" s="2537"/>
      <c r="FD3" s="2537" t="str">
        <f>Master!FB3</f>
        <v xml:space="preserve">Barapukuria TPP Unit-1 </v>
      </c>
      <c r="FE3" s="2537" t="str">
        <f>Master!FC3</f>
        <v>Barapukuria TPP  Unit-2</v>
      </c>
      <c r="FF3" s="2537" t="str">
        <f>Master!FD3</f>
        <v>Barapukuria 275 MW TPP Unit-3</v>
      </c>
      <c r="FG3" s="2537" t="str">
        <f>Master!EP3</f>
        <v>Baghabari 71 MW GTPP</v>
      </c>
      <c r="FH3" s="2537" t="str">
        <f>Master!EO3</f>
        <v>Baghabari  100 MW GTPP</v>
      </c>
      <c r="FI3" s="2537" t="str">
        <f>Master!EQ3</f>
        <v>Baghabari  50 MW Peaking PP</v>
      </c>
      <c r="FJ3" s="2537" t="str">
        <f>Master!GB3</f>
        <v xml:space="preserve"> Sirajgonj 6.55 MW Solar</v>
      </c>
      <c r="FK3" s="2537" t="str">
        <f>Master!FG3</f>
        <v>Sirajgonj 225MW CCPP Unit-1  (Gas)</v>
      </c>
      <c r="FL3" s="2537" t="str">
        <f>Master!FH3</f>
        <v>Sirajgonj  225MW CCPP Unit-1(Oil)</v>
      </c>
      <c r="FM3" s="2537" t="str">
        <f>Master!FI3</f>
        <v>Sirajgonj 225 MW CCPP   Unit-2  (Gas)</v>
      </c>
      <c r="FN3" s="2537" t="str">
        <f>Master!FJ3</f>
        <v>Sirajgonj 225 MW CCPP   Unit-2  (Oil)</v>
      </c>
      <c r="FO3" s="2537" t="str">
        <f>Master!FM3</f>
        <v>Sirajgonj 225MW CCPP Unit-3  (Gas)</v>
      </c>
      <c r="FP3" s="2537" t="str">
        <f>Master!FN3</f>
        <v>Sirajgonj 225MW CCPP Unit-3  (Oil)</v>
      </c>
      <c r="FQ3" s="2537" t="str">
        <f>Master!FO3</f>
        <v>Sirajgonj 400 MW CCPP Unit-4</v>
      </c>
      <c r="FR3" s="2537" t="str">
        <f>Master!FU3</f>
        <v>Sirajgonj 400MW CCPP Unit-4 (Oil)</v>
      </c>
      <c r="FS3" s="2537" t="str">
        <f>Master!ER3</f>
        <v>Bera 70 MW Peaking PP</v>
      </c>
      <c r="FT3" s="2537" t="str">
        <f>Master!EY3</f>
        <v>Bogra 22 MW PP (GBB)</v>
      </c>
      <c r="FU3" s="2537" t="str">
        <f>Master!EZ3</f>
        <v>Bogura 20 MW PP (Energyprima)</v>
      </c>
      <c r="FV3" s="2537" t="str">
        <f>Master!FA3</f>
        <v>Ullapara 11 MW PP  (Summit)</v>
      </c>
      <c r="FW3" s="2537" t="str">
        <f>Master!ET3</f>
        <v>Amnura 50 MW PP(Sinha)</v>
      </c>
      <c r="FX3" s="2537" t="str">
        <f>Master!EU3</f>
        <v>Katakhali 50 MW PP (Northern)</v>
      </c>
      <c r="FY3" s="2537" t="str">
        <f>Master!EV3</f>
        <v>Katakhali 50 MW Peaking PP</v>
      </c>
      <c r="FZ3" s="2537" t="str">
        <f>Master!EX3</f>
        <v>Santahar  50 MW Peaking PP</v>
      </c>
      <c r="GA3" s="2537" t="str">
        <f>Master!EW3</f>
        <v xml:space="preserve">Natore 52 MW PP (Rajlanka) </v>
      </c>
      <c r="GB3" s="2537" t="str">
        <f>Master!ES3</f>
        <v>Chapainawabganj 100 MW Peaking PP</v>
      </c>
      <c r="GC3" s="2537" t="str">
        <f>Master!FQ3</f>
        <v>Baghabari 200 MW PP (Paramount)</v>
      </c>
      <c r="GD3" s="2537" t="str">
        <f>Master!FR3</f>
        <v>Bagura 113 MW PP (Confidence)-2</v>
      </c>
      <c r="GE3" s="2537" t="str">
        <f>Master!FW3</f>
        <v>Confidence Power Bogura Unit-1 113 MW</v>
      </c>
      <c r="GF3" s="2537" t="str">
        <f>Master!FE3</f>
        <v>Rangpur 20 MW  GTPP</v>
      </c>
      <c r="GG3" s="2537" t="str">
        <f>Master!FF3</f>
        <v>Saidpur 20 MW GTPP</v>
      </c>
      <c r="GH3" s="2537" t="str">
        <f>Master!FT3</f>
        <v xml:space="preserve">Rangpur 113 MW PP (Confidence)  </v>
      </c>
      <c r="GI3" s="2537" t="str">
        <f>Master!FV3</f>
        <v>Sympa Solar Power 8MW</v>
      </c>
      <c r="GJ3" s="2537" t="str">
        <f>Master!GD3</f>
        <v>Energypac Power Venture Thakurgaon Ltd.</v>
      </c>
      <c r="GK3" s="2537"/>
      <c r="GL3" s="2548" t="s">
        <v>739</v>
      </c>
      <c r="GM3" s="2549" t="s">
        <v>7</v>
      </c>
      <c r="GN3" s="2540" t="s">
        <v>773</v>
      </c>
      <c r="GO3" s="2878" t="s">
        <v>667</v>
      </c>
    </row>
    <row r="4" spans="1:386" s="413" customFormat="1" ht="27" customHeight="1">
      <c r="A4" s="2542">
        <v>4.1666666666666664E-2</v>
      </c>
      <c r="B4" s="5337">
        <v>81</v>
      </c>
      <c r="C4" s="5311">
        <v>35</v>
      </c>
      <c r="D4" s="5311">
        <v>100</v>
      </c>
      <c r="E4" s="5311"/>
      <c r="F4" s="5338">
        <v>25</v>
      </c>
      <c r="G4" s="5339"/>
      <c r="H4" s="5340"/>
      <c r="I4" s="5338"/>
      <c r="J4" s="5311"/>
      <c r="K4" s="5311"/>
      <c r="L4" s="5311"/>
      <c r="M4" s="5311">
        <v>51</v>
      </c>
      <c r="N4" s="5311">
        <v>26</v>
      </c>
      <c r="O4" s="5311">
        <v>87</v>
      </c>
      <c r="P4" s="5311">
        <v>197</v>
      </c>
      <c r="Q4" s="5311">
        <v>39</v>
      </c>
      <c r="R4" s="5311"/>
      <c r="S4" s="5311"/>
      <c r="T4" s="5311"/>
      <c r="U4" s="5311">
        <v>112</v>
      </c>
      <c r="V4" s="5311">
        <v>8</v>
      </c>
      <c r="W4" s="5311"/>
      <c r="X4" s="5311"/>
      <c r="Y4" s="5311"/>
      <c r="Z4" s="5311">
        <v>180</v>
      </c>
      <c r="AA4" s="5311"/>
      <c r="AB4" s="5311">
        <v>200</v>
      </c>
      <c r="AC4" s="5311"/>
      <c r="AD4" s="5312"/>
      <c r="AE4" s="5311"/>
      <c r="AF4" s="5311"/>
      <c r="AG4" s="5311">
        <v>42</v>
      </c>
      <c r="AH4" s="5311">
        <v>195</v>
      </c>
      <c r="AI4" s="5311">
        <v>320</v>
      </c>
      <c r="AJ4" s="5311">
        <v>320</v>
      </c>
      <c r="AK4" s="5311"/>
      <c r="AL4" s="5311">
        <v>52</v>
      </c>
      <c r="AM4" s="5311">
        <v>127</v>
      </c>
      <c r="AN4" s="5311"/>
      <c r="AO4" s="5311"/>
      <c r="AP4" s="5311">
        <v>399</v>
      </c>
      <c r="AQ4" s="5311">
        <v>225</v>
      </c>
      <c r="AR4" s="5311">
        <v>281</v>
      </c>
      <c r="AS4" s="5311">
        <v>100</v>
      </c>
      <c r="AT4" s="5311"/>
      <c r="AU4" s="5311">
        <v>43</v>
      </c>
      <c r="AV4" s="5311">
        <v>41</v>
      </c>
      <c r="AW4" s="5311"/>
      <c r="AX4" s="5311">
        <v>60</v>
      </c>
      <c r="AY4" s="5311">
        <v>81</v>
      </c>
      <c r="AZ4" s="5311"/>
      <c r="BA4" s="5311"/>
      <c r="BB4" s="5311">
        <v>221</v>
      </c>
      <c r="BC4" s="5311"/>
      <c r="BD4" s="5311">
        <v>31</v>
      </c>
      <c r="BE4" s="5311">
        <v>0</v>
      </c>
      <c r="BF4" s="5311"/>
      <c r="BG4" s="5311">
        <v>50</v>
      </c>
      <c r="BH4" s="5311">
        <v>16</v>
      </c>
      <c r="BI4" s="5311">
        <v>310</v>
      </c>
      <c r="BJ4" s="5311"/>
      <c r="BK4" s="5311">
        <v>35</v>
      </c>
      <c r="BL4" s="5311">
        <v>11</v>
      </c>
      <c r="BM4" s="5311">
        <v>15</v>
      </c>
      <c r="BN4" s="5311">
        <v>22</v>
      </c>
      <c r="BO4" s="5311">
        <v>22</v>
      </c>
      <c r="BP4" s="5314">
        <v>162</v>
      </c>
      <c r="BQ4" s="5311">
        <v>38</v>
      </c>
      <c r="BR4" s="5311">
        <v>21</v>
      </c>
      <c r="BS4" s="5311">
        <v>10</v>
      </c>
      <c r="BT4" s="5311">
        <v>33</v>
      </c>
      <c r="BU4" s="5311">
        <v>20</v>
      </c>
      <c r="BV4" s="5311">
        <v>25</v>
      </c>
      <c r="BW4" s="5311">
        <v>27</v>
      </c>
      <c r="BX4" s="5311">
        <v>33</v>
      </c>
      <c r="BY4" s="5311">
        <v>33</v>
      </c>
      <c r="BZ4" s="5311">
        <v>87</v>
      </c>
      <c r="CA4" s="5311">
        <v>17</v>
      </c>
      <c r="CB4" s="5311">
        <v>42</v>
      </c>
      <c r="CC4" s="5311">
        <v>51</v>
      </c>
      <c r="CD4" s="5312">
        <v>8</v>
      </c>
      <c r="CE4" s="5311">
        <v>49</v>
      </c>
      <c r="CF4" s="5312">
        <v>48</v>
      </c>
      <c r="CG4" s="5312"/>
      <c r="CH4" s="5312">
        <v>8</v>
      </c>
      <c r="CI4" s="5312">
        <v>105</v>
      </c>
      <c r="CJ4" s="5313"/>
      <c r="CK4" s="5312">
        <v>23</v>
      </c>
      <c r="CL4" s="5312">
        <v>56</v>
      </c>
      <c r="CM4" s="5312"/>
      <c r="CN4" s="5312"/>
      <c r="CO4" s="5312"/>
      <c r="CP4" s="5312"/>
      <c r="CQ4" s="5312"/>
      <c r="CR4" s="5312">
        <v>7</v>
      </c>
      <c r="CS4" s="5312">
        <v>0</v>
      </c>
      <c r="CT4" s="5312"/>
      <c r="CU4" s="5312"/>
      <c r="CV4" s="5312">
        <v>33</v>
      </c>
      <c r="CW4" s="5312">
        <v>48</v>
      </c>
      <c r="CX4" s="5312">
        <v>51</v>
      </c>
      <c r="CY4" s="5312">
        <v>8</v>
      </c>
      <c r="CZ4" s="5312">
        <v>25</v>
      </c>
      <c r="DA4" s="5312">
        <v>12</v>
      </c>
      <c r="DB4" s="5312"/>
      <c r="DC4" s="5312"/>
      <c r="DD4" s="5312">
        <v>30</v>
      </c>
      <c r="DE4" s="5312">
        <v>55</v>
      </c>
      <c r="DF4" s="5312">
        <v>110</v>
      </c>
      <c r="DG4" s="5316"/>
      <c r="DH4" s="5316">
        <v>35</v>
      </c>
      <c r="DI4" s="5312">
        <v>298</v>
      </c>
      <c r="DJ4" s="5316">
        <v>95</v>
      </c>
      <c r="DK4" s="5316">
        <v>47</v>
      </c>
      <c r="DL4" s="5316">
        <v>96</v>
      </c>
      <c r="DM4" s="5316">
        <v>97</v>
      </c>
      <c r="DN4" s="5316">
        <v>21</v>
      </c>
      <c r="DO4" s="5316">
        <v>34</v>
      </c>
      <c r="DP4" s="5316">
        <v>133</v>
      </c>
      <c r="DQ4" s="5312">
        <v>403</v>
      </c>
      <c r="DR4" s="5312">
        <v>48</v>
      </c>
      <c r="DS4" s="5312">
        <v>16</v>
      </c>
      <c r="DT4" s="5312">
        <v>55</v>
      </c>
      <c r="DU4" s="5312">
        <v>108</v>
      </c>
      <c r="DV4" s="5312">
        <v>35</v>
      </c>
      <c r="DW4" s="5312"/>
      <c r="DX4" s="5312">
        <v>76</v>
      </c>
      <c r="DY4" s="5312">
        <v>55</v>
      </c>
      <c r="DZ4" s="5287">
        <f t="shared" ref="DZ4:DZ11" si="0">SUM(B4:DY4)</f>
        <v>7087</v>
      </c>
      <c r="EA4" s="5317"/>
      <c r="EB4" s="5305"/>
      <c r="EC4" s="5305"/>
      <c r="ED4" s="5305">
        <v>26</v>
      </c>
      <c r="EE4" s="5305"/>
      <c r="EF4" s="5305"/>
      <c r="EG4" s="5305"/>
      <c r="EH4" s="5305">
        <v>21</v>
      </c>
      <c r="EI4" s="5305">
        <v>224</v>
      </c>
      <c r="EJ4" s="5305"/>
      <c r="EK4" s="5305"/>
      <c r="EL4" s="5305"/>
      <c r="EM4" s="5305">
        <v>90</v>
      </c>
      <c r="EN4" s="5305">
        <v>210</v>
      </c>
      <c r="EO4" s="5305"/>
      <c r="EP4" s="5305">
        <v>64</v>
      </c>
      <c r="EQ4" s="5305"/>
      <c r="ER4" s="5305"/>
      <c r="ES4" s="5305">
        <v>84</v>
      </c>
      <c r="ET4" s="5305">
        <v>30</v>
      </c>
      <c r="EU4" s="5305">
        <v>96</v>
      </c>
      <c r="EV4" s="5305">
        <v>8</v>
      </c>
      <c r="EW4" s="5305">
        <v>60</v>
      </c>
      <c r="EX4" s="5305"/>
      <c r="EY4" s="5305">
        <v>89</v>
      </c>
      <c r="EZ4" s="5292">
        <v>914</v>
      </c>
      <c r="FA4" s="5305">
        <v>150</v>
      </c>
      <c r="FB4" s="5305">
        <v>660</v>
      </c>
      <c r="FC4" s="5305"/>
      <c r="FD4" s="5305"/>
      <c r="FE4" s="5305"/>
      <c r="FF4" s="5305">
        <v>250</v>
      </c>
      <c r="FG4" s="5341"/>
      <c r="FH4" s="5341"/>
      <c r="FI4" s="5341">
        <v>32</v>
      </c>
      <c r="FJ4" s="5305"/>
      <c r="FK4" s="5305">
        <v>173</v>
      </c>
      <c r="FL4" s="5305"/>
      <c r="FM4" s="5305"/>
      <c r="FN4" s="5305">
        <v>206</v>
      </c>
      <c r="FO4" s="5305">
        <v>145</v>
      </c>
      <c r="FP4" s="5305"/>
      <c r="FQ4" s="5305">
        <v>274</v>
      </c>
      <c r="FR4" s="5305"/>
      <c r="FS4" s="5305">
        <v>27</v>
      </c>
      <c r="FT4" s="5305">
        <v>22</v>
      </c>
      <c r="FU4" s="5305"/>
      <c r="FV4" s="5305">
        <v>11</v>
      </c>
      <c r="FW4" s="5305"/>
      <c r="FX4" s="5305"/>
      <c r="FY4" s="5305">
        <v>24</v>
      </c>
      <c r="FZ4" s="5305">
        <v>34</v>
      </c>
      <c r="GA4" s="5305">
        <v>8</v>
      </c>
      <c r="GB4" s="5305">
        <v>72</v>
      </c>
      <c r="GC4" s="5302">
        <v>169</v>
      </c>
      <c r="GD4" s="5302">
        <v>50</v>
      </c>
      <c r="GE4" s="5302">
        <v>95</v>
      </c>
      <c r="GF4" s="5302">
        <v>0</v>
      </c>
      <c r="GG4" s="5302">
        <v>0</v>
      </c>
      <c r="GH4" s="5302">
        <v>56</v>
      </c>
      <c r="GI4" s="5306"/>
      <c r="GJ4" s="5302">
        <v>34</v>
      </c>
      <c r="GK4" s="5302"/>
      <c r="GL4" s="5307">
        <f t="shared" ref="GL4:GL11" si="1">SUM(EA4:GK4)</f>
        <v>4408</v>
      </c>
      <c r="GM4" s="5308">
        <f t="shared" ref="GM4:GM11" si="2">SUM(B4:DY4)+SUM(EA4:GK4)</f>
        <v>11495</v>
      </c>
      <c r="GN4" s="5309">
        <v>94.02</v>
      </c>
      <c r="GO4" s="3096">
        <v>4.1666666666666664E-2</v>
      </c>
      <c r="GP4" s="3097"/>
      <c r="GQ4" s="3098"/>
      <c r="GR4" s="3097"/>
      <c r="GS4" s="3097"/>
      <c r="GT4" s="3097"/>
      <c r="GU4" s="3097"/>
      <c r="GV4" s="3097"/>
      <c r="GW4" s="3097"/>
      <c r="GX4" s="3097"/>
      <c r="GY4" s="3097"/>
      <c r="GZ4" s="3097"/>
      <c r="HA4" s="3097"/>
      <c r="HB4" s="3098"/>
      <c r="HC4" s="3098"/>
      <c r="HD4" s="3097"/>
      <c r="HE4" s="3097"/>
      <c r="HF4" s="3097"/>
      <c r="HG4" s="3097"/>
      <c r="HH4" s="3097"/>
      <c r="HI4" s="3097"/>
      <c r="HJ4" s="3097"/>
      <c r="HK4" s="3097"/>
      <c r="HL4" s="3097"/>
      <c r="HM4" s="3097"/>
      <c r="HN4" s="3097"/>
      <c r="HO4" s="3097"/>
      <c r="HP4" s="3097"/>
      <c r="HQ4" s="3097"/>
      <c r="HR4" s="3097"/>
      <c r="HS4" s="3097"/>
      <c r="HT4" s="3097"/>
      <c r="HU4" s="3097"/>
      <c r="HV4" s="3097"/>
      <c r="HW4" s="3097"/>
      <c r="HX4" s="3097"/>
      <c r="HY4" s="3097"/>
      <c r="HZ4" s="3097"/>
      <c r="IA4" s="3097"/>
      <c r="IB4" s="3097"/>
      <c r="IC4" s="3097"/>
      <c r="ID4" s="3097"/>
      <c r="IE4" s="3097"/>
      <c r="IF4" s="3097"/>
      <c r="IG4" s="3097"/>
      <c r="IH4" s="3097"/>
      <c r="II4" s="3097"/>
      <c r="IJ4" s="3097"/>
      <c r="IK4" s="3097"/>
      <c r="IL4" s="3097"/>
      <c r="IM4" s="3097"/>
      <c r="IN4" s="3097"/>
      <c r="IO4" s="3097"/>
      <c r="IP4" s="3097"/>
      <c r="IQ4" s="3097"/>
      <c r="IR4" s="3097"/>
      <c r="IS4" s="3097"/>
      <c r="IT4" s="3098"/>
      <c r="IU4" s="3098"/>
      <c r="IV4" s="3097"/>
      <c r="IW4" s="3097"/>
      <c r="IX4" s="3097"/>
      <c r="IY4" s="3097"/>
      <c r="IZ4" s="3097"/>
      <c r="JA4" s="3097"/>
      <c r="JB4" s="3099"/>
      <c r="JC4" s="3099"/>
      <c r="JD4" s="3097"/>
      <c r="JE4" s="3097"/>
      <c r="JF4" s="3097"/>
      <c r="JG4" s="3097"/>
      <c r="JH4" s="3097"/>
      <c r="JI4" s="3097"/>
      <c r="JJ4" s="3097"/>
      <c r="JK4" s="3097"/>
      <c r="JL4" s="3097"/>
      <c r="JM4" s="3097"/>
      <c r="JN4" s="3097"/>
      <c r="JO4" s="3097"/>
      <c r="JP4" s="3097"/>
      <c r="JQ4" s="3097"/>
      <c r="JR4" s="3097"/>
      <c r="JS4" s="3097"/>
      <c r="JT4" s="3097"/>
      <c r="JU4" s="3097"/>
      <c r="JV4" s="3097"/>
      <c r="JW4" s="3097"/>
      <c r="JX4" s="3097"/>
      <c r="JY4" s="3097"/>
      <c r="JZ4" s="3097"/>
      <c r="KA4" s="3097"/>
      <c r="KB4" s="3097"/>
      <c r="KC4" s="3097"/>
      <c r="KD4" s="3097"/>
      <c r="KE4" s="3097"/>
      <c r="KF4" s="3097"/>
      <c r="KG4" s="3097"/>
      <c r="KH4" s="3097"/>
      <c r="KI4" s="3097"/>
      <c r="KJ4" s="3097"/>
      <c r="KK4" s="3097"/>
      <c r="KL4" s="3097"/>
      <c r="KM4" s="3097"/>
      <c r="KN4" s="3097"/>
      <c r="KO4" s="3097"/>
      <c r="KP4" s="3097"/>
      <c r="KQ4" s="3097"/>
      <c r="KR4" s="3097"/>
      <c r="KS4" s="3098"/>
      <c r="KT4" s="3098"/>
      <c r="KU4" s="3097"/>
      <c r="KV4" s="3097"/>
      <c r="KW4" s="3097"/>
      <c r="KX4" s="3097"/>
      <c r="KY4" s="3097"/>
      <c r="KZ4" s="3097"/>
      <c r="LA4" s="3097"/>
      <c r="LB4" s="3097"/>
      <c r="LC4" s="3097"/>
      <c r="LD4" s="3097"/>
      <c r="LE4" s="3097"/>
      <c r="LF4" s="3097"/>
      <c r="LG4" s="3097"/>
      <c r="LH4" s="3097"/>
      <c r="LI4" s="3098"/>
      <c r="LJ4" s="3097"/>
      <c r="LK4" s="3097"/>
      <c r="LL4" s="3097"/>
      <c r="LM4" s="3097"/>
      <c r="LN4" s="3097"/>
      <c r="LO4" s="3097"/>
      <c r="LP4" s="3097"/>
      <c r="LQ4" s="3097"/>
      <c r="LR4" s="3097"/>
      <c r="LS4" s="3097"/>
      <c r="LT4" s="3097"/>
      <c r="LU4" s="3097"/>
      <c r="LV4" s="3097"/>
      <c r="LW4" s="3097"/>
      <c r="LX4" s="3097"/>
      <c r="LY4" s="3097"/>
      <c r="LZ4" s="3097"/>
      <c r="MA4" s="3097"/>
      <c r="MB4" s="3097"/>
      <c r="MC4" s="3097"/>
      <c r="MD4" s="3097"/>
      <c r="ME4" s="3097"/>
      <c r="MF4" s="3097"/>
      <c r="MG4" s="3097"/>
      <c r="MH4" s="3097"/>
      <c r="MI4" s="3097"/>
      <c r="MJ4" s="3097"/>
      <c r="MK4" s="3097"/>
      <c r="ML4" s="3097"/>
      <c r="MM4" s="3097"/>
      <c r="MN4" s="3097"/>
      <c r="MO4" s="3097"/>
      <c r="MP4" s="3097"/>
      <c r="MQ4" s="3097"/>
      <c r="MR4" s="3097"/>
      <c r="MS4" s="3097"/>
      <c r="MT4" s="3097"/>
      <c r="MU4" s="3097"/>
      <c r="MV4" s="3097"/>
      <c r="MW4" s="3097"/>
      <c r="MX4" s="3097"/>
      <c r="MY4" s="3097"/>
      <c r="MZ4" s="3097"/>
      <c r="NA4" s="3097"/>
      <c r="NB4" s="3097"/>
      <c r="NC4" s="3097"/>
      <c r="ND4" s="3097"/>
      <c r="NE4" s="3098"/>
      <c r="NF4" s="3098"/>
      <c r="NG4" s="3097"/>
      <c r="NH4" s="3097"/>
      <c r="NI4" s="3097"/>
      <c r="NJ4" s="3097"/>
      <c r="NK4" s="3097"/>
      <c r="NL4" s="3097"/>
      <c r="NM4" s="3097"/>
      <c r="NN4" s="3097"/>
      <c r="NO4" s="3097"/>
      <c r="NP4" s="3097"/>
      <c r="NQ4" s="3097"/>
      <c r="NR4" s="3097"/>
      <c r="NS4" s="3097"/>
      <c r="NT4" s="3099"/>
      <c r="NU4" s="3098"/>
      <c r="NV4" s="3097"/>
    </row>
    <row r="5" spans="1:386" s="413" customFormat="1" ht="27" customHeight="1">
      <c r="A5" s="2542">
        <v>8.3333333333333329E-2</v>
      </c>
      <c r="B5" s="5342">
        <v>83</v>
      </c>
      <c r="C5" s="5311">
        <v>35</v>
      </c>
      <c r="D5" s="5311">
        <v>100</v>
      </c>
      <c r="E5" s="5311"/>
      <c r="F5" s="5312">
        <v>25</v>
      </c>
      <c r="G5" s="5313"/>
      <c r="H5" s="5316"/>
      <c r="I5" s="5312"/>
      <c r="J5" s="5311"/>
      <c r="K5" s="5311"/>
      <c r="L5" s="5311"/>
      <c r="M5" s="5311">
        <v>51</v>
      </c>
      <c r="N5" s="5311">
        <v>26</v>
      </c>
      <c r="O5" s="5311">
        <v>87</v>
      </c>
      <c r="P5" s="5311">
        <v>197</v>
      </c>
      <c r="Q5" s="5311">
        <v>39</v>
      </c>
      <c r="R5" s="5311"/>
      <c r="S5" s="5311"/>
      <c r="T5" s="5311"/>
      <c r="U5" s="5311">
        <v>97</v>
      </c>
      <c r="V5" s="5311">
        <v>8</v>
      </c>
      <c r="W5" s="5311"/>
      <c r="X5" s="5311"/>
      <c r="Y5" s="5311"/>
      <c r="Z5" s="5311">
        <v>180</v>
      </c>
      <c r="AA5" s="5311"/>
      <c r="AB5" s="5311">
        <v>200</v>
      </c>
      <c r="AC5" s="5311"/>
      <c r="AD5" s="5312"/>
      <c r="AE5" s="5311"/>
      <c r="AF5" s="5311"/>
      <c r="AG5" s="5311">
        <v>42</v>
      </c>
      <c r="AH5" s="5311">
        <v>193</v>
      </c>
      <c r="AI5" s="5311">
        <v>320</v>
      </c>
      <c r="AJ5" s="5311">
        <v>320</v>
      </c>
      <c r="AK5" s="5311"/>
      <c r="AL5" s="5311">
        <v>52</v>
      </c>
      <c r="AM5" s="5311">
        <v>127</v>
      </c>
      <c r="AN5" s="5311"/>
      <c r="AO5" s="5311"/>
      <c r="AP5" s="5311">
        <v>402</v>
      </c>
      <c r="AQ5" s="5311">
        <v>225</v>
      </c>
      <c r="AR5" s="5311">
        <v>291</v>
      </c>
      <c r="AS5" s="5311">
        <v>100</v>
      </c>
      <c r="AT5" s="5311"/>
      <c r="AU5" s="5311">
        <v>43</v>
      </c>
      <c r="AV5" s="5311">
        <v>41</v>
      </c>
      <c r="AW5" s="5311"/>
      <c r="AX5" s="5311">
        <v>60</v>
      </c>
      <c r="AY5" s="5311">
        <v>40</v>
      </c>
      <c r="AZ5" s="5311"/>
      <c r="BA5" s="5311"/>
      <c r="BB5" s="5311">
        <v>220</v>
      </c>
      <c r="BC5" s="5311"/>
      <c r="BD5" s="5311">
        <v>31</v>
      </c>
      <c r="BE5" s="5311">
        <v>9</v>
      </c>
      <c r="BF5" s="5311"/>
      <c r="BG5" s="5311">
        <v>50</v>
      </c>
      <c r="BH5" s="5311">
        <v>16</v>
      </c>
      <c r="BI5" s="5311">
        <v>325</v>
      </c>
      <c r="BJ5" s="5311"/>
      <c r="BK5" s="5311">
        <v>35</v>
      </c>
      <c r="BL5" s="5311">
        <v>11</v>
      </c>
      <c r="BM5" s="5311">
        <v>15</v>
      </c>
      <c r="BN5" s="5311">
        <v>22</v>
      </c>
      <c r="BO5" s="5311">
        <v>22</v>
      </c>
      <c r="BP5" s="5314">
        <v>162</v>
      </c>
      <c r="BQ5" s="5311">
        <v>38</v>
      </c>
      <c r="BR5" s="5311">
        <v>21</v>
      </c>
      <c r="BS5" s="5311">
        <v>10</v>
      </c>
      <c r="BT5" s="5311">
        <v>33</v>
      </c>
      <c r="BU5" s="5311">
        <v>20</v>
      </c>
      <c r="BV5" s="5311">
        <v>25</v>
      </c>
      <c r="BW5" s="5311">
        <v>24</v>
      </c>
      <c r="BX5" s="5311">
        <v>33</v>
      </c>
      <c r="BY5" s="5311">
        <v>33</v>
      </c>
      <c r="BZ5" s="5311">
        <v>87</v>
      </c>
      <c r="CA5" s="5311">
        <v>17</v>
      </c>
      <c r="CB5" s="5311">
        <v>38</v>
      </c>
      <c r="CC5" s="5311">
        <v>35</v>
      </c>
      <c r="CD5" s="5312">
        <v>8</v>
      </c>
      <c r="CE5" s="5311">
        <v>49</v>
      </c>
      <c r="CF5" s="5312">
        <v>48</v>
      </c>
      <c r="CG5" s="5312"/>
      <c r="CH5" s="5312">
        <v>8</v>
      </c>
      <c r="CI5" s="5312">
        <v>105</v>
      </c>
      <c r="CJ5" s="5313"/>
      <c r="CK5" s="5312">
        <v>36</v>
      </c>
      <c r="CL5" s="5312">
        <v>56</v>
      </c>
      <c r="CM5" s="5312"/>
      <c r="CN5" s="5312"/>
      <c r="CO5" s="5312"/>
      <c r="CP5" s="5312"/>
      <c r="CQ5" s="5312"/>
      <c r="CR5" s="5312">
        <v>7</v>
      </c>
      <c r="CS5" s="5312"/>
      <c r="CT5" s="5312"/>
      <c r="CU5" s="5312"/>
      <c r="CV5" s="5312">
        <v>33</v>
      </c>
      <c r="CW5" s="5312">
        <v>45</v>
      </c>
      <c r="CX5" s="5312">
        <v>51</v>
      </c>
      <c r="CY5" s="5312">
        <v>8</v>
      </c>
      <c r="CZ5" s="5312">
        <v>20</v>
      </c>
      <c r="DA5" s="5312">
        <v>12</v>
      </c>
      <c r="DB5" s="5312"/>
      <c r="DC5" s="5312"/>
      <c r="DD5" s="5312">
        <v>30</v>
      </c>
      <c r="DE5" s="5312">
        <v>55</v>
      </c>
      <c r="DF5" s="5312">
        <v>110</v>
      </c>
      <c r="DG5" s="5316"/>
      <c r="DH5" s="5316">
        <v>35</v>
      </c>
      <c r="DI5" s="5312">
        <v>296</v>
      </c>
      <c r="DJ5" s="5316">
        <v>97</v>
      </c>
      <c r="DK5" s="5316">
        <v>48</v>
      </c>
      <c r="DL5" s="5316">
        <v>96</v>
      </c>
      <c r="DM5" s="5316">
        <v>97</v>
      </c>
      <c r="DN5" s="5316">
        <v>21</v>
      </c>
      <c r="DO5" s="5316">
        <v>34</v>
      </c>
      <c r="DP5" s="5316">
        <v>133</v>
      </c>
      <c r="DQ5" s="5312">
        <v>398</v>
      </c>
      <c r="DR5" s="5312">
        <v>48</v>
      </c>
      <c r="DS5" s="5312">
        <v>16</v>
      </c>
      <c r="DT5" s="5312">
        <v>20</v>
      </c>
      <c r="DU5" s="5312">
        <v>108</v>
      </c>
      <c r="DV5" s="5312">
        <v>35</v>
      </c>
      <c r="DW5" s="5312"/>
      <c r="DX5" s="5312">
        <v>76</v>
      </c>
      <c r="DY5" s="5312">
        <v>55</v>
      </c>
      <c r="DZ5" s="5287">
        <f t="shared" si="0"/>
        <v>7010</v>
      </c>
      <c r="EA5" s="5317"/>
      <c r="EB5" s="5305"/>
      <c r="EC5" s="5305"/>
      <c r="ED5" s="5305">
        <v>16</v>
      </c>
      <c r="EE5" s="5305"/>
      <c r="EF5" s="5305"/>
      <c r="EG5" s="5305"/>
      <c r="EH5" s="5305">
        <v>21</v>
      </c>
      <c r="EI5" s="5305">
        <v>226</v>
      </c>
      <c r="EJ5" s="5305"/>
      <c r="EK5" s="5305"/>
      <c r="EL5" s="5305"/>
      <c r="EM5" s="5305">
        <v>90</v>
      </c>
      <c r="EN5" s="5305">
        <v>220</v>
      </c>
      <c r="EO5" s="5305"/>
      <c r="EP5" s="5305">
        <v>64</v>
      </c>
      <c r="EQ5" s="5305"/>
      <c r="ER5" s="5305"/>
      <c r="ES5" s="5305">
        <v>88</v>
      </c>
      <c r="ET5" s="5305">
        <v>29</v>
      </c>
      <c r="EU5" s="5305">
        <v>96</v>
      </c>
      <c r="EV5" s="5305">
        <v>0</v>
      </c>
      <c r="EW5" s="5305">
        <v>55</v>
      </c>
      <c r="EX5" s="5305"/>
      <c r="EY5" s="5305">
        <v>89</v>
      </c>
      <c r="EZ5" s="5292">
        <v>914</v>
      </c>
      <c r="FA5" s="5305">
        <v>155</v>
      </c>
      <c r="FB5" s="5305">
        <v>650</v>
      </c>
      <c r="FC5" s="5305"/>
      <c r="FD5" s="5305"/>
      <c r="FE5" s="5305"/>
      <c r="FF5" s="5305">
        <v>250</v>
      </c>
      <c r="FG5" s="5305"/>
      <c r="FH5" s="5305"/>
      <c r="FI5" s="5305">
        <v>32</v>
      </c>
      <c r="FJ5" s="5305"/>
      <c r="FK5" s="5305">
        <v>172</v>
      </c>
      <c r="FL5" s="5305"/>
      <c r="FM5" s="5305"/>
      <c r="FN5" s="5305">
        <v>208</v>
      </c>
      <c r="FO5" s="5305">
        <v>145</v>
      </c>
      <c r="FP5" s="5305"/>
      <c r="FQ5" s="5305">
        <v>276</v>
      </c>
      <c r="FR5" s="5305"/>
      <c r="FS5" s="5305">
        <v>27</v>
      </c>
      <c r="FT5" s="5305">
        <v>22</v>
      </c>
      <c r="FU5" s="5305"/>
      <c r="FV5" s="5305">
        <v>11</v>
      </c>
      <c r="FW5" s="5305"/>
      <c r="FX5" s="5305"/>
      <c r="FY5" s="5305">
        <v>24</v>
      </c>
      <c r="FZ5" s="5305">
        <v>34</v>
      </c>
      <c r="GA5" s="5305">
        <v>8</v>
      </c>
      <c r="GB5" s="5305">
        <v>65</v>
      </c>
      <c r="GC5" s="5302">
        <v>168</v>
      </c>
      <c r="GD5" s="5302">
        <v>50</v>
      </c>
      <c r="GE5" s="5302">
        <v>57</v>
      </c>
      <c r="GF5" s="5302">
        <v>0</v>
      </c>
      <c r="GG5" s="5302">
        <v>0</v>
      </c>
      <c r="GH5" s="5302">
        <v>55</v>
      </c>
      <c r="GI5" s="5306"/>
      <c r="GJ5" s="5302">
        <v>34</v>
      </c>
      <c r="GK5" s="5302"/>
      <c r="GL5" s="5307">
        <f t="shared" si="1"/>
        <v>4351</v>
      </c>
      <c r="GM5" s="5308">
        <f t="shared" si="2"/>
        <v>11361</v>
      </c>
      <c r="GN5" s="5309">
        <v>94.05</v>
      </c>
      <c r="GO5" s="3096">
        <v>8.3333333333333329E-2</v>
      </c>
      <c r="GP5" s="3097"/>
      <c r="GQ5" s="3098"/>
      <c r="GR5" s="3097"/>
      <c r="GS5" s="3097"/>
      <c r="GT5" s="3097"/>
      <c r="GU5" s="3097"/>
      <c r="GV5" s="3097"/>
      <c r="GW5" s="3097"/>
      <c r="GX5" s="3097"/>
      <c r="GY5" s="3097"/>
      <c r="GZ5" s="3097"/>
      <c r="HA5" s="3097"/>
      <c r="HB5" s="3098"/>
      <c r="HC5" s="3098"/>
      <c r="HD5" s="3097"/>
      <c r="HE5" s="3097"/>
      <c r="HF5" s="3097"/>
      <c r="HG5" s="3097"/>
      <c r="HH5" s="3097"/>
      <c r="HI5" s="3097"/>
      <c r="HJ5" s="3097"/>
      <c r="HK5" s="3097"/>
      <c r="HL5" s="3097"/>
      <c r="HM5" s="3097"/>
      <c r="HN5" s="3097"/>
      <c r="HO5" s="3097"/>
      <c r="HP5" s="3097"/>
      <c r="HQ5" s="3097"/>
      <c r="HR5" s="3097"/>
      <c r="HS5" s="3097"/>
      <c r="HT5" s="3097"/>
      <c r="HU5" s="3097"/>
      <c r="HV5" s="3097"/>
      <c r="HW5" s="3097"/>
      <c r="HX5" s="3097"/>
      <c r="HY5" s="3097"/>
      <c r="HZ5" s="3097"/>
      <c r="IA5" s="3097"/>
      <c r="IB5" s="3097"/>
      <c r="IC5" s="3097"/>
      <c r="ID5" s="3097"/>
      <c r="IE5" s="3097"/>
      <c r="IF5" s="3097"/>
      <c r="IG5" s="3097"/>
      <c r="IH5" s="3097"/>
      <c r="II5" s="3097"/>
      <c r="IJ5" s="3097"/>
      <c r="IK5" s="3097"/>
      <c r="IL5" s="3097"/>
      <c r="IM5" s="3097"/>
      <c r="IN5" s="3097"/>
      <c r="IO5" s="3097"/>
      <c r="IP5" s="3097"/>
      <c r="IQ5" s="3097"/>
      <c r="IR5" s="3097"/>
      <c r="IS5" s="3097"/>
      <c r="IT5" s="3098"/>
      <c r="IU5" s="3098"/>
      <c r="IV5" s="3097"/>
      <c r="IW5" s="3097"/>
      <c r="IX5" s="3097"/>
      <c r="IY5" s="3097"/>
      <c r="IZ5" s="3097"/>
      <c r="JA5" s="3097"/>
      <c r="JB5" s="3099"/>
      <c r="JC5" s="3099"/>
      <c r="JD5" s="3097"/>
      <c r="JE5" s="3097"/>
      <c r="JF5" s="3097"/>
      <c r="JG5" s="3097"/>
      <c r="JH5" s="3097"/>
      <c r="JI5" s="3097"/>
      <c r="JJ5" s="3097"/>
      <c r="JK5" s="3097"/>
      <c r="JL5" s="3097"/>
      <c r="JM5" s="3097"/>
      <c r="JN5" s="3097"/>
      <c r="JO5" s="3097"/>
      <c r="JP5" s="3097"/>
      <c r="JQ5" s="3097"/>
      <c r="JR5" s="3097"/>
      <c r="JS5" s="3097"/>
      <c r="JT5" s="3097"/>
      <c r="JU5" s="3097"/>
      <c r="JV5" s="3097"/>
      <c r="JW5" s="3097"/>
      <c r="JX5" s="3097"/>
      <c r="JY5" s="3097"/>
      <c r="JZ5" s="3097"/>
      <c r="KA5" s="3097"/>
      <c r="KB5" s="3097"/>
      <c r="KC5" s="3097"/>
      <c r="KD5" s="3097"/>
      <c r="KE5" s="3097"/>
      <c r="KF5" s="3097"/>
      <c r="KG5" s="3097"/>
      <c r="KH5" s="3097"/>
      <c r="KI5" s="3097"/>
      <c r="KJ5" s="3097"/>
      <c r="KK5" s="3097"/>
      <c r="KL5" s="3097"/>
      <c r="KM5" s="3097"/>
      <c r="KN5" s="3097"/>
      <c r="KO5" s="3097"/>
      <c r="KP5" s="3097"/>
      <c r="KQ5" s="3097"/>
      <c r="KR5" s="3097"/>
      <c r="KS5" s="3097"/>
      <c r="KT5" s="3098"/>
      <c r="KU5" s="3097"/>
      <c r="KV5" s="3097"/>
      <c r="KW5" s="3097"/>
      <c r="KX5" s="3097"/>
      <c r="KY5" s="3097"/>
      <c r="KZ5" s="3097"/>
      <c r="LA5" s="3097"/>
      <c r="LB5" s="3097"/>
      <c r="LC5" s="3097"/>
      <c r="LD5" s="3097"/>
      <c r="LE5" s="3097"/>
      <c r="LF5" s="3097"/>
      <c r="LG5" s="3097"/>
      <c r="LH5" s="3097"/>
      <c r="LI5" s="3098"/>
      <c r="LJ5" s="3097"/>
      <c r="LK5" s="3097"/>
      <c r="LL5" s="3097"/>
      <c r="LM5" s="3097"/>
      <c r="LN5" s="3097"/>
      <c r="LO5" s="3097"/>
      <c r="LP5" s="3097"/>
      <c r="LQ5" s="3097"/>
      <c r="LR5" s="3097"/>
      <c r="LS5" s="3097"/>
      <c r="LT5" s="3097"/>
      <c r="LU5" s="3097"/>
      <c r="LV5" s="3097"/>
      <c r="LW5" s="3097"/>
      <c r="LX5" s="3097"/>
      <c r="LY5" s="3097"/>
      <c r="LZ5" s="3097"/>
      <c r="MA5" s="3097"/>
      <c r="MB5" s="3097"/>
      <c r="MC5" s="3097"/>
      <c r="MD5" s="3097"/>
      <c r="ME5" s="3097"/>
      <c r="MF5" s="3097"/>
      <c r="MG5" s="3097"/>
      <c r="MH5" s="3097"/>
      <c r="MI5" s="3097"/>
      <c r="MJ5" s="3097"/>
      <c r="MK5" s="3097"/>
      <c r="ML5" s="3097"/>
      <c r="MM5" s="3097"/>
      <c r="MN5" s="3097"/>
      <c r="MO5" s="3097"/>
      <c r="MP5" s="3097"/>
      <c r="MQ5" s="3097"/>
      <c r="MR5" s="3097"/>
      <c r="MS5" s="3097"/>
      <c r="MT5" s="3097"/>
      <c r="MU5" s="3097"/>
      <c r="MV5" s="3097"/>
      <c r="MW5" s="3097"/>
      <c r="MX5" s="3097"/>
      <c r="MY5" s="3097"/>
      <c r="MZ5" s="3097"/>
      <c r="NA5" s="3097"/>
      <c r="NB5" s="3097"/>
      <c r="NC5" s="3097"/>
      <c r="ND5" s="3097"/>
      <c r="NE5" s="3098"/>
      <c r="NF5" s="3098"/>
      <c r="NG5" s="3097"/>
      <c r="NH5" s="3097"/>
      <c r="NI5" s="3097"/>
      <c r="NJ5" s="3097"/>
      <c r="NK5" s="3097"/>
      <c r="NL5" s="3097"/>
      <c r="NM5" s="3097"/>
      <c r="NN5" s="3097"/>
      <c r="NO5" s="3097"/>
      <c r="NP5" s="3097"/>
      <c r="NQ5" s="3097"/>
      <c r="NR5" s="3097"/>
      <c r="NS5" s="3097"/>
      <c r="NT5" s="3099"/>
      <c r="NU5" s="3098"/>
      <c r="NV5" s="3097"/>
    </row>
    <row r="6" spans="1:386" s="413" customFormat="1" ht="27" customHeight="1">
      <c r="A6" s="2542">
        <v>0.125</v>
      </c>
      <c r="B6" s="5342">
        <v>83</v>
      </c>
      <c r="C6" s="5311">
        <v>35</v>
      </c>
      <c r="D6" s="5311">
        <v>100</v>
      </c>
      <c r="E6" s="5311"/>
      <c r="F6" s="5312">
        <v>25</v>
      </c>
      <c r="G6" s="5313"/>
      <c r="H6" s="5316"/>
      <c r="I6" s="5312"/>
      <c r="J6" s="5311"/>
      <c r="K6" s="5311"/>
      <c r="L6" s="5311"/>
      <c r="M6" s="5311">
        <v>51</v>
      </c>
      <c r="N6" s="5311">
        <v>26</v>
      </c>
      <c r="O6" s="5311">
        <v>87</v>
      </c>
      <c r="P6" s="5311">
        <v>197</v>
      </c>
      <c r="Q6" s="5311">
        <v>39</v>
      </c>
      <c r="R6" s="5311"/>
      <c r="S6" s="5311"/>
      <c r="T6" s="5311"/>
      <c r="U6" s="5311">
        <v>97</v>
      </c>
      <c r="V6" s="5311">
        <v>8</v>
      </c>
      <c r="W6" s="5311"/>
      <c r="X6" s="5311"/>
      <c r="Y6" s="5311"/>
      <c r="Z6" s="5311">
        <v>180</v>
      </c>
      <c r="AA6" s="5311"/>
      <c r="AB6" s="5311">
        <v>200</v>
      </c>
      <c r="AC6" s="5311"/>
      <c r="AD6" s="5312"/>
      <c r="AE6" s="5311"/>
      <c r="AF6" s="5311"/>
      <c r="AG6" s="5311">
        <v>42</v>
      </c>
      <c r="AH6" s="5311">
        <v>194</v>
      </c>
      <c r="AI6" s="5311">
        <v>320</v>
      </c>
      <c r="AJ6" s="5311">
        <v>320</v>
      </c>
      <c r="AK6" s="5311"/>
      <c r="AL6" s="5311">
        <v>52</v>
      </c>
      <c r="AM6" s="5311">
        <v>128</v>
      </c>
      <c r="AN6" s="5311"/>
      <c r="AO6" s="5311"/>
      <c r="AP6" s="5311">
        <v>410</v>
      </c>
      <c r="AQ6" s="5311">
        <v>225</v>
      </c>
      <c r="AR6" s="5311">
        <v>293</v>
      </c>
      <c r="AS6" s="5311">
        <v>102</v>
      </c>
      <c r="AT6" s="5311"/>
      <c r="AU6" s="5311">
        <v>43</v>
      </c>
      <c r="AV6" s="5311">
        <v>41</v>
      </c>
      <c r="AW6" s="5311"/>
      <c r="AX6" s="5311">
        <v>60</v>
      </c>
      <c r="AY6" s="5311">
        <v>10</v>
      </c>
      <c r="AZ6" s="5311"/>
      <c r="BA6" s="5311"/>
      <c r="BB6" s="5311">
        <v>220</v>
      </c>
      <c r="BC6" s="5311"/>
      <c r="BD6" s="5311">
        <v>31</v>
      </c>
      <c r="BE6" s="5311">
        <v>7</v>
      </c>
      <c r="BF6" s="5311"/>
      <c r="BG6" s="5311">
        <v>31</v>
      </c>
      <c r="BH6" s="5311">
        <v>16</v>
      </c>
      <c r="BI6" s="5311">
        <v>300</v>
      </c>
      <c r="BJ6" s="5311"/>
      <c r="BK6" s="5311">
        <v>35</v>
      </c>
      <c r="BL6" s="5311">
        <v>11</v>
      </c>
      <c r="BM6" s="5311">
        <v>15</v>
      </c>
      <c r="BN6" s="5311">
        <v>22</v>
      </c>
      <c r="BO6" s="5311">
        <v>22</v>
      </c>
      <c r="BP6" s="5314">
        <v>168</v>
      </c>
      <c r="BQ6" s="5311">
        <v>38</v>
      </c>
      <c r="BR6" s="5311">
        <v>21</v>
      </c>
      <c r="BS6" s="5311">
        <v>10</v>
      </c>
      <c r="BT6" s="5311">
        <v>33</v>
      </c>
      <c r="BU6" s="5311">
        <v>20</v>
      </c>
      <c r="BV6" s="5311">
        <v>25</v>
      </c>
      <c r="BW6" s="5311">
        <v>27</v>
      </c>
      <c r="BX6" s="5311">
        <v>33</v>
      </c>
      <c r="BY6" s="5311">
        <v>33</v>
      </c>
      <c r="BZ6" s="5311">
        <v>88</v>
      </c>
      <c r="CA6" s="5311">
        <v>17</v>
      </c>
      <c r="CB6" s="5311">
        <v>38</v>
      </c>
      <c r="CC6" s="5311">
        <v>35</v>
      </c>
      <c r="CD6" s="5312">
        <v>8</v>
      </c>
      <c r="CE6" s="5311">
        <v>49</v>
      </c>
      <c r="CF6" s="5312">
        <v>48</v>
      </c>
      <c r="CG6" s="5312"/>
      <c r="CH6" s="5312">
        <v>8</v>
      </c>
      <c r="CI6" s="5312">
        <v>105</v>
      </c>
      <c r="CJ6" s="5313"/>
      <c r="CK6" s="5312">
        <v>36</v>
      </c>
      <c r="CL6" s="5312">
        <v>56</v>
      </c>
      <c r="CM6" s="5312"/>
      <c r="CN6" s="5312"/>
      <c r="CO6" s="5312"/>
      <c r="CP6" s="5312"/>
      <c r="CQ6" s="5312"/>
      <c r="CR6" s="5312">
        <v>8</v>
      </c>
      <c r="CS6" s="5312"/>
      <c r="CT6" s="5312"/>
      <c r="CU6" s="5312"/>
      <c r="CV6" s="5312">
        <v>33</v>
      </c>
      <c r="CW6" s="5312">
        <v>30</v>
      </c>
      <c r="CX6" s="5312">
        <v>51</v>
      </c>
      <c r="CY6" s="5312">
        <v>8</v>
      </c>
      <c r="CZ6" s="5312">
        <v>23</v>
      </c>
      <c r="DA6" s="5312">
        <v>12</v>
      </c>
      <c r="DB6" s="5312"/>
      <c r="DC6" s="5312"/>
      <c r="DD6" s="5312">
        <v>30</v>
      </c>
      <c r="DE6" s="5312">
        <v>55</v>
      </c>
      <c r="DF6" s="5312">
        <v>110</v>
      </c>
      <c r="DG6" s="5316"/>
      <c r="DH6" s="5316">
        <v>35</v>
      </c>
      <c r="DI6" s="5312">
        <v>298</v>
      </c>
      <c r="DJ6" s="5316">
        <v>98</v>
      </c>
      <c r="DK6" s="5316">
        <v>48</v>
      </c>
      <c r="DL6" s="5316">
        <v>95</v>
      </c>
      <c r="DM6" s="5316">
        <v>98</v>
      </c>
      <c r="DN6" s="5316">
        <v>21</v>
      </c>
      <c r="DO6" s="5316">
        <v>34</v>
      </c>
      <c r="DP6" s="5316">
        <v>135</v>
      </c>
      <c r="DQ6" s="5312">
        <v>398</v>
      </c>
      <c r="DR6" s="5312">
        <v>48</v>
      </c>
      <c r="DS6" s="5312">
        <v>16</v>
      </c>
      <c r="DT6" s="5312">
        <v>20</v>
      </c>
      <c r="DU6" s="5312">
        <v>108</v>
      </c>
      <c r="DV6" s="5312">
        <v>35</v>
      </c>
      <c r="DW6" s="5312"/>
      <c r="DX6" s="5312">
        <v>75</v>
      </c>
      <c r="DY6" s="5312">
        <v>55</v>
      </c>
      <c r="DZ6" s="5287">
        <f t="shared" si="0"/>
        <v>6951</v>
      </c>
      <c r="EA6" s="5317"/>
      <c r="EB6" s="5305"/>
      <c r="EC6" s="5305"/>
      <c r="ED6" s="5305">
        <v>16</v>
      </c>
      <c r="EE6" s="5305"/>
      <c r="EF6" s="5305"/>
      <c r="EG6" s="5305"/>
      <c r="EH6" s="5305">
        <v>21</v>
      </c>
      <c r="EI6" s="5305">
        <v>227</v>
      </c>
      <c r="EJ6" s="5305"/>
      <c r="EK6" s="5305"/>
      <c r="EL6" s="5305"/>
      <c r="EM6" s="5305">
        <v>90</v>
      </c>
      <c r="EN6" s="5305">
        <v>220</v>
      </c>
      <c r="EO6" s="5305"/>
      <c r="EP6" s="5305">
        <v>64</v>
      </c>
      <c r="EQ6" s="5305"/>
      <c r="ER6" s="5305"/>
      <c r="ES6" s="5305">
        <v>88</v>
      </c>
      <c r="ET6" s="5305">
        <v>30</v>
      </c>
      <c r="EU6" s="5305">
        <v>96</v>
      </c>
      <c r="EV6" s="5305"/>
      <c r="EW6" s="5305">
        <v>55</v>
      </c>
      <c r="EX6" s="5305"/>
      <c r="EY6" s="5305">
        <v>89</v>
      </c>
      <c r="EZ6" s="5292">
        <v>914</v>
      </c>
      <c r="FA6" s="5305">
        <v>160</v>
      </c>
      <c r="FB6" s="5305">
        <v>650</v>
      </c>
      <c r="FC6" s="5305"/>
      <c r="FD6" s="5305"/>
      <c r="FE6" s="5305"/>
      <c r="FF6" s="5305">
        <v>250</v>
      </c>
      <c r="FG6" s="5305"/>
      <c r="FH6" s="5305"/>
      <c r="FI6" s="5305">
        <v>32</v>
      </c>
      <c r="FJ6" s="5305"/>
      <c r="FK6" s="5305">
        <v>172</v>
      </c>
      <c r="FL6" s="5305"/>
      <c r="FM6" s="5305"/>
      <c r="FN6" s="5305">
        <v>215</v>
      </c>
      <c r="FO6" s="5305">
        <v>145</v>
      </c>
      <c r="FP6" s="5305"/>
      <c r="FQ6" s="5305">
        <v>291</v>
      </c>
      <c r="FR6" s="5305"/>
      <c r="FS6" s="5305">
        <v>32</v>
      </c>
      <c r="FT6" s="5305">
        <v>22</v>
      </c>
      <c r="FU6" s="5305"/>
      <c r="FV6" s="5305">
        <v>11</v>
      </c>
      <c r="FW6" s="5305"/>
      <c r="FX6" s="5305"/>
      <c r="FY6" s="5305">
        <v>24</v>
      </c>
      <c r="FZ6" s="5305">
        <v>34</v>
      </c>
      <c r="GA6" s="5305">
        <v>8</v>
      </c>
      <c r="GB6" s="5305">
        <v>64</v>
      </c>
      <c r="GC6" s="5302">
        <v>168</v>
      </c>
      <c r="GD6" s="5302">
        <v>50</v>
      </c>
      <c r="GE6" s="5302">
        <v>57</v>
      </c>
      <c r="GF6" s="5302">
        <v>0</v>
      </c>
      <c r="GG6" s="5302">
        <v>0</v>
      </c>
      <c r="GH6" s="5302">
        <v>56</v>
      </c>
      <c r="GI6" s="5306"/>
      <c r="GJ6" s="5302">
        <v>34</v>
      </c>
      <c r="GK6" s="5302"/>
      <c r="GL6" s="5307">
        <f t="shared" si="1"/>
        <v>4385</v>
      </c>
      <c r="GM6" s="5308">
        <f t="shared" si="2"/>
        <v>11336</v>
      </c>
      <c r="GN6" s="5309">
        <v>94.08</v>
      </c>
      <c r="GO6" s="3096">
        <v>0.125</v>
      </c>
      <c r="GP6" s="3097"/>
      <c r="GQ6" s="3098"/>
      <c r="GR6" s="3097"/>
      <c r="GS6" s="3097"/>
      <c r="GT6" s="3097"/>
      <c r="GU6" s="3097"/>
      <c r="GV6" s="3097"/>
      <c r="GW6" s="3097"/>
      <c r="GX6" s="3097"/>
      <c r="GY6" s="3097"/>
      <c r="GZ6" s="3097"/>
      <c r="HA6" s="3097"/>
      <c r="HB6" s="3098"/>
      <c r="HC6" s="3098"/>
      <c r="HD6" s="3097"/>
      <c r="HE6" s="3097"/>
      <c r="HF6" s="3097"/>
      <c r="HG6" s="3097"/>
      <c r="HH6" s="3097"/>
      <c r="HI6" s="3097"/>
      <c r="HJ6" s="3097"/>
      <c r="HK6" s="3097"/>
      <c r="HL6" s="3097"/>
      <c r="HM6" s="3097"/>
      <c r="HN6" s="3097"/>
      <c r="HO6" s="3097"/>
      <c r="HP6" s="3097"/>
      <c r="HQ6" s="3097"/>
      <c r="HR6" s="3097"/>
      <c r="HS6" s="3097"/>
      <c r="HT6" s="3097"/>
      <c r="HU6" s="3097"/>
      <c r="HV6" s="3097"/>
      <c r="HW6" s="3097"/>
      <c r="HX6" s="3097"/>
      <c r="HY6" s="3097"/>
      <c r="HZ6" s="3097"/>
      <c r="IA6" s="3097"/>
      <c r="IB6" s="3097"/>
      <c r="IC6" s="3097"/>
      <c r="ID6" s="3097"/>
      <c r="IE6" s="3097"/>
      <c r="IF6" s="3097"/>
      <c r="IG6" s="3097"/>
      <c r="IH6" s="3097"/>
      <c r="II6" s="3097"/>
      <c r="IJ6" s="3097"/>
      <c r="IK6" s="3097"/>
      <c r="IL6" s="3097"/>
      <c r="IM6" s="3097"/>
      <c r="IN6" s="3097"/>
      <c r="IO6" s="3097"/>
      <c r="IP6" s="3097"/>
      <c r="IQ6" s="3097"/>
      <c r="IR6" s="3097"/>
      <c r="IS6" s="3097"/>
      <c r="IT6" s="3098"/>
      <c r="IU6" s="3098"/>
      <c r="IV6" s="3097"/>
      <c r="IW6" s="3097"/>
      <c r="IX6" s="3097"/>
      <c r="IY6" s="3097"/>
      <c r="IZ6" s="3097"/>
      <c r="JA6" s="3097"/>
      <c r="JB6" s="3099"/>
      <c r="JC6" s="3099"/>
      <c r="JD6" s="3097"/>
      <c r="JE6" s="3097"/>
      <c r="JF6" s="3097"/>
      <c r="JG6" s="3097"/>
      <c r="JH6" s="3097"/>
      <c r="JI6" s="3097"/>
      <c r="JJ6" s="3097"/>
      <c r="JK6" s="3097"/>
      <c r="JL6" s="3097"/>
      <c r="JM6" s="3097"/>
      <c r="JN6" s="3097"/>
      <c r="JO6" s="3097"/>
      <c r="JP6" s="3097"/>
      <c r="JQ6" s="3097"/>
      <c r="JR6" s="3097"/>
      <c r="JS6" s="3097"/>
      <c r="JT6" s="3097"/>
      <c r="JU6" s="3097"/>
      <c r="JV6" s="3097"/>
      <c r="JW6" s="3097"/>
      <c r="JX6" s="3097"/>
      <c r="JY6" s="3097"/>
      <c r="JZ6" s="3097"/>
      <c r="KA6" s="3097"/>
      <c r="KB6" s="3097"/>
      <c r="KC6" s="3097"/>
      <c r="KD6" s="3097"/>
      <c r="KE6" s="3097"/>
      <c r="KF6" s="3097"/>
      <c r="KG6" s="3097"/>
      <c r="KH6" s="3097"/>
      <c r="KI6" s="3097"/>
      <c r="KJ6" s="3097"/>
      <c r="KK6" s="3097"/>
      <c r="KL6" s="3097"/>
      <c r="KM6" s="3097"/>
      <c r="KN6" s="3097"/>
      <c r="KO6" s="3097"/>
      <c r="KP6" s="3097"/>
      <c r="KQ6" s="3097"/>
      <c r="KR6" s="3097"/>
      <c r="KS6" s="3097"/>
      <c r="KT6" s="3098"/>
      <c r="KU6" s="3097"/>
      <c r="KV6" s="3097"/>
      <c r="KW6" s="3097"/>
      <c r="KX6" s="3097"/>
      <c r="KY6" s="3097"/>
      <c r="KZ6" s="3097"/>
      <c r="LA6" s="3097"/>
      <c r="LB6" s="3097"/>
      <c r="LC6" s="3097"/>
      <c r="LD6" s="3097"/>
      <c r="LE6" s="3097"/>
      <c r="LF6" s="3097"/>
      <c r="LG6" s="3097"/>
      <c r="LH6" s="3097"/>
      <c r="LI6" s="3098"/>
      <c r="LJ6" s="3097"/>
      <c r="LK6" s="3097"/>
      <c r="LL6" s="3097"/>
      <c r="LM6" s="3097"/>
      <c r="LN6" s="3097"/>
      <c r="LO6" s="3097"/>
      <c r="LP6" s="3097"/>
      <c r="LQ6" s="3097"/>
      <c r="LR6" s="3097"/>
      <c r="LS6" s="3097"/>
      <c r="LT6" s="3097"/>
      <c r="LU6" s="3097"/>
      <c r="LV6" s="3097"/>
      <c r="LW6" s="3097"/>
      <c r="LX6" s="3097"/>
      <c r="LY6" s="3097"/>
      <c r="LZ6" s="3097"/>
      <c r="MA6" s="3097"/>
      <c r="MB6" s="3097"/>
      <c r="MC6" s="3097"/>
      <c r="MD6" s="3097"/>
      <c r="ME6" s="3097"/>
      <c r="MF6" s="3097"/>
      <c r="MG6" s="3097"/>
      <c r="MH6" s="3097"/>
      <c r="MI6" s="3097"/>
      <c r="MJ6" s="3097"/>
      <c r="MK6" s="3097"/>
      <c r="ML6" s="3097"/>
      <c r="MM6" s="3097"/>
      <c r="MN6" s="3097"/>
      <c r="MO6" s="3097"/>
      <c r="MP6" s="3097"/>
      <c r="MQ6" s="3097"/>
      <c r="MR6" s="3097"/>
      <c r="MS6" s="3097"/>
      <c r="MT6" s="3097"/>
      <c r="MU6" s="3097"/>
      <c r="MV6" s="3097"/>
      <c r="MW6" s="3097"/>
      <c r="MX6" s="3097"/>
      <c r="MY6" s="3097"/>
      <c r="MZ6" s="3097"/>
      <c r="NA6" s="3097"/>
      <c r="NB6" s="3097"/>
      <c r="NC6" s="3097"/>
      <c r="ND6" s="3097"/>
      <c r="NE6" s="3098"/>
      <c r="NF6" s="3098"/>
      <c r="NG6" s="3097"/>
      <c r="NH6" s="3097"/>
      <c r="NI6" s="3097"/>
      <c r="NJ6" s="3097"/>
      <c r="NK6" s="3097"/>
      <c r="NL6" s="3097"/>
      <c r="NM6" s="3097"/>
      <c r="NN6" s="3097"/>
      <c r="NO6" s="3097"/>
      <c r="NP6" s="3097"/>
      <c r="NQ6" s="3097"/>
      <c r="NR6" s="3097"/>
      <c r="NS6" s="3097"/>
      <c r="NT6" s="3099"/>
      <c r="NU6" s="3098"/>
      <c r="NV6" s="3097"/>
    </row>
    <row r="7" spans="1:386" s="413" customFormat="1" ht="27" customHeight="1">
      <c r="A7" s="2542">
        <v>0.16666666666666666</v>
      </c>
      <c r="B7" s="5342">
        <v>83</v>
      </c>
      <c r="C7" s="5311">
        <v>35</v>
      </c>
      <c r="D7" s="5311">
        <v>100</v>
      </c>
      <c r="E7" s="5311"/>
      <c r="F7" s="5312">
        <v>25</v>
      </c>
      <c r="G7" s="5313"/>
      <c r="H7" s="5316"/>
      <c r="I7" s="5312"/>
      <c r="J7" s="5311"/>
      <c r="K7" s="5311"/>
      <c r="L7" s="5311"/>
      <c r="M7" s="5311">
        <v>17</v>
      </c>
      <c r="N7" s="5311">
        <v>26</v>
      </c>
      <c r="O7" s="5311">
        <v>87</v>
      </c>
      <c r="P7" s="5311">
        <v>197</v>
      </c>
      <c r="Q7" s="5311">
        <v>39</v>
      </c>
      <c r="R7" s="5311"/>
      <c r="S7" s="5311"/>
      <c r="T7" s="5311"/>
      <c r="U7" s="5311">
        <v>97</v>
      </c>
      <c r="V7" s="5311">
        <v>8</v>
      </c>
      <c r="W7" s="5311"/>
      <c r="X7" s="5311"/>
      <c r="Y7" s="5311"/>
      <c r="Z7" s="5311">
        <v>180</v>
      </c>
      <c r="AA7" s="5311"/>
      <c r="AB7" s="5311">
        <v>200</v>
      </c>
      <c r="AC7" s="5311"/>
      <c r="AD7" s="5312"/>
      <c r="AE7" s="5311"/>
      <c r="AF7" s="5311"/>
      <c r="AG7" s="5311">
        <v>40</v>
      </c>
      <c r="AH7" s="5311">
        <v>201</v>
      </c>
      <c r="AI7" s="5311">
        <v>320</v>
      </c>
      <c r="AJ7" s="5311">
        <v>320</v>
      </c>
      <c r="AK7" s="5311"/>
      <c r="AL7" s="5311">
        <v>53</v>
      </c>
      <c r="AM7" s="5311">
        <v>128</v>
      </c>
      <c r="AN7" s="5311"/>
      <c r="AO7" s="5311"/>
      <c r="AP7" s="5311">
        <v>407</v>
      </c>
      <c r="AQ7" s="5311">
        <v>225</v>
      </c>
      <c r="AR7" s="5311">
        <v>302</v>
      </c>
      <c r="AS7" s="5311">
        <v>101</v>
      </c>
      <c r="AT7" s="5311"/>
      <c r="AU7" s="5311">
        <v>43</v>
      </c>
      <c r="AV7" s="5311">
        <v>41</v>
      </c>
      <c r="AW7" s="5311"/>
      <c r="AX7" s="5311">
        <v>55</v>
      </c>
      <c r="AY7" s="5311">
        <v>10</v>
      </c>
      <c r="AZ7" s="5311"/>
      <c r="BA7" s="5311"/>
      <c r="BB7" s="5311">
        <v>220</v>
      </c>
      <c r="BC7" s="5311"/>
      <c r="BD7" s="5311">
        <v>31</v>
      </c>
      <c r="BE7" s="5311">
        <v>7</v>
      </c>
      <c r="BF7" s="5311"/>
      <c r="BG7" s="5311">
        <v>31</v>
      </c>
      <c r="BH7" s="5311">
        <v>16</v>
      </c>
      <c r="BI7" s="5311">
        <v>315</v>
      </c>
      <c r="BJ7" s="5311"/>
      <c r="BK7" s="5311">
        <v>35</v>
      </c>
      <c r="BL7" s="5311">
        <v>11</v>
      </c>
      <c r="BM7" s="5311">
        <v>15</v>
      </c>
      <c r="BN7" s="5311">
        <v>22</v>
      </c>
      <c r="BO7" s="5311">
        <v>22</v>
      </c>
      <c r="BP7" s="5314">
        <v>168</v>
      </c>
      <c r="BQ7" s="5311">
        <v>38</v>
      </c>
      <c r="BR7" s="5311">
        <v>21</v>
      </c>
      <c r="BS7" s="5311">
        <v>10</v>
      </c>
      <c r="BT7" s="5311">
        <v>33</v>
      </c>
      <c r="BU7" s="5311">
        <v>20</v>
      </c>
      <c r="BV7" s="5311">
        <v>25</v>
      </c>
      <c r="BW7" s="5311">
        <v>27</v>
      </c>
      <c r="BX7" s="5311">
        <v>33</v>
      </c>
      <c r="BY7" s="5311">
        <v>33</v>
      </c>
      <c r="BZ7" s="5311">
        <v>90</v>
      </c>
      <c r="CA7" s="5311">
        <v>17</v>
      </c>
      <c r="CB7" s="5311">
        <v>38</v>
      </c>
      <c r="CC7" s="5311">
        <v>35</v>
      </c>
      <c r="CD7" s="5312">
        <v>8</v>
      </c>
      <c r="CE7" s="5311">
        <v>49</v>
      </c>
      <c r="CF7" s="5312">
        <v>48</v>
      </c>
      <c r="CG7" s="5312"/>
      <c r="CH7" s="5312">
        <v>8</v>
      </c>
      <c r="CI7" s="5312">
        <v>105</v>
      </c>
      <c r="CJ7" s="5313"/>
      <c r="CK7" s="5312">
        <v>36</v>
      </c>
      <c r="CL7" s="5312">
        <v>55</v>
      </c>
      <c r="CM7" s="5312"/>
      <c r="CN7" s="5312"/>
      <c r="CO7" s="5312"/>
      <c r="CP7" s="5312"/>
      <c r="CQ7" s="5312"/>
      <c r="CR7" s="5312">
        <v>7</v>
      </c>
      <c r="CS7" s="5312"/>
      <c r="CT7" s="5312"/>
      <c r="CU7" s="5312"/>
      <c r="CV7" s="5312">
        <v>33</v>
      </c>
      <c r="CW7" s="5312">
        <v>30</v>
      </c>
      <c r="CX7" s="5312">
        <v>51</v>
      </c>
      <c r="CY7" s="5312">
        <v>8</v>
      </c>
      <c r="CZ7" s="5312">
        <v>25</v>
      </c>
      <c r="DA7" s="5312">
        <v>12</v>
      </c>
      <c r="DB7" s="5312"/>
      <c r="DC7" s="5312"/>
      <c r="DD7" s="5312">
        <v>30</v>
      </c>
      <c r="DE7" s="5312">
        <v>55</v>
      </c>
      <c r="DF7" s="5312">
        <v>110</v>
      </c>
      <c r="DG7" s="5316"/>
      <c r="DH7" s="5316">
        <v>35</v>
      </c>
      <c r="DI7" s="5312">
        <v>301</v>
      </c>
      <c r="DJ7" s="5316">
        <v>98</v>
      </c>
      <c r="DK7" s="5316">
        <v>48</v>
      </c>
      <c r="DL7" s="5316">
        <v>96</v>
      </c>
      <c r="DM7" s="5316">
        <v>98</v>
      </c>
      <c r="DN7" s="5316">
        <v>21</v>
      </c>
      <c r="DO7" s="5316">
        <v>34</v>
      </c>
      <c r="DP7" s="5316">
        <v>135</v>
      </c>
      <c r="DQ7" s="5312">
        <v>402</v>
      </c>
      <c r="DR7" s="5312">
        <v>48</v>
      </c>
      <c r="DS7" s="5312">
        <v>16</v>
      </c>
      <c r="DT7" s="5312">
        <v>20</v>
      </c>
      <c r="DU7" s="5312">
        <v>108</v>
      </c>
      <c r="DV7" s="5312">
        <v>35</v>
      </c>
      <c r="DW7" s="5312"/>
      <c r="DX7" s="5312">
        <v>75</v>
      </c>
      <c r="DY7" s="5312">
        <v>55</v>
      </c>
      <c r="DZ7" s="5287">
        <f t="shared" si="0"/>
        <v>6948</v>
      </c>
      <c r="EA7" s="5317"/>
      <c r="EB7" s="5305"/>
      <c r="EC7" s="5305"/>
      <c r="ED7" s="5305">
        <v>16</v>
      </c>
      <c r="EE7" s="5305"/>
      <c r="EF7" s="5305"/>
      <c r="EG7" s="5305"/>
      <c r="EH7" s="5305">
        <v>21</v>
      </c>
      <c r="EI7" s="5305">
        <v>226</v>
      </c>
      <c r="EJ7" s="5305"/>
      <c r="EK7" s="5305"/>
      <c r="EL7" s="5305"/>
      <c r="EM7" s="5305">
        <v>90</v>
      </c>
      <c r="EN7" s="5305">
        <v>220</v>
      </c>
      <c r="EO7" s="5305"/>
      <c r="EP7" s="5305">
        <v>64</v>
      </c>
      <c r="EQ7" s="5305"/>
      <c r="ER7" s="5305"/>
      <c r="ES7" s="5305">
        <v>86</v>
      </c>
      <c r="ET7" s="5305">
        <v>27</v>
      </c>
      <c r="EU7" s="5305">
        <v>96</v>
      </c>
      <c r="EV7" s="5305"/>
      <c r="EW7" s="5305">
        <v>55</v>
      </c>
      <c r="EX7" s="5305"/>
      <c r="EY7" s="5305">
        <v>90</v>
      </c>
      <c r="EZ7" s="5292">
        <v>914</v>
      </c>
      <c r="FA7" s="5305">
        <v>160</v>
      </c>
      <c r="FB7" s="5305">
        <v>620</v>
      </c>
      <c r="FC7" s="5305"/>
      <c r="FD7" s="5305"/>
      <c r="FE7" s="5305"/>
      <c r="FF7" s="5305">
        <v>250</v>
      </c>
      <c r="FG7" s="5305"/>
      <c r="FH7" s="5305"/>
      <c r="FI7" s="5305">
        <v>32</v>
      </c>
      <c r="FJ7" s="5305"/>
      <c r="FK7" s="5305">
        <v>175</v>
      </c>
      <c r="FL7" s="5305"/>
      <c r="FM7" s="5305"/>
      <c r="FN7" s="5305">
        <v>213</v>
      </c>
      <c r="FO7" s="5305">
        <v>147</v>
      </c>
      <c r="FP7" s="5305"/>
      <c r="FQ7" s="5305">
        <v>297</v>
      </c>
      <c r="FR7" s="5305"/>
      <c r="FS7" s="5305">
        <v>0</v>
      </c>
      <c r="FT7" s="5305">
        <v>22</v>
      </c>
      <c r="FU7" s="5305"/>
      <c r="FV7" s="5305">
        <v>11</v>
      </c>
      <c r="FW7" s="5305"/>
      <c r="FX7" s="5305"/>
      <c r="FY7" s="5305">
        <v>24</v>
      </c>
      <c r="FZ7" s="5305">
        <v>34</v>
      </c>
      <c r="GA7" s="5305">
        <v>8</v>
      </c>
      <c r="GB7" s="5305">
        <v>59</v>
      </c>
      <c r="GC7" s="5302">
        <v>169</v>
      </c>
      <c r="GD7" s="5302">
        <v>50</v>
      </c>
      <c r="GE7" s="5302">
        <v>55</v>
      </c>
      <c r="GF7" s="5302">
        <v>0</v>
      </c>
      <c r="GG7" s="5302">
        <v>0</v>
      </c>
      <c r="GH7" s="5302">
        <v>56</v>
      </c>
      <c r="GI7" s="5306"/>
      <c r="GJ7" s="5302">
        <v>34</v>
      </c>
      <c r="GK7" s="5302"/>
      <c r="GL7" s="5307">
        <f t="shared" si="1"/>
        <v>4321</v>
      </c>
      <c r="GM7" s="5308">
        <f t="shared" si="2"/>
        <v>11269</v>
      </c>
      <c r="GN7" s="5309">
        <v>94.11</v>
      </c>
      <c r="GO7" s="3096">
        <v>0.16666666666666666</v>
      </c>
      <c r="GP7" s="3097"/>
      <c r="GQ7" s="3098"/>
      <c r="GR7" s="3097"/>
      <c r="GS7" s="3097"/>
      <c r="GT7" s="3097"/>
      <c r="GU7" s="3097"/>
      <c r="GV7" s="3097"/>
      <c r="GW7" s="3097"/>
      <c r="GX7" s="3097"/>
      <c r="GY7" s="3097"/>
      <c r="GZ7" s="3097"/>
      <c r="HA7" s="3097"/>
      <c r="HB7" s="3098"/>
      <c r="HC7" s="3098"/>
      <c r="HD7" s="3097"/>
      <c r="HE7" s="3097"/>
      <c r="HF7" s="3097"/>
      <c r="HG7" s="3097"/>
      <c r="HH7" s="3097"/>
      <c r="HI7" s="3097"/>
      <c r="HJ7" s="3097"/>
      <c r="HK7" s="3097"/>
      <c r="HL7" s="3097"/>
      <c r="HM7" s="3097"/>
      <c r="HN7" s="3097"/>
      <c r="HO7" s="3097"/>
      <c r="HP7" s="3097"/>
      <c r="HQ7" s="3097"/>
      <c r="HR7" s="3097"/>
      <c r="HS7" s="3097"/>
      <c r="HT7" s="3097"/>
      <c r="HU7" s="3097"/>
      <c r="HV7" s="3097"/>
      <c r="HW7" s="3097"/>
      <c r="HX7" s="3097"/>
      <c r="HY7" s="3097"/>
      <c r="HZ7" s="3097"/>
      <c r="IA7" s="3097"/>
      <c r="IB7" s="3097"/>
      <c r="IC7" s="3097"/>
      <c r="ID7" s="3097"/>
      <c r="IE7" s="3097"/>
      <c r="IF7" s="3097"/>
      <c r="IG7" s="3097"/>
      <c r="IH7" s="3097"/>
      <c r="II7" s="3097"/>
      <c r="IJ7" s="3097"/>
      <c r="IK7" s="3097"/>
      <c r="IL7" s="3097"/>
      <c r="IM7" s="3097"/>
      <c r="IN7" s="3097"/>
      <c r="IO7" s="3097"/>
      <c r="IP7" s="3097"/>
      <c r="IQ7" s="3097"/>
      <c r="IR7" s="3097"/>
      <c r="IS7" s="3097"/>
      <c r="IT7" s="3098"/>
      <c r="IU7" s="3098"/>
      <c r="IV7" s="3097"/>
      <c r="IW7" s="3097"/>
      <c r="IX7" s="3097"/>
      <c r="IY7" s="3097"/>
      <c r="IZ7" s="3097"/>
      <c r="JA7" s="3097"/>
      <c r="JB7" s="3099"/>
      <c r="JC7" s="3099"/>
      <c r="JD7" s="3097"/>
      <c r="JE7" s="3097"/>
      <c r="JF7" s="3097"/>
      <c r="JG7" s="3097"/>
      <c r="JH7" s="3097"/>
      <c r="JI7" s="3097"/>
      <c r="JJ7" s="3097"/>
      <c r="JK7" s="3097"/>
      <c r="JL7" s="3097"/>
      <c r="JM7" s="3097"/>
      <c r="JN7" s="3097"/>
      <c r="JO7" s="3097"/>
      <c r="JP7" s="3097"/>
      <c r="JQ7" s="3097"/>
      <c r="JR7" s="3097"/>
      <c r="JS7" s="3097"/>
      <c r="JT7" s="3097"/>
      <c r="JU7" s="3097"/>
      <c r="JV7" s="3097"/>
      <c r="JW7" s="3097"/>
      <c r="JX7" s="3097"/>
      <c r="JY7" s="3097"/>
      <c r="JZ7" s="3097"/>
      <c r="KA7" s="3097"/>
      <c r="KB7" s="3097"/>
      <c r="KC7" s="3097"/>
      <c r="KD7" s="3097"/>
      <c r="KE7" s="3097"/>
      <c r="KF7" s="3097"/>
      <c r="KG7" s="3097"/>
      <c r="KH7" s="3097"/>
      <c r="KI7" s="3097"/>
      <c r="KJ7" s="3097"/>
      <c r="KK7" s="3097"/>
      <c r="KL7" s="3097"/>
      <c r="KM7" s="3097"/>
      <c r="KN7" s="3097"/>
      <c r="KO7" s="3097"/>
      <c r="KP7" s="3097"/>
      <c r="KQ7" s="3097"/>
      <c r="KR7" s="3097"/>
      <c r="KS7" s="3097"/>
      <c r="KT7" s="3098"/>
      <c r="KU7" s="3097"/>
      <c r="KV7" s="3097"/>
      <c r="KW7" s="3097"/>
      <c r="KX7" s="3097"/>
      <c r="KY7" s="3097"/>
      <c r="KZ7" s="3097"/>
      <c r="LA7" s="3097"/>
      <c r="LB7" s="3097"/>
      <c r="LC7" s="3097"/>
      <c r="LD7" s="3097"/>
      <c r="LE7" s="3097"/>
      <c r="LF7" s="3097"/>
      <c r="LG7" s="3097"/>
      <c r="LH7" s="3097"/>
      <c r="LI7" s="3098"/>
      <c r="LJ7" s="3097"/>
      <c r="LK7" s="3097"/>
      <c r="LL7" s="3097"/>
      <c r="LM7" s="3097"/>
      <c r="LN7" s="3097"/>
      <c r="LO7" s="3097"/>
      <c r="LP7" s="3097"/>
      <c r="LQ7" s="3097"/>
      <c r="LR7" s="3097"/>
      <c r="LS7" s="3097"/>
      <c r="LT7" s="3097"/>
      <c r="LU7" s="3097"/>
      <c r="LV7" s="3097"/>
      <c r="LW7" s="3097"/>
      <c r="LX7" s="3097"/>
      <c r="LY7" s="3097"/>
      <c r="LZ7" s="3097"/>
      <c r="MA7" s="3097"/>
      <c r="MB7" s="3097"/>
      <c r="MC7" s="3097"/>
      <c r="MD7" s="3097"/>
      <c r="ME7" s="3097"/>
      <c r="MF7" s="3097"/>
      <c r="MG7" s="3097"/>
      <c r="MH7" s="3097"/>
      <c r="MI7" s="3097"/>
      <c r="MJ7" s="3097"/>
      <c r="MK7" s="3097"/>
      <c r="ML7" s="3097"/>
      <c r="MM7" s="3097"/>
      <c r="MN7" s="3097"/>
      <c r="MO7" s="3097"/>
      <c r="MP7" s="3097"/>
      <c r="MQ7" s="3097"/>
      <c r="MR7" s="3097"/>
      <c r="MS7" s="3097"/>
      <c r="MT7" s="3097"/>
      <c r="MU7" s="3097"/>
      <c r="MV7" s="3097"/>
      <c r="MW7" s="3097"/>
      <c r="MX7" s="3097"/>
      <c r="MY7" s="3097"/>
      <c r="MZ7" s="3097"/>
      <c r="NA7" s="3097"/>
      <c r="NB7" s="3097"/>
      <c r="NC7" s="3097"/>
      <c r="ND7" s="3097"/>
      <c r="NE7" s="3098"/>
      <c r="NF7" s="3098"/>
      <c r="NG7" s="3097"/>
      <c r="NH7" s="3097"/>
      <c r="NI7" s="3097"/>
      <c r="NJ7" s="3097"/>
      <c r="NK7" s="3097"/>
      <c r="NL7" s="3097"/>
      <c r="NM7" s="3097"/>
      <c r="NN7" s="3097"/>
      <c r="NO7" s="3097"/>
      <c r="NP7" s="3097"/>
      <c r="NQ7" s="3097"/>
      <c r="NR7" s="3097"/>
      <c r="NS7" s="3097"/>
      <c r="NT7" s="3099"/>
      <c r="NU7" s="3098"/>
      <c r="NV7" s="3097"/>
    </row>
    <row r="8" spans="1:386" s="413" customFormat="1" ht="27" customHeight="1">
      <c r="A8" s="2543">
        <v>0.20833333333333334</v>
      </c>
      <c r="B8" s="5342">
        <v>83</v>
      </c>
      <c r="C8" s="5311">
        <v>35</v>
      </c>
      <c r="D8" s="5311">
        <v>100</v>
      </c>
      <c r="E8" s="5311"/>
      <c r="F8" s="5312">
        <v>25</v>
      </c>
      <c r="G8" s="5313"/>
      <c r="H8" s="5316"/>
      <c r="I8" s="5312"/>
      <c r="J8" s="5311"/>
      <c r="K8" s="5311"/>
      <c r="L8" s="5311"/>
      <c r="M8" s="5311">
        <v>17</v>
      </c>
      <c r="N8" s="5311">
        <v>26</v>
      </c>
      <c r="O8" s="5311">
        <v>87</v>
      </c>
      <c r="P8" s="5311">
        <v>197</v>
      </c>
      <c r="Q8" s="5311">
        <v>39</v>
      </c>
      <c r="R8" s="5311"/>
      <c r="S8" s="5311"/>
      <c r="T8" s="5311"/>
      <c r="U8" s="5311">
        <v>97</v>
      </c>
      <c r="V8" s="5311">
        <v>8</v>
      </c>
      <c r="W8" s="5311"/>
      <c r="X8" s="5311"/>
      <c r="Y8" s="5311"/>
      <c r="Z8" s="5311">
        <v>180</v>
      </c>
      <c r="AA8" s="5311"/>
      <c r="AB8" s="5311">
        <v>200</v>
      </c>
      <c r="AC8" s="5311"/>
      <c r="AD8" s="5312"/>
      <c r="AE8" s="5311"/>
      <c r="AF8" s="5311"/>
      <c r="AG8" s="5311">
        <v>40</v>
      </c>
      <c r="AH8" s="5311">
        <v>204</v>
      </c>
      <c r="AI8" s="5311">
        <v>320</v>
      </c>
      <c r="AJ8" s="5311">
        <v>320</v>
      </c>
      <c r="AK8" s="5311"/>
      <c r="AL8" s="5311">
        <v>52</v>
      </c>
      <c r="AM8" s="5311">
        <v>127</v>
      </c>
      <c r="AN8" s="5311"/>
      <c r="AO8" s="5311"/>
      <c r="AP8" s="5311">
        <v>405</v>
      </c>
      <c r="AQ8" s="5311">
        <v>225</v>
      </c>
      <c r="AR8" s="5311">
        <v>318</v>
      </c>
      <c r="AS8" s="5311">
        <v>102</v>
      </c>
      <c r="AT8" s="5311">
        <v>0</v>
      </c>
      <c r="AU8" s="5311">
        <v>43</v>
      </c>
      <c r="AV8" s="5311">
        <v>41</v>
      </c>
      <c r="AW8" s="5311"/>
      <c r="AX8" s="5311">
        <v>55</v>
      </c>
      <c r="AY8" s="5311">
        <v>10</v>
      </c>
      <c r="AZ8" s="5311"/>
      <c r="BA8" s="5311"/>
      <c r="BB8" s="5311">
        <v>220</v>
      </c>
      <c r="BC8" s="5311"/>
      <c r="BD8" s="5311">
        <v>31</v>
      </c>
      <c r="BE8" s="5311">
        <v>9</v>
      </c>
      <c r="BF8" s="5311"/>
      <c r="BG8" s="5311">
        <v>31</v>
      </c>
      <c r="BH8" s="5311">
        <v>16</v>
      </c>
      <c r="BI8" s="5311">
        <v>330</v>
      </c>
      <c r="BJ8" s="5311"/>
      <c r="BK8" s="5311">
        <v>35</v>
      </c>
      <c r="BL8" s="5311">
        <v>11</v>
      </c>
      <c r="BM8" s="5311">
        <v>15</v>
      </c>
      <c r="BN8" s="5311">
        <v>22</v>
      </c>
      <c r="BO8" s="5311">
        <v>22</v>
      </c>
      <c r="BP8" s="5314">
        <v>160</v>
      </c>
      <c r="BQ8" s="5311">
        <v>32</v>
      </c>
      <c r="BR8" s="5311">
        <v>21</v>
      </c>
      <c r="BS8" s="5311">
        <v>10</v>
      </c>
      <c r="BT8" s="5311">
        <v>33</v>
      </c>
      <c r="BU8" s="5311">
        <v>20</v>
      </c>
      <c r="BV8" s="5311">
        <v>25</v>
      </c>
      <c r="BW8" s="5311">
        <v>27</v>
      </c>
      <c r="BX8" s="5311">
        <v>33</v>
      </c>
      <c r="BY8" s="5311">
        <v>33</v>
      </c>
      <c r="BZ8" s="5311">
        <v>90</v>
      </c>
      <c r="CA8" s="5311">
        <v>17</v>
      </c>
      <c r="CB8" s="5311">
        <v>38</v>
      </c>
      <c r="CC8" s="5311">
        <v>35</v>
      </c>
      <c r="CD8" s="5312">
        <v>8</v>
      </c>
      <c r="CE8" s="5311">
        <v>49</v>
      </c>
      <c r="CF8" s="5312">
        <v>48</v>
      </c>
      <c r="CG8" s="5312"/>
      <c r="CH8" s="5312">
        <v>8</v>
      </c>
      <c r="CI8" s="5312">
        <v>105</v>
      </c>
      <c r="CJ8" s="5313"/>
      <c r="CK8" s="5312">
        <v>36</v>
      </c>
      <c r="CL8" s="5312">
        <v>55</v>
      </c>
      <c r="CM8" s="5312"/>
      <c r="CN8" s="5312"/>
      <c r="CO8" s="5312"/>
      <c r="CP8" s="5312"/>
      <c r="CQ8" s="5312"/>
      <c r="CR8" s="5312">
        <v>7</v>
      </c>
      <c r="CS8" s="5312"/>
      <c r="CT8" s="5312"/>
      <c r="CU8" s="5312"/>
      <c r="CV8" s="5312">
        <v>33</v>
      </c>
      <c r="CW8" s="5312">
        <v>30</v>
      </c>
      <c r="CX8" s="5312">
        <v>51</v>
      </c>
      <c r="CY8" s="5312">
        <v>8</v>
      </c>
      <c r="CZ8" s="5312">
        <v>25</v>
      </c>
      <c r="DA8" s="5312">
        <v>12</v>
      </c>
      <c r="DB8" s="5312"/>
      <c r="DC8" s="5312"/>
      <c r="DD8" s="5312">
        <v>30</v>
      </c>
      <c r="DE8" s="5312">
        <v>55</v>
      </c>
      <c r="DF8" s="5312">
        <v>110</v>
      </c>
      <c r="DG8" s="5316"/>
      <c r="DH8" s="5316">
        <v>35</v>
      </c>
      <c r="DI8" s="5312">
        <v>298</v>
      </c>
      <c r="DJ8" s="5316">
        <v>99</v>
      </c>
      <c r="DK8" s="5316">
        <v>48</v>
      </c>
      <c r="DL8" s="5316">
        <v>94</v>
      </c>
      <c r="DM8" s="5316">
        <v>98</v>
      </c>
      <c r="DN8" s="5316">
        <v>21</v>
      </c>
      <c r="DO8" s="5316">
        <v>34</v>
      </c>
      <c r="DP8" s="5316">
        <v>135</v>
      </c>
      <c r="DQ8" s="5312">
        <v>402</v>
      </c>
      <c r="DR8" s="5312">
        <v>48</v>
      </c>
      <c r="DS8" s="5312">
        <v>16</v>
      </c>
      <c r="DT8" s="5312">
        <v>20</v>
      </c>
      <c r="DU8" s="5312">
        <v>92</v>
      </c>
      <c r="DV8" s="5312">
        <v>35</v>
      </c>
      <c r="DW8" s="5312"/>
      <c r="DX8" s="5312">
        <v>74</v>
      </c>
      <c r="DY8" s="5312">
        <v>55</v>
      </c>
      <c r="DZ8" s="5287">
        <f t="shared" si="0"/>
        <v>6946</v>
      </c>
      <c r="EA8" s="5317"/>
      <c r="EB8" s="5305"/>
      <c r="EC8" s="5305"/>
      <c r="ED8" s="5305">
        <v>16</v>
      </c>
      <c r="EE8" s="5305"/>
      <c r="EF8" s="5305"/>
      <c r="EG8" s="5305"/>
      <c r="EH8" s="5305">
        <v>21</v>
      </c>
      <c r="EI8" s="5305">
        <v>227</v>
      </c>
      <c r="EJ8" s="5305"/>
      <c r="EK8" s="5305">
        <v>0</v>
      </c>
      <c r="EL8" s="5305"/>
      <c r="EM8" s="5305">
        <v>90</v>
      </c>
      <c r="EN8" s="5305">
        <v>220</v>
      </c>
      <c r="EO8" s="5305"/>
      <c r="EP8" s="5305">
        <v>64</v>
      </c>
      <c r="EQ8" s="5305"/>
      <c r="ER8" s="5305"/>
      <c r="ES8" s="5305">
        <v>88</v>
      </c>
      <c r="ET8" s="5305">
        <v>27</v>
      </c>
      <c r="EU8" s="5305">
        <v>96</v>
      </c>
      <c r="EV8" s="5305"/>
      <c r="EW8" s="5305">
        <v>55</v>
      </c>
      <c r="EX8" s="5305"/>
      <c r="EY8" s="5305">
        <v>89</v>
      </c>
      <c r="EZ8" s="5292">
        <v>914</v>
      </c>
      <c r="FA8" s="5305">
        <v>160</v>
      </c>
      <c r="FB8" s="5305">
        <v>620</v>
      </c>
      <c r="FC8" s="5305"/>
      <c r="FD8" s="5305"/>
      <c r="FE8" s="5305"/>
      <c r="FF8" s="5305">
        <v>250</v>
      </c>
      <c r="FG8" s="5305"/>
      <c r="FH8" s="5305"/>
      <c r="FI8" s="5305">
        <v>32</v>
      </c>
      <c r="FJ8" s="5305"/>
      <c r="FK8" s="5305">
        <v>177</v>
      </c>
      <c r="FL8" s="5305"/>
      <c r="FM8" s="5305"/>
      <c r="FN8" s="5305">
        <v>209</v>
      </c>
      <c r="FO8" s="5305">
        <v>148</v>
      </c>
      <c r="FP8" s="5305"/>
      <c r="FQ8" s="5305">
        <v>303</v>
      </c>
      <c r="FR8" s="5305"/>
      <c r="FS8" s="5305"/>
      <c r="FT8" s="5305">
        <v>22</v>
      </c>
      <c r="FU8" s="5305"/>
      <c r="FV8" s="5305">
        <v>11</v>
      </c>
      <c r="FW8" s="5305"/>
      <c r="FX8" s="5305"/>
      <c r="FY8" s="5305">
        <v>24</v>
      </c>
      <c r="FZ8" s="5305">
        <v>33</v>
      </c>
      <c r="GA8" s="5305">
        <v>8</v>
      </c>
      <c r="GB8" s="5305">
        <v>59</v>
      </c>
      <c r="GC8" s="5302">
        <v>169</v>
      </c>
      <c r="GD8" s="5302">
        <v>50</v>
      </c>
      <c r="GE8" s="5302">
        <v>55</v>
      </c>
      <c r="GF8" s="5302">
        <v>0</v>
      </c>
      <c r="GG8" s="5302">
        <v>0</v>
      </c>
      <c r="GH8" s="5302">
        <v>56</v>
      </c>
      <c r="GI8" s="5306"/>
      <c r="GJ8" s="5302">
        <v>34</v>
      </c>
      <c r="GK8" s="5302"/>
      <c r="GL8" s="5307">
        <f t="shared" si="1"/>
        <v>4327</v>
      </c>
      <c r="GM8" s="5308">
        <f t="shared" si="2"/>
        <v>11273</v>
      </c>
      <c r="GN8" s="5309">
        <v>94.14</v>
      </c>
      <c r="GO8" s="3096">
        <v>0.20833333333333334</v>
      </c>
      <c r="GP8" s="3097"/>
      <c r="GQ8" s="3098"/>
      <c r="GR8" s="3097"/>
      <c r="GS8" s="3097"/>
      <c r="GT8" s="3097"/>
      <c r="GU8" s="3097"/>
      <c r="GV8" s="3097"/>
      <c r="GW8" s="3097"/>
      <c r="GX8" s="3097"/>
      <c r="GY8" s="3097"/>
      <c r="GZ8" s="3097"/>
      <c r="HA8" s="3097"/>
      <c r="HB8" s="3098"/>
      <c r="HC8" s="3098"/>
      <c r="HD8" s="3097"/>
      <c r="HE8" s="3097"/>
      <c r="HF8" s="3097"/>
      <c r="HG8" s="3097"/>
      <c r="HH8" s="3097"/>
      <c r="HI8" s="3097"/>
      <c r="HJ8" s="3097"/>
      <c r="HK8" s="3097"/>
      <c r="HL8" s="3097"/>
      <c r="HM8" s="3097"/>
      <c r="HN8" s="3097"/>
      <c r="HO8" s="3097"/>
      <c r="HP8" s="3097"/>
      <c r="HQ8" s="3097"/>
      <c r="HR8" s="3097"/>
      <c r="HS8" s="3097"/>
      <c r="HT8" s="3097"/>
      <c r="HU8" s="3097"/>
      <c r="HV8" s="3097"/>
      <c r="HW8" s="3097"/>
      <c r="HX8" s="3097"/>
      <c r="HY8" s="3097"/>
      <c r="HZ8" s="3097"/>
      <c r="IA8" s="3097"/>
      <c r="IB8" s="3097"/>
      <c r="IC8" s="3097"/>
      <c r="ID8" s="3097"/>
      <c r="IE8" s="3097"/>
      <c r="IF8" s="3097"/>
      <c r="IG8" s="3097"/>
      <c r="IH8" s="3097"/>
      <c r="II8" s="3097"/>
      <c r="IJ8" s="3097"/>
      <c r="IK8" s="3097"/>
      <c r="IL8" s="3097"/>
      <c r="IM8" s="3097"/>
      <c r="IN8" s="3097"/>
      <c r="IO8" s="3097"/>
      <c r="IP8" s="3097"/>
      <c r="IQ8" s="3097"/>
      <c r="IR8" s="3097"/>
      <c r="IS8" s="3097"/>
      <c r="IT8" s="3098"/>
      <c r="IU8" s="3098"/>
      <c r="IV8" s="3097"/>
      <c r="IW8" s="3097"/>
      <c r="IX8" s="3097"/>
      <c r="IY8" s="3097"/>
      <c r="IZ8" s="3097"/>
      <c r="JA8" s="3097"/>
      <c r="JB8" s="3099"/>
      <c r="JC8" s="3099"/>
      <c r="JD8" s="3097"/>
      <c r="JE8" s="3097"/>
      <c r="JF8" s="3097"/>
      <c r="JG8" s="3097"/>
      <c r="JH8" s="3097"/>
      <c r="JI8" s="3097"/>
      <c r="JJ8" s="3097"/>
      <c r="JK8" s="3097"/>
      <c r="JL8" s="3097"/>
      <c r="JM8" s="3097"/>
      <c r="JN8" s="3097"/>
      <c r="JO8" s="3097"/>
      <c r="JP8" s="3097"/>
      <c r="JQ8" s="3097"/>
      <c r="JR8" s="3097"/>
      <c r="JS8" s="3097"/>
      <c r="JT8" s="3097"/>
      <c r="JU8" s="3097"/>
      <c r="JV8" s="3097"/>
      <c r="JW8" s="3097"/>
      <c r="JX8" s="3097"/>
      <c r="JY8" s="3097"/>
      <c r="JZ8" s="3097"/>
      <c r="KA8" s="3097"/>
      <c r="KB8" s="3097"/>
      <c r="KC8" s="3097"/>
      <c r="KD8" s="3097"/>
      <c r="KE8" s="3097"/>
      <c r="KF8" s="3097"/>
      <c r="KG8" s="3097"/>
      <c r="KH8" s="3097"/>
      <c r="KI8" s="3097"/>
      <c r="KJ8" s="3097"/>
      <c r="KK8" s="3097"/>
      <c r="KL8" s="3097"/>
      <c r="KM8" s="3097"/>
      <c r="KN8" s="3097"/>
      <c r="KO8" s="3097"/>
      <c r="KP8" s="3097"/>
      <c r="KQ8" s="3097"/>
      <c r="KR8" s="3097"/>
      <c r="KS8" s="3097"/>
      <c r="KT8" s="3098"/>
      <c r="KU8" s="3097"/>
      <c r="KV8" s="3097"/>
      <c r="KW8" s="3097"/>
      <c r="KX8" s="3097"/>
      <c r="KY8" s="3097"/>
      <c r="KZ8" s="3097"/>
      <c r="LA8" s="3097"/>
      <c r="LB8" s="3097"/>
      <c r="LC8" s="3097"/>
      <c r="LD8" s="3097"/>
      <c r="LE8" s="3097"/>
      <c r="LF8" s="3097"/>
      <c r="LG8" s="3097"/>
      <c r="LH8" s="3097"/>
      <c r="LI8" s="3098"/>
      <c r="LJ8" s="3097"/>
      <c r="LK8" s="3097"/>
      <c r="LL8" s="3097"/>
      <c r="LM8" s="3097"/>
      <c r="LN8" s="3097"/>
      <c r="LO8" s="3097"/>
      <c r="LP8" s="3097"/>
      <c r="LQ8" s="3097"/>
      <c r="LR8" s="3097"/>
      <c r="LS8" s="3097"/>
      <c r="LT8" s="3097"/>
      <c r="LU8" s="3097"/>
      <c r="LV8" s="3097"/>
      <c r="LW8" s="3097"/>
      <c r="LX8" s="3097"/>
      <c r="LY8" s="3097"/>
      <c r="LZ8" s="3097"/>
      <c r="MA8" s="3097"/>
      <c r="MB8" s="3097"/>
      <c r="MC8" s="3097"/>
      <c r="MD8" s="3097"/>
      <c r="ME8" s="3097"/>
      <c r="MF8" s="3097"/>
      <c r="MG8" s="3097"/>
      <c r="MH8" s="3097"/>
      <c r="MI8" s="3097"/>
      <c r="MJ8" s="3097"/>
      <c r="MK8" s="3097"/>
      <c r="ML8" s="3097"/>
      <c r="MM8" s="3097"/>
      <c r="MN8" s="3097"/>
      <c r="MO8" s="3097"/>
      <c r="MP8" s="3097"/>
      <c r="MQ8" s="3097"/>
      <c r="MR8" s="3097"/>
      <c r="MS8" s="3097"/>
      <c r="MT8" s="3097"/>
      <c r="MU8" s="3097"/>
      <c r="MV8" s="3097"/>
      <c r="MW8" s="3097"/>
      <c r="MX8" s="3097"/>
      <c r="MY8" s="3097"/>
      <c r="MZ8" s="3097"/>
      <c r="NA8" s="3097"/>
      <c r="NB8" s="3097"/>
      <c r="NC8" s="3097"/>
      <c r="ND8" s="3097"/>
      <c r="NE8" s="3098"/>
      <c r="NF8" s="3098"/>
      <c r="NG8" s="3097"/>
      <c r="NH8" s="3097"/>
      <c r="NI8" s="3097"/>
      <c r="NJ8" s="3097"/>
      <c r="NK8" s="3097"/>
      <c r="NL8" s="3097"/>
      <c r="NM8" s="3097"/>
      <c r="NN8" s="3097"/>
      <c r="NO8" s="3097"/>
      <c r="NP8" s="3097"/>
      <c r="NQ8" s="3097"/>
      <c r="NR8" s="3097"/>
      <c r="NS8" s="3097"/>
      <c r="NT8" s="3099"/>
      <c r="NU8" s="3098"/>
      <c r="NV8" s="3097"/>
    </row>
    <row r="9" spans="1:386" s="413" customFormat="1" ht="27" customHeight="1">
      <c r="A9" s="2543">
        <v>0.25</v>
      </c>
      <c r="B9" s="5311">
        <v>83</v>
      </c>
      <c r="C9" s="5311">
        <v>35</v>
      </c>
      <c r="D9" s="5311">
        <v>100</v>
      </c>
      <c r="E9" s="5311"/>
      <c r="F9" s="5312">
        <v>25</v>
      </c>
      <c r="G9" s="5313">
        <v>0</v>
      </c>
      <c r="H9" s="5316"/>
      <c r="I9" s="5312"/>
      <c r="J9" s="5311"/>
      <c r="K9" s="5311"/>
      <c r="L9" s="5311"/>
      <c r="M9" s="5311">
        <v>17</v>
      </c>
      <c r="N9" s="5311">
        <v>26</v>
      </c>
      <c r="O9" s="5311">
        <v>80</v>
      </c>
      <c r="P9" s="5311">
        <v>197</v>
      </c>
      <c r="Q9" s="5311">
        <v>39</v>
      </c>
      <c r="R9" s="5311"/>
      <c r="S9" s="5311"/>
      <c r="T9" s="5311"/>
      <c r="U9" s="5311">
        <v>95</v>
      </c>
      <c r="V9" s="5311">
        <v>8</v>
      </c>
      <c r="W9" s="5311"/>
      <c r="X9" s="5311"/>
      <c r="Y9" s="5311"/>
      <c r="Z9" s="5311">
        <v>180</v>
      </c>
      <c r="AA9" s="5311"/>
      <c r="AB9" s="5311">
        <v>200</v>
      </c>
      <c r="AC9" s="5311"/>
      <c r="AD9" s="5312"/>
      <c r="AE9" s="5311"/>
      <c r="AF9" s="5311"/>
      <c r="AG9" s="5311">
        <v>40</v>
      </c>
      <c r="AH9" s="5311">
        <v>207</v>
      </c>
      <c r="AI9" s="5311">
        <v>320</v>
      </c>
      <c r="AJ9" s="5311">
        <v>320</v>
      </c>
      <c r="AK9" s="5311"/>
      <c r="AL9" s="5311">
        <v>53</v>
      </c>
      <c r="AM9" s="5311">
        <v>127</v>
      </c>
      <c r="AN9" s="5311"/>
      <c r="AO9" s="5311"/>
      <c r="AP9" s="5311">
        <v>407</v>
      </c>
      <c r="AQ9" s="5311">
        <v>225</v>
      </c>
      <c r="AR9" s="5311">
        <v>317</v>
      </c>
      <c r="AS9" s="5311">
        <v>102</v>
      </c>
      <c r="AT9" s="5311">
        <v>1</v>
      </c>
      <c r="AU9" s="5311">
        <v>43</v>
      </c>
      <c r="AV9" s="5311">
        <v>41</v>
      </c>
      <c r="AW9" s="5311"/>
      <c r="AX9" s="5311">
        <v>55</v>
      </c>
      <c r="AY9" s="5311">
        <v>10</v>
      </c>
      <c r="AZ9" s="5311"/>
      <c r="BA9" s="5311"/>
      <c r="BB9" s="5311">
        <v>220</v>
      </c>
      <c r="BC9" s="5311"/>
      <c r="BD9" s="5311">
        <v>31</v>
      </c>
      <c r="BE9" s="5311">
        <v>9</v>
      </c>
      <c r="BF9" s="5311"/>
      <c r="BG9" s="5311">
        <v>31</v>
      </c>
      <c r="BH9" s="5311">
        <v>16</v>
      </c>
      <c r="BI9" s="5311">
        <v>315</v>
      </c>
      <c r="BJ9" s="5311"/>
      <c r="BK9" s="5311">
        <v>35</v>
      </c>
      <c r="BL9" s="5311">
        <v>11</v>
      </c>
      <c r="BM9" s="5311">
        <v>15</v>
      </c>
      <c r="BN9" s="5311">
        <v>22</v>
      </c>
      <c r="BO9" s="5311">
        <v>22</v>
      </c>
      <c r="BP9" s="5314">
        <v>152</v>
      </c>
      <c r="BQ9" s="5311">
        <v>38</v>
      </c>
      <c r="BR9" s="5311">
        <v>21</v>
      </c>
      <c r="BS9" s="5311">
        <v>10</v>
      </c>
      <c r="BT9" s="5311">
        <v>33</v>
      </c>
      <c r="BU9" s="5311">
        <v>15</v>
      </c>
      <c r="BV9" s="5311">
        <v>25</v>
      </c>
      <c r="BW9" s="5311">
        <v>27</v>
      </c>
      <c r="BX9" s="5311">
        <v>33</v>
      </c>
      <c r="BY9" s="5311">
        <v>33</v>
      </c>
      <c r="BZ9" s="5311">
        <v>90</v>
      </c>
      <c r="CA9" s="5311">
        <v>17</v>
      </c>
      <c r="CB9" s="5311">
        <v>38</v>
      </c>
      <c r="CC9" s="5311">
        <v>35</v>
      </c>
      <c r="CD9" s="5312">
        <v>8</v>
      </c>
      <c r="CE9" s="5311">
        <v>50</v>
      </c>
      <c r="CF9" s="5312">
        <v>48</v>
      </c>
      <c r="CG9" s="5312"/>
      <c r="CH9" s="5312">
        <v>8</v>
      </c>
      <c r="CI9" s="5312">
        <v>105</v>
      </c>
      <c r="CJ9" s="5313">
        <v>0</v>
      </c>
      <c r="CK9" s="5312">
        <v>36</v>
      </c>
      <c r="CL9" s="5312">
        <v>55</v>
      </c>
      <c r="CM9" s="5312"/>
      <c r="CN9" s="5312"/>
      <c r="CO9" s="5312"/>
      <c r="CP9" s="5312"/>
      <c r="CQ9" s="5312"/>
      <c r="CR9" s="5312">
        <v>8</v>
      </c>
      <c r="CS9" s="5312"/>
      <c r="CT9" s="5312"/>
      <c r="CU9" s="5312"/>
      <c r="CV9" s="5312">
        <v>33</v>
      </c>
      <c r="CW9" s="5312">
        <v>30</v>
      </c>
      <c r="CX9" s="5312">
        <v>51</v>
      </c>
      <c r="CY9" s="5312">
        <v>8</v>
      </c>
      <c r="CZ9" s="5312">
        <v>25</v>
      </c>
      <c r="DA9" s="5312">
        <v>12</v>
      </c>
      <c r="DB9" s="5312"/>
      <c r="DC9" s="5312"/>
      <c r="DD9" s="5312">
        <v>30</v>
      </c>
      <c r="DE9" s="5312">
        <v>55</v>
      </c>
      <c r="DF9" s="5312">
        <v>110</v>
      </c>
      <c r="DG9" s="5316"/>
      <c r="DH9" s="5316">
        <v>35</v>
      </c>
      <c r="DI9" s="5312">
        <v>301</v>
      </c>
      <c r="DJ9" s="5316">
        <v>99</v>
      </c>
      <c r="DK9" s="5316">
        <v>48</v>
      </c>
      <c r="DL9" s="5316">
        <v>93</v>
      </c>
      <c r="DM9" s="5316">
        <v>90</v>
      </c>
      <c r="DN9" s="5316">
        <v>21</v>
      </c>
      <c r="DO9" s="5316">
        <v>34</v>
      </c>
      <c r="DP9" s="5316">
        <v>135</v>
      </c>
      <c r="DQ9" s="5312">
        <v>401</v>
      </c>
      <c r="DR9" s="5312">
        <v>49</v>
      </c>
      <c r="DS9" s="5312">
        <v>16</v>
      </c>
      <c r="DT9" s="5312">
        <v>20</v>
      </c>
      <c r="DU9" s="5312">
        <v>108</v>
      </c>
      <c r="DV9" s="5312">
        <v>35</v>
      </c>
      <c r="DW9" s="5312">
        <v>0</v>
      </c>
      <c r="DX9" s="5312">
        <v>75</v>
      </c>
      <c r="DY9" s="5312">
        <v>55</v>
      </c>
      <c r="DZ9" s="5287">
        <f t="shared" si="0"/>
        <v>6934</v>
      </c>
      <c r="EA9" s="5317"/>
      <c r="EB9" s="5305"/>
      <c r="EC9" s="5305"/>
      <c r="ED9" s="5305">
        <v>16</v>
      </c>
      <c r="EE9" s="5305"/>
      <c r="EF9" s="5305"/>
      <c r="EG9" s="5305"/>
      <c r="EH9" s="5305">
        <v>21</v>
      </c>
      <c r="EI9" s="5305">
        <v>227</v>
      </c>
      <c r="EJ9" s="5305"/>
      <c r="EK9" s="5305">
        <v>1</v>
      </c>
      <c r="EL9" s="5305"/>
      <c r="EM9" s="5305">
        <v>90</v>
      </c>
      <c r="EN9" s="5305">
        <v>220</v>
      </c>
      <c r="EO9" s="5305"/>
      <c r="EP9" s="5305">
        <v>64</v>
      </c>
      <c r="EQ9" s="5305"/>
      <c r="ER9" s="5305"/>
      <c r="ES9" s="5305">
        <v>86</v>
      </c>
      <c r="ET9" s="5305">
        <v>25</v>
      </c>
      <c r="EU9" s="5305">
        <v>97</v>
      </c>
      <c r="EV9" s="5305"/>
      <c r="EW9" s="5305">
        <v>55</v>
      </c>
      <c r="EX9" s="5305"/>
      <c r="EY9" s="5305">
        <v>89</v>
      </c>
      <c r="EZ9" s="5292">
        <v>914</v>
      </c>
      <c r="FA9" s="5305">
        <v>165</v>
      </c>
      <c r="FB9" s="5305">
        <v>610</v>
      </c>
      <c r="FC9" s="5305"/>
      <c r="FD9" s="5305"/>
      <c r="FE9" s="5305"/>
      <c r="FF9" s="5305">
        <v>250</v>
      </c>
      <c r="FG9" s="5305"/>
      <c r="FH9" s="5305"/>
      <c r="FI9" s="5305">
        <v>32</v>
      </c>
      <c r="FJ9" s="5305">
        <v>0</v>
      </c>
      <c r="FK9" s="5305">
        <v>176</v>
      </c>
      <c r="FL9" s="5305"/>
      <c r="FM9" s="5305"/>
      <c r="FN9" s="5305">
        <v>214</v>
      </c>
      <c r="FO9" s="5305">
        <v>149</v>
      </c>
      <c r="FP9" s="5305"/>
      <c r="FQ9" s="5305">
        <v>317</v>
      </c>
      <c r="FR9" s="5305"/>
      <c r="FS9" s="5305"/>
      <c r="FT9" s="5305">
        <v>22</v>
      </c>
      <c r="FU9" s="5305"/>
      <c r="FV9" s="5305">
        <v>11</v>
      </c>
      <c r="FW9" s="5305"/>
      <c r="FX9" s="5305"/>
      <c r="FY9" s="5305">
        <v>24</v>
      </c>
      <c r="FZ9" s="5305">
        <v>33</v>
      </c>
      <c r="GA9" s="5305">
        <v>8</v>
      </c>
      <c r="GB9" s="5305">
        <v>51</v>
      </c>
      <c r="GC9" s="5302">
        <v>169</v>
      </c>
      <c r="GD9" s="5302">
        <v>50</v>
      </c>
      <c r="GE9" s="5302">
        <v>55</v>
      </c>
      <c r="GF9" s="5302">
        <v>0</v>
      </c>
      <c r="GG9" s="5302">
        <v>0</v>
      </c>
      <c r="GH9" s="5302">
        <v>56</v>
      </c>
      <c r="GI9" s="5306">
        <v>0</v>
      </c>
      <c r="GJ9" s="5302">
        <v>34</v>
      </c>
      <c r="GK9" s="5302"/>
      <c r="GL9" s="5307">
        <f t="shared" si="1"/>
        <v>4331</v>
      </c>
      <c r="GM9" s="5308">
        <f t="shared" si="2"/>
        <v>11265</v>
      </c>
      <c r="GN9" s="5309">
        <v>94.17</v>
      </c>
      <c r="GO9" s="3096">
        <v>0.25</v>
      </c>
      <c r="GP9" s="3097"/>
      <c r="GQ9" s="3098"/>
      <c r="GR9" s="3097"/>
      <c r="GS9" s="3097"/>
      <c r="GT9" s="3097"/>
      <c r="GU9" s="3097"/>
      <c r="GV9" s="3097"/>
      <c r="GW9" s="3097"/>
      <c r="GX9" s="3097"/>
      <c r="GY9" s="3097"/>
      <c r="GZ9" s="3097"/>
      <c r="HA9" s="3097"/>
      <c r="HB9" s="3098"/>
      <c r="HC9" s="3098"/>
      <c r="HD9" s="3097"/>
      <c r="HE9" s="3097"/>
      <c r="HF9" s="3097"/>
      <c r="HG9" s="3097"/>
      <c r="HH9" s="3097"/>
      <c r="HI9" s="3097"/>
      <c r="HJ9" s="3097"/>
      <c r="HK9" s="3097"/>
      <c r="HL9" s="3097"/>
      <c r="HM9" s="3097"/>
      <c r="HN9" s="3097"/>
      <c r="HO9" s="3097"/>
      <c r="HP9" s="3097"/>
      <c r="HQ9" s="3097"/>
      <c r="HR9" s="3097"/>
      <c r="HS9" s="3097"/>
      <c r="HT9" s="3097"/>
      <c r="HU9" s="3097"/>
      <c r="HV9" s="3098"/>
      <c r="HW9" s="3098"/>
      <c r="HX9" s="3097"/>
      <c r="HY9" s="3097"/>
      <c r="HZ9" s="3097"/>
      <c r="IA9" s="3097"/>
      <c r="IB9" s="3097"/>
      <c r="IC9" s="3097"/>
      <c r="ID9" s="3097"/>
      <c r="IE9" s="3097"/>
      <c r="IF9" s="3097"/>
      <c r="IG9" s="3097"/>
      <c r="IH9" s="3097"/>
      <c r="II9" s="3097"/>
      <c r="IJ9" s="3097"/>
      <c r="IK9" s="3097"/>
      <c r="IL9" s="3097"/>
      <c r="IM9" s="3097"/>
      <c r="IN9" s="3097"/>
      <c r="IO9" s="3097"/>
      <c r="IP9" s="3097"/>
      <c r="IQ9" s="3097"/>
      <c r="IR9" s="3097"/>
      <c r="IS9" s="3097"/>
      <c r="IT9" s="3098"/>
      <c r="IU9" s="3098"/>
      <c r="IV9" s="3097"/>
      <c r="IW9" s="3097"/>
      <c r="IX9" s="3097"/>
      <c r="IY9" s="3097"/>
      <c r="IZ9" s="3097"/>
      <c r="JA9" s="3097"/>
      <c r="JB9" s="3099"/>
      <c r="JC9" s="3099"/>
      <c r="JD9" s="3097"/>
      <c r="JE9" s="3097"/>
      <c r="JF9" s="3097"/>
      <c r="JG9" s="3097"/>
      <c r="JH9" s="3097"/>
      <c r="JI9" s="3097"/>
      <c r="JJ9" s="3097"/>
      <c r="JK9" s="3097"/>
      <c r="JL9" s="3097"/>
      <c r="JM9" s="3097"/>
      <c r="JN9" s="3097"/>
      <c r="JO9" s="3097"/>
      <c r="JP9" s="3097"/>
      <c r="JQ9" s="3097"/>
      <c r="JR9" s="3097"/>
      <c r="JS9" s="3097"/>
      <c r="JT9" s="3097"/>
      <c r="JU9" s="3097"/>
      <c r="JV9" s="3097"/>
      <c r="JW9" s="3097"/>
      <c r="JX9" s="3097"/>
      <c r="JY9" s="3097"/>
      <c r="JZ9" s="3097"/>
      <c r="KA9" s="3097"/>
      <c r="KB9" s="3097"/>
      <c r="KC9" s="3097"/>
      <c r="KD9" s="3097"/>
      <c r="KE9" s="3097"/>
      <c r="KF9" s="3097"/>
      <c r="KG9" s="3097"/>
      <c r="KH9" s="3097"/>
      <c r="KI9" s="3097"/>
      <c r="KJ9" s="3097"/>
      <c r="KK9" s="3097"/>
      <c r="KL9" s="3097"/>
      <c r="KM9" s="3097"/>
      <c r="KN9" s="3097"/>
      <c r="KO9" s="3097"/>
      <c r="KP9" s="3097"/>
      <c r="KQ9" s="3097"/>
      <c r="KR9" s="3097"/>
      <c r="KS9" s="3097"/>
      <c r="KT9" s="3098"/>
      <c r="KU9" s="3097"/>
      <c r="KV9" s="3097"/>
      <c r="KW9" s="3097"/>
      <c r="KX9" s="3097"/>
      <c r="KY9" s="3097"/>
      <c r="KZ9" s="3097"/>
      <c r="LA9" s="3097"/>
      <c r="LB9" s="3097"/>
      <c r="LC9" s="3097"/>
      <c r="LD9" s="3097"/>
      <c r="LE9" s="3097"/>
      <c r="LF9" s="3097"/>
      <c r="LG9" s="3097"/>
      <c r="LH9" s="3097"/>
      <c r="LI9" s="3098"/>
      <c r="LJ9" s="3097"/>
      <c r="LK9" s="3097"/>
      <c r="LL9" s="3097"/>
      <c r="LM9" s="3097"/>
      <c r="LN9" s="3097"/>
      <c r="LO9" s="3097"/>
      <c r="LP9" s="3097"/>
      <c r="LQ9" s="3097"/>
      <c r="LR9" s="3097"/>
      <c r="LS9" s="3097"/>
      <c r="LT9" s="3097"/>
      <c r="LU9" s="3097"/>
      <c r="LV9" s="3097"/>
      <c r="LW9" s="3097"/>
      <c r="LX9" s="3097"/>
      <c r="LY9" s="3097"/>
      <c r="LZ9" s="3097"/>
      <c r="MA9" s="3097"/>
      <c r="MB9" s="3097"/>
      <c r="MC9" s="3097"/>
      <c r="MD9" s="3097"/>
      <c r="ME9" s="3097"/>
      <c r="MF9" s="3097"/>
      <c r="MG9" s="3097"/>
      <c r="MH9" s="3097"/>
      <c r="MI9" s="3097"/>
      <c r="MJ9" s="3097"/>
      <c r="MK9" s="3097"/>
      <c r="ML9" s="3097"/>
      <c r="MM9" s="3097"/>
      <c r="MN9" s="3097"/>
      <c r="MO9" s="3097"/>
      <c r="MP9" s="3097"/>
      <c r="MQ9" s="3097"/>
      <c r="MR9" s="3097"/>
      <c r="MS9" s="3097"/>
      <c r="MT9" s="3097"/>
      <c r="MU9" s="3097"/>
      <c r="MV9" s="3097"/>
      <c r="MW9" s="3097"/>
      <c r="MX9" s="3097"/>
      <c r="MY9" s="3097"/>
      <c r="MZ9" s="3097"/>
      <c r="NA9" s="3097"/>
      <c r="NB9" s="3097"/>
      <c r="NC9" s="3097"/>
      <c r="ND9" s="3097"/>
      <c r="NE9" s="3098"/>
      <c r="NF9" s="3098"/>
      <c r="NG9" s="3097"/>
      <c r="NH9" s="3097"/>
      <c r="NI9" s="3097"/>
      <c r="NJ9" s="3097"/>
      <c r="NK9" s="3097"/>
      <c r="NL9" s="3097"/>
      <c r="NM9" s="3097"/>
      <c r="NN9" s="3097"/>
      <c r="NO9" s="3097"/>
      <c r="NP9" s="3097"/>
      <c r="NQ9" s="3097"/>
      <c r="NR9" s="3097"/>
      <c r="NS9" s="3097"/>
      <c r="NT9" s="3099"/>
      <c r="NU9" s="3098"/>
      <c r="NV9" s="3097"/>
    </row>
    <row r="10" spans="1:386" s="413" customFormat="1" ht="27" customHeight="1">
      <c r="A10" s="2543">
        <v>0.29166666666666669</v>
      </c>
      <c r="B10" s="5342">
        <v>83</v>
      </c>
      <c r="C10" s="5311">
        <v>35</v>
      </c>
      <c r="D10" s="5311">
        <v>100</v>
      </c>
      <c r="E10" s="5311"/>
      <c r="F10" s="5312">
        <v>25</v>
      </c>
      <c r="G10" s="5313">
        <v>0</v>
      </c>
      <c r="H10" s="5316"/>
      <c r="I10" s="5312"/>
      <c r="J10" s="5311"/>
      <c r="K10" s="5311"/>
      <c r="L10" s="5311"/>
      <c r="M10" s="5311">
        <v>17</v>
      </c>
      <c r="N10" s="5311">
        <v>26</v>
      </c>
      <c r="O10" s="5311">
        <v>84</v>
      </c>
      <c r="P10" s="5311">
        <v>197</v>
      </c>
      <c r="Q10" s="5311">
        <v>30</v>
      </c>
      <c r="R10" s="5311"/>
      <c r="S10" s="5311"/>
      <c r="T10" s="5311"/>
      <c r="U10" s="5311">
        <v>95</v>
      </c>
      <c r="V10" s="5311">
        <v>8</v>
      </c>
      <c r="W10" s="5311"/>
      <c r="X10" s="5311"/>
      <c r="Y10" s="5311"/>
      <c r="Z10" s="5311">
        <v>180</v>
      </c>
      <c r="AA10" s="5311"/>
      <c r="AB10" s="5311">
        <v>200</v>
      </c>
      <c r="AC10" s="5311"/>
      <c r="AD10" s="5312"/>
      <c r="AE10" s="5311"/>
      <c r="AF10" s="5311"/>
      <c r="AG10" s="5311">
        <v>36</v>
      </c>
      <c r="AH10" s="5311">
        <v>206</v>
      </c>
      <c r="AI10" s="5311">
        <v>320</v>
      </c>
      <c r="AJ10" s="5311">
        <v>320</v>
      </c>
      <c r="AK10" s="5311"/>
      <c r="AL10" s="5311">
        <v>53</v>
      </c>
      <c r="AM10" s="5311">
        <v>135</v>
      </c>
      <c r="AN10" s="5311"/>
      <c r="AO10" s="5311"/>
      <c r="AP10" s="5311">
        <v>406</v>
      </c>
      <c r="AQ10" s="5311">
        <v>225</v>
      </c>
      <c r="AR10" s="5311">
        <v>321</v>
      </c>
      <c r="AS10" s="5311">
        <v>102</v>
      </c>
      <c r="AT10" s="5311">
        <v>1</v>
      </c>
      <c r="AU10" s="5311">
        <v>43</v>
      </c>
      <c r="AV10" s="5311">
        <v>41</v>
      </c>
      <c r="AW10" s="5311"/>
      <c r="AX10" s="5311">
        <v>60</v>
      </c>
      <c r="AY10" s="5311">
        <v>10</v>
      </c>
      <c r="AZ10" s="5311"/>
      <c r="BA10" s="5311"/>
      <c r="BB10" s="5311">
        <v>221</v>
      </c>
      <c r="BC10" s="5311"/>
      <c r="BD10" s="5311">
        <v>31</v>
      </c>
      <c r="BE10" s="5311">
        <v>9</v>
      </c>
      <c r="BF10" s="5311"/>
      <c r="BG10" s="5311">
        <v>31</v>
      </c>
      <c r="BH10" s="5311">
        <v>8</v>
      </c>
      <c r="BI10" s="5311">
        <v>325</v>
      </c>
      <c r="BJ10" s="5311"/>
      <c r="BK10" s="5311">
        <v>35</v>
      </c>
      <c r="BL10" s="5311">
        <v>11</v>
      </c>
      <c r="BM10" s="5311">
        <v>15</v>
      </c>
      <c r="BN10" s="5311">
        <v>22</v>
      </c>
      <c r="BO10" s="5311">
        <v>22</v>
      </c>
      <c r="BP10" s="5314">
        <v>136</v>
      </c>
      <c r="BQ10" s="5311">
        <v>28</v>
      </c>
      <c r="BR10" s="5311">
        <v>21</v>
      </c>
      <c r="BS10" s="5311">
        <v>10</v>
      </c>
      <c r="BT10" s="5311">
        <v>33</v>
      </c>
      <c r="BU10" s="5311">
        <v>15</v>
      </c>
      <c r="BV10" s="5311">
        <v>25</v>
      </c>
      <c r="BW10" s="5311">
        <v>27</v>
      </c>
      <c r="BX10" s="5311">
        <v>33</v>
      </c>
      <c r="BY10" s="5311">
        <v>33</v>
      </c>
      <c r="BZ10" s="5311">
        <v>89</v>
      </c>
      <c r="CA10" s="5311">
        <v>17</v>
      </c>
      <c r="CB10" s="5311">
        <v>38</v>
      </c>
      <c r="CC10" s="5311">
        <v>35</v>
      </c>
      <c r="CD10" s="5312">
        <v>8</v>
      </c>
      <c r="CE10" s="5311">
        <v>42</v>
      </c>
      <c r="CF10" s="5312">
        <v>48</v>
      </c>
      <c r="CG10" s="5312"/>
      <c r="CH10" s="5312">
        <v>8</v>
      </c>
      <c r="CI10" s="5312">
        <v>105</v>
      </c>
      <c r="CJ10" s="5313">
        <v>1</v>
      </c>
      <c r="CK10" s="5312">
        <v>36</v>
      </c>
      <c r="CL10" s="5312">
        <v>55</v>
      </c>
      <c r="CM10" s="5312"/>
      <c r="CN10" s="5312"/>
      <c r="CO10" s="5312"/>
      <c r="CP10" s="5312"/>
      <c r="CQ10" s="5312"/>
      <c r="CR10" s="5312">
        <v>7</v>
      </c>
      <c r="CS10" s="5312">
        <v>5</v>
      </c>
      <c r="CT10" s="5312"/>
      <c r="CU10" s="5312"/>
      <c r="CV10" s="5312">
        <v>33</v>
      </c>
      <c r="CW10" s="5312">
        <v>30</v>
      </c>
      <c r="CX10" s="5312">
        <v>51</v>
      </c>
      <c r="CY10" s="5312">
        <v>8</v>
      </c>
      <c r="CZ10" s="5312">
        <v>25</v>
      </c>
      <c r="DA10" s="5312">
        <v>12</v>
      </c>
      <c r="DB10" s="5312"/>
      <c r="DC10" s="5312"/>
      <c r="DD10" s="5312">
        <v>30</v>
      </c>
      <c r="DE10" s="5312">
        <v>55</v>
      </c>
      <c r="DF10" s="5312">
        <v>110</v>
      </c>
      <c r="DG10" s="5316">
        <v>0</v>
      </c>
      <c r="DH10" s="5316">
        <v>35</v>
      </c>
      <c r="DI10" s="5316">
        <v>301</v>
      </c>
      <c r="DJ10" s="5316">
        <v>98</v>
      </c>
      <c r="DK10" s="5316">
        <v>48</v>
      </c>
      <c r="DL10" s="5316">
        <v>93</v>
      </c>
      <c r="DM10" s="5316">
        <v>88</v>
      </c>
      <c r="DN10" s="5316">
        <v>21</v>
      </c>
      <c r="DO10" s="5316">
        <v>34</v>
      </c>
      <c r="DP10" s="5316">
        <v>135</v>
      </c>
      <c r="DQ10" s="5312">
        <v>401</v>
      </c>
      <c r="DR10" s="5312">
        <v>49</v>
      </c>
      <c r="DS10" s="5312">
        <v>16</v>
      </c>
      <c r="DT10" s="5312">
        <v>20</v>
      </c>
      <c r="DU10" s="5312">
        <v>108</v>
      </c>
      <c r="DV10" s="5312">
        <v>35</v>
      </c>
      <c r="DW10" s="5312">
        <v>5</v>
      </c>
      <c r="DX10" s="5312">
        <v>75</v>
      </c>
      <c r="DY10" s="5312">
        <v>55</v>
      </c>
      <c r="DZ10" s="5287">
        <f t="shared" si="0"/>
        <v>6915</v>
      </c>
      <c r="EA10" s="5317"/>
      <c r="EB10" s="5305"/>
      <c r="EC10" s="5305"/>
      <c r="ED10" s="5305">
        <v>16</v>
      </c>
      <c r="EE10" s="5305"/>
      <c r="EF10" s="5305"/>
      <c r="EG10" s="5305"/>
      <c r="EH10" s="5305">
        <v>21</v>
      </c>
      <c r="EI10" s="5305">
        <v>227</v>
      </c>
      <c r="EJ10" s="5305"/>
      <c r="EK10" s="5305">
        <v>10</v>
      </c>
      <c r="EL10" s="5305"/>
      <c r="EM10" s="5305">
        <v>90</v>
      </c>
      <c r="EN10" s="5305">
        <v>219</v>
      </c>
      <c r="EO10" s="5305"/>
      <c r="EP10" s="5305">
        <v>64</v>
      </c>
      <c r="EQ10" s="5305"/>
      <c r="ER10" s="5305"/>
      <c r="ES10" s="5305">
        <v>86</v>
      </c>
      <c r="ET10" s="5305">
        <v>20</v>
      </c>
      <c r="EU10" s="5305">
        <v>97</v>
      </c>
      <c r="EV10" s="5305"/>
      <c r="EW10" s="5305">
        <v>55</v>
      </c>
      <c r="EX10" s="5305"/>
      <c r="EY10" s="5305">
        <v>71</v>
      </c>
      <c r="EZ10" s="5292">
        <v>914</v>
      </c>
      <c r="FA10" s="5305">
        <v>165</v>
      </c>
      <c r="FB10" s="5305">
        <v>600</v>
      </c>
      <c r="FC10" s="5305"/>
      <c r="FD10" s="5305"/>
      <c r="FE10" s="5305"/>
      <c r="FF10" s="5305">
        <v>250</v>
      </c>
      <c r="FG10" s="5305"/>
      <c r="FH10" s="5305"/>
      <c r="FI10" s="5305">
        <v>32</v>
      </c>
      <c r="FJ10" s="5305">
        <v>0</v>
      </c>
      <c r="FK10" s="5305">
        <v>175</v>
      </c>
      <c r="FL10" s="5305"/>
      <c r="FM10" s="5305"/>
      <c r="FN10" s="5305">
        <v>213</v>
      </c>
      <c r="FO10" s="5305">
        <v>150</v>
      </c>
      <c r="FP10" s="5305"/>
      <c r="FQ10" s="5305">
        <v>318</v>
      </c>
      <c r="FR10" s="5305"/>
      <c r="FS10" s="5305"/>
      <c r="FT10" s="5305">
        <v>22</v>
      </c>
      <c r="FU10" s="5305"/>
      <c r="FV10" s="5305">
        <v>11</v>
      </c>
      <c r="FW10" s="5305"/>
      <c r="FX10" s="5305"/>
      <c r="FY10" s="5305">
        <v>24</v>
      </c>
      <c r="FZ10" s="5305">
        <v>33</v>
      </c>
      <c r="GA10" s="5305">
        <v>8</v>
      </c>
      <c r="GB10" s="5302">
        <v>51</v>
      </c>
      <c r="GC10" s="5302">
        <v>169</v>
      </c>
      <c r="GD10" s="5302">
        <v>50</v>
      </c>
      <c r="GE10" s="5302">
        <v>55</v>
      </c>
      <c r="GF10" s="5302">
        <v>0</v>
      </c>
      <c r="GG10" s="5302">
        <v>0</v>
      </c>
      <c r="GH10" s="5302">
        <v>56</v>
      </c>
      <c r="GI10" s="5306">
        <v>1</v>
      </c>
      <c r="GJ10" s="5302">
        <v>34</v>
      </c>
      <c r="GK10" s="5302"/>
      <c r="GL10" s="5307">
        <f t="shared" si="1"/>
        <v>4307</v>
      </c>
      <c r="GM10" s="5308">
        <f t="shared" si="2"/>
        <v>11222</v>
      </c>
      <c r="GN10" s="5309">
        <v>94.19</v>
      </c>
      <c r="GO10" s="2150">
        <v>0.29166666666666669</v>
      </c>
      <c r="GP10" s="1135"/>
      <c r="GQ10" s="1135"/>
      <c r="GR10" s="1135"/>
      <c r="GS10" s="1135"/>
      <c r="HB10" s="1134"/>
      <c r="HC10" s="1134"/>
      <c r="HD10" s="1135"/>
      <c r="HE10" s="1135"/>
      <c r="HF10" s="1135"/>
      <c r="HG10" s="1135"/>
      <c r="HH10" s="1135"/>
      <c r="HI10" s="1135"/>
      <c r="HJ10" s="1135"/>
      <c r="HK10" s="1135"/>
      <c r="HL10" s="1135"/>
      <c r="HM10" s="1135"/>
      <c r="HN10" s="1135"/>
      <c r="HO10" s="1135"/>
      <c r="HP10" s="1135"/>
      <c r="HQ10" s="1135"/>
      <c r="HR10" s="1135"/>
      <c r="HS10" s="1135"/>
      <c r="HT10" s="1135"/>
      <c r="HU10" s="1135"/>
      <c r="HV10" s="1134"/>
      <c r="HW10" s="1134"/>
      <c r="HX10" s="1135"/>
      <c r="HY10" s="1135"/>
      <c r="HZ10" s="1135"/>
      <c r="IA10" s="1135"/>
      <c r="IB10" s="1135"/>
      <c r="IC10" s="1135"/>
      <c r="ID10" s="1135"/>
      <c r="IE10" s="1135"/>
      <c r="IF10" s="1135"/>
      <c r="IG10" s="1135"/>
      <c r="IH10" s="1135"/>
      <c r="II10" s="1135"/>
      <c r="IJ10" s="1135"/>
      <c r="IK10" s="1135"/>
      <c r="IL10" s="1135"/>
      <c r="IM10" s="1135"/>
      <c r="IN10" s="1135"/>
      <c r="IO10" s="1135"/>
      <c r="IP10" s="1135"/>
      <c r="IQ10" s="1135"/>
      <c r="IR10" s="1135"/>
      <c r="IS10" s="1135"/>
      <c r="IT10" s="1135"/>
      <c r="IU10" s="1135"/>
      <c r="IV10" s="1135"/>
      <c r="IW10" s="1135"/>
      <c r="IX10" s="1135"/>
      <c r="IY10" s="1135"/>
      <c r="IZ10" s="1135"/>
      <c r="JA10" s="1135"/>
      <c r="JB10" s="1135"/>
      <c r="JC10" s="1135"/>
      <c r="JD10" s="1135"/>
      <c r="JE10" s="1135"/>
      <c r="JF10" s="1135"/>
      <c r="JG10" s="1135"/>
      <c r="JH10" s="1135"/>
      <c r="JI10" s="1135"/>
      <c r="JJ10" s="1135"/>
      <c r="JK10" s="1135"/>
    </row>
    <row r="11" spans="1:386" s="413" customFormat="1" ht="27" customHeight="1">
      <c r="A11" s="2544">
        <v>0.33333333333333331</v>
      </c>
      <c r="B11" s="5343">
        <v>83</v>
      </c>
      <c r="C11" s="5343">
        <v>35</v>
      </c>
      <c r="D11" s="5343">
        <v>100</v>
      </c>
      <c r="E11" s="5343"/>
      <c r="F11" s="5344">
        <v>25</v>
      </c>
      <c r="G11" s="5345"/>
      <c r="H11" s="5344"/>
      <c r="I11" s="5344"/>
      <c r="J11" s="5344"/>
      <c r="K11" s="5343"/>
      <c r="L11" s="5343"/>
      <c r="M11" s="5343">
        <v>17</v>
      </c>
      <c r="N11" s="5343">
        <v>26</v>
      </c>
      <c r="O11" s="5343">
        <v>70</v>
      </c>
      <c r="P11" s="5343">
        <v>195</v>
      </c>
      <c r="Q11" s="5343">
        <v>30</v>
      </c>
      <c r="R11" s="5343"/>
      <c r="S11" s="5343"/>
      <c r="T11" s="5343"/>
      <c r="U11" s="5343">
        <v>95</v>
      </c>
      <c r="V11" s="5343">
        <v>8</v>
      </c>
      <c r="W11" s="5343"/>
      <c r="X11" s="5343"/>
      <c r="Y11" s="5343"/>
      <c r="Z11" s="5343">
        <v>180</v>
      </c>
      <c r="AA11" s="5343"/>
      <c r="AB11" s="5343">
        <v>200</v>
      </c>
      <c r="AC11" s="5343"/>
      <c r="AD11" s="5343"/>
      <c r="AE11" s="5344"/>
      <c r="AF11" s="5343"/>
      <c r="AG11" s="5343">
        <v>39</v>
      </c>
      <c r="AH11" s="5343">
        <v>206</v>
      </c>
      <c r="AI11" s="5343">
        <v>320</v>
      </c>
      <c r="AJ11" s="5343">
        <v>320</v>
      </c>
      <c r="AK11" s="5343"/>
      <c r="AL11" s="5343">
        <v>49</v>
      </c>
      <c r="AM11" s="5343">
        <v>134</v>
      </c>
      <c r="AN11" s="5343"/>
      <c r="AO11" s="5343"/>
      <c r="AP11" s="5343">
        <v>410</v>
      </c>
      <c r="AQ11" s="5343">
        <v>225</v>
      </c>
      <c r="AR11" s="5343">
        <v>320</v>
      </c>
      <c r="AS11" s="5343">
        <v>95</v>
      </c>
      <c r="AT11" s="5343">
        <v>10</v>
      </c>
      <c r="AU11" s="5343">
        <v>43</v>
      </c>
      <c r="AV11" s="5343">
        <v>41</v>
      </c>
      <c r="AW11" s="5343"/>
      <c r="AX11" s="5343">
        <v>59</v>
      </c>
      <c r="AY11" s="5343">
        <v>10</v>
      </c>
      <c r="AZ11" s="5343"/>
      <c r="BA11" s="5343"/>
      <c r="BB11" s="5343">
        <v>220</v>
      </c>
      <c r="BC11" s="5343"/>
      <c r="BD11" s="5343">
        <v>31</v>
      </c>
      <c r="BE11" s="5343">
        <v>9</v>
      </c>
      <c r="BF11" s="5343"/>
      <c r="BG11" s="5343">
        <v>31</v>
      </c>
      <c r="BH11" s="5343">
        <v>8</v>
      </c>
      <c r="BI11" s="5343">
        <v>300</v>
      </c>
      <c r="BJ11" s="5343"/>
      <c r="BK11" s="5343">
        <v>35</v>
      </c>
      <c r="BL11" s="5343">
        <v>11</v>
      </c>
      <c r="BM11" s="5343">
        <v>15</v>
      </c>
      <c r="BN11" s="5343">
        <v>19</v>
      </c>
      <c r="BO11" s="5343">
        <v>22</v>
      </c>
      <c r="BP11" s="5314">
        <v>142</v>
      </c>
      <c r="BQ11" s="5343">
        <v>4</v>
      </c>
      <c r="BR11" s="5343">
        <v>21</v>
      </c>
      <c r="BS11" s="5343">
        <v>10</v>
      </c>
      <c r="BT11" s="5343">
        <v>33</v>
      </c>
      <c r="BU11" s="5343">
        <v>20</v>
      </c>
      <c r="BV11" s="5343">
        <v>25</v>
      </c>
      <c r="BW11" s="5343">
        <v>20</v>
      </c>
      <c r="BX11" s="5343">
        <v>33</v>
      </c>
      <c r="BY11" s="5343">
        <v>32</v>
      </c>
      <c r="BZ11" s="5343">
        <v>84</v>
      </c>
      <c r="CA11" s="5343">
        <v>17</v>
      </c>
      <c r="CB11" s="5343">
        <v>39</v>
      </c>
      <c r="CC11" s="5343">
        <v>35</v>
      </c>
      <c r="CD11" s="5346">
        <v>8</v>
      </c>
      <c r="CE11" s="5344">
        <v>50</v>
      </c>
      <c r="CF11" s="5343">
        <v>48</v>
      </c>
      <c r="CG11" s="5344"/>
      <c r="CH11" s="5344">
        <v>8</v>
      </c>
      <c r="CI11" s="5344">
        <v>105</v>
      </c>
      <c r="CJ11" s="5345">
        <v>1</v>
      </c>
      <c r="CK11" s="5344">
        <v>36</v>
      </c>
      <c r="CL11" s="5344">
        <v>55</v>
      </c>
      <c r="CM11" s="5344"/>
      <c r="CN11" s="5344"/>
      <c r="CO11" s="5344"/>
      <c r="CP11" s="5344"/>
      <c r="CQ11" s="5344"/>
      <c r="CR11" s="5344">
        <v>8</v>
      </c>
      <c r="CS11" s="5344">
        <v>17</v>
      </c>
      <c r="CT11" s="5344"/>
      <c r="CU11" s="5344"/>
      <c r="CV11" s="5344">
        <v>33</v>
      </c>
      <c r="CW11" s="5344">
        <v>30</v>
      </c>
      <c r="CX11" s="5344">
        <v>51</v>
      </c>
      <c r="CY11" s="5344">
        <v>8</v>
      </c>
      <c r="CZ11" s="5344">
        <v>25</v>
      </c>
      <c r="DA11" s="5344">
        <v>16</v>
      </c>
      <c r="DB11" s="5344"/>
      <c r="DC11" s="5344"/>
      <c r="DD11" s="5344">
        <v>30</v>
      </c>
      <c r="DE11" s="5344">
        <v>55</v>
      </c>
      <c r="DF11" s="5344">
        <v>110</v>
      </c>
      <c r="DG11" s="5347">
        <v>0</v>
      </c>
      <c r="DH11" s="5347">
        <v>35</v>
      </c>
      <c r="DI11" s="5346">
        <v>250</v>
      </c>
      <c r="DJ11" s="5346">
        <v>97</v>
      </c>
      <c r="DK11" s="5346">
        <v>48</v>
      </c>
      <c r="DL11" s="5346">
        <v>93</v>
      </c>
      <c r="DM11" s="5346">
        <v>89</v>
      </c>
      <c r="DN11" s="5347">
        <v>21</v>
      </c>
      <c r="DO11" s="5346">
        <v>34</v>
      </c>
      <c r="DP11" s="5346">
        <v>118</v>
      </c>
      <c r="DQ11" s="5346">
        <v>400</v>
      </c>
      <c r="DR11" s="5346">
        <v>49</v>
      </c>
      <c r="DS11" s="5344">
        <v>50</v>
      </c>
      <c r="DT11" s="5344">
        <v>20</v>
      </c>
      <c r="DU11" s="5344">
        <v>108</v>
      </c>
      <c r="DV11" s="5344">
        <v>35</v>
      </c>
      <c r="DW11" s="5344">
        <v>8</v>
      </c>
      <c r="DX11" s="5344">
        <v>71</v>
      </c>
      <c r="DY11" s="5344">
        <v>55</v>
      </c>
      <c r="DZ11" s="5287">
        <f t="shared" si="0"/>
        <v>6836</v>
      </c>
      <c r="EA11" s="5348"/>
      <c r="EB11" s="5348"/>
      <c r="EC11" s="5348"/>
      <c r="ED11" s="5349">
        <v>16</v>
      </c>
      <c r="EE11" s="5349"/>
      <c r="EF11" s="5349"/>
      <c r="EG11" s="5349"/>
      <c r="EH11" s="5349">
        <v>21</v>
      </c>
      <c r="EI11" s="5349">
        <v>237</v>
      </c>
      <c r="EJ11" s="5349"/>
      <c r="EK11" s="5349">
        <v>47</v>
      </c>
      <c r="EL11" s="5349"/>
      <c r="EM11" s="5349">
        <v>90</v>
      </c>
      <c r="EN11" s="5349">
        <v>220</v>
      </c>
      <c r="EO11" s="5349"/>
      <c r="EP11" s="5349">
        <v>64</v>
      </c>
      <c r="EQ11" s="5349"/>
      <c r="ER11" s="5349"/>
      <c r="ES11" s="5349">
        <v>87</v>
      </c>
      <c r="ET11" s="5349">
        <v>19</v>
      </c>
      <c r="EU11" s="5349">
        <v>60</v>
      </c>
      <c r="EV11" s="5349"/>
      <c r="EW11" s="5349">
        <v>60</v>
      </c>
      <c r="EX11" s="5349"/>
      <c r="EY11" s="5349">
        <v>75</v>
      </c>
      <c r="EZ11" s="5292">
        <v>914</v>
      </c>
      <c r="FA11" s="5349">
        <v>160</v>
      </c>
      <c r="FB11" s="5349">
        <v>600</v>
      </c>
      <c r="FC11" s="5349"/>
      <c r="FD11" s="5349"/>
      <c r="FE11" s="5349"/>
      <c r="FF11" s="5349">
        <v>250</v>
      </c>
      <c r="FG11" s="5349"/>
      <c r="FH11" s="5349"/>
      <c r="FI11" s="5350">
        <v>32</v>
      </c>
      <c r="FJ11" s="5349">
        <v>1</v>
      </c>
      <c r="FK11" s="5349">
        <v>179</v>
      </c>
      <c r="FL11" s="5349"/>
      <c r="FM11" s="5349"/>
      <c r="FN11" s="5349">
        <v>216</v>
      </c>
      <c r="FO11" s="5349">
        <v>150</v>
      </c>
      <c r="FP11" s="5349"/>
      <c r="FQ11" s="5349">
        <v>312</v>
      </c>
      <c r="FR11" s="5349"/>
      <c r="FS11" s="5349"/>
      <c r="FT11" s="5349">
        <v>20</v>
      </c>
      <c r="FU11" s="5349"/>
      <c r="FV11" s="5349">
        <v>11</v>
      </c>
      <c r="FW11" s="5349"/>
      <c r="FX11" s="5349"/>
      <c r="FY11" s="5349">
        <v>32</v>
      </c>
      <c r="FZ11" s="5349">
        <v>33</v>
      </c>
      <c r="GA11" s="5349">
        <v>8</v>
      </c>
      <c r="GB11" s="5349">
        <v>51</v>
      </c>
      <c r="GC11" s="5349">
        <v>169</v>
      </c>
      <c r="GD11" s="5349">
        <v>50</v>
      </c>
      <c r="GE11" s="5349">
        <v>55</v>
      </c>
      <c r="GF11" s="5349">
        <v>0</v>
      </c>
      <c r="GG11" s="5349">
        <v>0</v>
      </c>
      <c r="GH11" s="5349">
        <v>56</v>
      </c>
      <c r="GI11" s="5351">
        <v>1</v>
      </c>
      <c r="GJ11" s="5349">
        <v>34</v>
      </c>
      <c r="GK11" s="5349"/>
      <c r="GL11" s="5307">
        <f t="shared" si="1"/>
        <v>4330</v>
      </c>
      <c r="GM11" s="5308">
        <f t="shared" si="2"/>
        <v>11166</v>
      </c>
      <c r="GN11" s="5309">
        <v>94.22</v>
      </c>
      <c r="GO11" s="2150">
        <v>0.33333333333333331</v>
      </c>
      <c r="GP11" s="1135"/>
      <c r="GQ11" s="1135"/>
      <c r="GR11" s="1135"/>
      <c r="GS11" s="1135"/>
      <c r="HB11" s="1136"/>
      <c r="HC11" s="1136"/>
      <c r="HV11" s="1136"/>
      <c r="HW11" s="1136"/>
    </row>
    <row r="12" spans="1:386" s="413" customFormat="1" ht="27" customHeight="1">
      <c r="A12" s="2544">
        <v>0.375</v>
      </c>
      <c r="B12" s="5190">
        <v>82</v>
      </c>
      <c r="C12" s="5191">
        <v>35</v>
      </c>
      <c r="D12" s="5191">
        <v>100</v>
      </c>
      <c r="E12" s="5191"/>
      <c r="F12" s="5192">
        <v>25</v>
      </c>
      <c r="G12" s="5193">
        <v>5</v>
      </c>
      <c r="H12" s="5192"/>
      <c r="I12" s="5192"/>
      <c r="J12" s="5192"/>
      <c r="K12" s="5191"/>
      <c r="L12" s="5191"/>
      <c r="M12" s="5191">
        <v>17</v>
      </c>
      <c r="N12" s="5191">
        <v>26</v>
      </c>
      <c r="O12" s="5191">
        <v>69</v>
      </c>
      <c r="P12" s="5191">
        <v>196</v>
      </c>
      <c r="Q12" s="5191">
        <v>30</v>
      </c>
      <c r="R12" s="5191"/>
      <c r="S12" s="5191"/>
      <c r="T12" s="5191"/>
      <c r="U12" s="5191">
        <v>95</v>
      </c>
      <c r="V12" s="5191">
        <v>8</v>
      </c>
      <c r="W12" s="5191"/>
      <c r="X12" s="5191"/>
      <c r="Y12" s="5191"/>
      <c r="Z12" s="5191">
        <v>180</v>
      </c>
      <c r="AA12" s="5191"/>
      <c r="AB12" s="5191">
        <v>0</v>
      </c>
      <c r="AC12" s="5191"/>
      <c r="AD12" s="5191"/>
      <c r="AE12" s="5192"/>
      <c r="AF12" s="5191"/>
      <c r="AG12" s="5191">
        <v>39</v>
      </c>
      <c r="AH12" s="5191">
        <v>198</v>
      </c>
      <c r="AI12" s="5191">
        <v>320</v>
      </c>
      <c r="AJ12" s="5191">
        <v>320</v>
      </c>
      <c r="AK12" s="5191"/>
      <c r="AL12" s="5191">
        <v>49</v>
      </c>
      <c r="AM12" s="5191">
        <v>135</v>
      </c>
      <c r="AN12" s="5191"/>
      <c r="AO12" s="5191"/>
      <c r="AP12" s="5191">
        <v>406</v>
      </c>
      <c r="AQ12" s="5191">
        <v>225</v>
      </c>
      <c r="AR12" s="5191">
        <v>320</v>
      </c>
      <c r="AS12" s="5191">
        <v>70</v>
      </c>
      <c r="AT12" s="5191">
        <v>21</v>
      </c>
      <c r="AU12" s="5191">
        <v>44</v>
      </c>
      <c r="AV12" s="5191">
        <v>41</v>
      </c>
      <c r="AW12" s="5191"/>
      <c r="AX12" s="5191">
        <v>60</v>
      </c>
      <c r="AY12" s="5191">
        <v>10</v>
      </c>
      <c r="AZ12" s="5191"/>
      <c r="BA12" s="5191"/>
      <c r="BB12" s="5191">
        <v>220</v>
      </c>
      <c r="BC12" s="5191"/>
      <c r="BD12" s="5191">
        <v>31</v>
      </c>
      <c r="BE12" s="5191">
        <v>9</v>
      </c>
      <c r="BF12" s="5191"/>
      <c r="BG12" s="5191">
        <v>31</v>
      </c>
      <c r="BH12" s="5191">
        <v>8</v>
      </c>
      <c r="BI12" s="5191">
        <v>300</v>
      </c>
      <c r="BJ12" s="5191"/>
      <c r="BK12" s="5191">
        <v>35</v>
      </c>
      <c r="BL12" s="5191">
        <v>11</v>
      </c>
      <c r="BM12" s="5191">
        <v>15</v>
      </c>
      <c r="BN12" s="5191">
        <v>19</v>
      </c>
      <c r="BO12" s="5191">
        <v>22</v>
      </c>
      <c r="BP12" s="5357">
        <v>154</v>
      </c>
      <c r="BQ12" s="5358">
        <v>3</v>
      </c>
      <c r="BR12" s="5358">
        <v>21</v>
      </c>
      <c r="BS12" s="5358">
        <v>10</v>
      </c>
      <c r="BT12" s="5358">
        <v>33</v>
      </c>
      <c r="BU12" s="5358">
        <v>20</v>
      </c>
      <c r="BV12" s="5358">
        <v>25</v>
      </c>
      <c r="BW12" s="5358">
        <v>27</v>
      </c>
      <c r="BX12" s="5358">
        <v>33</v>
      </c>
      <c r="BY12" s="5358">
        <v>30</v>
      </c>
      <c r="BZ12" s="5358">
        <v>83</v>
      </c>
      <c r="CA12" s="5358">
        <v>17</v>
      </c>
      <c r="CB12" s="5358">
        <v>38</v>
      </c>
      <c r="CC12" s="5358">
        <v>35</v>
      </c>
      <c r="CD12" s="5359">
        <v>8</v>
      </c>
      <c r="CE12" s="5360">
        <v>50</v>
      </c>
      <c r="CF12" s="5358">
        <v>48</v>
      </c>
      <c r="CG12" s="5360"/>
      <c r="CH12" s="5360">
        <v>8</v>
      </c>
      <c r="CI12" s="5360">
        <v>88</v>
      </c>
      <c r="CJ12" s="5361">
        <v>2</v>
      </c>
      <c r="CK12" s="5360">
        <v>36</v>
      </c>
      <c r="CL12" s="5360">
        <v>55</v>
      </c>
      <c r="CM12" s="5360"/>
      <c r="CN12" s="5360"/>
      <c r="CO12" s="5360"/>
      <c r="CP12" s="5360"/>
      <c r="CQ12" s="5360"/>
      <c r="CR12" s="5360">
        <v>7</v>
      </c>
      <c r="CS12" s="5360">
        <v>17</v>
      </c>
      <c r="CT12" s="5360"/>
      <c r="CU12" s="5360"/>
      <c r="CV12" s="5360">
        <v>33</v>
      </c>
      <c r="CW12" s="5360">
        <v>30</v>
      </c>
      <c r="CX12" s="5360">
        <v>51</v>
      </c>
      <c r="CY12" s="5360">
        <v>8</v>
      </c>
      <c r="CZ12" s="5360">
        <v>25</v>
      </c>
      <c r="DA12" s="5360">
        <v>11</v>
      </c>
      <c r="DB12" s="5360"/>
      <c r="DC12" s="5360"/>
      <c r="DD12" s="5360">
        <v>30</v>
      </c>
      <c r="DE12" s="5360">
        <v>55</v>
      </c>
      <c r="DF12" s="5360">
        <v>110</v>
      </c>
      <c r="DG12" s="5362">
        <v>2</v>
      </c>
      <c r="DH12" s="5362">
        <v>35</v>
      </c>
      <c r="DI12" s="5359">
        <v>246</v>
      </c>
      <c r="DJ12" s="5359">
        <v>98</v>
      </c>
      <c r="DK12" s="5359">
        <v>48</v>
      </c>
      <c r="DL12" s="5359">
        <v>93</v>
      </c>
      <c r="DM12" s="5359">
        <v>90</v>
      </c>
      <c r="DN12" s="5362">
        <v>21</v>
      </c>
      <c r="DO12" s="5359">
        <v>34</v>
      </c>
      <c r="DP12" s="5359">
        <v>120</v>
      </c>
      <c r="DQ12" s="5359">
        <v>402</v>
      </c>
      <c r="DR12" s="5359">
        <v>47</v>
      </c>
      <c r="DS12" s="5360">
        <v>52</v>
      </c>
      <c r="DT12" s="5360">
        <v>20</v>
      </c>
      <c r="DU12" s="5360">
        <v>108</v>
      </c>
      <c r="DV12" s="5360">
        <v>35</v>
      </c>
      <c r="DW12" s="5360">
        <v>18</v>
      </c>
      <c r="DX12" s="5360">
        <v>72</v>
      </c>
      <c r="DY12" s="5360">
        <v>55</v>
      </c>
      <c r="DZ12" s="5363">
        <f>SUM(B12:DY12)</f>
        <v>6624</v>
      </c>
      <c r="EA12" s="5364"/>
      <c r="EB12" s="5364"/>
      <c r="EC12" s="5365"/>
      <c r="ED12" s="5365">
        <v>16</v>
      </c>
      <c r="EE12" s="5365"/>
      <c r="EF12" s="5365"/>
      <c r="EG12" s="5365"/>
      <c r="EH12" s="5365">
        <v>21</v>
      </c>
      <c r="EI12" s="5365">
        <v>237</v>
      </c>
      <c r="EJ12" s="5365"/>
      <c r="EK12" s="5365">
        <v>74</v>
      </c>
      <c r="EL12" s="5365"/>
      <c r="EM12" s="5365">
        <v>90</v>
      </c>
      <c r="EN12" s="5365">
        <v>220</v>
      </c>
      <c r="EO12" s="5365"/>
      <c r="EP12" s="5365">
        <v>48</v>
      </c>
      <c r="EQ12" s="5366"/>
      <c r="ER12" s="5365"/>
      <c r="ES12" s="5365">
        <v>88</v>
      </c>
      <c r="ET12" s="5365">
        <v>18</v>
      </c>
      <c r="EU12" s="5365">
        <v>55</v>
      </c>
      <c r="EV12" s="5365"/>
      <c r="EW12" s="5365">
        <v>60</v>
      </c>
      <c r="EX12" s="5365"/>
      <c r="EY12" s="5367">
        <v>89</v>
      </c>
      <c r="EZ12" s="5368">
        <v>915</v>
      </c>
      <c r="FA12" s="5365">
        <v>150</v>
      </c>
      <c r="FB12" s="5365">
        <v>600</v>
      </c>
      <c r="FC12" s="5365"/>
      <c r="FD12" s="5365"/>
      <c r="FE12" s="5365"/>
      <c r="FF12" s="5365">
        <v>250</v>
      </c>
      <c r="FG12" s="5365"/>
      <c r="FH12" s="5365"/>
      <c r="FI12" s="5365">
        <v>32</v>
      </c>
      <c r="FJ12" s="5365">
        <v>4</v>
      </c>
      <c r="FK12" s="5365">
        <v>179</v>
      </c>
      <c r="FL12" s="5365"/>
      <c r="FM12" s="5365"/>
      <c r="FN12" s="5365">
        <v>215</v>
      </c>
      <c r="FO12" s="5365">
        <v>150</v>
      </c>
      <c r="FP12" s="5365"/>
      <c r="FQ12" s="5365">
        <v>297</v>
      </c>
      <c r="FR12" s="5365"/>
      <c r="FS12" s="5365"/>
      <c r="FT12" s="5365">
        <v>19</v>
      </c>
      <c r="FU12" s="5365"/>
      <c r="FV12" s="5365">
        <v>11</v>
      </c>
      <c r="FW12" s="5365"/>
      <c r="FX12" s="5365"/>
      <c r="FY12" s="5365">
        <v>32</v>
      </c>
      <c r="FZ12" s="5365">
        <v>33</v>
      </c>
      <c r="GA12" s="5365">
        <v>8</v>
      </c>
      <c r="GB12" s="5365">
        <v>51</v>
      </c>
      <c r="GC12" s="5365">
        <v>169</v>
      </c>
      <c r="GD12" s="5365">
        <v>50</v>
      </c>
      <c r="GE12" s="5365">
        <v>50</v>
      </c>
      <c r="GF12" s="5365">
        <v>0</v>
      </c>
      <c r="GG12" s="5365">
        <v>0</v>
      </c>
      <c r="GH12" s="5365">
        <v>56</v>
      </c>
      <c r="GI12" s="5369">
        <v>1</v>
      </c>
      <c r="GJ12" s="5365">
        <v>34</v>
      </c>
      <c r="GK12" s="5365"/>
      <c r="GL12" s="5370">
        <f>SUM(EA12:GK12)</f>
        <v>4322</v>
      </c>
      <c r="GM12" s="5371">
        <f>SUM(B12:DY12)+SUM(EA12:GK12)</f>
        <v>10946</v>
      </c>
      <c r="GN12" s="5372">
        <v>94.25</v>
      </c>
      <c r="GO12" s="3491">
        <v>0.375</v>
      </c>
      <c r="HV12" s="1136"/>
      <c r="HW12" s="1136"/>
      <c r="HX12" s="1136"/>
    </row>
    <row r="13" spans="1:386" s="413" customFormat="1" ht="27" customHeight="1">
      <c r="A13" s="2544">
        <v>0.41666666666666669</v>
      </c>
      <c r="B13" s="5373">
        <v>81</v>
      </c>
      <c r="C13" s="5358">
        <v>35</v>
      </c>
      <c r="D13" s="5358">
        <v>100</v>
      </c>
      <c r="E13" s="5358"/>
      <c r="F13" s="5360">
        <v>25</v>
      </c>
      <c r="G13" s="5361">
        <v>10</v>
      </c>
      <c r="H13" s="5360"/>
      <c r="I13" s="5360"/>
      <c r="J13" s="5358"/>
      <c r="K13" s="5358"/>
      <c r="L13" s="5358"/>
      <c r="M13" s="5358">
        <v>17</v>
      </c>
      <c r="N13" s="5358">
        <v>26</v>
      </c>
      <c r="O13" s="5358">
        <v>69</v>
      </c>
      <c r="P13" s="5358">
        <v>196</v>
      </c>
      <c r="Q13" s="5358">
        <v>30</v>
      </c>
      <c r="R13" s="5358"/>
      <c r="S13" s="5358"/>
      <c r="T13" s="5358"/>
      <c r="U13" s="5358">
        <v>95</v>
      </c>
      <c r="V13" s="5358">
        <v>8</v>
      </c>
      <c r="W13" s="5358"/>
      <c r="X13" s="5358"/>
      <c r="Y13" s="5358"/>
      <c r="Z13" s="5358">
        <v>180</v>
      </c>
      <c r="AA13" s="5358"/>
      <c r="AB13" s="5358">
        <v>30</v>
      </c>
      <c r="AC13" s="5358"/>
      <c r="AD13" s="5358"/>
      <c r="AE13" s="5360"/>
      <c r="AF13" s="5358"/>
      <c r="AG13" s="5358">
        <v>39</v>
      </c>
      <c r="AH13" s="5358">
        <v>199</v>
      </c>
      <c r="AI13" s="5358">
        <v>320</v>
      </c>
      <c r="AJ13" s="5358">
        <v>320</v>
      </c>
      <c r="AK13" s="5358"/>
      <c r="AL13" s="5358">
        <v>47</v>
      </c>
      <c r="AM13" s="5358">
        <v>135</v>
      </c>
      <c r="AN13" s="5358"/>
      <c r="AO13" s="5358"/>
      <c r="AP13" s="5358">
        <v>403</v>
      </c>
      <c r="AQ13" s="5358">
        <v>225</v>
      </c>
      <c r="AR13" s="5358">
        <v>318</v>
      </c>
      <c r="AS13" s="5358">
        <v>71</v>
      </c>
      <c r="AT13" s="5358">
        <v>53</v>
      </c>
      <c r="AU13" s="5358">
        <v>44</v>
      </c>
      <c r="AV13" s="5358">
        <v>41</v>
      </c>
      <c r="AW13" s="5358"/>
      <c r="AX13" s="5358">
        <v>55</v>
      </c>
      <c r="AY13" s="5358">
        <v>10</v>
      </c>
      <c r="AZ13" s="5358"/>
      <c r="BA13" s="5358"/>
      <c r="BB13" s="5358">
        <v>215</v>
      </c>
      <c r="BC13" s="5358"/>
      <c r="BD13" s="5358">
        <v>30</v>
      </c>
      <c r="BE13" s="5358">
        <v>9</v>
      </c>
      <c r="BF13" s="5358"/>
      <c r="BG13" s="5358">
        <v>31</v>
      </c>
      <c r="BH13" s="5358">
        <v>8</v>
      </c>
      <c r="BI13" s="5358">
        <v>310</v>
      </c>
      <c r="BJ13" s="5358"/>
      <c r="BK13" s="5358">
        <v>35</v>
      </c>
      <c r="BL13" s="5358">
        <v>6</v>
      </c>
      <c r="BM13" s="5358">
        <v>15</v>
      </c>
      <c r="BN13" s="5358">
        <v>19</v>
      </c>
      <c r="BO13" s="5358">
        <v>22</v>
      </c>
      <c r="BP13" s="5357">
        <v>136</v>
      </c>
      <c r="BQ13" s="5358">
        <v>2</v>
      </c>
      <c r="BR13" s="5358">
        <v>21</v>
      </c>
      <c r="BS13" s="5358">
        <v>10</v>
      </c>
      <c r="BT13" s="5358">
        <v>28</v>
      </c>
      <c r="BU13" s="5358">
        <v>20</v>
      </c>
      <c r="BV13" s="5358">
        <v>25</v>
      </c>
      <c r="BW13" s="5358">
        <v>28</v>
      </c>
      <c r="BX13" s="5358">
        <v>33</v>
      </c>
      <c r="BY13" s="5358">
        <v>30</v>
      </c>
      <c r="BZ13" s="5358">
        <v>86</v>
      </c>
      <c r="CA13" s="5358">
        <v>17</v>
      </c>
      <c r="CB13" s="5358">
        <v>39</v>
      </c>
      <c r="CC13" s="5358">
        <v>35</v>
      </c>
      <c r="CD13" s="5359">
        <v>8</v>
      </c>
      <c r="CE13" s="5360">
        <v>47</v>
      </c>
      <c r="CF13" s="5358">
        <v>64</v>
      </c>
      <c r="CG13" s="5360"/>
      <c r="CH13" s="5360">
        <v>8</v>
      </c>
      <c r="CI13" s="5360">
        <v>88</v>
      </c>
      <c r="CJ13" s="5361">
        <v>4</v>
      </c>
      <c r="CK13" s="5360">
        <v>17</v>
      </c>
      <c r="CL13" s="5360">
        <v>55</v>
      </c>
      <c r="CM13" s="5360"/>
      <c r="CN13" s="5360"/>
      <c r="CO13" s="5360"/>
      <c r="CP13" s="5360"/>
      <c r="CQ13" s="5360"/>
      <c r="CR13" s="5360">
        <v>7</v>
      </c>
      <c r="CS13" s="5360">
        <v>17</v>
      </c>
      <c r="CT13" s="5360"/>
      <c r="CU13" s="5360"/>
      <c r="CV13" s="5360">
        <v>33</v>
      </c>
      <c r="CW13" s="5360">
        <v>30</v>
      </c>
      <c r="CX13" s="5360">
        <v>43</v>
      </c>
      <c r="CY13" s="5360">
        <v>8</v>
      </c>
      <c r="CZ13" s="5360">
        <v>25</v>
      </c>
      <c r="DA13" s="5360">
        <v>12</v>
      </c>
      <c r="DB13" s="5360"/>
      <c r="DC13" s="5360"/>
      <c r="DD13" s="5360">
        <v>30</v>
      </c>
      <c r="DE13" s="5360">
        <v>55</v>
      </c>
      <c r="DF13" s="5360">
        <v>110</v>
      </c>
      <c r="DG13" s="5362">
        <v>1</v>
      </c>
      <c r="DH13" s="5362">
        <v>17</v>
      </c>
      <c r="DI13" s="5359">
        <v>300</v>
      </c>
      <c r="DJ13" s="5359">
        <v>98</v>
      </c>
      <c r="DK13" s="5359">
        <v>46</v>
      </c>
      <c r="DL13" s="5359">
        <v>95</v>
      </c>
      <c r="DM13" s="5359">
        <v>89</v>
      </c>
      <c r="DN13" s="5362">
        <v>21</v>
      </c>
      <c r="DO13" s="5359">
        <v>34</v>
      </c>
      <c r="DP13" s="5359">
        <v>120</v>
      </c>
      <c r="DQ13" s="5359">
        <v>403</v>
      </c>
      <c r="DR13" s="5359">
        <v>47</v>
      </c>
      <c r="DS13" s="5359">
        <v>52</v>
      </c>
      <c r="DT13" s="5359">
        <v>20</v>
      </c>
      <c r="DU13" s="5360">
        <v>108</v>
      </c>
      <c r="DV13" s="5360">
        <v>35</v>
      </c>
      <c r="DW13" s="5360">
        <v>32</v>
      </c>
      <c r="DX13" s="5360">
        <v>75</v>
      </c>
      <c r="DY13" s="5360">
        <v>55</v>
      </c>
      <c r="DZ13" s="5363">
        <f>SUM(B13:DY13)</f>
        <v>6701</v>
      </c>
      <c r="EA13" s="5364"/>
      <c r="EB13" s="5364"/>
      <c r="EC13" s="5365"/>
      <c r="ED13" s="5374">
        <v>16</v>
      </c>
      <c r="EE13" s="5374"/>
      <c r="EF13" s="5365"/>
      <c r="EG13" s="5365"/>
      <c r="EH13" s="5365">
        <v>21</v>
      </c>
      <c r="EI13" s="5365">
        <v>234</v>
      </c>
      <c r="EJ13" s="5365">
        <v>0</v>
      </c>
      <c r="EK13" s="5365">
        <v>42</v>
      </c>
      <c r="EL13" s="5365"/>
      <c r="EM13" s="5365"/>
      <c r="EN13" s="5365">
        <v>220</v>
      </c>
      <c r="EO13" s="5365"/>
      <c r="EP13" s="5365"/>
      <c r="EQ13" s="5366"/>
      <c r="ER13" s="5365"/>
      <c r="ES13" s="5365">
        <v>86</v>
      </c>
      <c r="ET13" s="5365">
        <v>17</v>
      </c>
      <c r="EU13" s="5365">
        <v>94</v>
      </c>
      <c r="EV13" s="5365"/>
      <c r="EW13" s="5365">
        <v>59</v>
      </c>
      <c r="EX13" s="5365"/>
      <c r="EY13" s="5367">
        <v>71</v>
      </c>
      <c r="EZ13" s="5368">
        <v>914</v>
      </c>
      <c r="FA13" s="5365">
        <v>145</v>
      </c>
      <c r="FB13" s="5365">
        <v>300</v>
      </c>
      <c r="FC13" s="5365"/>
      <c r="FD13" s="5365"/>
      <c r="FE13" s="5365"/>
      <c r="FF13" s="5365">
        <v>250</v>
      </c>
      <c r="FG13" s="5365"/>
      <c r="FH13" s="5365"/>
      <c r="FI13" s="5365">
        <v>32</v>
      </c>
      <c r="FJ13" s="5365">
        <v>5</v>
      </c>
      <c r="FK13" s="5365">
        <v>175</v>
      </c>
      <c r="FL13" s="5365"/>
      <c r="FM13" s="5365"/>
      <c r="FN13" s="5365">
        <v>213</v>
      </c>
      <c r="FO13" s="5365">
        <v>147</v>
      </c>
      <c r="FP13" s="5365"/>
      <c r="FQ13" s="5365">
        <v>286</v>
      </c>
      <c r="FR13" s="5365"/>
      <c r="FS13" s="5365"/>
      <c r="FT13" s="5365">
        <v>18</v>
      </c>
      <c r="FU13" s="5365"/>
      <c r="FV13" s="5365">
        <v>11</v>
      </c>
      <c r="FW13" s="5365"/>
      <c r="FX13" s="5365"/>
      <c r="FY13" s="5365">
        <v>16</v>
      </c>
      <c r="FZ13" s="5365">
        <v>14</v>
      </c>
      <c r="GA13" s="5365">
        <v>8</v>
      </c>
      <c r="GB13" s="5365">
        <v>44</v>
      </c>
      <c r="GC13" s="5365">
        <v>169</v>
      </c>
      <c r="GD13" s="5365">
        <v>50</v>
      </c>
      <c r="GE13" s="5365">
        <v>55</v>
      </c>
      <c r="GF13" s="5365">
        <v>0</v>
      </c>
      <c r="GG13" s="5365">
        <v>0</v>
      </c>
      <c r="GH13" s="5365">
        <v>56</v>
      </c>
      <c r="GI13" s="5369">
        <v>2</v>
      </c>
      <c r="GJ13" s="5365">
        <v>34</v>
      </c>
      <c r="GK13" s="5365"/>
      <c r="GL13" s="5370">
        <f>SUM(EA13:GK13)</f>
        <v>3804</v>
      </c>
      <c r="GM13" s="5371">
        <f>SUM(B13:DY13)+SUM(EA13:GK13)</f>
        <v>10505</v>
      </c>
      <c r="GN13" s="5372">
        <v>94.28</v>
      </c>
      <c r="GO13" s="2150">
        <v>0.41666666666666669</v>
      </c>
      <c r="GP13" s="1492"/>
      <c r="GQ13" s="1493"/>
      <c r="GR13" s="413" t="s">
        <v>18</v>
      </c>
      <c r="GS13" s="1492"/>
      <c r="GT13" s="1492"/>
      <c r="GU13" s="1492"/>
      <c r="GV13" s="1492"/>
      <c r="GW13" s="1492"/>
      <c r="GX13" s="1492"/>
      <c r="GY13" s="1492"/>
      <c r="GZ13" s="1492"/>
      <c r="HA13" s="1492"/>
      <c r="HB13" s="1492"/>
      <c r="HC13" s="1492"/>
      <c r="HD13" s="1492"/>
      <c r="HE13" s="1492"/>
      <c r="HF13" s="1492"/>
      <c r="HG13" s="1492"/>
      <c r="HH13" s="1492"/>
      <c r="HI13" s="1492"/>
      <c r="HJ13" s="1492"/>
      <c r="HK13" s="1492"/>
      <c r="HL13" s="1492"/>
      <c r="HM13" s="1492"/>
      <c r="HN13" s="1492"/>
      <c r="HO13" s="1492"/>
      <c r="HP13" s="1492"/>
      <c r="HQ13" s="1492"/>
      <c r="HR13" s="1492"/>
      <c r="HS13" s="1492"/>
      <c r="HT13" s="1492"/>
      <c r="HU13" s="1492"/>
      <c r="HV13" s="1492"/>
      <c r="HW13" s="1492"/>
      <c r="HX13" s="1492"/>
      <c r="HY13" s="1492"/>
      <c r="HZ13" s="1492"/>
      <c r="IA13" s="1492"/>
      <c r="IB13" s="1492"/>
      <c r="IC13" s="1492"/>
      <c r="ID13" s="1492"/>
      <c r="IE13" s="1492"/>
      <c r="IF13" s="1492"/>
      <c r="IG13" s="1492"/>
      <c r="IH13" s="1492"/>
      <c r="II13" s="1492"/>
      <c r="IJ13" s="1492"/>
      <c r="IK13" s="1492"/>
      <c r="IL13" s="1492"/>
      <c r="IM13" s="1492"/>
      <c r="IN13" s="1492"/>
      <c r="IO13" s="1492"/>
      <c r="IP13" s="1492"/>
      <c r="IQ13" s="1492"/>
      <c r="IR13" s="1492"/>
      <c r="IS13" s="1492"/>
      <c r="IT13" s="1492"/>
      <c r="IU13" s="1492"/>
      <c r="IV13" s="1492"/>
      <c r="IW13" s="1492"/>
      <c r="IX13" s="1492"/>
      <c r="IY13" s="1492"/>
      <c r="IZ13" s="1492"/>
      <c r="JA13" s="1492"/>
      <c r="JB13" s="1492"/>
      <c r="JC13" s="1492"/>
      <c r="JD13" s="1492"/>
      <c r="JE13" s="1492"/>
      <c r="JF13" s="1492"/>
      <c r="JG13" s="1492"/>
      <c r="JH13" s="1492"/>
      <c r="JI13" s="1492"/>
      <c r="JJ13" s="1492"/>
      <c r="JK13" s="1492"/>
      <c r="JL13" s="1492"/>
      <c r="JM13" s="1492"/>
      <c r="JN13" s="1492"/>
      <c r="JO13" s="1492"/>
      <c r="JP13" s="1492"/>
      <c r="JQ13" s="1492"/>
      <c r="JR13" s="1492"/>
      <c r="JS13" s="1492"/>
      <c r="JT13" s="1492"/>
      <c r="JU13" s="1492"/>
      <c r="JV13" s="1492"/>
      <c r="JW13" s="1492"/>
      <c r="JX13" s="1492"/>
      <c r="JY13" s="1492"/>
      <c r="JZ13" s="1492"/>
      <c r="KA13" s="1492"/>
      <c r="KB13" s="1492"/>
      <c r="KC13" s="1492"/>
      <c r="KD13" s="1492"/>
      <c r="KE13" s="1492"/>
      <c r="KF13" s="1492"/>
      <c r="KG13" s="1492"/>
      <c r="KH13" s="1492"/>
      <c r="KI13" s="1492"/>
      <c r="KJ13" s="1492"/>
      <c r="KK13" s="1492"/>
      <c r="KL13" s="1492"/>
      <c r="KM13" s="1492"/>
      <c r="KN13" s="1492"/>
      <c r="KO13" s="1492"/>
      <c r="KP13" s="1492"/>
      <c r="KQ13" s="1494"/>
      <c r="KR13" s="1492"/>
      <c r="KS13" s="1492"/>
      <c r="KT13" s="1492"/>
      <c r="KU13" s="1492"/>
      <c r="KV13" s="1492"/>
      <c r="KW13" s="1492"/>
      <c r="KX13" s="1492"/>
      <c r="KY13" s="1492"/>
      <c r="KZ13" s="1492"/>
      <c r="LA13" s="1492"/>
      <c r="LB13" s="1492"/>
      <c r="LC13" s="1492"/>
      <c r="LD13" s="1494"/>
      <c r="LE13" s="1492"/>
      <c r="LF13" s="1492"/>
      <c r="LG13" s="1492"/>
      <c r="LH13" s="1492"/>
      <c r="LI13" s="1492"/>
      <c r="LJ13" s="1492"/>
      <c r="LK13" s="1492"/>
      <c r="LL13" s="1492"/>
      <c r="LM13" s="1492"/>
      <c r="LN13" s="1492"/>
      <c r="LO13" s="1492"/>
      <c r="LP13" s="1492"/>
      <c r="LQ13" s="1492"/>
      <c r="LR13" s="1492"/>
      <c r="LS13" s="1492"/>
      <c r="LT13" s="1492"/>
      <c r="LU13" s="1492"/>
      <c r="LV13" s="1492"/>
      <c r="LW13" s="1492"/>
      <c r="LX13" s="1492"/>
      <c r="LY13" s="1492"/>
      <c r="LZ13" s="1492"/>
      <c r="MA13" s="1492"/>
      <c r="MB13" s="1492"/>
      <c r="MC13" s="1492"/>
      <c r="MD13" s="1492"/>
      <c r="ME13" s="1492"/>
      <c r="MF13" s="1492"/>
      <c r="MG13" s="1492"/>
      <c r="MH13" s="1492"/>
      <c r="MI13" s="1492"/>
      <c r="MJ13" s="1492"/>
      <c r="MK13" s="1492"/>
      <c r="ML13" s="1492"/>
      <c r="MM13" s="1492"/>
      <c r="MN13" s="1492"/>
      <c r="MO13" s="1492"/>
      <c r="MP13" s="1492"/>
      <c r="MQ13" s="1492"/>
      <c r="MR13" s="1492"/>
      <c r="MS13" s="1492"/>
      <c r="MT13" s="1492"/>
      <c r="MU13" s="1492"/>
      <c r="MV13" s="1492"/>
      <c r="MW13" s="1494"/>
      <c r="MX13" s="1494"/>
      <c r="NO13" s="1136"/>
      <c r="NP13" s="1136"/>
    </row>
    <row r="14" spans="1:386" s="413" customFormat="1" ht="27" customHeight="1">
      <c r="A14" s="2544">
        <v>0.45833333333333331</v>
      </c>
      <c r="B14" s="5375">
        <v>80</v>
      </c>
      <c r="C14" s="5376">
        <v>35</v>
      </c>
      <c r="D14" s="5376">
        <v>100</v>
      </c>
      <c r="E14" s="5376"/>
      <c r="F14" s="5377">
        <v>25</v>
      </c>
      <c r="G14" s="5378">
        <v>3</v>
      </c>
      <c r="H14" s="5377"/>
      <c r="I14" s="5377"/>
      <c r="J14" s="5376"/>
      <c r="K14" s="5376"/>
      <c r="L14" s="5376"/>
      <c r="M14" s="5376">
        <v>17</v>
      </c>
      <c r="N14" s="5376">
        <v>26</v>
      </c>
      <c r="O14" s="5376">
        <v>69</v>
      </c>
      <c r="P14" s="5376">
        <v>198</v>
      </c>
      <c r="Q14" s="5376">
        <v>30</v>
      </c>
      <c r="R14" s="5376"/>
      <c r="S14" s="5376"/>
      <c r="T14" s="5376"/>
      <c r="U14" s="5376">
        <v>95</v>
      </c>
      <c r="V14" s="5376">
        <v>8</v>
      </c>
      <c r="W14" s="5376"/>
      <c r="X14" s="5376"/>
      <c r="Y14" s="5376"/>
      <c r="Z14" s="5376">
        <v>180</v>
      </c>
      <c r="AA14" s="5376"/>
      <c r="AB14" s="5376">
        <v>70</v>
      </c>
      <c r="AC14" s="5376"/>
      <c r="AD14" s="5376"/>
      <c r="AE14" s="5377"/>
      <c r="AF14" s="5376"/>
      <c r="AG14" s="5376">
        <v>39</v>
      </c>
      <c r="AH14" s="5376">
        <v>194</v>
      </c>
      <c r="AI14" s="5376">
        <v>320</v>
      </c>
      <c r="AJ14" s="5376">
        <v>320</v>
      </c>
      <c r="AK14" s="5376"/>
      <c r="AL14" s="5376">
        <v>51</v>
      </c>
      <c r="AM14" s="5376">
        <v>128</v>
      </c>
      <c r="AN14" s="5376"/>
      <c r="AO14" s="5376"/>
      <c r="AP14" s="5376">
        <v>400</v>
      </c>
      <c r="AQ14" s="5376">
        <v>225</v>
      </c>
      <c r="AR14" s="5376">
        <v>255</v>
      </c>
      <c r="AS14" s="5376">
        <v>69</v>
      </c>
      <c r="AT14" s="5376">
        <v>35</v>
      </c>
      <c r="AU14" s="5376">
        <v>43</v>
      </c>
      <c r="AV14" s="5376">
        <v>41</v>
      </c>
      <c r="AW14" s="5376"/>
      <c r="AX14" s="5376">
        <v>60</v>
      </c>
      <c r="AY14" s="5376">
        <v>10</v>
      </c>
      <c r="AZ14" s="5376"/>
      <c r="BA14" s="5376"/>
      <c r="BB14" s="5376">
        <v>221</v>
      </c>
      <c r="BC14" s="5376"/>
      <c r="BD14" s="5376">
        <v>30</v>
      </c>
      <c r="BE14" s="5376">
        <v>9</v>
      </c>
      <c r="BF14" s="5376"/>
      <c r="BG14" s="5376">
        <v>33</v>
      </c>
      <c r="BH14" s="5376">
        <v>8</v>
      </c>
      <c r="BI14" s="5376">
        <v>320</v>
      </c>
      <c r="BJ14" s="5376"/>
      <c r="BK14" s="5376">
        <v>35</v>
      </c>
      <c r="BL14" s="5376">
        <v>7</v>
      </c>
      <c r="BM14" s="5376">
        <v>15</v>
      </c>
      <c r="BN14" s="5376">
        <v>19</v>
      </c>
      <c r="BO14" s="5376">
        <v>22</v>
      </c>
      <c r="BP14" s="5379">
        <v>150</v>
      </c>
      <c r="BQ14" s="5376">
        <v>2</v>
      </c>
      <c r="BR14" s="5376">
        <v>19</v>
      </c>
      <c r="BS14" s="5376">
        <v>10</v>
      </c>
      <c r="BT14" s="5376">
        <v>21</v>
      </c>
      <c r="BU14" s="5376">
        <v>20</v>
      </c>
      <c r="BV14" s="5376">
        <v>25</v>
      </c>
      <c r="BW14" s="5376">
        <v>28</v>
      </c>
      <c r="BX14" s="5376">
        <v>33</v>
      </c>
      <c r="BY14" s="5376">
        <v>30</v>
      </c>
      <c r="BZ14" s="5376">
        <v>84</v>
      </c>
      <c r="CA14" s="5376">
        <v>17</v>
      </c>
      <c r="CB14" s="5376">
        <v>39</v>
      </c>
      <c r="CC14" s="5376">
        <v>35</v>
      </c>
      <c r="CD14" s="5380">
        <v>8</v>
      </c>
      <c r="CE14" s="5377">
        <v>42</v>
      </c>
      <c r="CF14" s="5376">
        <v>50</v>
      </c>
      <c r="CG14" s="5377"/>
      <c r="CH14" s="5377">
        <v>8</v>
      </c>
      <c r="CI14" s="5377">
        <v>88</v>
      </c>
      <c r="CJ14" s="5378">
        <v>5</v>
      </c>
      <c r="CK14" s="5377">
        <v>17</v>
      </c>
      <c r="CL14" s="5377">
        <v>55</v>
      </c>
      <c r="CM14" s="5377"/>
      <c r="CN14" s="5377"/>
      <c r="CO14" s="5377"/>
      <c r="CP14" s="5377"/>
      <c r="CQ14" s="5377"/>
      <c r="CR14" s="5377">
        <v>7</v>
      </c>
      <c r="CS14" s="5377">
        <v>17</v>
      </c>
      <c r="CT14" s="5377"/>
      <c r="CU14" s="5377"/>
      <c r="CV14" s="5377">
        <v>65</v>
      </c>
      <c r="CW14" s="5377">
        <v>30</v>
      </c>
      <c r="CX14" s="5377">
        <v>43</v>
      </c>
      <c r="CY14" s="5377">
        <v>8</v>
      </c>
      <c r="CZ14" s="5377">
        <v>25</v>
      </c>
      <c r="DA14" s="5377">
        <v>12</v>
      </c>
      <c r="DB14" s="5377"/>
      <c r="DC14" s="5377"/>
      <c r="DD14" s="5377">
        <v>30</v>
      </c>
      <c r="DE14" s="5377">
        <v>55</v>
      </c>
      <c r="DF14" s="5377">
        <v>110</v>
      </c>
      <c r="DG14" s="5381">
        <v>2</v>
      </c>
      <c r="DH14" s="5381">
        <v>17</v>
      </c>
      <c r="DI14" s="5380">
        <v>300</v>
      </c>
      <c r="DJ14" s="5380">
        <v>97</v>
      </c>
      <c r="DK14" s="5380">
        <v>46</v>
      </c>
      <c r="DL14" s="5380">
        <v>96</v>
      </c>
      <c r="DM14" s="5380">
        <v>89</v>
      </c>
      <c r="DN14" s="5381">
        <v>21</v>
      </c>
      <c r="DO14" s="5380">
        <v>34</v>
      </c>
      <c r="DP14" s="5380">
        <v>120</v>
      </c>
      <c r="DQ14" s="5380">
        <v>390</v>
      </c>
      <c r="DR14" s="5380">
        <v>47</v>
      </c>
      <c r="DS14" s="5380">
        <v>52</v>
      </c>
      <c r="DT14" s="5380"/>
      <c r="DU14" s="5377">
        <v>95</v>
      </c>
      <c r="DV14" s="5377">
        <v>35</v>
      </c>
      <c r="DW14" s="5377">
        <v>33</v>
      </c>
      <c r="DX14" s="5377">
        <v>75</v>
      </c>
      <c r="DY14" s="5377">
        <v>55</v>
      </c>
      <c r="DZ14" s="5382">
        <f>SUM(B14:DY14)</f>
        <v>6637</v>
      </c>
      <c r="EA14" s="5383"/>
      <c r="EB14" s="5383"/>
      <c r="EC14" s="5384"/>
      <c r="ED14" s="5384">
        <v>16</v>
      </c>
      <c r="EE14" s="5384"/>
      <c r="EF14" s="5384"/>
      <c r="EG14" s="5384"/>
      <c r="EH14" s="5384">
        <v>21</v>
      </c>
      <c r="EI14" s="5384">
        <v>238</v>
      </c>
      <c r="EJ14" s="5384">
        <v>17</v>
      </c>
      <c r="EK14" s="5384">
        <v>88</v>
      </c>
      <c r="EL14" s="5384"/>
      <c r="EM14" s="5384">
        <v>18</v>
      </c>
      <c r="EN14" s="5384">
        <v>214</v>
      </c>
      <c r="EO14" s="5384"/>
      <c r="EP14" s="5384"/>
      <c r="EQ14" s="5384"/>
      <c r="ER14" s="5384"/>
      <c r="ES14" s="5384">
        <v>84</v>
      </c>
      <c r="ET14" s="5384">
        <v>14</v>
      </c>
      <c r="EU14" s="5384">
        <v>95</v>
      </c>
      <c r="EV14" s="5384"/>
      <c r="EW14" s="5384">
        <v>59</v>
      </c>
      <c r="EX14" s="5384"/>
      <c r="EY14" s="5385">
        <v>71</v>
      </c>
      <c r="EZ14" s="5386">
        <v>914</v>
      </c>
      <c r="FA14" s="5384">
        <v>140</v>
      </c>
      <c r="FB14" s="5384">
        <v>370</v>
      </c>
      <c r="FC14" s="5384"/>
      <c r="FD14" s="5384"/>
      <c r="FE14" s="5384"/>
      <c r="FF14" s="5384">
        <v>251</v>
      </c>
      <c r="FG14" s="5384"/>
      <c r="FH14" s="5384"/>
      <c r="FI14" s="5384">
        <v>32</v>
      </c>
      <c r="FJ14" s="5384">
        <v>5</v>
      </c>
      <c r="FK14" s="5384">
        <v>172</v>
      </c>
      <c r="FL14" s="5384"/>
      <c r="FM14" s="5384"/>
      <c r="FN14" s="5384">
        <v>207</v>
      </c>
      <c r="FO14" s="5384">
        <v>144</v>
      </c>
      <c r="FP14" s="5384"/>
      <c r="FQ14" s="5384">
        <v>281</v>
      </c>
      <c r="FR14" s="5384"/>
      <c r="FS14" s="5384"/>
      <c r="FT14" s="5384">
        <v>17</v>
      </c>
      <c r="FU14" s="5384"/>
      <c r="FV14" s="5384">
        <v>11</v>
      </c>
      <c r="FW14" s="5384"/>
      <c r="FX14" s="5384"/>
      <c r="FY14" s="5384">
        <v>24</v>
      </c>
      <c r="FZ14" s="5384">
        <v>14</v>
      </c>
      <c r="GA14" s="5384">
        <v>8</v>
      </c>
      <c r="GB14" s="5384">
        <v>44</v>
      </c>
      <c r="GC14" s="5384">
        <v>168</v>
      </c>
      <c r="GD14" s="5384">
        <v>50</v>
      </c>
      <c r="GE14" s="5384">
        <v>55</v>
      </c>
      <c r="GF14" s="5384">
        <v>0</v>
      </c>
      <c r="GG14" s="5384">
        <v>0</v>
      </c>
      <c r="GH14" s="5384">
        <v>56</v>
      </c>
      <c r="GI14" s="5387">
        <v>4</v>
      </c>
      <c r="GJ14" s="5384">
        <v>34</v>
      </c>
      <c r="GK14" s="5384"/>
      <c r="GL14" s="5388">
        <f>SUM(EA14:GK14)</f>
        <v>3936</v>
      </c>
      <c r="GM14" s="5389">
        <f>SUM(B14:DY14)+SUM(EA14:GK14)</f>
        <v>10573</v>
      </c>
      <c r="GN14" s="5390">
        <v>94.31</v>
      </c>
      <c r="GO14" s="2150">
        <v>0.45833333333333331</v>
      </c>
      <c r="GP14" s="1492"/>
      <c r="GQ14" s="1492"/>
      <c r="GR14" s="1492"/>
      <c r="GS14" s="1492"/>
      <c r="GT14" s="1492"/>
      <c r="GU14" s="1493"/>
      <c r="GV14" s="1492"/>
      <c r="GW14" s="1495"/>
      <c r="GX14" s="1495"/>
      <c r="GY14" s="1495"/>
      <c r="GZ14" s="1492"/>
      <c r="HA14" s="1492"/>
      <c r="HB14" s="1492"/>
      <c r="HC14" s="1492"/>
      <c r="HD14" s="1492"/>
      <c r="HE14" s="1492"/>
      <c r="HF14" s="1492"/>
      <c r="HG14" s="1492"/>
      <c r="HH14" s="1492"/>
      <c r="HI14" s="1492"/>
      <c r="HJ14" s="1492"/>
      <c r="HK14" s="1492"/>
      <c r="HL14" s="1492"/>
      <c r="HM14" s="1492"/>
      <c r="HN14" s="1492"/>
      <c r="HO14" s="1492"/>
      <c r="HP14" s="1492"/>
      <c r="HQ14" s="1492"/>
      <c r="HR14" s="1492"/>
      <c r="HS14" s="1492"/>
      <c r="HT14" s="1492"/>
      <c r="HU14" s="1492"/>
      <c r="HV14" s="1492"/>
      <c r="HW14" s="1492"/>
      <c r="HX14" s="1492"/>
      <c r="HY14" s="1492"/>
      <c r="HZ14" s="1492"/>
      <c r="IA14" s="1492"/>
      <c r="IB14" s="1492"/>
      <c r="IC14" s="1492"/>
      <c r="ID14" s="1492"/>
      <c r="IE14" s="1492"/>
      <c r="IF14" s="1492"/>
      <c r="IG14" s="1492"/>
      <c r="IH14" s="1492"/>
      <c r="II14" s="1492"/>
      <c r="IJ14" s="1492"/>
      <c r="IK14" s="1492"/>
      <c r="IL14" s="1492"/>
      <c r="IM14" s="1492"/>
      <c r="IN14" s="1492"/>
      <c r="IO14" s="1492"/>
      <c r="IP14" s="1492"/>
      <c r="IQ14" s="1492"/>
      <c r="IR14" s="1492"/>
      <c r="IS14" s="1492"/>
      <c r="IT14" s="1492"/>
      <c r="IU14" s="1492"/>
      <c r="IV14" s="1492"/>
      <c r="IW14" s="1492"/>
      <c r="IX14" s="1492"/>
      <c r="IY14" s="1492"/>
      <c r="IZ14" s="1492"/>
      <c r="JA14" s="1492"/>
      <c r="JB14" s="1492"/>
      <c r="JC14" s="1492"/>
      <c r="JD14" s="1492"/>
      <c r="JE14" s="1492"/>
      <c r="JF14" s="1492"/>
      <c r="JG14" s="1492"/>
      <c r="JH14" s="1494"/>
      <c r="JI14" s="1492"/>
      <c r="JJ14" s="1492"/>
      <c r="JK14" s="1492"/>
      <c r="JL14" s="1492"/>
      <c r="JM14" s="1492"/>
      <c r="JN14" s="1492"/>
      <c r="JO14" s="1492"/>
      <c r="JP14" s="1492"/>
      <c r="JQ14" s="1492"/>
      <c r="JR14" s="1492"/>
      <c r="JS14" s="1492"/>
      <c r="JT14" s="1492"/>
      <c r="JU14" s="1492"/>
      <c r="JV14" s="1492"/>
      <c r="JW14" s="1492"/>
      <c r="JX14" s="1492"/>
      <c r="JY14" s="1492"/>
      <c r="JZ14" s="1492"/>
      <c r="KA14" s="1492"/>
      <c r="KB14" s="1492"/>
      <c r="KC14" s="1492"/>
      <c r="KD14" s="1492"/>
      <c r="KE14" s="1492"/>
      <c r="KF14" s="1492"/>
      <c r="KG14" s="1492"/>
      <c r="KH14" s="1492"/>
      <c r="KI14" s="1492"/>
      <c r="KJ14" s="1492"/>
      <c r="KK14" s="1492"/>
      <c r="KL14" s="1492"/>
      <c r="KM14" s="1492"/>
      <c r="KN14" s="1492"/>
      <c r="KO14" s="1492"/>
      <c r="KP14" s="1492"/>
      <c r="KQ14" s="1494"/>
      <c r="KR14" s="1492"/>
      <c r="KS14" s="1492"/>
      <c r="KT14" s="1492"/>
      <c r="KU14" s="1492"/>
      <c r="KV14" s="1492"/>
      <c r="KW14" s="1492"/>
      <c r="KX14" s="1492"/>
      <c r="KY14" s="1492"/>
      <c r="KZ14" s="1492"/>
      <c r="LA14" s="1492"/>
      <c r="LB14" s="1494"/>
      <c r="LC14" s="1492"/>
      <c r="LD14" s="1492"/>
      <c r="LE14" s="1492"/>
      <c r="LF14" s="1492"/>
      <c r="LG14" s="1492"/>
      <c r="LH14" s="1492"/>
      <c r="LI14" s="1492"/>
      <c r="LJ14" s="1492"/>
      <c r="LK14" s="1492"/>
      <c r="LL14" s="1492"/>
      <c r="LM14" s="1492"/>
      <c r="LN14" s="1492"/>
      <c r="LO14" s="1492"/>
      <c r="LP14" s="1492"/>
      <c r="LQ14" s="1492"/>
      <c r="LR14" s="1492"/>
      <c r="LS14" s="1492"/>
      <c r="LT14" s="1492"/>
      <c r="LU14" s="1492"/>
      <c r="LV14" s="1492"/>
      <c r="LW14" s="1492"/>
      <c r="LX14" s="1492"/>
      <c r="LY14" s="1492"/>
      <c r="LZ14" s="1492"/>
      <c r="MA14" s="1492"/>
      <c r="MB14" s="1492"/>
      <c r="MC14" s="1492"/>
      <c r="MD14" s="1492"/>
      <c r="ME14" s="1492"/>
      <c r="MF14" s="1492"/>
      <c r="MG14" s="1492"/>
      <c r="MH14" s="1492"/>
      <c r="MI14" s="1492"/>
      <c r="MJ14" s="1492"/>
      <c r="MK14" s="1492"/>
      <c r="ML14" s="1492"/>
      <c r="MM14" s="1492"/>
      <c r="MN14" s="1492"/>
      <c r="MO14" s="1492"/>
      <c r="MP14" s="1492"/>
      <c r="MQ14" s="1492"/>
      <c r="MR14" s="1492"/>
      <c r="MS14" s="1492"/>
      <c r="MT14" s="1492"/>
      <c r="MU14" s="1492"/>
      <c r="MV14" s="1492"/>
      <c r="MW14" s="1494"/>
      <c r="MX14" s="1494"/>
      <c r="NM14" s="1136"/>
      <c r="NN14" s="1136"/>
    </row>
    <row r="15" spans="1:386" s="413" customFormat="1" ht="27" customHeight="1">
      <c r="A15" s="4658">
        <v>0.5</v>
      </c>
      <c r="B15" s="5179"/>
      <c r="C15" s="5165"/>
      <c r="D15" s="5165"/>
      <c r="E15" s="5165"/>
      <c r="F15" s="5167"/>
      <c r="G15" s="5168"/>
      <c r="H15" s="5167"/>
      <c r="I15" s="5167"/>
      <c r="J15" s="5165"/>
      <c r="K15" s="5165"/>
      <c r="L15" s="5165"/>
      <c r="M15" s="5165"/>
      <c r="N15" s="5165"/>
      <c r="O15" s="5165"/>
      <c r="P15" s="5165"/>
      <c r="Q15" s="5165"/>
      <c r="R15" s="5165"/>
      <c r="S15" s="5165"/>
      <c r="T15" s="5165"/>
      <c r="U15" s="5165"/>
      <c r="V15" s="5165"/>
      <c r="W15" s="5165"/>
      <c r="X15" s="5165"/>
      <c r="Y15" s="5165"/>
      <c r="Z15" s="5165"/>
      <c r="AA15" s="5165"/>
      <c r="AB15" s="5165"/>
      <c r="AC15" s="5165"/>
      <c r="AD15" s="5165"/>
      <c r="AE15" s="5167"/>
      <c r="AF15" s="5165"/>
      <c r="AG15" s="5165"/>
      <c r="AH15" s="5165"/>
      <c r="AI15" s="5165"/>
      <c r="AJ15" s="5165"/>
      <c r="AK15" s="5165"/>
      <c r="AL15" s="5165"/>
      <c r="AM15" s="5165"/>
      <c r="AN15" s="5165"/>
      <c r="AO15" s="5165"/>
      <c r="AP15" s="5165"/>
      <c r="AQ15" s="5165"/>
      <c r="AR15" s="5165"/>
      <c r="AS15" s="5165"/>
      <c r="AT15" s="5165"/>
      <c r="AU15" s="5165"/>
      <c r="AV15" s="5165"/>
      <c r="AW15" s="5165"/>
      <c r="AX15" s="5165"/>
      <c r="AY15" s="5165"/>
      <c r="AZ15" s="5165"/>
      <c r="BA15" s="5165"/>
      <c r="BB15" s="5165"/>
      <c r="BC15" s="5165"/>
      <c r="BD15" s="5165"/>
      <c r="BE15" s="5165"/>
      <c r="BF15" s="5165"/>
      <c r="BG15" s="5165"/>
      <c r="BH15" s="5165"/>
      <c r="BI15" s="5165"/>
      <c r="BJ15" s="5165"/>
      <c r="BK15" s="5165"/>
      <c r="BL15" s="5165"/>
      <c r="BM15" s="5165"/>
      <c r="BN15" s="5165"/>
      <c r="BO15" s="5165"/>
      <c r="BP15" s="5164"/>
      <c r="BQ15" s="5165"/>
      <c r="BR15" s="5165"/>
      <c r="BS15" s="5165"/>
      <c r="BT15" s="5165"/>
      <c r="BU15" s="5165"/>
      <c r="BV15" s="5165"/>
      <c r="BW15" s="5165"/>
      <c r="BX15" s="5165"/>
      <c r="BY15" s="5165"/>
      <c r="BZ15" s="5165"/>
      <c r="CA15" s="5165"/>
      <c r="CB15" s="5165"/>
      <c r="CC15" s="5165"/>
      <c r="CD15" s="5166"/>
      <c r="CE15" s="5167"/>
      <c r="CF15" s="5165"/>
      <c r="CG15" s="5167"/>
      <c r="CH15" s="5167"/>
      <c r="CI15" s="5167"/>
      <c r="CJ15" s="5168"/>
      <c r="CK15" s="5167"/>
      <c r="CL15" s="5167"/>
      <c r="CM15" s="5167"/>
      <c r="CN15" s="5167"/>
      <c r="CO15" s="5167"/>
      <c r="CP15" s="5167"/>
      <c r="CQ15" s="5167"/>
      <c r="CR15" s="5167"/>
      <c r="CS15" s="5167"/>
      <c r="CT15" s="5167"/>
      <c r="CU15" s="5167"/>
      <c r="CV15" s="5167"/>
      <c r="CW15" s="5167"/>
      <c r="CX15" s="5167"/>
      <c r="CY15" s="5167"/>
      <c r="CZ15" s="5167"/>
      <c r="DA15" s="5167"/>
      <c r="DB15" s="5167"/>
      <c r="DC15" s="5167"/>
      <c r="DD15" s="5167"/>
      <c r="DE15" s="5167"/>
      <c r="DF15" s="5167"/>
      <c r="DG15" s="5169"/>
      <c r="DH15" s="5169"/>
      <c r="DI15" s="5166"/>
      <c r="DJ15" s="5166"/>
      <c r="DK15" s="5166"/>
      <c r="DL15" s="5166"/>
      <c r="DM15" s="5166"/>
      <c r="DN15" s="5169"/>
      <c r="DO15" s="5166"/>
      <c r="DP15" s="5166"/>
      <c r="DQ15" s="5166"/>
      <c r="DR15" s="5166"/>
      <c r="DS15" s="5166"/>
      <c r="DT15" s="5166"/>
      <c r="DU15" s="5167"/>
      <c r="DV15" s="5167"/>
      <c r="DW15" s="5167"/>
      <c r="DX15" s="5167"/>
      <c r="DY15" s="5167"/>
      <c r="DZ15" s="5170">
        <f t="shared" ref="DZ15:DZ21" si="3">SUM(B15:DY15)</f>
        <v>0</v>
      </c>
      <c r="EA15" s="5171"/>
      <c r="EB15" s="5171"/>
      <c r="EC15" s="5172"/>
      <c r="ED15" s="5172"/>
      <c r="EE15" s="5172"/>
      <c r="EF15" s="5172"/>
      <c r="EG15" s="5172"/>
      <c r="EH15" s="5172"/>
      <c r="EI15" s="5172"/>
      <c r="EJ15" s="5172"/>
      <c r="EK15" s="5172"/>
      <c r="EL15" s="5172"/>
      <c r="EM15" s="5172"/>
      <c r="EN15" s="5172"/>
      <c r="EO15" s="5172"/>
      <c r="EP15" s="5172"/>
      <c r="EQ15" s="5173"/>
      <c r="ER15" s="5172"/>
      <c r="ES15" s="5172"/>
      <c r="ET15" s="5172"/>
      <c r="EU15" s="5172"/>
      <c r="EV15" s="5172"/>
      <c r="EW15" s="5172"/>
      <c r="EX15" s="5172"/>
      <c r="EY15" s="5174"/>
      <c r="EZ15" s="5175"/>
      <c r="FA15" s="5172"/>
      <c r="FB15" s="5172"/>
      <c r="FC15" s="5172"/>
      <c r="FD15" s="5172"/>
      <c r="FE15" s="5172"/>
      <c r="FF15" s="5172"/>
      <c r="FG15" s="5172"/>
      <c r="FH15" s="5172"/>
      <c r="FI15" s="5172"/>
      <c r="FJ15" s="5172"/>
      <c r="FK15" s="5172"/>
      <c r="FL15" s="5172"/>
      <c r="FM15" s="5172"/>
      <c r="FN15" s="5172"/>
      <c r="FO15" s="5172"/>
      <c r="FP15" s="5172"/>
      <c r="FQ15" s="5172"/>
      <c r="FR15" s="5172"/>
      <c r="FS15" s="5172"/>
      <c r="FT15" s="5172"/>
      <c r="FU15" s="5172"/>
      <c r="FV15" s="5172"/>
      <c r="FW15" s="5172"/>
      <c r="FX15" s="5172"/>
      <c r="FY15" s="5172"/>
      <c r="FZ15" s="5172"/>
      <c r="GA15" s="5172"/>
      <c r="GB15" s="5172"/>
      <c r="GC15" s="5172"/>
      <c r="GD15" s="5172"/>
      <c r="GE15" s="5172"/>
      <c r="GF15" s="5172"/>
      <c r="GG15" s="5172"/>
      <c r="GH15" s="5172"/>
      <c r="GI15" s="5176"/>
      <c r="GJ15" s="5172"/>
      <c r="GK15" s="5172"/>
      <c r="GL15" s="5177">
        <f t="shared" ref="GL15:GL21" si="4">SUM(EA15:GK15)</f>
        <v>0</v>
      </c>
      <c r="GM15" s="5178">
        <f t="shared" ref="GM15:GM21" si="5">SUM(B15:DY15)+SUM(EA15:GK15)</f>
        <v>0</v>
      </c>
      <c r="GN15" s="5309"/>
      <c r="GO15" s="2150">
        <v>0.5</v>
      </c>
      <c r="GP15" s="1135"/>
      <c r="GQ15" s="1135"/>
      <c r="GR15" s="1135"/>
      <c r="GS15" s="1135"/>
      <c r="GU15" s="1140"/>
      <c r="GV15" s="1141"/>
      <c r="GW15" s="1142"/>
      <c r="GX15" s="1142"/>
      <c r="GY15" s="1142"/>
      <c r="GZ15" s="1135"/>
      <c r="HA15" s="1135"/>
      <c r="HB15" s="1135"/>
      <c r="HC15" s="1135"/>
      <c r="HD15" s="1135"/>
      <c r="HE15" s="1135"/>
      <c r="HF15" s="1135"/>
      <c r="HG15" s="1135"/>
      <c r="HH15" s="1135"/>
      <c r="HI15" s="1135"/>
      <c r="HJ15" s="1135"/>
      <c r="HK15" s="1135"/>
      <c r="HL15" s="1135"/>
      <c r="HM15" s="1135"/>
      <c r="HN15" s="1135"/>
      <c r="HO15" s="1135"/>
      <c r="HP15" s="1135"/>
      <c r="HQ15" s="1135"/>
      <c r="HR15" s="1135"/>
      <c r="HS15" s="1135"/>
      <c r="HT15" s="1135"/>
      <c r="HU15" s="1135"/>
      <c r="HV15" s="1135"/>
      <c r="HW15" s="1135"/>
      <c r="HX15" s="1135"/>
      <c r="HY15" s="1135"/>
      <c r="HZ15" s="1135"/>
      <c r="IA15" s="1135"/>
      <c r="IB15" s="1135"/>
      <c r="IC15" s="1135"/>
      <c r="ID15" s="1135"/>
      <c r="IE15" s="1135"/>
      <c r="IF15" s="1135"/>
      <c r="IG15" s="1135"/>
      <c r="IH15" s="1135"/>
      <c r="II15" s="1135"/>
      <c r="IJ15" s="1135"/>
      <c r="IK15" s="1135"/>
      <c r="IL15" s="1135"/>
      <c r="IM15" s="1135"/>
      <c r="IN15" s="1135"/>
      <c r="IO15" s="1135"/>
      <c r="IP15" s="1135"/>
      <c r="IQ15" s="1135"/>
      <c r="IR15" s="1135"/>
      <c r="IS15" s="1135"/>
      <c r="IT15" s="1135"/>
      <c r="IU15" s="1135"/>
      <c r="IV15" s="1135"/>
      <c r="IW15" s="1135"/>
      <c r="IX15" s="1135"/>
      <c r="IY15" s="1135"/>
      <c r="IZ15" s="1135"/>
      <c r="JA15" s="1135"/>
      <c r="JB15" s="1135"/>
      <c r="JC15" s="1135"/>
      <c r="JD15" s="1135"/>
      <c r="JE15" s="1135"/>
      <c r="JF15" s="1135"/>
      <c r="JG15" s="1135"/>
      <c r="JH15" s="1134"/>
      <c r="JI15" s="1135"/>
      <c r="JJ15" s="1135"/>
      <c r="JK15" s="1135"/>
    </row>
    <row r="16" spans="1:386" s="413" customFormat="1" ht="27" customHeight="1">
      <c r="A16" s="2544">
        <v>0.54166666666666663</v>
      </c>
      <c r="B16" s="5190"/>
      <c r="C16" s="5191"/>
      <c r="D16" s="5191"/>
      <c r="E16" s="5191"/>
      <c r="F16" s="5192"/>
      <c r="G16" s="5193"/>
      <c r="H16" s="5192"/>
      <c r="I16" s="5192"/>
      <c r="J16" s="5191"/>
      <c r="K16" s="5191"/>
      <c r="L16" s="5191"/>
      <c r="M16" s="5191"/>
      <c r="N16" s="5191"/>
      <c r="O16" s="5191"/>
      <c r="P16" s="5191"/>
      <c r="Q16" s="5191"/>
      <c r="R16" s="5191"/>
      <c r="S16" s="5191"/>
      <c r="T16" s="5191"/>
      <c r="U16" s="5191"/>
      <c r="V16" s="5191"/>
      <c r="W16" s="5191"/>
      <c r="X16" s="5191"/>
      <c r="Y16" s="5191"/>
      <c r="Z16" s="5191"/>
      <c r="AA16" s="5191"/>
      <c r="AB16" s="5191"/>
      <c r="AC16" s="5191"/>
      <c r="AD16" s="5191"/>
      <c r="AE16" s="5192"/>
      <c r="AF16" s="5191"/>
      <c r="AG16" s="5191"/>
      <c r="AH16" s="5191"/>
      <c r="AI16" s="5191"/>
      <c r="AJ16" s="5191"/>
      <c r="AK16" s="5191"/>
      <c r="AL16" s="5191"/>
      <c r="AM16" s="5191"/>
      <c r="AN16" s="5191"/>
      <c r="AO16" s="5191"/>
      <c r="AP16" s="5191"/>
      <c r="AQ16" s="5191"/>
      <c r="AR16" s="5191"/>
      <c r="AS16" s="5191"/>
      <c r="AT16" s="5191"/>
      <c r="AU16" s="5191"/>
      <c r="AV16" s="5191"/>
      <c r="AW16" s="5191"/>
      <c r="AX16" s="5191"/>
      <c r="AY16" s="5191"/>
      <c r="AZ16" s="5191"/>
      <c r="BA16" s="5191"/>
      <c r="BB16" s="5191"/>
      <c r="BC16" s="5191"/>
      <c r="BD16" s="5191"/>
      <c r="BE16" s="5191"/>
      <c r="BF16" s="5191"/>
      <c r="BG16" s="5191"/>
      <c r="BH16" s="5191"/>
      <c r="BI16" s="5191"/>
      <c r="BJ16" s="5191"/>
      <c r="BK16" s="5191"/>
      <c r="BL16" s="5191"/>
      <c r="BM16" s="5191"/>
      <c r="BN16" s="5191"/>
      <c r="BO16" s="5191"/>
      <c r="BP16" s="5194"/>
      <c r="BQ16" s="5191"/>
      <c r="BR16" s="5191"/>
      <c r="BS16" s="5191"/>
      <c r="BT16" s="5191"/>
      <c r="BU16" s="5191"/>
      <c r="BV16" s="5191"/>
      <c r="BW16" s="5191"/>
      <c r="BX16" s="5191"/>
      <c r="BY16" s="5191"/>
      <c r="BZ16" s="5191"/>
      <c r="CA16" s="5191"/>
      <c r="CB16" s="5191"/>
      <c r="CC16" s="5191"/>
      <c r="CD16" s="5195"/>
      <c r="CE16" s="5192"/>
      <c r="CF16" s="5191"/>
      <c r="CG16" s="5192"/>
      <c r="CH16" s="5192"/>
      <c r="CI16" s="5192"/>
      <c r="CJ16" s="5193"/>
      <c r="CK16" s="5192"/>
      <c r="CL16" s="5192"/>
      <c r="CM16" s="5192"/>
      <c r="CN16" s="5192"/>
      <c r="CO16" s="5192"/>
      <c r="CP16" s="5192"/>
      <c r="CQ16" s="5192"/>
      <c r="CR16" s="5192"/>
      <c r="CS16" s="5192"/>
      <c r="CT16" s="5192"/>
      <c r="CU16" s="5192"/>
      <c r="CV16" s="5192"/>
      <c r="CW16" s="5192"/>
      <c r="CX16" s="5192"/>
      <c r="CY16" s="5192"/>
      <c r="CZ16" s="5192"/>
      <c r="DA16" s="5192"/>
      <c r="DB16" s="5192"/>
      <c r="DC16" s="5192"/>
      <c r="DD16" s="5192"/>
      <c r="DE16" s="5192"/>
      <c r="DF16" s="5192"/>
      <c r="DG16" s="5193"/>
      <c r="DH16" s="5196"/>
      <c r="DI16" s="5195"/>
      <c r="DJ16" s="5195"/>
      <c r="DK16" s="5195"/>
      <c r="DL16" s="5195"/>
      <c r="DM16" s="5195"/>
      <c r="DN16" s="5196"/>
      <c r="DO16" s="5195"/>
      <c r="DP16" s="5195"/>
      <c r="DQ16" s="5195"/>
      <c r="DR16" s="5195"/>
      <c r="DS16" s="5195"/>
      <c r="DT16" s="5195"/>
      <c r="DU16" s="5195"/>
      <c r="DV16" s="5195"/>
      <c r="DW16" s="5195"/>
      <c r="DX16" s="5195"/>
      <c r="DY16" s="5195"/>
      <c r="DZ16" s="5197">
        <f t="shared" si="3"/>
        <v>0</v>
      </c>
      <c r="EA16" s="5198"/>
      <c r="EB16" s="5198"/>
      <c r="EC16" s="5199"/>
      <c r="ED16" s="5199"/>
      <c r="EE16" s="5199"/>
      <c r="EF16" s="5199"/>
      <c r="EG16" s="5199"/>
      <c r="EH16" s="5199"/>
      <c r="EI16" s="5199"/>
      <c r="EJ16" s="5199"/>
      <c r="EK16" s="5199"/>
      <c r="EL16" s="5199"/>
      <c r="EM16" s="5199"/>
      <c r="EN16" s="5199"/>
      <c r="EO16" s="5199"/>
      <c r="EP16" s="5199"/>
      <c r="EQ16" s="5200"/>
      <c r="ER16" s="5199"/>
      <c r="ES16" s="5199"/>
      <c r="ET16" s="5199"/>
      <c r="EU16" s="5199"/>
      <c r="EV16" s="5199"/>
      <c r="EW16" s="5199"/>
      <c r="EX16" s="5199"/>
      <c r="EY16" s="5201"/>
      <c r="EZ16" s="5202"/>
      <c r="FA16" s="5199"/>
      <c r="FB16" s="5199"/>
      <c r="FC16" s="5199"/>
      <c r="FD16" s="5199"/>
      <c r="FE16" s="5199"/>
      <c r="FF16" s="5199"/>
      <c r="FG16" s="5199"/>
      <c r="FH16" s="5199"/>
      <c r="FI16" s="5199"/>
      <c r="FJ16" s="5199"/>
      <c r="FK16" s="5199"/>
      <c r="FL16" s="5199"/>
      <c r="FM16" s="5199"/>
      <c r="FN16" s="5199"/>
      <c r="FO16" s="5199"/>
      <c r="FP16" s="5199"/>
      <c r="FQ16" s="5199"/>
      <c r="FR16" s="5199"/>
      <c r="FS16" s="5199"/>
      <c r="FT16" s="5199"/>
      <c r="FU16" s="5199"/>
      <c r="FV16" s="5199"/>
      <c r="FW16" s="5199"/>
      <c r="FX16" s="5199"/>
      <c r="FY16" s="5199"/>
      <c r="FZ16" s="5199"/>
      <c r="GA16" s="5199"/>
      <c r="GB16" s="5199"/>
      <c r="GC16" s="5199"/>
      <c r="GD16" s="5199"/>
      <c r="GE16" s="5199"/>
      <c r="GF16" s="5199"/>
      <c r="GG16" s="5199"/>
      <c r="GH16" s="5199"/>
      <c r="GI16" s="5203"/>
      <c r="GJ16" s="5199"/>
      <c r="GK16" s="5199"/>
      <c r="GL16" s="5204">
        <f t="shared" si="4"/>
        <v>0</v>
      </c>
      <c r="GM16" s="5205">
        <f t="shared" si="5"/>
        <v>0</v>
      </c>
      <c r="GN16" s="5309"/>
      <c r="GO16" s="5009">
        <v>0.54166666666666663</v>
      </c>
      <c r="GP16" s="1776"/>
      <c r="GQ16" s="1776"/>
      <c r="GR16" s="1135"/>
      <c r="GS16" s="1135"/>
      <c r="GT16" s="1135"/>
      <c r="GU16" s="1141"/>
      <c r="GV16" s="1141"/>
      <c r="GW16" s="1141"/>
      <c r="GX16" s="1141"/>
      <c r="GY16" s="1141"/>
      <c r="GZ16" s="1135"/>
      <c r="HA16" s="1135"/>
      <c r="HB16" s="1135"/>
      <c r="HC16" s="1135"/>
      <c r="HD16" s="1135"/>
      <c r="HE16" s="1135"/>
      <c r="HF16" s="1135"/>
      <c r="HG16" s="1135"/>
      <c r="HH16" s="1135"/>
      <c r="HI16" s="1135"/>
      <c r="HJ16" s="1135"/>
      <c r="HK16" s="1135"/>
      <c r="HL16" s="1135"/>
      <c r="HM16" s="1135"/>
      <c r="HN16" s="1135"/>
      <c r="HO16" s="1135"/>
      <c r="HP16" s="1135"/>
      <c r="HQ16" s="1135"/>
      <c r="HR16" s="1135"/>
      <c r="HS16" s="1135"/>
      <c r="HT16" s="1135"/>
      <c r="HU16" s="1135"/>
      <c r="HV16" s="1135"/>
      <c r="HW16" s="1135"/>
      <c r="HX16" s="1135"/>
      <c r="HY16" s="1135"/>
      <c r="HZ16" s="1135"/>
      <c r="IA16" s="1135"/>
      <c r="IB16" s="1135"/>
      <c r="IC16" s="1135"/>
      <c r="ID16" s="1135"/>
      <c r="IE16" s="1135"/>
      <c r="IF16" s="1135"/>
      <c r="IG16" s="1135"/>
      <c r="IH16" s="1135"/>
      <c r="II16" s="1135"/>
      <c r="IJ16" s="1135"/>
      <c r="IK16" s="1135"/>
      <c r="IL16" s="1135"/>
      <c r="IM16" s="1135"/>
      <c r="IN16" s="1135"/>
      <c r="IO16" s="1135"/>
      <c r="IP16" s="1135"/>
      <c r="IQ16" s="1135"/>
      <c r="IR16" s="1135"/>
      <c r="IS16" s="1135"/>
      <c r="IT16" s="1135"/>
      <c r="IU16" s="1135"/>
      <c r="IV16" s="1135"/>
      <c r="IW16" s="1135"/>
      <c r="IX16" s="1135"/>
      <c r="IY16" s="1135"/>
      <c r="IZ16" s="1135"/>
      <c r="JA16" s="1135"/>
      <c r="JB16" s="1135"/>
      <c r="JC16" s="1135"/>
      <c r="JD16" s="1135"/>
      <c r="JE16" s="1135"/>
      <c r="JF16" s="1135"/>
      <c r="JG16" s="1135"/>
      <c r="JH16" s="1134"/>
      <c r="JI16" s="1135"/>
      <c r="JJ16" s="1135"/>
      <c r="JK16" s="1135"/>
    </row>
    <row r="17" spans="1:381" s="413" customFormat="1" ht="27" customHeight="1">
      <c r="A17" s="2545">
        <v>0.58333333333333304</v>
      </c>
      <c r="B17" s="5206"/>
      <c r="C17" s="5207"/>
      <c r="D17" s="5207"/>
      <c r="E17" s="5207"/>
      <c r="F17" s="5208"/>
      <c r="G17" s="5209"/>
      <c r="H17" s="5208"/>
      <c r="I17" s="5208"/>
      <c r="J17" s="5207"/>
      <c r="K17" s="5207"/>
      <c r="L17" s="5207"/>
      <c r="M17" s="5207"/>
      <c r="N17" s="5207"/>
      <c r="O17" s="5207"/>
      <c r="P17" s="5207"/>
      <c r="Q17" s="5207"/>
      <c r="R17" s="5207"/>
      <c r="S17" s="5207"/>
      <c r="T17" s="5207"/>
      <c r="U17" s="5207"/>
      <c r="V17" s="5207"/>
      <c r="W17" s="5207"/>
      <c r="X17" s="5207"/>
      <c r="Y17" s="5207"/>
      <c r="Z17" s="5207"/>
      <c r="AA17" s="5207"/>
      <c r="AB17" s="5207"/>
      <c r="AC17" s="5207"/>
      <c r="AD17" s="5207"/>
      <c r="AE17" s="5208"/>
      <c r="AF17" s="5207"/>
      <c r="AG17" s="5207"/>
      <c r="AH17" s="5207"/>
      <c r="AI17" s="5207"/>
      <c r="AJ17" s="5207"/>
      <c r="AK17" s="5207"/>
      <c r="AL17" s="5207"/>
      <c r="AM17" s="5207"/>
      <c r="AN17" s="5207"/>
      <c r="AO17" s="5207"/>
      <c r="AP17" s="5207"/>
      <c r="AQ17" s="5207"/>
      <c r="AR17" s="5207"/>
      <c r="AS17" s="5207"/>
      <c r="AT17" s="5207"/>
      <c r="AU17" s="5207"/>
      <c r="AV17" s="5207"/>
      <c r="AW17" s="5207"/>
      <c r="AX17" s="5207"/>
      <c r="AY17" s="5207"/>
      <c r="AZ17" s="5207"/>
      <c r="BA17" s="5207"/>
      <c r="BB17" s="5207"/>
      <c r="BC17" s="5207"/>
      <c r="BD17" s="5207"/>
      <c r="BE17" s="5207"/>
      <c r="BF17" s="5207"/>
      <c r="BG17" s="5207"/>
      <c r="BH17" s="5207"/>
      <c r="BI17" s="5207"/>
      <c r="BJ17" s="5207"/>
      <c r="BK17" s="5207"/>
      <c r="BL17" s="5207"/>
      <c r="BM17" s="5207"/>
      <c r="BN17" s="5207"/>
      <c r="BO17" s="5207"/>
      <c r="BP17" s="5210"/>
      <c r="BQ17" s="5207"/>
      <c r="BR17" s="5207"/>
      <c r="BS17" s="5207"/>
      <c r="BT17" s="5207"/>
      <c r="BU17" s="5207"/>
      <c r="BV17" s="5207"/>
      <c r="BW17" s="5207"/>
      <c r="BX17" s="5207"/>
      <c r="BY17" s="5207"/>
      <c r="BZ17" s="5207"/>
      <c r="CA17" s="5207"/>
      <c r="CB17" s="5207"/>
      <c r="CC17" s="5207"/>
      <c r="CD17" s="5211"/>
      <c r="CE17" s="5207"/>
      <c r="CF17" s="5207"/>
      <c r="CG17" s="5208"/>
      <c r="CH17" s="5208"/>
      <c r="CI17" s="5208"/>
      <c r="CJ17" s="5209"/>
      <c r="CK17" s="5208"/>
      <c r="CL17" s="5208"/>
      <c r="CM17" s="5208"/>
      <c r="CN17" s="5208"/>
      <c r="CO17" s="5208"/>
      <c r="CP17" s="5208"/>
      <c r="CQ17" s="5208"/>
      <c r="CR17" s="5208"/>
      <c r="CS17" s="5208"/>
      <c r="CT17" s="5208"/>
      <c r="CU17" s="5208"/>
      <c r="CV17" s="5208"/>
      <c r="CW17" s="5208"/>
      <c r="CX17" s="5208"/>
      <c r="CY17" s="5208"/>
      <c r="CZ17" s="5208"/>
      <c r="DA17" s="5208"/>
      <c r="DB17" s="5208"/>
      <c r="DC17" s="5208"/>
      <c r="DD17" s="5208"/>
      <c r="DE17" s="5208"/>
      <c r="DF17" s="5208"/>
      <c r="DG17" s="5209"/>
      <c r="DH17" s="5208"/>
      <c r="DI17" s="5211"/>
      <c r="DJ17" s="5211"/>
      <c r="DK17" s="5211"/>
      <c r="DL17" s="5211"/>
      <c r="DM17" s="5211"/>
      <c r="DN17" s="5211"/>
      <c r="DO17" s="5211"/>
      <c r="DP17" s="5211"/>
      <c r="DQ17" s="5211"/>
      <c r="DR17" s="5211"/>
      <c r="DS17" s="5211"/>
      <c r="DT17" s="5211"/>
      <c r="DU17" s="5211"/>
      <c r="DV17" s="5211"/>
      <c r="DW17" s="5211"/>
      <c r="DX17" s="5211"/>
      <c r="DY17" s="5208"/>
      <c r="DZ17" s="5197">
        <f t="shared" si="3"/>
        <v>0</v>
      </c>
      <c r="EA17" s="5212"/>
      <c r="EB17" s="5213"/>
      <c r="EC17" s="5213"/>
      <c r="ED17" s="5214"/>
      <c r="EE17" s="5214"/>
      <c r="EF17" s="5214"/>
      <c r="EG17" s="5214"/>
      <c r="EH17" s="5214"/>
      <c r="EI17" s="5214"/>
      <c r="EJ17" s="5214"/>
      <c r="EK17" s="5214"/>
      <c r="EL17" s="5214"/>
      <c r="EM17" s="5214"/>
      <c r="EN17" s="5214"/>
      <c r="EO17" s="5214"/>
      <c r="EP17" s="5214"/>
      <c r="EQ17" s="5214"/>
      <c r="ER17" s="5214"/>
      <c r="ES17" s="5214"/>
      <c r="ET17" s="5214"/>
      <c r="EU17" s="5214"/>
      <c r="EV17" s="5214"/>
      <c r="EW17" s="5214"/>
      <c r="EX17" s="5214"/>
      <c r="EY17" s="5214"/>
      <c r="EZ17" s="5202"/>
      <c r="FA17" s="5214"/>
      <c r="FB17" s="5215"/>
      <c r="FC17" s="5214"/>
      <c r="FD17" s="5214"/>
      <c r="FE17" s="5214"/>
      <c r="FF17" s="5214"/>
      <c r="FG17" s="5214"/>
      <c r="FH17" s="5216"/>
      <c r="FI17" s="5214"/>
      <c r="FJ17" s="5214"/>
      <c r="FK17" s="5214"/>
      <c r="FL17" s="5214"/>
      <c r="FM17" s="5214"/>
      <c r="FN17" s="5214"/>
      <c r="FO17" s="5214"/>
      <c r="FP17" s="5214"/>
      <c r="FQ17" s="5214"/>
      <c r="FR17" s="5214"/>
      <c r="FS17" s="5214"/>
      <c r="FT17" s="5214"/>
      <c r="FU17" s="5214"/>
      <c r="FV17" s="5214"/>
      <c r="FW17" s="5214"/>
      <c r="FX17" s="5214"/>
      <c r="FY17" s="5214"/>
      <c r="FZ17" s="5214"/>
      <c r="GA17" s="5214"/>
      <c r="GB17" s="5214"/>
      <c r="GC17" s="5214"/>
      <c r="GD17" s="5214"/>
      <c r="GE17" s="5214"/>
      <c r="GF17" s="5214"/>
      <c r="GG17" s="5214"/>
      <c r="GH17" s="5214"/>
      <c r="GI17" s="5217"/>
      <c r="GJ17" s="5214"/>
      <c r="GK17" s="5214"/>
      <c r="GL17" s="5204">
        <f t="shared" si="4"/>
        <v>0</v>
      </c>
      <c r="GM17" s="5205">
        <f t="shared" si="5"/>
        <v>0</v>
      </c>
      <c r="GN17" s="5309"/>
      <c r="GO17" s="5034">
        <v>0.58333333333333337</v>
      </c>
      <c r="GP17" s="1135"/>
      <c r="GQ17" s="1135"/>
      <c r="GR17" s="1135"/>
      <c r="GS17" s="1135"/>
      <c r="GT17" s="1135"/>
      <c r="GU17" s="1135"/>
      <c r="GV17" s="1135"/>
      <c r="GW17" s="1135"/>
      <c r="GX17" s="1135"/>
      <c r="GY17" s="1135"/>
      <c r="GZ17" s="1135"/>
      <c r="HA17" s="1135"/>
      <c r="HB17" s="1135"/>
      <c r="HC17" s="1135"/>
      <c r="HD17" s="1135"/>
      <c r="HE17" s="1135"/>
      <c r="HF17" s="1135"/>
      <c r="HG17" s="1135"/>
      <c r="HH17" s="1135"/>
      <c r="HI17" s="1135"/>
      <c r="HJ17" s="1135"/>
      <c r="HK17" s="1135"/>
      <c r="HL17" s="1135"/>
      <c r="HM17" s="1135"/>
      <c r="HN17" s="1135"/>
      <c r="HO17" s="1135"/>
      <c r="HP17" s="1135"/>
      <c r="HQ17" s="1135"/>
      <c r="HR17" s="1135"/>
      <c r="HS17" s="1135"/>
      <c r="HT17" s="1135"/>
      <c r="HU17" s="1135"/>
      <c r="HV17" s="1135"/>
      <c r="HW17" s="1135"/>
      <c r="HX17" s="1135"/>
      <c r="HY17" s="1135"/>
      <c r="HZ17" s="1135"/>
      <c r="IA17" s="1135"/>
      <c r="IB17" s="1135"/>
      <c r="IC17" s="1135"/>
      <c r="ID17" s="1135"/>
      <c r="IE17" s="1135"/>
      <c r="IF17" s="1135"/>
      <c r="IG17" s="1135"/>
      <c r="IH17" s="1135"/>
      <c r="II17" s="1135"/>
      <c r="IJ17" s="1135"/>
      <c r="IK17" s="1135"/>
      <c r="IL17" s="1135"/>
      <c r="IM17" s="1135"/>
      <c r="IN17" s="1135"/>
      <c r="IO17" s="1135"/>
      <c r="IP17" s="1135"/>
      <c r="IQ17" s="1135"/>
      <c r="IR17" s="1135"/>
      <c r="IS17" s="1135"/>
      <c r="IT17" s="1135"/>
      <c r="IU17" s="1135"/>
      <c r="IV17" s="1135"/>
      <c r="IW17" s="1135"/>
      <c r="IX17" s="1135"/>
      <c r="IY17" s="1135"/>
      <c r="IZ17" s="1135"/>
      <c r="JA17" s="1135"/>
      <c r="JB17" s="1135"/>
      <c r="JC17" s="1135"/>
      <c r="JD17" s="1135"/>
      <c r="JE17" s="1135"/>
      <c r="JF17" s="1135"/>
      <c r="JG17" s="1135"/>
      <c r="JH17" s="1135"/>
      <c r="JI17" s="1135"/>
      <c r="JJ17" s="1135"/>
      <c r="JK17" s="1135"/>
    </row>
    <row r="18" spans="1:381" s="413" customFormat="1" ht="27" customHeight="1">
      <c r="A18" s="3123">
        <v>0.625</v>
      </c>
      <c r="B18" s="5206"/>
      <c r="C18" s="5207"/>
      <c r="D18" s="5207"/>
      <c r="E18" s="5207"/>
      <c r="F18" s="5208"/>
      <c r="G18" s="5209"/>
      <c r="H18" s="5208"/>
      <c r="I18" s="5208"/>
      <c r="J18" s="5207"/>
      <c r="K18" s="5207"/>
      <c r="L18" s="5207"/>
      <c r="M18" s="5207"/>
      <c r="N18" s="5207"/>
      <c r="O18" s="5207"/>
      <c r="P18" s="5207"/>
      <c r="Q18" s="5207"/>
      <c r="R18" s="5207"/>
      <c r="S18" s="5207"/>
      <c r="T18" s="5207"/>
      <c r="U18" s="5207"/>
      <c r="V18" s="5207"/>
      <c r="W18" s="5207"/>
      <c r="X18" s="5207"/>
      <c r="Y18" s="5207"/>
      <c r="Z18" s="5207"/>
      <c r="AA18" s="5207"/>
      <c r="AB18" s="5207"/>
      <c r="AC18" s="5207"/>
      <c r="AD18" s="5208"/>
      <c r="AE18" s="5207"/>
      <c r="AF18" s="5207"/>
      <c r="AG18" s="5207"/>
      <c r="AH18" s="5207"/>
      <c r="AI18" s="5207"/>
      <c r="AJ18" s="5207"/>
      <c r="AK18" s="5207"/>
      <c r="AL18" s="5207"/>
      <c r="AM18" s="5207"/>
      <c r="AN18" s="5207"/>
      <c r="AO18" s="5207"/>
      <c r="AP18" s="5207"/>
      <c r="AQ18" s="5207"/>
      <c r="AR18" s="5207"/>
      <c r="AS18" s="5207"/>
      <c r="AT18" s="5207"/>
      <c r="AU18" s="5207"/>
      <c r="AV18" s="5207"/>
      <c r="AW18" s="5207"/>
      <c r="AX18" s="5207"/>
      <c r="AY18" s="5207"/>
      <c r="AZ18" s="5207"/>
      <c r="BA18" s="5207"/>
      <c r="BB18" s="5207"/>
      <c r="BC18" s="5207"/>
      <c r="BD18" s="5207"/>
      <c r="BE18" s="5207"/>
      <c r="BF18" s="5207"/>
      <c r="BG18" s="5207"/>
      <c r="BH18" s="5207"/>
      <c r="BI18" s="5207"/>
      <c r="BJ18" s="5207"/>
      <c r="BK18" s="5207"/>
      <c r="BL18" s="5207"/>
      <c r="BM18" s="5207"/>
      <c r="BN18" s="5207"/>
      <c r="BO18" s="5207"/>
      <c r="BP18" s="5210"/>
      <c r="BQ18" s="5207"/>
      <c r="BR18" s="5207"/>
      <c r="BS18" s="5207"/>
      <c r="BT18" s="5207"/>
      <c r="BU18" s="5207"/>
      <c r="BV18" s="5207"/>
      <c r="BW18" s="5207"/>
      <c r="BX18" s="5207"/>
      <c r="BY18" s="5207"/>
      <c r="BZ18" s="5207"/>
      <c r="CA18" s="5207"/>
      <c r="CB18" s="5207"/>
      <c r="CC18" s="5207"/>
      <c r="CD18" s="5208"/>
      <c r="CE18" s="5207"/>
      <c r="CF18" s="5208"/>
      <c r="CG18" s="5208"/>
      <c r="CH18" s="5208"/>
      <c r="CI18" s="5207"/>
      <c r="CJ18" s="5209"/>
      <c r="CK18" s="5208"/>
      <c r="CL18" s="5208"/>
      <c r="CM18" s="5208"/>
      <c r="CN18" s="5208"/>
      <c r="CO18" s="5208"/>
      <c r="CP18" s="5208"/>
      <c r="CQ18" s="5208"/>
      <c r="CR18" s="5208"/>
      <c r="CS18" s="5208"/>
      <c r="CT18" s="5208"/>
      <c r="CU18" s="5208"/>
      <c r="CV18" s="5208"/>
      <c r="CW18" s="5208"/>
      <c r="CX18" s="5208"/>
      <c r="CY18" s="5208"/>
      <c r="CZ18" s="5208"/>
      <c r="DA18" s="5208"/>
      <c r="DB18" s="5208"/>
      <c r="DC18" s="5208"/>
      <c r="DD18" s="5208"/>
      <c r="DE18" s="5208"/>
      <c r="DF18" s="5208"/>
      <c r="DG18" s="5209"/>
      <c r="DH18" s="5208"/>
      <c r="DI18" s="5211"/>
      <c r="DJ18" s="5211"/>
      <c r="DK18" s="5211"/>
      <c r="DL18" s="5211"/>
      <c r="DM18" s="5211"/>
      <c r="DN18" s="5211"/>
      <c r="DO18" s="5211"/>
      <c r="DP18" s="5211"/>
      <c r="DQ18" s="5211"/>
      <c r="DR18" s="5208"/>
      <c r="DS18" s="5208"/>
      <c r="DT18" s="5208"/>
      <c r="DU18" s="5208"/>
      <c r="DV18" s="5208"/>
      <c r="DW18" s="5208"/>
      <c r="DX18" s="5208"/>
      <c r="DY18" s="5208"/>
      <c r="DZ18" s="5197">
        <f t="shared" si="3"/>
        <v>0</v>
      </c>
      <c r="EA18" s="5212"/>
      <c r="EB18" s="5213"/>
      <c r="EC18" s="5214"/>
      <c r="ED18" s="5214"/>
      <c r="EE18" s="5214"/>
      <c r="EF18" s="5214"/>
      <c r="EG18" s="5214"/>
      <c r="EH18" s="5214"/>
      <c r="EI18" s="5214"/>
      <c r="EJ18" s="5214"/>
      <c r="EK18" s="5214"/>
      <c r="EL18" s="5214"/>
      <c r="EM18" s="5214"/>
      <c r="EN18" s="5214"/>
      <c r="EO18" s="5214"/>
      <c r="EP18" s="5214"/>
      <c r="EQ18" s="5218"/>
      <c r="ER18" s="5214"/>
      <c r="ES18" s="5214"/>
      <c r="ET18" s="5214"/>
      <c r="EU18" s="5214"/>
      <c r="EV18" s="5214"/>
      <c r="EW18" s="5214"/>
      <c r="EX18" s="5214"/>
      <c r="EY18" s="5214"/>
      <c r="EZ18" s="5202"/>
      <c r="FA18" s="5214"/>
      <c r="FB18" s="5214"/>
      <c r="FC18" s="5214"/>
      <c r="FD18" s="5214"/>
      <c r="FE18" s="5214"/>
      <c r="FF18" s="5216"/>
      <c r="FG18" s="5214"/>
      <c r="FH18" s="5214"/>
      <c r="FI18" s="5214"/>
      <c r="FJ18" s="5214"/>
      <c r="FK18" s="5214"/>
      <c r="FL18" s="5214"/>
      <c r="FM18" s="5214"/>
      <c r="FN18" s="5214"/>
      <c r="FO18" s="5214"/>
      <c r="FP18" s="5214"/>
      <c r="FQ18" s="5214"/>
      <c r="FR18" s="5214"/>
      <c r="FS18" s="5214"/>
      <c r="FT18" s="5214"/>
      <c r="FU18" s="5214"/>
      <c r="FV18" s="5214"/>
      <c r="FW18" s="5214"/>
      <c r="FX18" s="5214"/>
      <c r="FY18" s="5214"/>
      <c r="FZ18" s="5214"/>
      <c r="GA18" s="5214"/>
      <c r="GB18" s="5214"/>
      <c r="GC18" s="5214"/>
      <c r="GD18" s="5214"/>
      <c r="GE18" s="5214"/>
      <c r="GF18" s="5214"/>
      <c r="GG18" s="5214"/>
      <c r="GH18" s="5214"/>
      <c r="GI18" s="5217"/>
      <c r="GJ18" s="5214"/>
      <c r="GK18" s="5214"/>
      <c r="GL18" s="5204">
        <f t="shared" si="4"/>
        <v>0</v>
      </c>
      <c r="GM18" s="5205">
        <f t="shared" si="5"/>
        <v>0</v>
      </c>
      <c r="GN18" s="5309"/>
      <c r="GO18" s="3049">
        <v>0.625</v>
      </c>
      <c r="GP18" s="1135"/>
      <c r="GQ18" s="1135"/>
      <c r="GR18" s="1135"/>
      <c r="GS18" s="1135"/>
      <c r="GT18" s="1135"/>
      <c r="GU18" s="1135"/>
      <c r="GV18" s="1135"/>
      <c r="GW18" s="1135"/>
      <c r="GX18" s="1135"/>
      <c r="GY18" s="1135"/>
      <c r="GZ18" s="1135"/>
      <c r="HA18" s="1135"/>
      <c r="HB18" s="1135"/>
      <c r="HC18" s="1135"/>
      <c r="HD18" s="1135"/>
      <c r="HE18" s="1135"/>
      <c r="HF18" s="1135"/>
      <c r="HG18" s="1135"/>
      <c r="HH18" s="1135"/>
      <c r="HI18" s="1135"/>
      <c r="HJ18" s="1135"/>
      <c r="HK18" s="1135"/>
      <c r="HL18" s="1135"/>
      <c r="HM18" s="1135"/>
      <c r="HN18" s="1135"/>
      <c r="HO18" s="1135"/>
      <c r="HP18" s="1135"/>
      <c r="HQ18" s="1135"/>
      <c r="HR18" s="1135"/>
      <c r="HS18" s="1135"/>
      <c r="HT18" s="1135"/>
      <c r="HU18" s="1135"/>
      <c r="HV18" s="1135"/>
      <c r="HW18" s="1135"/>
      <c r="HX18" s="1135"/>
      <c r="HY18" s="1135"/>
      <c r="HZ18" s="1135"/>
      <c r="IA18" s="1135"/>
      <c r="IB18" s="1135"/>
      <c r="IC18" s="1135"/>
      <c r="ID18" s="1135"/>
      <c r="IE18" s="1135"/>
      <c r="IF18" s="1135"/>
      <c r="IG18" s="1135"/>
      <c r="IH18" s="1135"/>
      <c r="II18" s="1135"/>
      <c r="IJ18" s="1135"/>
      <c r="IK18" s="1135"/>
      <c r="IL18" s="1135"/>
      <c r="IM18" s="1135"/>
      <c r="IN18" s="1135"/>
      <c r="IO18" s="1135"/>
      <c r="IP18" s="1135"/>
      <c r="IQ18" s="1135"/>
      <c r="IR18" s="1135"/>
      <c r="IS18" s="1135"/>
      <c r="IT18" s="1135"/>
      <c r="IU18" s="1135"/>
      <c r="IV18" s="1135"/>
      <c r="IW18" s="1135"/>
      <c r="IX18" s="1135"/>
      <c r="IY18" s="1135"/>
      <c r="IZ18" s="1135"/>
      <c r="JA18" s="1135"/>
      <c r="JB18" s="1135"/>
      <c r="JC18" s="1135"/>
      <c r="JD18" s="1135"/>
      <c r="JE18" s="1135"/>
      <c r="JF18" s="1135"/>
      <c r="JG18" s="1135"/>
      <c r="JH18" s="1135"/>
      <c r="JI18" s="1135"/>
      <c r="JJ18" s="1135"/>
      <c r="JK18" s="1135"/>
    </row>
    <row r="19" spans="1:381" s="413" customFormat="1" ht="27" customHeight="1">
      <c r="A19" s="3045">
        <v>0.66666666666666663</v>
      </c>
      <c r="B19" s="5206"/>
      <c r="C19" s="5207"/>
      <c r="D19" s="5207"/>
      <c r="E19" s="5207"/>
      <c r="F19" s="5208"/>
      <c r="G19" s="5209"/>
      <c r="H19" s="5208"/>
      <c r="I19" s="5208"/>
      <c r="J19" s="5207"/>
      <c r="K19" s="5207"/>
      <c r="L19" s="5207"/>
      <c r="M19" s="5207"/>
      <c r="N19" s="5207"/>
      <c r="O19" s="5207"/>
      <c r="P19" s="5207"/>
      <c r="Q19" s="5207"/>
      <c r="R19" s="5207"/>
      <c r="S19" s="5207"/>
      <c r="T19" s="5207"/>
      <c r="U19" s="5207"/>
      <c r="V19" s="5207"/>
      <c r="W19" s="5207"/>
      <c r="X19" s="5207"/>
      <c r="Y19" s="5207"/>
      <c r="Z19" s="5207"/>
      <c r="AA19" s="5207"/>
      <c r="AB19" s="5207"/>
      <c r="AC19" s="5207"/>
      <c r="AD19" s="5208"/>
      <c r="AE19" s="5207"/>
      <c r="AF19" s="5207"/>
      <c r="AG19" s="5207"/>
      <c r="AH19" s="5207"/>
      <c r="AI19" s="5207"/>
      <c r="AJ19" s="5207"/>
      <c r="AK19" s="5207"/>
      <c r="AL19" s="5207"/>
      <c r="AM19" s="5207"/>
      <c r="AN19" s="5207"/>
      <c r="AO19" s="5207"/>
      <c r="AP19" s="5207"/>
      <c r="AQ19" s="5207"/>
      <c r="AR19" s="5207"/>
      <c r="AS19" s="5207"/>
      <c r="AT19" s="5207"/>
      <c r="AU19" s="5207"/>
      <c r="AV19" s="5207"/>
      <c r="AW19" s="5207"/>
      <c r="AX19" s="5207"/>
      <c r="AY19" s="5207"/>
      <c r="AZ19" s="5207"/>
      <c r="BA19" s="5207"/>
      <c r="BB19" s="5207"/>
      <c r="BC19" s="5207"/>
      <c r="BD19" s="5207"/>
      <c r="BE19" s="5207"/>
      <c r="BF19" s="5207"/>
      <c r="BG19" s="5207"/>
      <c r="BH19" s="5207"/>
      <c r="BI19" s="5207"/>
      <c r="BJ19" s="5207"/>
      <c r="BK19" s="5207"/>
      <c r="BL19" s="5207"/>
      <c r="BM19" s="5207"/>
      <c r="BN19" s="5207"/>
      <c r="BO19" s="5207"/>
      <c r="BP19" s="5210"/>
      <c r="BQ19" s="5207"/>
      <c r="BR19" s="5207"/>
      <c r="BS19" s="5207"/>
      <c r="BT19" s="5207"/>
      <c r="BU19" s="5207"/>
      <c r="BV19" s="5207"/>
      <c r="BW19" s="5207"/>
      <c r="BX19" s="5207"/>
      <c r="BY19" s="5207"/>
      <c r="BZ19" s="5207"/>
      <c r="CA19" s="5207"/>
      <c r="CB19" s="5207"/>
      <c r="CC19" s="5207"/>
      <c r="CD19" s="5208"/>
      <c r="CE19" s="5207"/>
      <c r="CF19" s="5208"/>
      <c r="CG19" s="5208"/>
      <c r="CH19" s="5208"/>
      <c r="CI19" s="5208"/>
      <c r="CJ19" s="5209"/>
      <c r="CK19" s="5208"/>
      <c r="CL19" s="5208"/>
      <c r="CM19" s="5208"/>
      <c r="CN19" s="5208"/>
      <c r="CO19" s="5208"/>
      <c r="CP19" s="5208"/>
      <c r="CQ19" s="5208"/>
      <c r="CR19" s="5208"/>
      <c r="CS19" s="5208"/>
      <c r="CT19" s="5208"/>
      <c r="CU19" s="5208"/>
      <c r="CV19" s="5208"/>
      <c r="CW19" s="5208"/>
      <c r="CX19" s="5208"/>
      <c r="CY19" s="5208"/>
      <c r="CZ19" s="5208"/>
      <c r="DA19" s="5208"/>
      <c r="DB19" s="5208"/>
      <c r="DC19" s="5208"/>
      <c r="DD19" s="5208"/>
      <c r="DE19" s="5208"/>
      <c r="DF19" s="5208"/>
      <c r="DG19" s="5209"/>
      <c r="DH19" s="5208"/>
      <c r="DI19" s="5211"/>
      <c r="DJ19" s="5211"/>
      <c r="DK19" s="5211"/>
      <c r="DL19" s="5211"/>
      <c r="DM19" s="5211"/>
      <c r="DN19" s="5211"/>
      <c r="DO19" s="5211"/>
      <c r="DP19" s="5211"/>
      <c r="DQ19" s="5211"/>
      <c r="DR19" s="5208"/>
      <c r="DS19" s="5208"/>
      <c r="DT19" s="5208"/>
      <c r="DU19" s="5208"/>
      <c r="DV19" s="5208"/>
      <c r="DW19" s="5208"/>
      <c r="DX19" s="5208"/>
      <c r="DY19" s="5208"/>
      <c r="DZ19" s="5197">
        <f t="shared" si="3"/>
        <v>0</v>
      </c>
      <c r="EA19" s="5212"/>
      <c r="EB19" s="5213"/>
      <c r="EC19" s="5214"/>
      <c r="ED19" s="5214"/>
      <c r="EE19" s="5214"/>
      <c r="EF19" s="5214"/>
      <c r="EG19" s="5214"/>
      <c r="EH19" s="5214"/>
      <c r="EI19" s="5214"/>
      <c r="EJ19" s="5214"/>
      <c r="EK19" s="5214"/>
      <c r="EL19" s="5214"/>
      <c r="EM19" s="5214"/>
      <c r="EN19" s="5214"/>
      <c r="EO19" s="5214"/>
      <c r="EP19" s="5214"/>
      <c r="EQ19" s="5218"/>
      <c r="ER19" s="5214"/>
      <c r="ES19" s="5214"/>
      <c r="ET19" s="5214"/>
      <c r="EU19" s="5214"/>
      <c r="EV19" s="5214"/>
      <c r="EW19" s="5214"/>
      <c r="EX19" s="5214"/>
      <c r="EY19" s="5214"/>
      <c r="EZ19" s="5202"/>
      <c r="FA19" s="5214"/>
      <c r="FB19" s="5214"/>
      <c r="FC19" s="5214"/>
      <c r="FD19" s="5214"/>
      <c r="FE19" s="5214"/>
      <c r="FF19" s="5216"/>
      <c r="FG19" s="5214"/>
      <c r="FH19" s="5214"/>
      <c r="FI19" s="5214"/>
      <c r="FJ19" s="5214"/>
      <c r="FK19" s="5214"/>
      <c r="FL19" s="5214"/>
      <c r="FM19" s="5214"/>
      <c r="FN19" s="5214"/>
      <c r="FO19" s="5214"/>
      <c r="FP19" s="5214"/>
      <c r="FQ19" s="5214"/>
      <c r="FR19" s="5214"/>
      <c r="FS19" s="5214"/>
      <c r="FT19" s="5214"/>
      <c r="FU19" s="5214"/>
      <c r="FV19" s="5214"/>
      <c r="FW19" s="5214"/>
      <c r="FX19" s="5214"/>
      <c r="FY19" s="5214"/>
      <c r="FZ19" s="5214"/>
      <c r="GA19" s="5214"/>
      <c r="GB19" s="5214"/>
      <c r="GC19" s="5214"/>
      <c r="GD19" s="5214"/>
      <c r="GE19" s="5214"/>
      <c r="GF19" s="5214"/>
      <c r="GG19" s="5214"/>
      <c r="GH19" s="5214"/>
      <c r="GI19" s="5209"/>
      <c r="GJ19" s="5214"/>
      <c r="GK19" s="5214"/>
      <c r="GL19" s="5204">
        <f t="shared" si="4"/>
        <v>0</v>
      </c>
      <c r="GM19" s="5205">
        <f t="shared" si="5"/>
        <v>0</v>
      </c>
      <c r="GN19" s="5309"/>
      <c r="GO19" s="3583">
        <v>0.66666666666666663</v>
      </c>
      <c r="GP19" s="3584"/>
      <c r="GQ19" s="3584"/>
      <c r="GR19" s="1135"/>
      <c r="GS19" s="1135"/>
      <c r="GT19" s="1135"/>
      <c r="GU19" s="1135"/>
      <c r="GV19" s="1135"/>
      <c r="GW19" s="1135"/>
      <c r="GX19" s="1135"/>
      <c r="GY19" s="1135"/>
      <c r="GZ19" s="1135"/>
      <c r="HA19" s="1135"/>
      <c r="HB19" s="1135"/>
      <c r="HC19" s="1135"/>
      <c r="HD19" s="1135"/>
      <c r="HE19" s="1135"/>
      <c r="HF19" s="1135"/>
      <c r="HG19" s="1135"/>
      <c r="HH19" s="1135"/>
      <c r="HI19" s="1135"/>
      <c r="HJ19" s="1135"/>
      <c r="HK19" s="1135"/>
      <c r="HL19" s="1135"/>
      <c r="HM19" s="1134"/>
      <c r="HN19" s="1134"/>
      <c r="HO19" s="1135"/>
      <c r="HP19" s="1135"/>
      <c r="HQ19" s="1135"/>
      <c r="HR19" s="1135"/>
      <c r="HS19" s="1135"/>
      <c r="HT19" s="1135"/>
      <c r="HU19" s="1135"/>
      <c r="HV19" s="1135"/>
      <c r="HW19" s="1135"/>
      <c r="HX19" s="1135"/>
      <c r="HY19" s="1134"/>
      <c r="HZ19" s="1135"/>
      <c r="IA19" s="1135"/>
      <c r="IB19" s="1135"/>
      <c r="IC19" s="1135"/>
      <c r="ID19" s="1135"/>
      <c r="IE19" s="1135"/>
      <c r="IF19" s="1135"/>
      <c r="IG19" s="1135"/>
      <c r="IH19" s="1135"/>
      <c r="II19" s="1135"/>
      <c r="IJ19" s="1135"/>
      <c r="IK19" s="1135"/>
      <c r="IL19" s="1135"/>
      <c r="IM19" s="1135"/>
      <c r="IN19" s="1135"/>
      <c r="IO19" s="1135"/>
      <c r="IP19" s="1135"/>
      <c r="IQ19" s="1135"/>
      <c r="IR19" s="1135"/>
      <c r="IS19" s="1135"/>
      <c r="IT19" s="1135"/>
      <c r="IU19" s="1135"/>
      <c r="IV19" s="1135"/>
      <c r="IW19" s="1135"/>
      <c r="IX19" s="1135"/>
      <c r="IY19" s="1135"/>
      <c r="IZ19" s="1135"/>
      <c r="JA19" s="1135"/>
      <c r="JB19" s="1135"/>
      <c r="JC19" s="1135"/>
      <c r="JD19" s="1135"/>
      <c r="JE19" s="1135"/>
      <c r="JF19" s="1135"/>
      <c r="JG19" s="1135"/>
      <c r="JH19" s="1135"/>
      <c r="JI19" s="1135"/>
      <c r="JJ19" s="1135"/>
      <c r="JK19" s="1135"/>
      <c r="KJ19" s="2212"/>
      <c r="KK19" s="1136"/>
    </row>
    <row r="20" spans="1:381" s="413" customFormat="1" ht="27" customHeight="1">
      <c r="A20" s="3045">
        <v>0.70833333333333337</v>
      </c>
      <c r="B20" s="5206"/>
      <c r="C20" s="5207"/>
      <c r="D20" s="5207"/>
      <c r="E20" s="5207"/>
      <c r="F20" s="5208"/>
      <c r="G20" s="5209"/>
      <c r="H20" s="5208"/>
      <c r="I20" s="5208"/>
      <c r="J20" s="5207"/>
      <c r="K20" s="5207"/>
      <c r="L20" s="5207"/>
      <c r="M20" s="5207"/>
      <c r="N20" s="5207"/>
      <c r="O20" s="5207"/>
      <c r="P20" s="5207"/>
      <c r="Q20" s="5207"/>
      <c r="R20" s="5207"/>
      <c r="S20" s="5207"/>
      <c r="T20" s="5207"/>
      <c r="U20" s="5207"/>
      <c r="V20" s="5207"/>
      <c r="W20" s="5207"/>
      <c r="X20" s="5207"/>
      <c r="Y20" s="5207"/>
      <c r="Z20" s="5207"/>
      <c r="AA20" s="5207"/>
      <c r="AB20" s="5207"/>
      <c r="AC20" s="5207"/>
      <c r="AD20" s="5208"/>
      <c r="AE20" s="5207"/>
      <c r="AF20" s="5207"/>
      <c r="AG20" s="5207"/>
      <c r="AH20" s="5207"/>
      <c r="AI20" s="5207"/>
      <c r="AJ20" s="5207"/>
      <c r="AK20" s="5207"/>
      <c r="AL20" s="5207"/>
      <c r="AM20" s="5207"/>
      <c r="AN20" s="5207"/>
      <c r="AO20" s="5207"/>
      <c r="AP20" s="5207"/>
      <c r="AQ20" s="5207"/>
      <c r="AR20" s="5207"/>
      <c r="AS20" s="5207"/>
      <c r="AT20" s="5207"/>
      <c r="AU20" s="5207"/>
      <c r="AV20" s="5207"/>
      <c r="AW20" s="5207"/>
      <c r="AX20" s="5207"/>
      <c r="AY20" s="5207"/>
      <c r="AZ20" s="5207"/>
      <c r="BA20" s="5207"/>
      <c r="BB20" s="5207"/>
      <c r="BC20" s="5207"/>
      <c r="BD20" s="5207"/>
      <c r="BE20" s="5207"/>
      <c r="BF20" s="5207"/>
      <c r="BG20" s="5207"/>
      <c r="BH20" s="5207"/>
      <c r="BI20" s="5207"/>
      <c r="BJ20" s="5207"/>
      <c r="BK20" s="5207"/>
      <c r="BL20" s="5207"/>
      <c r="BM20" s="5207"/>
      <c r="BN20" s="5207"/>
      <c r="BO20" s="5207"/>
      <c r="BP20" s="5210"/>
      <c r="BQ20" s="5207"/>
      <c r="BR20" s="5207"/>
      <c r="BS20" s="5207"/>
      <c r="BT20" s="5207"/>
      <c r="BU20" s="5207"/>
      <c r="BV20" s="5207"/>
      <c r="BW20" s="5207"/>
      <c r="BX20" s="5207"/>
      <c r="BY20" s="5207"/>
      <c r="BZ20" s="5207"/>
      <c r="CA20" s="5207"/>
      <c r="CB20" s="5207"/>
      <c r="CC20" s="5207"/>
      <c r="CD20" s="5208"/>
      <c r="CE20" s="5207"/>
      <c r="CF20" s="5208"/>
      <c r="CG20" s="5208"/>
      <c r="CH20" s="5208"/>
      <c r="CI20" s="5208"/>
      <c r="CJ20" s="5209"/>
      <c r="CK20" s="5208"/>
      <c r="CL20" s="5208"/>
      <c r="CM20" s="5208"/>
      <c r="CN20" s="5208"/>
      <c r="CO20" s="5208"/>
      <c r="CP20" s="5208"/>
      <c r="CQ20" s="5208"/>
      <c r="CR20" s="5208"/>
      <c r="CS20" s="5208"/>
      <c r="CT20" s="5208"/>
      <c r="CU20" s="5208"/>
      <c r="CV20" s="5208"/>
      <c r="CW20" s="5208"/>
      <c r="CX20" s="5208"/>
      <c r="CY20" s="5208"/>
      <c r="CZ20" s="5208"/>
      <c r="DA20" s="5208"/>
      <c r="DB20" s="5208"/>
      <c r="DC20" s="5208"/>
      <c r="DD20" s="5208"/>
      <c r="DE20" s="5208"/>
      <c r="DF20" s="5208"/>
      <c r="DG20" s="5209"/>
      <c r="DH20" s="5208"/>
      <c r="DI20" s="5211"/>
      <c r="DJ20" s="5211"/>
      <c r="DK20" s="5211"/>
      <c r="DL20" s="5211"/>
      <c r="DM20" s="5211"/>
      <c r="DN20" s="5211"/>
      <c r="DO20" s="5211"/>
      <c r="DP20" s="5211"/>
      <c r="DQ20" s="5211"/>
      <c r="DR20" s="5208"/>
      <c r="DS20" s="5208"/>
      <c r="DT20" s="5208"/>
      <c r="DU20" s="5208"/>
      <c r="DV20" s="5208"/>
      <c r="DW20" s="5208"/>
      <c r="DX20" s="5208"/>
      <c r="DY20" s="5208"/>
      <c r="DZ20" s="5197">
        <f t="shared" si="3"/>
        <v>0</v>
      </c>
      <c r="EA20" s="5212"/>
      <c r="EB20" s="5213"/>
      <c r="EC20" s="5214"/>
      <c r="ED20" s="5214"/>
      <c r="EE20" s="5214"/>
      <c r="EF20" s="5214"/>
      <c r="EG20" s="5214"/>
      <c r="EH20" s="5214"/>
      <c r="EI20" s="5214"/>
      <c r="EJ20" s="5214"/>
      <c r="EK20" s="5214"/>
      <c r="EL20" s="5214"/>
      <c r="EM20" s="5214"/>
      <c r="EN20" s="5214"/>
      <c r="EO20" s="5214"/>
      <c r="EP20" s="5214"/>
      <c r="EQ20" s="5218"/>
      <c r="ER20" s="5214"/>
      <c r="ES20" s="5214"/>
      <c r="ET20" s="5214"/>
      <c r="EU20" s="5214"/>
      <c r="EV20" s="5214"/>
      <c r="EW20" s="5214"/>
      <c r="EX20" s="5214"/>
      <c r="EY20" s="5214"/>
      <c r="EZ20" s="5202"/>
      <c r="FA20" s="5214"/>
      <c r="FB20" s="5214"/>
      <c r="FC20" s="5214"/>
      <c r="FD20" s="5214"/>
      <c r="FE20" s="5214"/>
      <c r="FF20" s="5216"/>
      <c r="FG20" s="5214"/>
      <c r="FH20" s="5214"/>
      <c r="FI20" s="5214"/>
      <c r="FJ20" s="5214"/>
      <c r="FK20" s="5214"/>
      <c r="FL20" s="5214"/>
      <c r="FM20" s="5214"/>
      <c r="FN20" s="5214"/>
      <c r="FO20" s="5214"/>
      <c r="FP20" s="5214"/>
      <c r="FQ20" s="5214"/>
      <c r="FR20" s="5214"/>
      <c r="FS20" s="5214"/>
      <c r="FT20" s="5214"/>
      <c r="FU20" s="5214"/>
      <c r="FV20" s="5214"/>
      <c r="FW20" s="5214"/>
      <c r="FX20" s="5214"/>
      <c r="FY20" s="5214"/>
      <c r="FZ20" s="5214"/>
      <c r="GA20" s="5214"/>
      <c r="GB20" s="5214"/>
      <c r="GC20" s="5214"/>
      <c r="GD20" s="5214"/>
      <c r="GE20" s="5214"/>
      <c r="GF20" s="5214"/>
      <c r="GG20" s="5214"/>
      <c r="GH20" s="5214"/>
      <c r="GI20" s="5209"/>
      <c r="GJ20" s="5214"/>
      <c r="GK20" s="5214"/>
      <c r="GL20" s="5204">
        <f t="shared" si="4"/>
        <v>0</v>
      </c>
      <c r="GM20" s="5205">
        <f t="shared" si="5"/>
        <v>0</v>
      </c>
      <c r="GN20" s="5309"/>
      <c r="GO20" s="3051">
        <v>0.70833333333333337</v>
      </c>
      <c r="GP20" s="2443"/>
      <c r="GQ20" s="2443"/>
      <c r="GR20" s="1135"/>
      <c r="GS20" s="1135"/>
      <c r="GT20" s="1135"/>
      <c r="GU20" s="1135"/>
      <c r="GV20" s="1135"/>
      <c r="GW20" s="1135"/>
      <c r="GX20" s="1135"/>
      <c r="GY20" s="1135"/>
      <c r="GZ20" s="1135"/>
      <c r="HA20" s="1135"/>
      <c r="HB20" s="1135"/>
      <c r="HC20" s="1135"/>
      <c r="HD20" s="1135"/>
      <c r="HE20" s="1135"/>
      <c r="HF20" s="1135"/>
      <c r="HG20" s="1135"/>
      <c r="HH20" s="1135"/>
      <c r="HI20" s="1135"/>
      <c r="HJ20" s="1135"/>
      <c r="HK20" s="1135"/>
      <c r="HL20" s="1135"/>
      <c r="HM20" s="1135"/>
      <c r="HN20" s="1135"/>
      <c r="HO20" s="1135"/>
      <c r="HP20" s="1135"/>
      <c r="HQ20" s="1135"/>
      <c r="HR20" s="1135"/>
      <c r="HS20" s="1135"/>
      <c r="HT20" s="1135"/>
      <c r="HU20" s="1135"/>
      <c r="HV20" s="1135"/>
      <c r="HW20" s="1135"/>
      <c r="HX20" s="1135"/>
      <c r="HY20" s="1135"/>
      <c r="HZ20" s="1135"/>
      <c r="IA20" s="1135"/>
      <c r="IB20" s="1135"/>
      <c r="IC20" s="1135"/>
      <c r="ID20" s="1135"/>
      <c r="IE20" s="1135"/>
      <c r="IF20" s="1135"/>
      <c r="IG20" s="1135"/>
      <c r="IH20" s="1135"/>
      <c r="II20" s="1135"/>
      <c r="IJ20" s="1135"/>
      <c r="IK20" s="1135"/>
      <c r="IL20" s="1135"/>
      <c r="IM20" s="1135"/>
      <c r="IN20" s="1135"/>
      <c r="IO20" s="1135"/>
      <c r="IP20" s="1135"/>
      <c r="IQ20" s="1135"/>
      <c r="IR20" s="1135"/>
      <c r="IS20" s="1135"/>
      <c r="IT20" s="1135"/>
      <c r="IU20" s="1135"/>
      <c r="IV20" s="1135"/>
      <c r="IW20" s="1135"/>
      <c r="IX20" s="1135"/>
      <c r="IY20" s="1135"/>
      <c r="IZ20" s="1135"/>
      <c r="JA20" s="1135"/>
      <c r="JB20" s="1135"/>
      <c r="JC20" s="1135"/>
      <c r="JD20" s="1135"/>
      <c r="JE20" s="1135"/>
      <c r="JF20" s="1135"/>
      <c r="JG20" s="1135"/>
      <c r="JH20" s="1135"/>
      <c r="JI20" s="1135"/>
      <c r="JJ20" s="1135"/>
      <c r="JK20" s="1135"/>
      <c r="LE20" s="1136"/>
      <c r="NP20" s="1136"/>
      <c r="NQ20" s="1136"/>
    </row>
    <row r="21" spans="1:381" s="413" customFormat="1" ht="25.5" customHeight="1">
      <c r="A21" s="3045">
        <v>0.75</v>
      </c>
      <c r="B21" s="5206"/>
      <c r="C21" s="5207"/>
      <c r="D21" s="5207"/>
      <c r="E21" s="5207"/>
      <c r="F21" s="5208"/>
      <c r="G21" s="5209"/>
      <c r="H21" s="5208"/>
      <c r="I21" s="5208"/>
      <c r="J21" s="5207"/>
      <c r="K21" s="5207"/>
      <c r="L21" s="5207"/>
      <c r="M21" s="5207"/>
      <c r="N21" s="5207"/>
      <c r="O21" s="5207"/>
      <c r="P21" s="5207"/>
      <c r="Q21" s="5207"/>
      <c r="R21" s="5207"/>
      <c r="S21" s="5207"/>
      <c r="T21" s="5207"/>
      <c r="U21" s="5207"/>
      <c r="V21" s="5207"/>
      <c r="W21" s="5207"/>
      <c r="X21" s="5207"/>
      <c r="Y21" s="5207"/>
      <c r="Z21" s="5207"/>
      <c r="AA21" s="5207"/>
      <c r="AB21" s="5207"/>
      <c r="AC21" s="5207"/>
      <c r="AD21" s="5208"/>
      <c r="AE21" s="5207"/>
      <c r="AF21" s="5207"/>
      <c r="AG21" s="5207"/>
      <c r="AH21" s="5207"/>
      <c r="AI21" s="5207"/>
      <c r="AJ21" s="5207"/>
      <c r="AK21" s="5207"/>
      <c r="AL21" s="5207"/>
      <c r="AM21" s="5207"/>
      <c r="AN21" s="5207"/>
      <c r="AO21" s="5207"/>
      <c r="AP21" s="5207"/>
      <c r="AQ21" s="5207"/>
      <c r="AR21" s="5207"/>
      <c r="AS21" s="5207"/>
      <c r="AT21" s="5207"/>
      <c r="AU21" s="5207"/>
      <c r="AV21" s="5207"/>
      <c r="AW21" s="5207"/>
      <c r="AX21" s="5207"/>
      <c r="AY21" s="5207"/>
      <c r="AZ21" s="5207"/>
      <c r="BA21" s="5207"/>
      <c r="BB21" s="5207"/>
      <c r="BC21" s="5207"/>
      <c r="BD21" s="5207"/>
      <c r="BE21" s="5207"/>
      <c r="BF21" s="5207"/>
      <c r="BG21" s="5207"/>
      <c r="BH21" s="5207"/>
      <c r="BI21" s="5207"/>
      <c r="BJ21" s="5207"/>
      <c r="BK21" s="5207"/>
      <c r="BL21" s="5207"/>
      <c r="BM21" s="5207"/>
      <c r="BN21" s="5207"/>
      <c r="BO21" s="5207"/>
      <c r="BP21" s="5210"/>
      <c r="BQ21" s="5207"/>
      <c r="BR21" s="5207"/>
      <c r="BS21" s="5207"/>
      <c r="BT21" s="5207"/>
      <c r="BU21" s="5207"/>
      <c r="BV21" s="5207"/>
      <c r="BW21" s="5207"/>
      <c r="BX21" s="5207"/>
      <c r="BY21" s="5207"/>
      <c r="BZ21" s="5207"/>
      <c r="CA21" s="5207"/>
      <c r="CB21" s="5207"/>
      <c r="CC21" s="5207"/>
      <c r="CD21" s="5208"/>
      <c r="CE21" s="5207"/>
      <c r="CF21" s="5208"/>
      <c r="CG21" s="5208"/>
      <c r="CH21" s="5208"/>
      <c r="CI21" s="5208"/>
      <c r="CJ21" s="5209"/>
      <c r="CK21" s="5208"/>
      <c r="CL21" s="5208"/>
      <c r="CM21" s="5208"/>
      <c r="CN21" s="5208"/>
      <c r="CO21" s="5208"/>
      <c r="CP21" s="5208"/>
      <c r="CQ21" s="5208"/>
      <c r="CR21" s="5208"/>
      <c r="CS21" s="5208"/>
      <c r="CT21" s="5208"/>
      <c r="CU21" s="5208"/>
      <c r="CV21" s="5208"/>
      <c r="CW21" s="5208"/>
      <c r="CX21" s="5208"/>
      <c r="CY21" s="5208"/>
      <c r="CZ21" s="5208"/>
      <c r="DA21" s="5208"/>
      <c r="DB21" s="5208"/>
      <c r="DC21" s="5208"/>
      <c r="DD21" s="5208"/>
      <c r="DE21" s="5208"/>
      <c r="DF21" s="5208"/>
      <c r="DG21" s="5209"/>
      <c r="DH21" s="5208"/>
      <c r="DI21" s="5211"/>
      <c r="DJ21" s="5211"/>
      <c r="DK21" s="5211"/>
      <c r="DL21" s="5211"/>
      <c r="DM21" s="5211"/>
      <c r="DN21" s="5211"/>
      <c r="DO21" s="5211"/>
      <c r="DP21" s="5211"/>
      <c r="DQ21" s="5208"/>
      <c r="DR21" s="5208"/>
      <c r="DS21" s="5208"/>
      <c r="DT21" s="5208"/>
      <c r="DU21" s="5208"/>
      <c r="DV21" s="5208"/>
      <c r="DW21" s="5208"/>
      <c r="DX21" s="5208"/>
      <c r="DY21" s="5208"/>
      <c r="DZ21" s="5197">
        <f t="shared" si="3"/>
        <v>0</v>
      </c>
      <c r="EA21" s="5213"/>
      <c r="EB21" s="5214"/>
      <c r="EC21" s="5219"/>
      <c r="ED21" s="5219"/>
      <c r="EE21" s="5219"/>
      <c r="EF21" s="5214"/>
      <c r="EG21" s="5214"/>
      <c r="EH21" s="5214"/>
      <c r="EI21" s="5214"/>
      <c r="EJ21" s="5214"/>
      <c r="EK21" s="5214"/>
      <c r="EL21" s="5214"/>
      <c r="EM21" s="5214"/>
      <c r="EN21" s="5214"/>
      <c r="EO21" s="5214"/>
      <c r="EP21" s="5214"/>
      <c r="EQ21" s="5214"/>
      <c r="ER21" s="5214"/>
      <c r="ES21" s="5214"/>
      <c r="ET21" s="5214"/>
      <c r="EU21" s="5214"/>
      <c r="EV21" s="5214"/>
      <c r="EW21" s="5214"/>
      <c r="EX21" s="5214"/>
      <c r="EY21" s="5215"/>
      <c r="EZ21" s="5202"/>
      <c r="FA21" s="5214"/>
      <c r="FB21" s="5214"/>
      <c r="FC21" s="5214"/>
      <c r="FD21" s="5214"/>
      <c r="FE21" s="5211"/>
      <c r="FF21" s="5214"/>
      <c r="FG21" s="5214"/>
      <c r="FH21" s="5214"/>
      <c r="FI21" s="5214"/>
      <c r="FJ21" s="5214"/>
      <c r="FK21" s="5214"/>
      <c r="FL21" s="5214"/>
      <c r="FM21" s="5214"/>
      <c r="FN21" s="5214"/>
      <c r="FO21" s="5214"/>
      <c r="FP21" s="5214"/>
      <c r="FQ21" s="5214"/>
      <c r="FR21" s="5214"/>
      <c r="FS21" s="5214"/>
      <c r="FT21" s="5214"/>
      <c r="FU21" s="5214"/>
      <c r="FV21" s="5214"/>
      <c r="FW21" s="5214"/>
      <c r="FX21" s="5214"/>
      <c r="FY21" s="5214"/>
      <c r="FZ21" s="5214"/>
      <c r="GA21" s="5214"/>
      <c r="GB21" s="5214"/>
      <c r="GC21" s="5214"/>
      <c r="GD21" s="5214"/>
      <c r="GE21" s="5214"/>
      <c r="GF21" s="5214"/>
      <c r="GG21" s="5214"/>
      <c r="GH21" s="5214"/>
      <c r="GI21" s="5217"/>
      <c r="GJ21" s="5214"/>
      <c r="GK21" s="5214"/>
      <c r="GL21" s="5204">
        <f t="shared" si="4"/>
        <v>0</v>
      </c>
      <c r="GM21" s="5205">
        <f t="shared" si="5"/>
        <v>0</v>
      </c>
      <c r="GN21" s="5309"/>
      <c r="GO21" s="2974">
        <v>0.75</v>
      </c>
      <c r="GP21" s="2975"/>
      <c r="GQ21" s="2975"/>
      <c r="GR21" s="1135"/>
      <c r="GS21" s="1135"/>
      <c r="GT21" s="1135"/>
      <c r="GU21" s="1135"/>
      <c r="GV21" s="1135"/>
      <c r="GW21" s="1135"/>
      <c r="GX21" s="1135"/>
      <c r="GY21" s="1135"/>
      <c r="GZ21" s="1135"/>
      <c r="HA21" s="1135"/>
      <c r="HB21" s="1135"/>
      <c r="HC21" s="1135"/>
      <c r="HD21" s="1135"/>
      <c r="HE21" s="1135"/>
      <c r="HF21" s="1135"/>
      <c r="HG21" s="1135"/>
      <c r="HH21" s="1135"/>
      <c r="HI21" s="1135"/>
      <c r="HJ21" s="1135"/>
      <c r="HK21" s="1135"/>
      <c r="HL21" s="1135"/>
      <c r="HM21" s="1135"/>
      <c r="HN21" s="1135"/>
      <c r="HO21" s="1135"/>
      <c r="HP21" s="1135"/>
      <c r="HQ21" s="1135"/>
      <c r="HR21" s="1135"/>
      <c r="HS21" s="1135"/>
      <c r="HT21" s="1135"/>
      <c r="HU21" s="1135"/>
      <c r="HV21" s="1135"/>
      <c r="HW21" s="1135"/>
      <c r="HX21" s="1135"/>
      <c r="HY21" s="1135"/>
      <c r="HZ21" s="1135"/>
      <c r="IA21" s="1135"/>
      <c r="IB21" s="1135"/>
      <c r="IC21" s="1135"/>
      <c r="ID21" s="1135"/>
      <c r="IE21" s="1135"/>
      <c r="IF21" s="1135"/>
      <c r="IG21" s="1135"/>
      <c r="IH21" s="1135"/>
      <c r="II21" s="1135"/>
      <c r="IJ21" s="1135"/>
      <c r="IK21" s="1135"/>
      <c r="IL21" s="1135"/>
      <c r="IM21" s="1135"/>
      <c r="IN21" s="1135"/>
      <c r="IO21" s="1135"/>
      <c r="IP21" s="1135"/>
      <c r="IQ21" s="1135"/>
      <c r="IR21" s="1135"/>
      <c r="IS21" s="1135"/>
      <c r="IT21" s="1135"/>
      <c r="IU21" s="1135"/>
      <c r="IV21" s="1135"/>
      <c r="IW21" s="1135"/>
      <c r="IX21" s="1135"/>
      <c r="IY21" s="1135"/>
      <c r="IZ21" s="1135"/>
      <c r="JA21" s="1135"/>
      <c r="JB21" s="1135"/>
      <c r="JC21" s="1135"/>
      <c r="JD21" s="1135"/>
      <c r="JE21" s="1135"/>
      <c r="JF21" s="1135"/>
      <c r="JG21" s="1135"/>
      <c r="JH21" s="1135"/>
      <c r="JI21" s="1135"/>
      <c r="JJ21" s="1135"/>
      <c r="JK21" s="1135"/>
    </row>
    <row r="22" spans="1:381" s="474" customFormat="1" ht="9" customHeight="1">
      <c r="A22" s="3046"/>
      <c r="B22" s="4834"/>
      <c r="C22" s="4835"/>
      <c r="D22" s="4835"/>
      <c r="E22" s="4835"/>
      <c r="F22" s="4836"/>
      <c r="G22" s="4837"/>
      <c r="H22" s="4836"/>
      <c r="I22" s="4836"/>
      <c r="J22" s="4835"/>
      <c r="K22" s="4835"/>
      <c r="L22" s="4835"/>
      <c r="M22" s="4835"/>
      <c r="N22" s="4835"/>
      <c r="O22" s="4835"/>
      <c r="P22" s="4835"/>
      <c r="Q22" s="4835"/>
      <c r="R22" s="4835"/>
      <c r="S22" s="4835"/>
      <c r="T22" s="4835"/>
      <c r="U22" s="4835"/>
      <c r="V22" s="4835"/>
      <c r="W22" s="4835"/>
      <c r="X22" s="4835"/>
      <c r="Y22" s="4835"/>
      <c r="Z22" s="4835"/>
      <c r="AA22" s="4835"/>
      <c r="AB22" s="4835"/>
      <c r="AC22" s="4835"/>
      <c r="AD22" s="4836"/>
      <c r="AE22" s="4835"/>
      <c r="AF22" s="4835"/>
      <c r="AG22" s="4835"/>
      <c r="AH22" s="4835"/>
      <c r="AI22" s="4835"/>
      <c r="AJ22" s="4835"/>
      <c r="AK22" s="4835"/>
      <c r="AL22" s="4835"/>
      <c r="AM22" s="4835"/>
      <c r="AN22" s="4835"/>
      <c r="AO22" s="4835"/>
      <c r="AP22" s="4835"/>
      <c r="AQ22" s="4835"/>
      <c r="AR22" s="4835"/>
      <c r="AS22" s="4835"/>
      <c r="AT22" s="4835"/>
      <c r="AU22" s="4835"/>
      <c r="AV22" s="4835"/>
      <c r="AW22" s="4835"/>
      <c r="AX22" s="4835"/>
      <c r="AY22" s="4835"/>
      <c r="AZ22" s="4835"/>
      <c r="BA22" s="4835"/>
      <c r="BB22" s="4835"/>
      <c r="BC22" s="4835"/>
      <c r="BD22" s="4835"/>
      <c r="BE22" s="4835"/>
      <c r="BF22" s="4835"/>
      <c r="BG22" s="4835"/>
      <c r="BH22" s="4835"/>
      <c r="BI22" s="4835"/>
      <c r="BJ22" s="4835"/>
      <c r="BK22" s="4835"/>
      <c r="BL22" s="4835"/>
      <c r="BM22" s="4835"/>
      <c r="BN22" s="4835"/>
      <c r="BO22" s="4835"/>
      <c r="BP22" s="4838"/>
      <c r="BQ22" s="4835"/>
      <c r="BR22" s="4835"/>
      <c r="BS22" s="4835"/>
      <c r="BT22" s="4835"/>
      <c r="BU22" s="4835"/>
      <c r="BV22" s="4835"/>
      <c r="BW22" s="4835"/>
      <c r="BX22" s="4835"/>
      <c r="BY22" s="4835"/>
      <c r="BZ22" s="4835"/>
      <c r="CA22" s="4835"/>
      <c r="CB22" s="4835"/>
      <c r="CC22" s="4835"/>
      <c r="CD22" s="4836"/>
      <c r="CE22" s="4835"/>
      <c r="CF22" s="4836"/>
      <c r="CG22" s="4836"/>
      <c r="CH22" s="4836"/>
      <c r="CI22" s="4836"/>
      <c r="CJ22" s="4837"/>
      <c r="CK22" s="4836"/>
      <c r="CL22" s="4836"/>
      <c r="CM22" s="4836"/>
      <c r="CN22" s="4836"/>
      <c r="CO22" s="4836"/>
      <c r="CP22" s="4836"/>
      <c r="CQ22" s="4836"/>
      <c r="CR22" s="4836"/>
      <c r="CS22" s="4836"/>
      <c r="CT22" s="4836"/>
      <c r="CU22" s="4836"/>
      <c r="CV22" s="4836"/>
      <c r="CW22" s="4836"/>
      <c r="CX22" s="4836"/>
      <c r="CY22" s="4836"/>
      <c r="CZ22" s="4836"/>
      <c r="DA22" s="4836"/>
      <c r="DB22" s="4836"/>
      <c r="DC22" s="4836"/>
      <c r="DD22" s="4836"/>
      <c r="DE22" s="4836"/>
      <c r="DF22" s="4836"/>
      <c r="DG22" s="4837"/>
      <c r="DH22" s="4836"/>
      <c r="DI22" s="4839"/>
      <c r="DJ22" s="4839"/>
      <c r="DK22" s="4839"/>
      <c r="DL22" s="4839"/>
      <c r="DM22" s="4839"/>
      <c r="DN22" s="4839"/>
      <c r="DO22" s="4839"/>
      <c r="DP22" s="4839"/>
      <c r="DQ22" s="4836"/>
      <c r="DR22" s="4836"/>
      <c r="DS22" s="4836"/>
      <c r="DT22" s="4836"/>
      <c r="DU22" s="4836"/>
      <c r="DV22" s="4836"/>
      <c r="DW22" s="4836"/>
      <c r="DX22" s="4836"/>
      <c r="DY22" s="4836"/>
      <c r="DZ22" s="4852"/>
      <c r="EA22" s="4840"/>
      <c r="EB22" s="4841"/>
      <c r="EC22" s="4842"/>
      <c r="ED22" s="4842"/>
      <c r="EE22" s="4842"/>
      <c r="EF22" s="4841"/>
      <c r="EG22" s="4841"/>
      <c r="EH22" s="4841"/>
      <c r="EI22" s="4841"/>
      <c r="EJ22" s="4841"/>
      <c r="EK22" s="4841"/>
      <c r="EL22" s="4841"/>
      <c r="EM22" s="4841"/>
      <c r="EN22" s="4841"/>
      <c r="EO22" s="4841"/>
      <c r="EP22" s="4843"/>
      <c r="EQ22" s="4841"/>
      <c r="ER22" s="4841"/>
      <c r="ES22" s="4841"/>
      <c r="ET22" s="4841"/>
      <c r="EU22" s="4841"/>
      <c r="EV22" s="4841"/>
      <c r="EW22" s="4841"/>
      <c r="EX22" s="4841"/>
      <c r="EY22" s="4844"/>
      <c r="EZ22" s="4845"/>
      <c r="FA22" s="4844"/>
      <c r="FB22" s="4841"/>
      <c r="FC22" s="4841"/>
      <c r="FD22" s="4841"/>
      <c r="FE22" s="4839"/>
      <c r="FF22" s="4841"/>
      <c r="FG22" s="4841"/>
      <c r="FH22" s="4841"/>
      <c r="FI22" s="4841"/>
      <c r="FJ22" s="4841"/>
      <c r="FK22" s="4841"/>
      <c r="FL22" s="4841"/>
      <c r="FM22" s="4841"/>
      <c r="FN22" s="4841"/>
      <c r="FO22" s="4841"/>
      <c r="FP22" s="4841"/>
      <c r="FQ22" s="4841"/>
      <c r="FR22" s="4841"/>
      <c r="FS22" s="4841"/>
      <c r="FT22" s="4841"/>
      <c r="FU22" s="4841"/>
      <c r="FV22" s="4841"/>
      <c r="FW22" s="4841"/>
      <c r="FX22" s="4841"/>
      <c r="FY22" s="4841"/>
      <c r="FZ22" s="4841"/>
      <c r="GA22" s="4841"/>
      <c r="GB22" s="4841"/>
      <c r="GC22" s="4841"/>
      <c r="GD22" s="4841"/>
      <c r="GE22" s="4841"/>
      <c r="GF22" s="4841"/>
      <c r="GG22" s="4841"/>
      <c r="GH22" s="4841"/>
      <c r="GI22" s="4846"/>
      <c r="GJ22" s="4841"/>
      <c r="GK22" s="4661"/>
      <c r="GL22" s="4746"/>
      <c r="GM22" s="4854"/>
      <c r="GN22" s="5309"/>
      <c r="GO22" s="2442"/>
      <c r="GP22" s="1030"/>
      <c r="GQ22" s="1030"/>
      <c r="GR22" s="1030"/>
      <c r="GS22" s="1030"/>
      <c r="GT22" s="1030"/>
      <c r="GU22" s="1030"/>
      <c r="GV22" s="1030"/>
      <c r="GW22" s="1030"/>
      <c r="GX22" s="1030"/>
      <c r="GY22" s="1030"/>
      <c r="GZ22" s="1030"/>
      <c r="HA22" s="1030"/>
      <c r="HB22" s="1030"/>
      <c r="HC22" s="1030"/>
      <c r="HD22" s="1030"/>
      <c r="HE22" s="1030"/>
      <c r="HF22" s="1030"/>
      <c r="HG22" s="1030"/>
      <c r="HH22" s="1030"/>
      <c r="HI22" s="1030"/>
      <c r="HJ22" s="1030"/>
      <c r="HK22" s="1030"/>
      <c r="HL22" s="1030"/>
      <c r="HM22" s="1030"/>
      <c r="HN22" s="1030"/>
      <c r="HO22" s="1030"/>
      <c r="HP22" s="1030"/>
      <c r="HQ22" s="1030"/>
      <c r="HR22" s="1030"/>
      <c r="HS22" s="1030"/>
      <c r="HT22" s="1030"/>
      <c r="HU22" s="1030"/>
      <c r="HV22" s="1030"/>
      <c r="HW22" s="1030"/>
      <c r="HX22" s="1030"/>
      <c r="HY22" s="1030"/>
      <c r="HZ22" s="1030"/>
      <c r="IA22" s="1030"/>
      <c r="IB22" s="1030"/>
      <c r="IC22" s="1030"/>
      <c r="ID22" s="1030"/>
      <c r="IE22" s="1030"/>
      <c r="IF22" s="1030"/>
      <c r="IG22" s="1030"/>
      <c r="IH22" s="1030"/>
      <c r="II22" s="1030"/>
      <c r="IJ22" s="1030"/>
      <c r="IK22" s="1030"/>
      <c r="IL22" s="1030"/>
      <c r="IM22" s="1030"/>
      <c r="IN22" s="1030"/>
      <c r="IO22" s="1030"/>
      <c r="IP22" s="1030"/>
      <c r="IQ22" s="1030"/>
      <c r="IR22" s="1030"/>
      <c r="IS22" s="1030"/>
      <c r="IT22" s="1030"/>
      <c r="IU22" s="1030"/>
      <c r="IV22" s="1030"/>
      <c r="IW22" s="1030"/>
      <c r="IX22" s="1030"/>
      <c r="IY22" s="1030"/>
      <c r="IZ22" s="1030"/>
      <c r="JA22" s="1030"/>
      <c r="JB22" s="1030"/>
      <c r="JC22" s="1030"/>
      <c r="JD22" s="1030"/>
      <c r="JE22" s="1030"/>
      <c r="JF22" s="1030"/>
      <c r="JG22" s="1030"/>
      <c r="JH22" s="1030"/>
      <c r="JI22" s="1030"/>
      <c r="JJ22" s="1030"/>
      <c r="JK22" s="1030"/>
    </row>
    <row r="23" spans="1:381" s="413" customFormat="1" ht="27" customHeight="1">
      <c r="A23" s="3045">
        <v>0.79166666666666663</v>
      </c>
      <c r="B23" s="5206">
        <v>83</v>
      </c>
      <c r="C23" s="5207">
        <v>35</v>
      </c>
      <c r="D23" s="5207">
        <v>100</v>
      </c>
      <c r="E23" s="5207"/>
      <c r="F23" s="5208">
        <v>25</v>
      </c>
      <c r="G23" s="5209"/>
      <c r="H23" s="5208"/>
      <c r="I23" s="5208"/>
      <c r="J23" s="5207"/>
      <c r="K23" s="5207"/>
      <c r="L23" s="5207"/>
      <c r="M23" s="5207">
        <v>51</v>
      </c>
      <c r="N23" s="5207">
        <v>26</v>
      </c>
      <c r="O23" s="5207">
        <v>105</v>
      </c>
      <c r="P23" s="5207">
        <v>195</v>
      </c>
      <c r="Q23" s="5207">
        <v>34</v>
      </c>
      <c r="R23" s="5207"/>
      <c r="S23" s="5207"/>
      <c r="T23" s="5207"/>
      <c r="U23" s="5207">
        <v>242</v>
      </c>
      <c r="V23" s="5207">
        <v>8</v>
      </c>
      <c r="W23" s="5207"/>
      <c r="X23" s="5207"/>
      <c r="Y23" s="5207"/>
      <c r="Z23" s="5207">
        <v>180</v>
      </c>
      <c r="AA23" s="5207"/>
      <c r="AB23" s="5207"/>
      <c r="AC23" s="5207"/>
      <c r="AD23" s="5208"/>
      <c r="AE23" s="5207"/>
      <c r="AF23" s="5207"/>
      <c r="AG23" s="5207">
        <v>38</v>
      </c>
      <c r="AH23" s="5207">
        <v>202</v>
      </c>
      <c r="AI23" s="5207">
        <v>260</v>
      </c>
      <c r="AJ23" s="5207">
        <v>280</v>
      </c>
      <c r="AK23" s="5207"/>
      <c r="AL23" s="5207">
        <v>15</v>
      </c>
      <c r="AM23" s="5207">
        <v>128</v>
      </c>
      <c r="AN23" s="5207"/>
      <c r="AO23" s="5207"/>
      <c r="AP23" s="5207">
        <v>401</v>
      </c>
      <c r="AQ23" s="5207">
        <v>225</v>
      </c>
      <c r="AR23" s="5207">
        <v>278</v>
      </c>
      <c r="AS23" s="5207">
        <v>99</v>
      </c>
      <c r="AT23" s="5207"/>
      <c r="AU23" s="5207">
        <v>44</v>
      </c>
      <c r="AV23" s="5207">
        <v>40</v>
      </c>
      <c r="AW23" s="5207"/>
      <c r="AX23" s="5207">
        <v>58</v>
      </c>
      <c r="AY23" s="5207">
        <v>70</v>
      </c>
      <c r="AZ23" s="5207"/>
      <c r="BA23" s="5207"/>
      <c r="BB23" s="5207">
        <v>220</v>
      </c>
      <c r="BC23" s="5207"/>
      <c r="BD23" s="5207">
        <v>29</v>
      </c>
      <c r="BE23" s="5207">
        <v>10</v>
      </c>
      <c r="BF23" s="5207"/>
      <c r="BG23" s="5207">
        <v>50</v>
      </c>
      <c r="BH23" s="5207">
        <v>16</v>
      </c>
      <c r="BI23" s="5207">
        <v>300</v>
      </c>
      <c r="BJ23" s="5207"/>
      <c r="BK23" s="5207">
        <v>35</v>
      </c>
      <c r="BL23" s="5207">
        <v>1</v>
      </c>
      <c r="BM23" s="5207">
        <v>13</v>
      </c>
      <c r="BN23" s="5207">
        <v>22</v>
      </c>
      <c r="BO23" s="5207">
        <v>22</v>
      </c>
      <c r="BP23" s="5210">
        <v>158</v>
      </c>
      <c r="BQ23" s="5207">
        <v>7</v>
      </c>
      <c r="BR23" s="5207"/>
      <c r="BS23" s="5207">
        <v>10</v>
      </c>
      <c r="BT23" s="5207">
        <v>33</v>
      </c>
      <c r="BU23" s="5207">
        <v>20</v>
      </c>
      <c r="BV23" s="5207">
        <v>25</v>
      </c>
      <c r="BW23" s="5207">
        <v>20</v>
      </c>
      <c r="BX23" s="5207">
        <v>33</v>
      </c>
      <c r="BY23" s="5207">
        <v>30</v>
      </c>
      <c r="BZ23" s="5207">
        <v>96</v>
      </c>
      <c r="CA23" s="5207">
        <v>114</v>
      </c>
      <c r="CB23" s="5207">
        <v>114</v>
      </c>
      <c r="CC23" s="5207">
        <v>162</v>
      </c>
      <c r="CD23" s="5208">
        <v>11</v>
      </c>
      <c r="CE23" s="5207">
        <v>49</v>
      </c>
      <c r="CF23" s="5208">
        <v>124</v>
      </c>
      <c r="CG23" s="5208"/>
      <c r="CH23" s="5208">
        <v>16</v>
      </c>
      <c r="CI23" s="5208">
        <v>105</v>
      </c>
      <c r="CJ23" s="5209"/>
      <c r="CK23" s="5208">
        <v>34</v>
      </c>
      <c r="CL23" s="5208">
        <v>72</v>
      </c>
      <c r="CM23" s="5208"/>
      <c r="CN23" s="5208"/>
      <c r="CO23" s="5208"/>
      <c r="CP23" s="5208"/>
      <c r="CQ23" s="5208"/>
      <c r="CR23" s="5208">
        <v>11</v>
      </c>
      <c r="CS23" s="5208">
        <v>17</v>
      </c>
      <c r="CT23" s="5208"/>
      <c r="CU23" s="5208"/>
      <c r="CV23" s="5208">
        <v>33</v>
      </c>
      <c r="CW23" s="5208">
        <v>40</v>
      </c>
      <c r="CX23" s="5208">
        <v>51</v>
      </c>
      <c r="CY23" s="5208">
        <v>8</v>
      </c>
      <c r="CZ23" s="5208">
        <v>25</v>
      </c>
      <c r="DA23" s="5208">
        <v>80</v>
      </c>
      <c r="DB23" s="5208"/>
      <c r="DC23" s="5208"/>
      <c r="DD23" s="5208">
        <v>30</v>
      </c>
      <c r="DE23" s="5208">
        <v>55</v>
      </c>
      <c r="DF23" s="5208">
        <v>110</v>
      </c>
      <c r="DG23" s="5209"/>
      <c r="DH23" s="5208">
        <v>54</v>
      </c>
      <c r="DI23" s="5211">
        <v>241</v>
      </c>
      <c r="DJ23" s="5211">
        <v>98</v>
      </c>
      <c r="DK23" s="5211">
        <v>151</v>
      </c>
      <c r="DL23" s="5211">
        <v>98</v>
      </c>
      <c r="DM23" s="5211">
        <v>149</v>
      </c>
      <c r="DN23" s="5211">
        <v>90</v>
      </c>
      <c r="DO23" s="5211">
        <v>34</v>
      </c>
      <c r="DP23" s="5211">
        <v>112</v>
      </c>
      <c r="DQ23" s="5208">
        <v>405</v>
      </c>
      <c r="DR23" s="5208">
        <v>78</v>
      </c>
      <c r="DS23" s="5208">
        <v>206</v>
      </c>
      <c r="DT23" s="5208">
        <v>38</v>
      </c>
      <c r="DU23" s="5208">
        <v>108</v>
      </c>
      <c r="DV23" s="5208">
        <v>35</v>
      </c>
      <c r="DW23" s="5208"/>
      <c r="DX23" s="5208">
        <v>52</v>
      </c>
      <c r="DY23" s="5208">
        <v>55</v>
      </c>
      <c r="DZ23" s="5197">
        <f t="shared" ref="DZ23:DZ25" si="6">SUM(B23:DY23)</f>
        <v>7637</v>
      </c>
      <c r="EA23" s="5213"/>
      <c r="EB23" s="5214"/>
      <c r="EC23" s="5219"/>
      <c r="ED23" s="5219">
        <v>27</v>
      </c>
      <c r="EE23" s="5219"/>
      <c r="EF23" s="5214"/>
      <c r="EG23" s="5214"/>
      <c r="EH23" s="5214">
        <v>34</v>
      </c>
      <c r="EI23" s="5214">
        <v>223</v>
      </c>
      <c r="EJ23" s="5214">
        <v>17</v>
      </c>
      <c r="EK23" s="5214"/>
      <c r="EL23" s="5214"/>
      <c r="EM23" s="5214"/>
      <c r="EN23" s="5214">
        <v>218</v>
      </c>
      <c r="EO23" s="5214"/>
      <c r="EP23" s="5214">
        <v>64</v>
      </c>
      <c r="EQ23" s="5214"/>
      <c r="ER23" s="5214"/>
      <c r="ES23" s="5214">
        <v>85</v>
      </c>
      <c r="ET23" s="5214">
        <v>30</v>
      </c>
      <c r="EU23" s="5214">
        <v>47</v>
      </c>
      <c r="EV23" s="5214">
        <v>8</v>
      </c>
      <c r="EW23" s="5214">
        <v>63</v>
      </c>
      <c r="EX23" s="5214"/>
      <c r="EY23" s="5215">
        <v>88</v>
      </c>
      <c r="EZ23" s="5202">
        <v>907</v>
      </c>
      <c r="FA23" s="5214">
        <v>140</v>
      </c>
      <c r="FB23" s="5214">
        <v>660</v>
      </c>
      <c r="FC23" s="5214"/>
      <c r="FD23" s="5214"/>
      <c r="FE23" s="5211"/>
      <c r="FF23" s="5214">
        <v>250</v>
      </c>
      <c r="FG23" s="5214"/>
      <c r="FH23" s="5214"/>
      <c r="FI23" s="5214">
        <v>32</v>
      </c>
      <c r="FJ23" s="5214"/>
      <c r="FK23" s="5214">
        <v>168</v>
      </c>
      <c r="FL23" s="5214"/>
      <c r="FM23" s="5214"/>
      <c r="FN23" s="5214">
        <v>211</v>
      </c>
      <c r="FO23" s="5214">
        <v>140</v>
      </c>
      <c r="FP23" s="5214"/>
      <c r="FQ23" s="5214">
        <v>270</v>
      </c>
      <c r="FR23" s="5214"/>
      <c r="FS23" s="5214">
        <v>21</v>
      </c>
      <c r="FT23" s="5214">
        <v>18</v>
      </c>
      <c r="FU23" s="5214"/>
      <c r="FV23" s="5214">
        <v>11</v>
      </c>
      <c r="FW23" s="5214"/>
      <c r="FX23" s="5214"/>
      <c r="FY23" s="5214">
        <v>32</v>
      </c>
      <c r="FZ23" s="5214">
        <v>33</v>
      </c>
      <c r="GA23" s="5214">
        <v>52</v>
      </c>
      <c r="GB23" s="5214">
        <v>79</v>
      </c>
      <c r="GC23" s="5214">
        <v>84</v>
      </c>
      <c r="GD23" s="5214">
        <v>94</v>
      </c>
      <c r="GE23" s="5214">
        <v>95</v>
      </c>
      <c r="GF23" s="5214"/>
      <c r="GG23" s="5214"/>
      <c r="GH23" s="5214">
        <v>91</v>
      </c>
      <c r="GI23" s="5217"/>
      <c r="GJ23" s="5214">
        <v>90</v>
      </c>
      <c r="GK23" s="5214"/>
      <c r="GL23" s="5204">
        <f t="shared" ref="GL23:GL26" si="7">SUM(EA23:GK23)</f>
        <v>4382</v>
      </c>
      <c r="GM23" s="5205">
        <f t="shared" ref="GM23:GM26" si="8">SUM(B23:DY23)+SUM(EA23:GK23)</f>
        <v>12019</v>
      </c>
      <c r="GN23" s="5309">
        <v>93.9</v>
      </c>
      <c r="GO23" s="2149">
        <v>0.79166666666666663</v>
      </c>
      <c r="GP23" s="1135"/>
      <c r="GQ23" s="1135"/>
      <c r="GR23" s="1135"/>
      <c r="GS23" s="1135"/>
      <c r="GT23" s="1135"/>
      <c r="GU23" s="1135"/>
      <c r="GV23" s="1135"/>
      <c r="GW23" s="1135"/>
      <c r="GX23" s="1135"/>
      <c r="GY23" s="1135"/>
      <c r="GZ23" s="1135"/>
      <c r="HA23" s="1135"/>
      <c r="HB23" s="1135"/>
      <c r="HC23" s="1135"/>
      <c r="HD23" s="1135"/>
      <c r="HE23" s="1135"/>
      <c r="HF23" s="1135"/>
      <c r="HG23" s="1135"/>
      <c r="HH23" s="1135"/>
      <c r="HI23" s="1135"/>
      <c r="HJ23" s="1135"/>
      <c r="HK23" s="1135"/>
      <c r="HL23" s="1135"/>
      <c r="HM23" s="1135"/>
      <c r="HN23" s="1135"/>
      <c r="HO23" s="1135"/>
      <c r="HP23" s="1135"/>
      <c r="HQ23" s="1135"/>
      <c r="HR23" s="1135"/>
      <c r="HS23" s="1135"/>
      <c r="HT23" s="1135"/>
      <c r="HU23" s="1135"/>
      <c r="HV23" s="1135"/>
      <c r="HW23" s="1135"/>
      <c r="HX23" s="1135"/>
      <c r="HY23" s="1135"/>
      <c r="HZ23" s="1135"/>
      <c r="IA23" s="1135"/>
      <c r="IB23" s="1135"/>
      <c r="IC23" s="1135"/>
      <c r="ID23" s="1135"/>
      <c r="IE23" s="1135"/>
      <c r="IF23" s="1135"/>
      <c r="IG23" s="1135"/>
      <c r="IH23" s="1135"/>
      <c r="II23" s="1135"/>
      <c r="IJ23" s="1135"/>
      <c r="IK23" s="1135"/>
      <c r="IL23" s="1135"/>
      <c r="IM23" s="1135"/>
      <c r="IN23" s="1135"/>
      <c r="IO23" s="1135"/>
      <c r="IP23" s="1135"/>
      <c r="IQ23" s="1135"/>
      <c r="IR23" s="1135"/>
      <c r="IS23" s="1135"/>
      <c r="IT23" s="1135"/>
      <c r="IU23" s="1135"/>
      <c r="IV23" s="1135"/>
      <c r="IW23" s="1135"/>
      <c r="IX23" s="1135"/>
      <c r="IY23" s="1135"/>
      <c r="IZ23" s="1135"/>
      <c r="JA23" s="1135"/>
      <c r="JB23" s="1135"/>
      <c r="JC23" s="1135"/>
      <c r="JD23" s="1135"/>
      <c r="JE23" s="1135"/>
      <c r="JF23" s="1135"/>
      <c r="JG23" s="1135"/>
      <c r="JH23" s="1135"/>
      <c r="JI23" s="1135"/>
      <c r="JJ23" s="1135"/>
      <c r="JK23" s="1135"/>
      <c r="KU23" s="1136"/>
      <c r="NF23" s="1136"/>
      <c r="NG23" s="1136"/>
    </row>
    <row r="24" spans="1:381" s="413" customFormat="1" ht="27" customHeight="1">
      <c r="A24" s="3045">
        <v>0.8125</v>
      </c>
      <c r="B24" s="5180">
        <v>83</v>
      </c>
      <c r="C24" s="5181">
        <v>35</v>
      </c>
      <c r="D24" s="5181">
        <v>100</v>
      </c>
      <c r="E24" s="5181"/>
      <c r="F24" s="5182">
        <v>25</v>
      </c>
      <c r="G24" s="5183"/>
      <c r="H24" s="5182"/>
      <c r="I24" s="5182"/>
      <c r="J24" s="5181"/>
      <c r="K24" s="5181"/>
      <c r="L24" s="5181"/>
      <c r="M24" s="5181">
        <v>51</v>
      </c>
      <c r="N24" s="5181">
        <v>34</v>
      </c>
      <c r="O24" s="5181">
        <v>105</v>
      </c>
      <c r="P24" s="5181">
        <v>150</v>
      </c>
      <c r="Q24" s="5181">
        <v>38</v>
      </c>
      <c r="R24" s="5181"/>
      <c r="S24" s="5181"/>
      <c r="T24" s="5181"/>
      <c r="U24" s="5181">
        <v>242</v>
      </c>
      <c r="V24" s="5181">
        <v>8</v>
      </c>
      <c r="W24" s="5181"/>
      <c r="X24" s="5181"/>
      <c r="Y24" s="5181"/>
      <c r="Z24" s="5181">
        <v>180</v>
      </c>
      <c r="AA24" s="5181"/>
      <c r="AB24" s="5181"/>
      <c r="AC24" s="5181"/>
      <c r="AD24" s="5182"/>
      <c r="AE24" s="5181"/>
      <c r="AF24" s="5181"/>
      <c r="AG24" s="5181">
        <v>41</v>
      </c>
      <c r="AH24" s="5181">
        <v>204</v>
      </c>
      <c r="AI24" s="5181">
        <v>260</v>
      </c>
      <c r="AJ24" s="5181">
        <v>280</v>
      </c>
      <c r="AK24" s="5181"/>
      <c r="AL24" s="5181">
        <v>35</v>
      </c>
      <c r="AM24" s="5181">
        <v>127</v>
      </c>
      <c r="AN24" s="5181"/>
      <c r="AO24" s="5181"/>
      <c r="AP24" s="5181">
        <v>396</v>
      </c>
      <c r="AQ24" s="5181">
        <v>225</v>
      </c>
      <c r="AR24" s="5181">
        <v>276</v>
      </c>
      <c r="AS24" s="5181">
        <v>100</v>
      </c>
      <c r="AT24" s="5181"/>
      <c r="AU24" s="5181">
        <v>44</v>
      </c>
      <c r="AV24" s="5181">
        <v>40</v>
      </c>
      <c r="AW24" s="5181"/>
      <c r="AX24" s="5181">
        <v>58</v>
      </c>
      <c r="AY24" s="5181">
        <v>81</v>
      </c>
      <c r="AZ24" s="5181"/>
      <c r="BA24" s="5181"/>
      <c r="BB24" s="5181">
        <v>220</v>
      </c>
      <c r="BC24" s="5181"/>
      <c r="BD24" s="5181">
        <v>29</v>
      </c>
      <c r="BE24" s="5181">
        <v>9</v>
      </c>
      <c r="BF24" s="5181"/>
      <c r="BG24" s="5181">
        <v>53</v>
      </c>
      <c r="BH24" s="5181">
        <v>16</v>
      </c>
      <c r="BI24" s="5181">
        <v>270</v>
      </c>
      <c r="BJ24" s="5181"/>
      <c r="BK24" s="5181">
        <v>35</v>
      </c>
      <c r="BL24" s="5181">
        <v>2</v>
      </c>
      <c r="BM24" s="5181">
        <v>13</v>
      </c>
      <c r="BN24" s="5181">
        <v>22</v>
      </c>
      <c r="BO24" s="5181">
        <v>22</v>
      </c>
      <c r="BP24" s="5184">
        <v>160</v>
      </c>
      <c r="BQ24" s="5181">
        <v>7</v>
      </c>
      <c r="BR24" s="5181">
        <v>10</v>
      </c>
      <c r="BS24" s="5181">
        <v>10</v>
      </c>
      <c r="BT24" s="5181">
        <v>33</v>
      </c>
      <c r="BU24" s="5181">
        <v>20</v>
      </c>
      <c r="BV24" s="5181">
        <v>25</v>
      </c>
      <c r="BW24" s="5181">
        <v>26</v>
      </c>
      <c r="BX24" s="5181">
        <v>33</v>
      </c>
      <c r="BY24" s="5181">
        <v>30</v>
      </c>
      <c r="BZ24" s="5181">
        <v>96</v>
      </c>
      <c r="CA24" s="5181">
        <v>114</v>
      </c>
      <c r="CB24" s="5181">
        <v>115</v>
      </c>
      <c r="CC24" s="5181">
        <v>162</v>
      </c>
      <c r="CD24" s="5182">
        <v>50</v>
      </c>
      <c r="CE24" s="5181">
        <v>49</v>
      </c>
      <c r="CF24" s="5182">
        <v>128</v>
      </c>
      <c r="CG24" s="5182"/>
      <c r="CH24" s="5182">
        <v>43</v>
      </c>
      <c r="CI24" s="5182">
        <v>105</v>
      </c>
      <c r="CJ24" s="5183"/>
      <c r="CK24" s="5182">
        <v>36</v>
      </c>
      <c r="CL24" s="5182">
        <v>73</v>
      </c>
      <c r="CM24" s="5182"/>
      <c r="CN24" s="5182"/>
      <c r="CO24" s="5182"/>
      <c r="CP24" s="5182"/>
      <c r="CQ24" s="5182"/>
      <c r="CR24" s="5182">
        <v>41</v>
      </c>
      <c r="CS24" s="5182">
        <v>51</v>
      </c>
      <c r="CT24" s="5182"/>
      <c r="CU24" s="5182"/>
      <c r="CV24" s="5182">
        <v>33</v>
      </c>
      <c r="CW24" s="5182">
        <v>47</v>
      </c>
      <c r="CX24" s="5182">
        <v>51</v>
      </c>
      <c r="CY24" s="5182">
        <v>42</v>
      </c>
      <c r="CZ24" s="5182">
        <v>25</v>
      </c>
      <c r="DA24" s="5182">
        <v>76</v>
      </c>
      <c r="DB24" s="5182"/>
      <c r="DC24" s="5182"/>
      <c r="DD24" s="5182">
        <v>30</v>
      </c>
      <c r="DE24" s="5182">
        <v>55</v>
      </c>
      <c r="DF24" s="5182">
        <v>110</v>
      </c>
      <c r="DG24" s="5183"/>
      <c r="DH24" s="5182">
        <v>54</v>
      </c>
      <c r="DI24" s="5185">
        <v>200</v>
      </c>
      <c r="DJ24" s="5185">
        <v>60</v>
      </c>
      <c r="DK24" s="5185">
        <v>151</v>
      </c>
      <c r="DL24" s="5185">
        <v>51</v>
      </c>
      <c r="DM24" s="5185">
        <v>149</v>
      </c>
      <c r="DN24" s="5185">
        <v>90</v>
      </c>
      <c r="DO24" s="5185">
        <v>34</v>
      </c>
      <c r="DP24" s="5185">
        <v>116</v>
      </c>
      <c r="DQ24" s="5182">
        <v>404</v>
      </c>
      <c r="DR24" s="5182">
        <v>78</v>
      </c>
      <c r="DS24" s="5182">
        <v>210</v>
      </c>
      <c r="DT24" s="5182">
        <v>100</v>
      </c>
      <c r="DU24" s="5182">
        <v>108</v>
      </c>
      <c r="DV24" s="5182">
        <v>35</v>
      </c>
      <c r="DW24" s="5182"/>
      <c r="DX24" s="5182">
        <v>75</v>
      </c>
      <c r="DY24" s="5182">
        <v>55</v>
      </c>
      <c r="DZ24" s="5170">
        <f t="shared" si="6"/>
        <v>7765</v>
      </c>
      <c r="EA24" s="5186"/>
      <c r="EB24" s="5187"/>
      <c r="EC24" s="5220"/>
      <c r="ED24" s="5220">
        <v>30</v>
      </c>
      <c r="EE24" s="5220"/>
      <c r="EF24" s="5187"/>
      <c r="EG24" s="5187"/>
      <c r="EH24" s="5187">
        <v>36</v>
      </c>
      <c r="EI24" s="5187">
        <v>226</v>
      </c>
      <c r="EJ24" s="5187">
        <v>53</v>
      </c>
      <c r="EK24" s="5187"/>
      <c r="EL24" s="5187"/>
      <c r="EM24" s="5187"/>
      <c r="EN24" s="5187">
        <v>213</v>
      </c>
      <c r="EO24" s="5187"/>
      <c r="EP24" s="5187">
        <v>64</v>
      </c>
      <c r="EQ24" s="5187"/>
      <c r="ER24" s="5187"/>
      <c r="ES24" s="5187">
        <v>88</v>
      </c>
      <c r="ET24" s="5187">
        <v>31</v>
      </c>
      <c r="EU24" s="5187">
        <v>95</v>
      </c>
      <c r="EV24" s="5187">
        <v>8</v>
      </c>
      <c r="EW24" s="5187">
        <v>78</v>
      </c>
      <c r="EX24" s="5187"/>
      <c r="EY24" s="5188">
        <v>105</v>
      </c>
      <c r="EZ24" s="5175">
        <v>909</v>
      </c>
      <c r="FA24" s="5187">
        <v>145</v>
      </c>
      <c r="FB24" s="5187">
        <v>780</v>
      </c>
      <c r="FC24" s="5187"/>
      <c r="FD24" s="5187"/>
      <c r="FE24" s="5185"/>
      <c r="FF24" s="5187">
        <v>250</v>
      </c>
      <c r="FG24" s="5187"/>
      <c r="FH24" s="5187"/>
      <c r="FI24" s="5187">
        <v>32</v>
      </c>
      <c r="FJ24" s="5187"/>
      <c r="FK24" s="5187">
        <v>169</v>
      </c>
      <c r="FL24" s="5187"/>
      <c r="FM24" s="5187"/>
      <c r="FN24" s="5187">
        <v>213</v>
      </c>
      <c r="FO24" s="5187">
        <v>141</v>
      </c>
      <c r="FP24" s="5187"/>
      <c r="FQ24" s="5187">
        <v>281</v>
      </c>
      <c r="FR24" s="5187"/>
      <c r="FS24" s="5187">
        <v>21</v>
      </c>
      <c r="FT24" s="5187">
        <v>20</v>
      </c>
      <c r="FU24" s="5187"/>
      <c r="FV24" s="5187">
        <v>11</v>
      </c>
      <c r="FW24" s="5187"/>
      <c r="FX24" s="5187"/>
      <c r="FY24" s="5187">
        <v>32</v>
      </c>
      <c r="FZ24" s="5187">
        <v>33</v>
      </c>
      <c r="GA24" s="5187">
        <v>52</v>
      </c>
      <c r="GB24" s="5187">
        <v>80</v>
      </c>
      <c r="GC24" s="5187">
        <v>155</v>
      </c>
      <c r="GD24" s="5187">
        <v>94</v>
      </c>
      <c r="GE24" s="5187">
        <v>95</v>
      </c>
      <c r="GF24" s="5187"/>
      <c r="GG24" s="5187"/>
      <c r="GH24" s="5187">
        <v>91</v>
      </c>
      <c r="GI24" s="5189"/>
      <c r="GJ24" s="5187">
        <v>90</v>
      </c>
      <c r="GK24" s="5187"/>
      <c r="GL24" s="5177">
        <f t="shared" si="7"/>
        <v>4721</v>
      </c>
      <c r="GM24" s="5178">
        <f t="shared" si="8"/>
        <v>12486</v>
      </c>
      <c r="GN24" s="5309">
        <v>0</v>
      </c>
      <c r="GO24" s="4636">
        <v>0.8125</v>
      </c>
      <c r="HJ24" s="1136"/>
    </row>
    <row r="25" spans="1:381" s="413" customFormat="1" ht="27" customHeight="1">
      <c r="A25" s="3045">
        <v>0.83333333333333337</v>
      </c>
      <c r="B25" s="5180">
        <v>83</v>
      </c>
      <c r="C25" s="5181">
        <v>35</v>
      </c>
      <c r="D25" s="5181">
        <v>100</v>
      </c>
      <c r="E25" s="5181"/>
      <c r="F25" s="5182">
        <v>25</v>
      </c>
      <c r="G25" s="5183"/>
      <c r="H25" s="5182"/>
      <c r="I25" s="5182"/>
      <c r="J25" s="5181"/>
      <c r="K25" s="5181"/>
      <c r="L25" s="5181"/>
      <c r="M25" s="5181">
        <v>51</v>
      </c>
      <c r="N25" s="5181">
        <v>34</v>
      </c>
      <c r="O25" s="5181">
        <v>105</v>
      </c>
      <c r="P25" s="5181">
        <v>150</v>
      </c>
      <c r="Q25" s="5181">
        <v>38</v>
      </c>
      <c r="R25" s="5181"/>
      <c r="S25" s="5181"/>
      <c r="T25" s="5181"/>
      <c r="U25" s="5181">
        <v>242</v>
      </c>
      <c r="V25" s="5181">
        <v>8</v>
      </c>
      <c r="W25" s="5181"/>
      <c r="X25" s="5181"/>
      <c r="Y25" s="5181"/>
      <c r="Z25" s="5181">
        <v>180</v>
      </c>
      <c r="AA25" s="5181"/>
      <c r="AB25" s="5181">
        <v>60</v>
      </c>
      <c r="AC25" s="5181"/>
      <c r="AD25" s="5182"/>
      <c r="AE25" s="5181"/>
      <c r="AF25" s="5181"/>
      <c r="AG25" s="5181">
        <v>41</v>
      </c>
      <c r="AH25" s="5181">
        <v>204</v>
      </c>
      <c r="AI25" s="5181">
        <v>260</v>
      </c>
      <c r="AJ25" s="5181">
        <v>280</v>
      </c>
      <c r="AK25" s="5181"/>
      <c r="AL25" s="5181">
        <v>35</v>
      </c>
      <c r="AM25" s="5181">
        <v>129</v>
      </c>
      <c r="AN25" s="5181"/>
      <c r="AO25" s="5181"/>
      <c r="AP25" s="5181">
        <v>397</v>
      </c>
      <c r="AQ25" s="5181">
        <v>225</v>
      </c>
      <c r="AR25" s="5181">
        <v>277</v>
      </c>
      <c r="AS25" s="5181">
        <v>100</v>
      </c>
      <c r="AT25" s="5181"/>
      <c r="AU25" s="5181">
        <v>44</v>
      </c>
      <c r="AV25" s="5181">
        <v>40</v>
      </c>
      <c r="AW25" s="5181"/>
      <c r="AX25" s="5181">
        <v>56</v>
      </c>
      <c r="AY25" s="5181">
        <v>81</v>
      </c>
      <c r="AZ25" s="5181"/>
      <c r="BA25" s="5181"/>
      <c r="BB25" s="5181">
        <v>220</v>
      </c>
      <c r="BC25" s="5181"/>
      <c r="BD25" s="5181">
        <v>31</v>
      </c>
      <c r="BE25" s="5181">
        <v>9</v>
      </c>
      <c r="BF25" s="5181"/>
      <c r="BG25" s="5181">
        <v>53</v>
      </c>
      <c r="BH25" s="5181">
        <v>16</v>
      </c>
      <c r="BI25" s="5181">
        <v>265</v>
      </c>
      <c r="BJ25" s="5181"/>
      <c r="BK25" s="5181">
        <v>35</v>
      </c>
      <c r="BL25" s="5181">
        <v>4</v>
      </c>
      <c r="BM25" s="5181">
        <v>13</v>
      </c>
      <c r="BN25" s="5181">
        <v>22</v>
      </c>
      <c r="BO25" s="5181">
        <v>22</v>
      </c>
      <c r="BP25" s="5184">
        <v>160</v>
      </c>
      <c r="BQ25" s="5181">
        <v>22</v>
      </c>
      <c r="BR25" s="5181">
        <v>16</v>
      </c>
      <c r="BS25" s="5181">
        <v>10</v>
      </c>
      <c r="BT25" s="5181">
        <v>33</v>
      </c>
      <c r="BU25" s="5181">
        <v>20</v>
      </c>
      <c r="BV25" s="5181">
        <v>25</v>
      </c>
      <c r="BW25" s="5181">
        <v>27</v>
      </c>
      <c r="BX25" s="5181">
        <v>33</v>
      </c>
      <c r="BY25" s="5181">
        <v>30</v>
      </c>
      <c r="BZ25" s="5181">
        <v>97</v>
      </c>
      <c r="CA25" s="5181">
        <v>114</v>
      </c>
      <c r="CB25" s="5181">
        <v>115</v>
      </c>
      <c r="CC25" s="5181">
        <v>162</v>
      </c>
      <c r="CD25" s="5182">
        <v>43</v>
      </c>
      <c r="CE25" s="5181">
        <v>49</v>
      </c>
      <c r="CF25" s="5182">
        <v>128</v>
      </c>
      <c r="CG25" s="5182"/>
      <c r="CH25" s="5182">
        <v>43</v>
      </c>
      <c r="CI25" s="5182">
        <v>105</v>
      </c>
      <c r="CJ25" s="5183"/>
      <c r="CK25" s="5182">
        <v>36</v>
      </c>
      <c r="CL25" s="5182">
        <v>75</v>
      </c>
      <c r="CM25" s="5182"/>
      <c r="CN25" s="5182"/>
      <c r="CO25" s="5182"/>
      <c r="CP25" s="5182"/>
      <c r="CQ25" s="5182"/>
      <c r="CR25" s="5182">
        <v>38</v>
      </c>
      <c r="CS25" s="5182">
        <v>30</v>
      </c>
      <c r="CT25" s="5182"/>
      <c r="CU25" s="5182"/>
      <c r="CV25" s="5182">
        <v>33</v>
      </c>
      <c r="CW25" s="5182">
        <v>48</v>
      </c>
      <c r="CX25" s="5182">
        <v>51</v>
      </c>
      <c r="CY25" s="5182">
        <v>50</v>
      </c>
      <c r="CZ25" s="5182">
        <v>25</v>
      </c>
      <c r="DA25" s="5182">
        <v>75</v>
      </c>
      <c r="DB25" s="5182"/>
      <c r="DC25" s="5182"/>
      <c r="DD25" s="5182">
        <v>30</v>
      </c>
      <c r="DE25" s="5182">
        <v>55</v>
      </c>
      <c r="DF25" s="5182">
        <v>110</v>
      </c>
      <c r="DG25" s="5183"/>
      <c r="DH25" s="5182">
        <v>54</v>
      </c>
      <c r="DI25" s="5185">
        <v>198</v>
      </c>
      <c r="DJ25" s="5185">
        <v>60</v>
      </c>
      <c r="DK25" s="5185">
        <v>152</v>
      </c>
      <c r="DL25" s="5185">
        <v>50</v>
      </c>
      <c r="DM25" s="5185">
        <v>149</v>
      </c>
      <c r="DN25" s="5185">
        <v>90</v>
      </c>
      <c r="DO25" s="5185">
        <v>34</v>
      </c>
      <c r="DP25" s="5185">
        <v>115</v>
      </c>
      <c r="DQ25" s="5182">
        <v>404</v>
      </c>
      <c r="DR25" s="5182">
        <v>78</v>
      </c>
      <c r="DS25" s="5182">
        <v>212</v>
      </c>
      <c r="DT25" s="5182">
        <v>100</v>
      </c>
      <c r="DU25" s="5182">
        <v>108</v>
      </c>
      <c r="DV25" s="5182">
        <v>35</v>
      </c>
      <c r="DW25" s="5182"/>
      <c r="DX25" s="5182">
        <v>69</v>
      </c>
      <c r="DY25" s="5182">
        <v>55</v>
      </c>
      <c r="DZ25" s="5170">
        <f t="shared" si="6"/>
        <v>7821</v>
      </c>
      <c r="EA25" s="5186"/>
      <c r="EB25" s="5187"/>
      <c r="EC25" s="5220"/>
      <c r="ED25" s="5220">
        <v>32</v>
      </c>
      <c r="EE25" s="5220"/>
      <c r="EF25" s="5187"/>
      <c r="EG25" s="5187"/>
      <c r="EH25" s="5187">
        <v>36</v>
      </c>
      <c r="EI25" s="5187">
        <v>227</v>
      </c>
      <c r="EJ25" s="5187">
        <v>53</v>
      </c>
      <c r="EK25" s="5187"/>
      <c r="EL25" s="5187"/>
      <c r="EM25" s="5187">
        <v>120</v>
      </c>
      <c r="EN25" s="5187">
        <v>210</v>
      </c>
      <c r="EO25" s="5187"/>
      <c r="EP25" s="5187">
        <v>64</v>
      </c>
      <c r="EQ25" s="5187"/>
      <c r="ER25" s="5187"/>
      <c r="ES25" s="5187">
        <v>88</v>
      </c>
      <c r="ET25" s="5187">
        <v>31</v>
      </c>
      <c r="EU25" s="5187">
        <v>95</v>
      </c>
      <c r="EV25" s="5187">
        <v>8</v>
      </c>
      <c r="EW25" s="5187">
        <v>73</v>
      </c>
      <c r="EX25" s="5187"/>
      <c r="EY25" s="5188">
        <v>105</v>
      </c>
      <c r="EZ25" s="5175">
        <v>909</v>
      </c>
      <c r="FA25" s="5187">
        <v>150</v>
      </c>
      <c r="FB25" s="5187">
        <v>790</v>
      </c>
      <c r="FC25" s="5187"/>
      <c r="FD25" s="5187"/>
      <c r="FE25" s="5185"/>
      <c r="FF25" s="5187">
        <v>251</v>
      </c>
      <c r="FG25" s="5187"/>
      <c r="FH25" s="5187"/>
      <c r="FI25" s="5187">
        <v>32</v>
      </c>
      <c r="FJ25" s="5187"/>
      <c r="FK25" s="5187">
        <v>168</v>
      </c>
      <c r="FL25" s="5187"/>
      <c r="FM25" s="5187"/>
      <c r="FN25" s="5187">
        <v>214</v>
      </c>
      <c r="FO25" s="5187">
        <v>141</v>
      </c>
      <c r="FP25" s="5187"/>
      <c r="FQ25" s="5187">
        <v>290</v>
      </c>
      <c r="FR25" s="5187"/>
      <c r="FS25" s="5187">
        <v>21</v>
      </c>
      <c r="FT25" s="5187">
        <v>21</v>
      </c>
      <c r="FU25" s="5187"/>
      <c r="FV25" s="5187">
        <v>11</v>
      </c>
      <c r="FW25" s="5187"/>
      <c r="FX25" s="5187"/>
      <c r="FY25" s="5187">
        <v>32</v>
      </c>
      <c r="FZ25" s="5187">
        <v>34</v>
      </c>
      <c r="GA25" s="5187">
        <v>52</v>
      </c>
      <c r="GB25" s="5187">
        <v>80</v>
      </c>
      <c r="GC25" s="5187">
        <v>161</v>
      </c>
      <c r="GD25" s="5187">
        <v>94</v>
      </c>
      <c r="GE25" s="5187">
        <v>95</v>
      </c>
      <c r="GF25" s="5187"/>
      <c r="GG25" s="5187"/>
      <c r="GH25" s="5187">
        <v>91</v>
      </c>
      <c r="GI25" s="5189"/>
      <c r="GJ25" s="5187">
        <v>90</v>
      </c>
      <c r="GK25" s="5187"/>
      <c r="GL25" s="5177">
        <f t="shared" si="7"/>
        <v>4869</v>
      </c>
      <c r="GM25" s="5178">
        <f t="shared" si="8"/>
        <v>12690</v>
      </c>
      <c r="GN25" s="5309">
        <v>93.92</v>
      </c>
      <c r="GO25" s="2149">
        <v>0.83333333333333337</v>
      </c>
      <c r="GR25" s="1135"/>
      <c r="GS25" s="1135"/>
      <c r="GT25" s="1135"/>
      <c r="GU25" s="1135"/>
      <c r="GV25" s="1135"/>
      <c r="GW25" s="1135"/>
      <c r="GX25" s="1135"/>
      <c r="GY25" s="1135"/>
      <c r="GZ25" s="1135"/>
      <c r="HA25" s="1135"/>
      <c r="HB25" s="1135"/>
      <c r="HC25" s="1135"/>
      <c r="HD25" s="1135"/>
      <c r="HE25" s="1135"/>
      <c r="HF25" s="1135"/>
      <c r="HG25" s="1135"/>
      <c r="HH25" s="1135"/>
      <c r="HI25" s="1135"/>
      <c r="HJ25" s="1135"/>
      <c r="HK25" s="1135"/>
      <c r="HL25" s="1135"/>
      <c r="HM25" s="1135"/>
      <c r="HN25" s="1135"/>
      <c r="HO25" s="1135"/>
      <c r="HP25" s="1135"/>
      <c r="HQ25" s="1135"/>
      <c r="HR25" s="1135"/>
      <c r="HS25" s="1135"/>
      <c r="HT25" s="1135"/>
      <c r="HU25" s="1135"/>
      <c r="HV25" s="1135"/>
      <c r="HW25" s="1135"/>
      <c r="HX25" s="1135"/>
      <c r="HY25" s="1135"/>
      <c r="HZ25" s="1135"/>
      <c r="IA25" s="1135"/>
      <c r="IB25" s="1135"/>
      <c r="IC25" s="1135"/>
      <c r="ID25" s="1135"/>
      <c r="IE25" s="1135"/>
      <c r="IF25" s="1135"/>
      <c r="IG25" s="1135"/>
      <c r="IH25" s="1135"/>
      <c r="II25" s="1135"/>
      <c r="IJ25" s="1135"/>
      <c r="IK25" s="1135"/>
      <c r="IL25" s="1135"/>
      <c r="IM25" s="1135"/>
      <c r="IN25" s="1135"/>
      <c r="IO25" s="1135"/>
      <c r="IP25" s="1135"/>
      <c r="IQ25" s="1135"/>
      <c r="IR25" s="1135"/>
      <c r="IS25" s="1135"/>
      <c r="IT25" s="1135"/>
      <c r="IU25" s="1135"/>
      <c r="IV25" s="1135"/>
      <c r="IW25" s="1135"/>
      <c r="IX25" s="1135"/>
      <c r="IY25" s="1135"/>
      <c r="IZ25" s="1135"/>
      <c r="JA25" s="1135"/>
      <c r="JB25" s="1135"/>
      <c r="JC25" s="1135"/>
      <c r="JD25" s="1135"/>
      <c r="JE25" s="1135"/>
      <c r="JF25" s="1135"/>
      <c r="JG25" s="1135"/>
      <c r="JH25" s="1135"/>
      <c r="JI25" s="1135"/>
      <c r="JJ25" s="1135"/>
      <c r="JK25" s="1135"/>
    </row>
    <row r="26" spans="1:381" s="413" customFormat="1" ht="27" customHeight="1">
      <c r="A26" s="3045">
        <v>0.875</v>
      </c>
      <c r="B26" s="5280">
        <v>81</v>
      </c>
      <c r="C26" s="5281">
        <v>35</v>
      </c>
      <c r="D26" s="5281">
        <v>100</v>
      </c>
      <c r="E26" s="5281"/>
      <c r="F26" s="5282">
        <v>25</v>
      </c>
      <c r="G26" s="5283"/>
      <c r="H26" s="5282"/>
      <c r="I26" s="5282"/>
      <c r="J26" s="5281"/>
      <c r="K26" s="5281"/>
      <c r="L26" s="5281"/>
      <c r="M26" s="5281">
        <v>51</v>
      </c>
      <c r="N26" s="5281">
        <v>34</v>
      </c>
      <c r="O26" s="5281">
        <v>105</v>
      </c>
      <c r="P26" s="5281">
        <v>195</v>
      </c>
      <c r="Q26" s="5281">
        <v>38</v>
      </c>
      <c r="R26" s="5281"/>
      <c r="S26" s="5281"/>
      <c r="T26" s="5281"/>
      <c r="U26" s="5281">
        <v>242</v>
      </c>
      <c r="V26" s="5281">
        <v>8</v>
      </c>
      <c r="W26" s="5281"/>
      <c r="X26" s="5281"/>
      <c r="Y26" s="5281"/>
      <c r="Z26" s="5281">
        <v>180</v>
      </c>
      <c r="AA26" s="5281"/>
      <c r="AB26" s="5281">
        <v>200</v>
      </c>
      <c r="AC26" s="5281"/>
      <c r="AD26" s="5282"/>
      <c r="AE26" s="5281"/>
      <c r="AF26" s="5281"/>
      <c r="AG26" s="5281">
        <v>41</v>
      </c>
      <c r="AH26" s="5281">
        <v>208</v>
      </c>
      <c r="AI26" s="5281">
        <v>305</v>
      </c>
      <c r="AJ26" s="5281">
        <v>320</v>
      </c>
      <c r="AK26" s="5281"/>
      <c r="AL26" s="5281">
        <v>40</v>
      </c>
      <c r="AM26" s="5281">
        <v>129</v>
      </c>
      <c r="AN26" s="5281"/>
      <c r="AO26" s="5281"/>
      <c r="AP26" s="5281">
        <v>397</v>
      </c>
      <c r="AQ26" s="5281">
        <v>225</v>
      </c>
      <c r="AR26" s="5281">
        <v>257</v>
      </c>
      <c r="AS26" s="5281">
        <v>100</v>
      </c>
      <c r="AT26" s="5281"/>
      <c r="AU26" s="5281">
        <v>44</v>
      </c>
      <c r="AV26" s="5281">
        <v>41</v>
      </c>
      <c r="AW26" s="5281"/>
      <c r="AX26" s="5281">
        <v>56</v>
      </c>
      <c r="AY26" s="5281">
        <v>81</v>
      </c>
      <c r="AZ26" s="5281"/>
      <c r="BA26" s="5281"/>
      <c r="BB26" s="5281">
        <v>221</v>
      </c>
      <c r="BC26" s="5281"/>
      <c r="BD26" s="5281">
        <v>31</v>
      </c>
      <c r="BE26" s="5281">
        <v>9</v>
      </c>
      <c r="BF26" s="5281"/>
      <c r="BG26" s="5281">
        <v>53</v>
      </c>
      <c r="BH26" s="5281">
        <v>16</v>
      </c>
      <c r="BI26" s="5281">
        <v>275</v>
      </c>
      <c r="BJ26" s="5281"/>
      <c r="BK26" s="5281">
        <v>55</v>
      </c>
      <c r="BL26" s="5281">
        <v>6</v>
      </c>
      <c r="BM26" s="5281">
        <v>15</v>
      </c>
      <c r="BN26" s="5281">
        <v>22</v>
      </c>
      <c r="BO26" s="5281">
        <v>20</v>
      </c>
      <c r="BP26" s="5284">
        <v>160</v>
      </c>
      <c r="BQ26" s="5281">
        <v>30</v>
      </c>
      <c r="BR26" s="5281">
        <v>19</v>
      </c>
      <c r="BS26" s="5281">
        <v>10</v>
      </c>
      <c r="BT26" s="5281">
        <v>33</v>
      </c>
      <c r="BU26" s="5281">
        <v>20</v>
      </c>
      <c r="BV26" s="5281">
        <v>25</v>
      </c>
      <c r="BW26" s="5281">
        <v>27</v>
      </c>
      <c r="BX26" s="5281">
        <v>33</v>
      </c>
      <c r="BY26" s="5281">
        <v>30</v>
      </c>
      <c r="BZ26" s="5281">
        <v>81</v>
      </c>
      <c r="CA26" s="5281">
        <v>114</v>
      </c>
      <c r="CB26" s="5281">
        <v>115</v>
      </c>
      <c r="CC26" s="5281">
        <v>162</v>
      </c>
      <c r="CD26" s="5282">
        <v>48</v>
      </c>
      <c r="CE26" s="5281">
        <v>49</v>
      </c>
      <c r="CF26" s="5282">
        <v>128</v>
      </c>
      <c r="CG26" s="5282"/>
      <c r="CH26" s="5282">
        <v>43</v>
      </c>
      <c r="CI26" s="5282">
        <v>105</v>
      </c>
      <c r="CJ26" s="5285"/>
      <c r="CK26" s="5282">
        <v>36</v>
      </c>
      <c r="CL26" s="5282">
        <v>73</v>
      </c>
      <c r="CM26" s="5282"/>
      <c r="CN26" s="5282"/>
      <c r="CO26" s="5282"/>
      <c r="CP26" s="5282"/>
      <c r="CQ26" s="5282"/>
      <c r="CR26" s="5282">
        <v>48</v>
      </c>
      <c r="CS26" s="5282">
        <v>52</v>
      </c>
      <c r="CT26" s="5282"/>
      <c r="CU26" s="5282"/>
      <c r="CV26" s="5282">
        <v>33</v>
      </c>
      <c r="CW26" s="5282">
        <v>48</v>
      </c>
      <c r="CX26" s="5282">
        <v>51</v>
      </c>
      <c r="CY26" s="5282">
        <v>50</v>
      </c>
      <c r="CZ26" s="5282">
        <v>25</v>
      </c>
      <c r="DA26" s="5282">
        <v>80</v>
      </c>
      <c r="DB26" s="5282"/>
      <c r="DC26" s="5282"/>
      <c r="DD26" s="5282">
        <v>30</v>
      </c>
      <c r="DE26" s="5282">
        <v>55</v>
      </c>
      <c r="DF26" s="5282">
        <v>110</v>
      </c>
      <c r="DG26" s="5285"/>
      <c r="DH26" s="5282">
        <v>54</v>
      </c>
      <c r="DI26" s="5286">
        <v>284</v>
      </c>
      <c r="DJ26" s="5286">
        <v>96</v>
      </c>
      <c r="DK26" s="5286">
        <v>154</v>
      </c>
      <c r="DL26" s="5286">
        <v>100</v>
      </c>
      <c r="DM26" s="5286">
        <v>149</v>
      </c>
      <c r="DN26" s="5286">
        <v>90</v>
      </c>
      <c r="DO26" s="5286">
        <v>34</v>
      </c>
      <c r="DP26" s="5286">
        <v>122</v>
      </c>
      <c r="DQ26" s="5282">
        <v>402</v>
      </c>
      <c r="DR26" s="5282">
        <v>106</v>
      </c>
      <c r="DS26" s="5282">
        <v>214</v>
      </c>
      <c r="DT26" s="5282">
        <v>100</v>
      </c>
      <c r="DU26" s="5282">
        <v>108</v>
      </c>
      <c r="DV26" s="5282">
        <v>6</v>
      </c>
      <c r="DW26" s="5282"/>
      <c r="DX26" s="5282">
        <v>75</v>
      </c>
      <c r="DY26" s="5282">
        <v>55</v>
      </c>
      <c r="DZ26" s="5287">
        <f>SUM(B26:DY26)</f>
        <v>8333</v>
      </c>
      <c r="EA26" s="5288"/>
      <c r="EB26" s="5289"/>
      <c r="EC26" s="5290"/>
      <c r="ED26" s="5290">
        <v>32</v>
      </c>
      <c r="EE26" s="5290"/>
      <c r="EF26" s="5289"/>
      <c r="EG26" s="5289"/>
      <c r="EH26" s="5289">
        <v>38</v>
      </c>
      <c r="EI26" s="5289">
        <v>228</v>
      </c>
      <c r="EJ26" s="5289">
        <v>53</v>
      </c>
      <c r="EK26" s="5289"/>
      <c r="EL26" s="5289"/>
      <c r="EM26" s="5289">
        <v>150</v>
      </c>
      <c r="EN26" s="5289">
        <v>187</v>
      </c>
      <c r="EO26" s="5289"/>
      <c r="EP26" s="5289">
        <v>64</v>
      </c>
      <c r="EQ26" s="5289"/>
      <c r="ER26" s="5289"/>
      <c r="ES26" s="5289">
        <v>88</v>
      </c>
      <c r="ET26" s="5289">
        <v>33</v>
      </c>
      <c r="EU26" s="5289">
        <v>96</v>
      </c>
      <c r="EV26" s="5289">
        <v>8</v>
      </c>
      <c r="EW26" s="5289">
        <v>72</v>
      </c>
      <c r="EX26" s="5289"/>
      <c r="EY26" s="5291">
        <v>105</v>
      </c>
      <c r="EZ26" s="5292">
        <v>909</v>
      </c>
      <c r="FA26" s="5289">
        <v>150</v>
      </c>
      <c r="FB26" s="5289">
        <v>800</v>
      </c>
      <c r="FC26" s="5289"/>
      <c r="FD26" s="5289"/>
      <c r="FE26" s="5289"/>
      <c r="FF26" s="5289">
        <v>240</v>
      </c>
      <c r="FG26" s="5289"/>
      <c r="FH26" s="5289"/>
      <c r="FI26" s="5289">
        <v>32</v>
      </c>
      <c r="FJ26" s="5289"/>
      <c r="FK26" s="5289">
        <v>170</v>
      </c>
      <c r="FL26" s="5289"/>
      <c r="FM26" s="5289"/>
      <c r="FN26" s="5289">
        <v>213</v>
      </c>
      <c r="FO26" s="5289">
        <v>143</v>
      </c>
      <c r="FP26" s="5289"/>
      <c r="FQ26" s="5289">
        <v>286</v>
      </c>
      <c r="FR26" s="5289"/>
      <c r="FS26" s="5289">
        <v>25</v>
      </c>
      <c r="FT26" s="5289">
        <v>21</v>
      </c>
      <c r="FU26" s="5289"/>
      <c r="FV26" s="5289">
        <v>11</v>
      </c>
      <c r="FW26" s="5289"/>
      <c r="FX26" s="5289"/>
      <c r="FY26" s="5289">
        <v>32</v>
      </c>
      <c r="FZ26" s="5289">
        <v>34</v>
      </c>
      <c r="GA26" s="5289">
        <v>52</v>
      </c>
      <c r="GB26" s="5289">
        <v>80</v>
      </c>
      <c r="GC26" s="5289">
        <v>172</v>
      </c>
      <c r="GD26" s="5289">
        <v>94</v>
      </c>
      <c r="GE26" s="5289">
        <v>95</v>
      </c>
      <c r="GF26" s="5289"/>
      <c r="GG26" s="5289"/>
      <c r="GH26" s="5289">
        <v>91</v>
      </c>
      <c r="GI26" s="5293"/>
      <c r="GJ26" s="5289">
        <v>90</v>
      </c>
      <c r="GK26" s="5055"/>
      <c r="GL26" s="5056">
        <f t="shared" si="7"/>
        <v>4894</v>
      </c>
      <c r="GM26" s="5057">
        <f t="shared" si="8"/>
        <v>13227</v>
      </c>
      <c r="GN26" s="5309">
        <v>93.94</v>
      </c>
      <c r="GO26" s="3560">
        <v>0.875</v>
      </c>
      <c r="GP26" s="2361"/>
      <c r="GQ26" s="2361"/>
      <c r="GR26" s="1135"/>
      <c r="GS26" s="1135"/>
      <c r="GT26" s="1135"/>
      <c r="GU26" s="1135"/>
      <c r="GV26" s="1135"/>
      <c r="GW26" s="1135"/>
      <c r="GX26" s="1135"/>
      <c r="GY26" s="1135"/>
      <c r="GZ26" s="1135"/>
      <c r="HA26" s="1135"/>
      <c r="HB26" s="1135"/>
      <c r="HC26" s="1135"/>
      <c r="HD26" s="1135"/>
      <c r="HE26" s="1135"/>
      <c r="HF26" s="1135"/>
      <c r="HG26" s="1135"/>
      <c r="HH26" s="1135"/>
      <c r="HI26" s="1135"/>
      <c r="HJ26" s="1135"/>
      <c r="HK26" s="1135"/>
      <c r="HL26" s="1135"/>
      <c r="HM26" s="1135"/>
      <c r="HN26" s="1135"/>
      <c r="HO26" s="1135"/>
      <c r="HP26" s="1135"/>
      <c r="HQ26" s="1135"/>
      <c r="HR26" s="1135"/>
      <c r="HS26" s="1135"/>
      <c r="HT26" s="1135"/>
      <c r="HU26" s="1135"/>
      <c r="HV26" s="1135"/>
      <c r="HW26" s="1135"/>
      <c r="HX26" s="1135"/>
      <c r="HY26" s="1135"/>
      <c r="HZ26" s="1135"/>
      <c r="IA26" s="1135"/>
      <c r="IB26" s="1135"/>
      <c r="IC26" s="1135"/>
      <c r="ID26" s="1135"/>
      <c r="IE26" s="1135"/>
      <c r="IF26" s="1135"/>
      <c r="IG26" s="1135"/>
      <c r="IH26" s="1135"/>
      <c r="II26" s="1135"/>
      <c r="IJ26" s="1135"/>
      <c r="IK26" s="1135"/>
      <c r="IL26" s="1135"/>
      <c r="IM26" s="1135"/>
      <c r="IN26" s="1135"/>
      <c r="IO26" s="1135"/>
      <c r="IP26" s="1135"/>
      <c r="IQ26" s="1135"/>
      <c r="IR26" s="1135"/>
      <c r="IS26" s="1135"/>
      <c r="IT26" s="1135"/>
      <c r="IU26" s="1135"/>
      <c r="IV26" s="1135"/>
      <c r="IW26" s="1135"/>
      <c r="IX26" s="1135"/>
      <c r="IY26" s="1135"/>
      <c r="IZ26" s="1135"/>
      <c r="JA26" s="1135"/>
      <c r="JB26" s="1135"/>
      <c r="JC26" s="1135"/>
      <c r="JD26" s="1135"/>
      <c r="JE26" s="1135"/>
      <c r="JF26" s="1135"/>
      <c r="JG26" s="1135"/>
      <c r="JH26" s="1135"/>
      <c r="JI26" s="1135"/>
      <c r="JJ26" s="1135"/>
      <c r="JK26" s="1135"/>
    </row>
    <row r="27" spans="1:381" s="413" customFormat="1" ht="27" customHeight="1">
      <c r="A27" s="3047">
        <v>0.91666666666666663</v>
      </c>
      <c r="B27" s="5296">
        <v>81</v>
      </c>
      <c r="C27" s="5297">
        <v>35</v>
      </c>
      <c r="D27" s="5297">
        <v>100</v>
      </c>
      <c r="E27" s="5297"/>
      <c r="F27" s="5298">
        <v>25</v>
      </c>
      <c r="G27" s="5299"/>
      <c r="H27" s="5298"/>
      <c r="I27" s="5298"/>
      <c r="J27" s="5297"/>
      <c r="K27" s="5297"/>
      <c r="L27" s="5297"/>
      <c r="M27" s="5297">
        <v>51</v>
      </c>
      <c r="N27" s="5297">
        <v>34</v>
      </c>
      <c r="O27" s="5297">
        <v>105</v>
      </c>
      <c r="P27" s="5297">
        <v>140</v>
      </c>
      <c r="Q27" s="5297">
        <v>38</v>
      </c>
      <c r="R27" s="5297"/>
      <c r="S27" s="5297"/>
      <c r="T27" s="5297"/>
      <c r="U27" s="5297">
        <v>242</v>
      </c>
      <c r="V27" s="5297">
        <v>8</v>
      </c>
      <c r="W27" s="5297"/>
      <c r="X27" s="5297"/>
      <c r="Y27" s="5297"/>
      <c r="Z27" s="5297">
        <v>180</v>
      </c>
      <c r="AA27" s="5297"/>
      <c r="AB27" s="5297">
        <v>200</v>
      </c>
      <c r="AC27" s="5297"/>
      <c r="AD27" s="5298"/>
      <c r="AE27" s="5297"/>
      <c r="AF27" s="5297"/>
      <c r="AG27" s="5297">
        <v>42</v>
      </c>
      <c r="AH27" s="5297">
        <v>206</v>
      </c>
      <c r="AI27" s="5297">
        <v>320</v>
      </c>
      <c r="AJ27" s="5297">
        <v>320</v>
      </c>
      <c r="AK27" s="5297"/>
      <c r="AL27" s="5297">
        <v>49</v>
      </c>
      <c r="AM27" s="5297">
        <v>129</v>
      </c>
      <c r="AN27" s="5297"/>
      <c r="AO27" s="5297"/>
      <c r="AP27" s="5297">
        <v>398</v>
      </c>
      <c r="AQ27" s="5297">
        <v>225</v>
      </c>
      <c r="AR27" s="5297">
        <v>247</v>
      </c>
      <c r="AS27" s="5297">
        <v>100</v>
      </c>
      <c r="AT27" s="5297"/>
      <c r="AU27" s="5297">
        <v>43</v>
      </c>
      <c r="AV27" s="5297">
        <v>40</v>
      </c>
      <c r="AW27" s="5297"/>
      <c r="AX27" s="5297">
        <v>61</v>
      </c>
      <c r="AY27" s="5297">
        <v>81</v>
      </c>
      <c r="AZ27" s="5297"/>
      <c r="BA27" s="5297"/>
      <c r="BB27" s="5297">
        <v>221</v>
      </c>
      <c r="BC27" s="5297"/>
      <c r="BD27" s="5297">
        <v>31</v>
      </c>
      <c r="BE27" s="5297">
        <v>9</v>
      </c>
      <c r="BF27" s="5297"/>
      <c r="BG27" s="5297">
        <v>53</v>
      </c>
      <c r="BH27" s="5297">
        <v>16</v>
      </c>
      <c r="BI27" s="5297">
        <v>300</v>
      </c>
      <c r="BJ27" s="5297"/>
      <c r="BK27" s="5297">
        <v>55</v>
      </c>
      <c r="BL27" s="5297">
        <v>7</v>
      </c>
      <c r="BM27" s="5297">
        <v>15</v>
      </c>
      <c r="BN27" s="5297">
        <v>22</v>
      </c>
      <c r="BO27" s="5297">
        <v>20</v>
      </c>
      <c r="BP27" s="5284">
        <v>170</v>
      </c>
      <c r="BQ27" s="5297">
        <v>35</v>
      </c>
      <c r="BR27" s="5297">
        <v>21</v>
      </c>
      <c r="BS27" s="5297">
        <v>10</v>
      </c>
      <c r="BT27" s="5297">
        <v>33</v>
      </c>
      <c r="BU27" s="5297">
        <v>20</v>
      </c>
      <c r="BV27" s="5297">
        <v>25</v>
      </c>
      <c r="BW27" s="5297">
        <v>27</v>
      </c>
      <c r="BX27" s="5297">
        <v>33</v>
      </c>
      <c r="BY27" s="5297">
        <v>17</v>
      </c>
      <c r="BZ27" s="5297">
        <v>84</v>
      </c>
      <c r="CA27" s="5297">
        <v>114</v>
      </c>
      <c r="CB27" s="5297">
        <v>113</v>
      </c>
      <c r="CC27" s="5297">
        <v>162</v>
      </c>
      <c r="CD27" s="5298">
        <v>48</v>
      </c>
      <c r="CE27" s="5297">
        <v>49</v>
      </c>
      <c r="CF27" s="5298">
        <v>128</v>
      </c>
      <c r="CG27" s="5298"/>
      <c r="CH27" s="5298">
        <v>43</v>
      </c>
      <c r="CI27" s="5298">
        <v>105</v>
      </c>
      <c r="CJ27" s="5299"/>
      <c r="CK27" s="5298">
        <v>36</v>
      </c>
      <c r="CL27" s="5298">
        <v>74</v>
      </c>
      <c r="CM27" s="5298"/>
      <c r="CN27" s="5298"/>
      <c r="CO27" s="5298"/>
      <c r="CP27" s="5298"/>
      <c r="CQ27" s="5298"/>
      <c r="CR27" s="5298">
        <v>48</v>
      </c>
      <c r="CS27" s="5298">
        <v>52</v>
      </c>
      <c r="CT27" s="5298"/>
      <c r="CU27" s="5298"/>
      <c r="CV27" s="5298">
        <v>33</v>
      </c>
      <c r="CW27" s="5298">
        <v>48</v>
      </c>
      <c r="CX27" s="5298">
        <v>51</v>
      </c>
      <c r="CY27" s="5298">
        <v>50</v>
      </c>
      <c r="CZ27" s="5298">
        <v>25</v>
      </c>
      <c r="DA27" s="5298">
        <v>80</v>
      </c>
      <c r="DB27" s="5298"/>
      <c r="DC27" s="5298"/>
      <c r="DD27" s="5298">
        <v>30</v>
      </c>
      <c r="DE27" s="5298">
        <v>55</v>
      </c>
      <c r="DF27" s="5298">
        <v>110</v>
      </c>
      <c r="DG27" s="5300"/>
      <c r="DH27" s="5298">
        <v>54</v>
      </c>
      <c r="DI27" s="5300">
        <v>292</v>
      </c>
      <c r="DJ27" s="5300">
        <v>50</v>
      </c>
      <c r="DK27" s="5300">
        <v>181</v>
      </c>
      <c r="DL27" s="5300">
        <v>50</v>
      </c>
      <c r="DM27" s="5300">
        <v>149</v>
      </c>
      <c r="DN27" s="5300">
        <v>90</v>
      </c>
      <c r="DO27" s="5300">
        <v>34</v>
      </c>
      <c r="DP27" s="5300">
        <v>125</v>
      </c>
      <c r="DQ27" s="5298">
        <v>404</v>
      </c>
      <c r="DR27" s="5298">
        <v>87</v>
      </c>
      <c r="DS27" s="5298">
        <v>214</v>
      </c>
      <c r="DT27" s="5298">
        <v>100</v>
      </c>
      <c r="DU27" s="5298">
        <v>108</v>
      </c>
      <c r="DV27" s="5298">
        <v>35</v>
      </c>
      <c r="DW27" s="5298"/>
      <c r="DX27" s="5298">
        <v>75</v>
      </c>
      <c r="DY27" s="5298">
        <v>55</v>
      </c>
      <c r="DZ27" s="5287">
        <f>SUM(B27:DY27)</f>
        <v>8281</v>
      </c>
      <c r="EA27" s="5301"/>
      <c r="EB27" s="5302"/>
      <c r="EC27" s="5303"/>
      <c r="ED27" s="5302">
        <v>32</v>
      </c>
      <c r="EE27" s="5302"/>
      <c r="EF27" s="5302"/>
      <c r="EG27" s="5302"/>
      <c r="EH27" s="5302">
        <v>42</v>
      </c>
      <c r="EI27" s="5302">
        <v>227</v>
      </c>
      <c r="EJ27" s="5302">
        <v>53</v>
      </c>
      <c r="EK27" s="5302"/>
      <c r="EL27" s="5302"/>
      <c r="EM27" s="5302">
        <v>150</v>
      </c>
      <c r="EN27" s="5302">
        <v>221</v>
      </c>
      <c r="EO27" s="5302"/>
      <c r="EP27" s="5302">
        <v>64</v>
      </c>
      <c r="EQ27" s="5304"/>
      <c r="ER27" s="5302"/>
      <c r="ES27" s="5302">
        <v>88</v>
      </c>
      <c r="ET27" s="5302">
        <v>34</v>
      </c>
      <c r="EU27" s="5302">
        <v>96</v>
      </c>
      <c r="EV27" s="5302">
        <v>8</v>
      </c>
      <c r="EW27" s="5302">
        <v>72</v>
      </c>
      <c r="EX27" s="5302"/>
      <c r="EY27" s="5305">
        <v>105</v>
      </c>
      <c r="EZ27" s="5292">
        <v>909</v>
      </c>
      <c r="FA27" s="5302">
        <v>150</v>
      </c>
      <c r="FB27" s="5302">
        <v>790</v>
      </c>
      <c r="FC27" s="5302"/>
      <c r="FD27" s="5302"/>
      <c r="FE27" s="5302"/>
      <c r="FF27" s="5302">
        <v>250</v>
      </c>
      <c r="FG27" s="5302"/>
      <c r="FH27" s="5302"/>
      <c r="FI27" s="5302">
        <v>32</v>
      </c>
      <c r="FJ27" s="5302"/>
      <c r="FK27" s="5302">
        <v>173</v>
      </c>
      <c r="FL27" s="5302"/>
      <c r="FM27" s="5302"/>
      <c r="FN27" s="5302">
        <v>212</v>
      </c>
      <c r="FO27" s="5302">
        <v>145</v>
      </c>
      <c r="FP27" s="5302"/>
      <c r="FQ27" s="5302">
        <v>291</v>
      </c>
      <c r="FR27" s="5302"/>
      <c r="FS27" s="5302">
        <v>28</v>
      </c>
      <c r="FT27" s="5302">
        <v>22</v>
      </c>
      <c r="FU27" s="5302"/>
      <c r="FV27" s="5302">
        <v>11</v>
      </c>
      <c r="FW27" s="5302"/>
      <c r="FX27" s="5302"/>
      <c r="FY27" s="5302">
        <v>32</v>
      </c>
      <c r="FZ27" s="5302">
        <v>34</v>
      </c>
      <c r="GA27" s="5302">
        <v>52</v>
      </c>
      <c r="GB27" s="5302">
        <v>80</v>
      </c>
      <c r="GC27" s="5302">
        <v>169</v>
      </c>
      <c r="GD27" s="5302">
        <v>94</v>
      </c>
      <c r="GE27" s="5302">
        <v>95</v>
      </c>
      <c r="GF27" s="5302">
        <v>0</v>
      </c>
      <c r="GG27" s="5302">
        <v>0</v>
      </c>
      <c r="GH27" s="5302">
        <v>91</v>
      </c>
      <c r="GI27" s="5306"/>
      <c r="GJ27" s="5302">
        <v>90</v>
      </c>
      <c r="GK27" s="5302"/>
      <c r="GL27" s="5307">
        <f>SUM(EA27:GK27)</f>
        <v>4942</v>
      </c>
      <c r="GM27" s="5308">
        <f>SUM(B27:DY27)+SUM(EA27:GK27)</f>
        <v>13223</v>
      </c>
      <c r="GN27" s="5309">
        <v>93.96</v>
      </c>
      <c r="GO27" s="2150">
        <v>0.91666666666666663</v>
      </c>
      <c r="GP27" s="1135"/>
      <c r="GQ27" s="1135"/>
      <c r="GR27" s="1135"/>
      <c r="GS27" s="1135"/>
      <c r="GT27" s="1135"/>
      <c r="GU27" s="1135"/>
      <c r="GV27" s="1135"/>
      <c r="GW27" s="1135"/>
      <c r="GX27" s="1135"/>
      <c r="GY27" s="1135"/>
      <c r="GZ27" s="1135"/>
      <c r="HA27" s="1135"/>
      <c r="HB27" s="1135"/>
      <c r="HC27" s="1135"/>
      <c r="HD27" s="1135"/>
      <c r="HE27" s="1135"/>
      <c r="HF27" s="1135"/>
      <c r="HG27" s="1135"/>
      <c r="HH27" s="1135"/>
      <c r="HI27" s="1135"/>
      <c r="HJ27" s="1135"/>
      <c r="HK27" s="1135"/>
      <c r="HL27" s="1135"/>
      <c r="HM27" s="1135"/>
      <c r="HN27" s="1135"/>
      <c r="HO27" s="1135"/>
      <c r="HP27" s="1135"/>
      <c r="HQ27" s="1135"/>
      <c r="HR27" s="1135"/>
      <c r="HS27" s="1135"/>
      <c r="HT27" s="1135"/>
      <c r="HU27" s="1135"/>
      <c r="HV27" s="1135"/>
      <c r="HW27" s="1135"/>
      <c r="HX27" s="1135"/>
      <c r="HY27" s="1135"/>
      <c r="HZ27" s="1135"/>
      <c r="IA27" s="1135"/>
      <c r="IB27" s="1135"/>
      <c r="IC27" s="1135"/>
      <c r="ID27" s="1135"/>
      <c r="IE27" s="1135"/>
      <c r="IF27" s="1135"/>
      <c r="IG27" s="1135"/>
      <c r="IH27" s="1135"/>
      <c r="II27" s="1135"/>
      <c r="IJ27" s="1135"/>
      <c r="IK27" s="1135"/>
      <c r="IL27" s="1135"/>
      <c r="IM27" s="1135"/>
      <c r="IN27" s="1135"/>
      <c r="IO27" s="1135"/>
      <c r="IP27" s="1135"/>
      <c r="IQ27" s="1135"/>
      <c r="IR27" s="1134"/>
      <c r="IS27" s="1134"/>
      <c r="IT27" s="1135"/>
      <c r="IU27" s="1135"/>
      <c r="IV27" s="1135"/>
      <c r="IW27" s="1135"/>
      <c r="IX27" s="1135"/>
      <c r="IY27" s="1135"/>
      <c r="IZ27" s="1135"/>
      <c r="JA27" s="1135"/>
      <c r="JB27" s="1135"/>
      <c r="JC27" s="1135"/>
      <c r="JD27" s="1135"/>
      <c r="JE27" s="1135"/>
      <c r="JF27" s="1135"/>
      <c r="JG27" s="1135"/>
      <c r="JH27" s="1135"/>
      <c r="JI27" s="1135"/>
      <c r="JJ27" s="1135"/>
      <c r="JK27" s="1134"/>
    </row>
    <row r="28" spans="1:381" s="413" customFormat="1" ht="27" customHeight="1">
      <c r="A28" s="3047">
        <v>0.95833333333333337</v>
      </c>
      <c r="B28" s="5296">
        <v>81</v>
      </c>
      <c r="C28" s="5297">
        <v>35</v>
      </c>
      <c r="D28" s="5297">
        <v>100</v>
      </c>
      <c r="E28" s="5297"/>
      <c r="F28" s="5298">
        <v>25</v>
      </c>
      <c r="G28" s="5298"/>
      <c r="H28" s="5298"/>
      <c r="I28" s="5298"/>
      <c r="J28" s="5297"/>
      <c r="K28" s="5297"/>
      <c r="L28" s="5297"/>
      <c r="M28" s="5297">
        <v>51</v>
      </c>
      <c r="N28" s="5297">
        <v>34</v>
      </c>
      <c r="O28" s="5297">
        <v>105</v>
      </c>
      <c r="P28" s="5297">
        <v>196</v>
      </c>
      <c r="Q28" s="5297">
        <v>38</v>
      </c>
      <c r="R28" s="5297"/>
      <c r="S28" s="5297"/>
      <c r="T28" s="5297"/>
      <c r="U28" s="5297">
        <v>242</v>
      </c>
      <c r="V28" s="5297">
        <v>8</v>
      </c>
      <c r="W28" s="5297"/>
      <c r="X28" s="5297"/>
      <c r="Y28" s="5297"/>
      <c r="Z28" s="5297">
        <v>180</v>
      </c>
      <c r="AA28" s="5297"/>
      <c r="AB28" s="5297">
        <v>200</v>
      </c>
      <c r="AC28" s="5297"/>
      <c r="AD28" s="5298"/>
      <c r="AE28" s="5297"/>
      <c r="AF28" s="5297"/>
      <c r="AG28" s="5297">
        <v>42</v>
      </c>
      <c r="AH28" s="5297">
        <v>205</v>
      </c>
      <c r="AI28" s="5297">
        <v>320</v>
      </c>
      <c r="AJ28" s="5297">
        <v>320</v>
      </c>
      <c r="AK28" s="5297"/>
      <c r="AL28" s="5297">
        <v>51</v>
      </c>
      <c r="AM28" s="5297">
        <v>128</v>
      </c>
      <c r="AN28" s="5297"/>
      <c r="AO28" s="5297"/>
      <c r="AP28" s="5297">
        <v>399</v>
      </c>
      <c r="AQ28" s="5297">
        <v>225</v>
      </c>
      <c r="AR28" s="5297">
        <v>247</v>
      </c>
      <c r="AS28" s="5297">
        <v>100</v>
      </c>
      <c r="AT28" s="5297"/>
      <c r="AU28" s="5297">
        <v>43</v>
      </c>
      <c r="AV28" s="5297">
        <v>41</v>
      </c>
      <c r="AW28" s="5297"/>
      <c r="AX28" s="5297">
        <v>61</v>
      </c>
      <c r="AY28" s="5297">
        <v>81</v>
      </c>
      <c r="AZ28" s="5297"/>
      <c r="BA28" s="5297"/>
      <c r="BB28" s="5297">
        <v>221</v>
      </c>
      <c r="BC28" s="5297"/>
      <c r="BD28" s="5297">
        <v>30</v>
      </c>
      <c r="BE28" s="5297">
        <v>9</v>
      </c>
      <c r="BF28" s="5297"/>
      <c r="BG28" s="5297">
        <v>53</v>
      </c>
      <c r="BH28" s="5297">
        <v>16</v>
      </c>
      <c r="BI28" s="5297">
        <v>320</v>
      </c>
      <c r="BJ28" s="5297"/>
      <c r="BK28" s="5297">
        <v>55</v>
      </c>
      <c r="BL28" s="5297">
        <v>8</v>
      </c>
      <c r="BM28" s="5297">
        <v>15</v>
      </c>
      <c r="BN28" s="5297">
        <v>22</v>
      </c>
      <c r="BO28" s="5297">
        <v>20</v>
      </c>
      <c r="BP28" s="5284">
        <v>162</v>
      </c>
      <c r="BQ28" s="5297">
        <v>37</v>
      </c>
      <c r="BR28" s="5297">
        <v>21</v>
      </c>
      <c r="BS28" s="5297">
        <v>10</v>
      </c>
      <c r="BT28" s="5297">
        <v>33</v>
      </c>
      <c r="BU28" s="5297">
        <v>20</v>
      </c>
      <c r="BV28" s="5297">
        <v>25</v>
      </c>
      <c r="BW28" s="5297">
        <v>27</v>
      </c>
      <c r="BX28" s="5297">
        <v>33</v>
      </c>
      <c r="BY28" s="5297">
        <v>33</v>
      </c>
      <c r="BZ28" s="5297">
        <v>88</v>
      </c>
      <c r="CA28" s="5297">
        <v>114</v>
      </c>
      <c r="CB28" s="5297">
        <v>114</v>
      </c>
      <c r="CC28" s="5297">
        <v>162</v>
      </c>
      <c r="CD28" s="5298">
        <v>48</v>
      </c>
      <c r="CE28" s="5297">
        <v>49</v>
      </c>
      <c r="CF28" s="5298">
        <v>128</v>
      </c>
      <c r="CG28" s="5298"/>
      <c r="CH28" s="5298">
        <v>43</v>
      </c>
      <c r="CI28" s="5298">
        <v>105</v>
      </c>
      <c r="CJ28" s="5298"/>
      <c r="CK28" s="5298">
        <v>36</v>
      </c>
      <c r="CL28" s="5298">
        <v>75</v>
      </c>
      <c r="CM28" s="5298"/>
      <c r="CN28" s="5298"/>
      <c r="CO28" s="5298"/>
      <c r="CP28" s="5298"/>
      <c r="CQ28" s="5298"/>
      <c r="CR28" s="5298">
        <v>48</v>
      </c>
      <c r="CS28" s="5298">
        <v>50</v>
      </c>
      <c r="CT28" s="5298"/>
      <c r="CU28" s="5298"/>
      <c r="CV28" s="5298">
        <v>33</v>
      </c>
      <c r="CW28" s="5298">
        <v>48</v>
      </c>
      <c r="CX28" s="5298">
        <v>51</v>
      </c>
      <c r="CY28" s="5298">
        <v>50</v>
      </c>
      <c r="CZ28" s="5298">
        <v>25</v>
      </c>
      <c r="DA28" s="5298">
        <v>44</v>
      </c>
      <c r="DB28" s="5298"/>
      <c r="DC28" s="5298"/>
      <c r="DD28" s="5298">
        <v>30</v>
      </c>
      <c r="DE28" s="5298">
        <v>55</v>
      </c>
      <c r="DF28" s="5298">
        <v>110</v>
      </c>
      <c r="DG28" s="5298"/>
      <c r="DH28" s="5298">
        <v>54</v>
      </c>
      <c r="DI28" s="5298">
        <v>297</v>
      </c>
      <c r="DJ28" s="5298">
        <v>95</v>
      </c>
      <c r="DK28" s="5298">
        <v>180</v>
      </c>
      <c r="DL28" s="5298">
        <v>99</v>
      </c>
      <c r="DM28" s="5298">
        <v>134</v>
      </c>
      <c r="DN28" s="5298">
        <v>90</v>
      </c>
      <c r="DO28" s="5298">
        <v>34</v>
      </c>
      <c r="DP28" s="5298">
        <v>130</v>
      </c>
      <c r="DQ28" s="5298">
        <v>381</v>
      </c>
      <c r="DR28" s="5298">
        <v>78</v>
      </c>
      <c r="DS28" s="5298">
        <v>53</v>
      </c>
      <c r="DT28" s="5298">
        <v>100</v>
      </c>
      <c r="DU28" s="5298">
        <v>108</v>
      </c>
      <c r="DV28" s="5298">
        <v>35</v>
      </c>
      <c r="DW28" s="5298"/>
      <c r="DX28" s="5298">
        <v>60</v>
      </c>
      <c r="DY28" s="5298">
        <v>55</v>
      </c>
      <c r="DZ28" s="5287">
        <f>SUM(B28:DY28)</f>
        <v>8217</v>
      </c>
      <c r="EA28" s="5301"/>
      <c r="EB28" s="5302"/>
      <c r="EC28" s="5303"/>
      <c r="ED28" s="5302">
        <v>32</v>
      </c>
      <c r="EE28" s="5302"/>
      <c r="EF28" s="5302"/>
      <c r="EG28" s="5302"/>
      <c r="EH28" s="5302">
        <v>32</v>
      </c>
      <c r="EI28" s="5302">
        <v>227</v>
      </c>
      <c r="EJ28" s="5302">
        <v>36</v>
      </c>
      <c r="EK28" s="5302"/>
      <c r="EL28" s="5302"/>
      <c r="EM28" s="5302">
        <v>38</v>
      </c>
      <c r="EN28" s="5302">
        <v>220</v>
      </c>
      <c r="EO28" s="5302"/>
      <c r="EP28" s="5302">
        <v>64</v>
      </c>
      <c r="EQ28" s="5304"/>
      <c r="ER28" s="5302"/>
      <c r="ES28" s="5302">
        <v>82</v>
      </c>
      <c r="ET28" s="5302">
        <v>30</v>
      </c>
      <c r="EU28" s="5302">
        <v>96</v>
      </c>
      <c r="EV28" s="5302">
        <v>8</v>
      </c>
      <c r="EW28" s="5302">
        <v>66</v>
      </c>
      <c r="EX28" s="5302"/>
      <c r="EY28" s="5305">
        <v>105</v>
      </c>
      <c r="EZ28" s="5292">
        <v>909</v>
      </c>
      <c r="FA28" s="5302">
        <v>155</v>
      </c>
      <c r="FB28" s="5302">
        <v>790</v>
      </c>
      <c r="FC28" s="5302"/>
      <c r="FD28" s="5302"/>
      <c r="FE28" s="5302"/>
      <c r="FF28" s="5302">
        <v>250</v>
      </c>
      <c r="FG28" s="5302"/>
      <c r="FH28" s="5302"/>
      <c r="FI28" s="5302">
        <v>32</v>
      </c>
      <c r="FJ28" s="5302"/>
      <c r="FK28" s="5302">
        <v>175</v>
      </c>
      <c r="FL28" s="5302"/>
      <c r="FM28" s="5302"/>
      <c r="FN28" s="5302">
        <v>211</v>
      </c>
      <c r="FO28" s="5302">
        <v>145</v>
      </c>
      <c r="FP28" s="5302"/>
      <c r="FQ28" s="5302">
        <v>287</v>
      </c>
      <c r="FR28" s="5302"/>
      <c r="FS28" s="5302">
        <v>26</v>
      </c>
      <c r="FT28" s="5302">
        <v>21</v>
      </c>
      <c r="FU28" s="5302"/>
      <c r="FV28" s="5302">
        <v>11</v>
      </c>
      <c r="FW28" s="5302"/>
      <c r="FX28" s="5302"/>
      <c r="FY28" s="5302">
        <v>32</v>
      </c>
      <c r="FZ28" s="5302">
        <v>34</v>
      </c>
      <c r="GA28" s="5302">
        <v>43</v>
      </c>
      <c r="GB28" s="5302">
        <v>80</v>
      </c>
      <c r="GC28" s="5302">
        <v>170</v>
      </c>
      <c r="GD28" s="5302">
        <v>94</v>
      </c>
      <c r="GE28" s="5302">
        <v>95</v>
      </c>
      <c r="GF28" s="5302">
        <v>0</v>
      </c>
      <c r="GG28" s="5302">
        <v>0</v>
      </c>
      <c r="GH28" s="5302">
        <v>91</v>
      </c>
      <c r="GI28" s="5306"/>
      <c r="GJ28" s="5302">
        <v>90</v>
      </c>
      <c r="GK28" s="5302"/>
      <c r="GL28" s="5307">
        <f>SUM(EA28:GK28)</f>
        <v>4777</v>
      </c>
      <c r="GM28" s="5308">
        <f>SUM(B28:DY28)+SUM(EA28:GK28)</f>
        <v>12994</v>
      </c>
      <c r="GN28" s="5309">
        <v>93.98</v>
      </c>
      <c r="GO28" s="2150">
        <v>0.95833333333333337</v>
      </c>
      <c r="GP28" s="2648"/>
      <c r="GQ28" s="2648"/>
      <c r="GR28" s="2648"/>
      <c r="GS28" s="2648"/>
      <c r="GT28" s="2648"/>
      <c r="GU28" s="2648"/>
      <c r="GV28" s="2648"/>
      <c r="GW28" s="2648"/>
      <c r="GX28" s="2648"/>
      <c r="GY28" s="2648"/>
      <c r="GZ28" s="2648"/>
      <c r="HA28" s="2648"/>
      <c r="HB28" s="2648"/>
      <c r="HC28" s="2648"/>
      <c r="HD28" s="2648"/>
      <c r="HE28" s="2648"/>
      <c r="HF28" s="2648"/>
      <c r="HG28" s="2648"/>
      <c r="HH28" s="2648"/>
      <c r="HI28" s="2648"/>
      <c r="HJ28" s="2648"/>
      <c r="HK28" s="2648"/>
      <c r="HL28" s="2648"/>
      <c r="HM28" s="2648"/>
      <c r="HN28" s="2648"/>
      <c r="HO28" s="2648"/>
      <c r="HP28" s="2648"/>
      <c r="HQ28" s="2648"/>
      <c r="HR28" s="2648"/>
      <c r="HS28" s="2648"/>
      <c r="HT28" s="2648"/>
      <c r="HU28" s="2648"/>
      <c r="HV28" s="2648"/>
      <c r="HW28" s="2648"/>
      <c r="HX28" s="2648"/>
      <c r="HY28" s="2648"/>
      <c r="HZ28" s="2648"/>
      <c r="IA28" s="2648"/>
      <c r="IB28" s="2648"/>
      <c r="IC28" s="2648"/>
      <c r="ID28" s="2648"/>
      <c r="IE28" s="2648"/>
      <c r="IF28" s="2648"/>
      <c r="IG28" s="2648"/>
      <c r="IH28" s="2648"/>
      <c r="II28" s="2648"/>
      <c r="IJ28" s="2648"/>
      <c r="IK28" s="2648"/>
      <c r="IL28" s="2648"/>
      <c r="IM28" s="2648"/>
      <c r="IN28" s="2648"/>
      <c r="IO28" s="2648"/>
      <c r="IP28" s="2648"/>
      <c r="IQ28" s="2648"/>
      <c r="IR28" s="2649"/>
      <c r="IS28" s="2649"/>
      <c r="IT28" s="2648"/>
      <c r="IU28" s="2648"/>
      <c r="IV28" s="2648"/>
      <c r="IW28" s="2648"/>
      <c r="IX28" s="2648"/>
      <c r="IY28" s="2648"/>
      <c r="IZ28" s="2648"/>
      <c r="JA28" s="2648"/>
      <c r="JB28" s="2648"/>
      <c r="JC28" s="2648"/>
      <c r="JD28" s="2648"/>
      <c r="JE28" s="2648"/>
      <c r="JF28" s="2648"/>
      <c r="JG28" s="2648"/>
      <c r="JH28" s="2648"/>
      <c r="JI28" s="2648"/>
      <c r="JJ28" s="2648"/>
      <c r="JK28" s="2649"/>
      <c r="JL28" s="2648"/>
      <c r="JM28" s="2648"/>
      <c r="JN28" s="2648"/>
      <c r="JO28" s="2648"/>
      <c r="JP28" s="2648"/>
      <c r="JQ28" s="2648"/>
      <c r="JR28" s="2648"/>
      <c r="JS28" s="2648"/>
      <c r="JT28" s="2648"/>
      <c r="JU28" s="2648"/>
      <c r="JV28" s="2648"/>
      <c r="JW28" s="2648"/>
      <c r="JX28" s="2648"/>
      <c r="JY28" s="2648"/>
      <c r="JZ28" s="2648"/>
      <c r="KA28" s="2648"/>
      <c r="KB28" s="2648"/>
      <c r="KC28" s="2648"/>
      <c r="KD28" s="2648"/>
      <c r="KE28" s="2648"/>
      <c r="KF28" s="2648"/>
      <c r="KG28" s="2648"/>
      <c r="KH28" s="2648"/>
      <c r="KI28" s="2648"/>
      <c r="KJ28" s="2648"/>
      <c r="KK28" s="2648"/>
      <c r="KL28" s="2648"/>
      <c r="KM28" s="2648"/>
      <c r="KN28" s="2648"/>
      <c r="KO28" s="2648"/>
      <c r="KP28" s="2648"/>
      <c r="KQ28" s="2648"/>
      <c r="KR28" s="2648"/>
      <c r="KS28" s="2648"/>
      <c r="KT28" s="2648"/>
      <c r="KU28" s="2648"/>
      <c r="KV28" s="2649"/>
      <c r="KW28" s="2648"/>
      <c r="KX28" s="2648"/>
      <c r="KY28" s="2648"/>
      <c r="KZ28" s="2648"/>
      <c r="LA28" s="2648"/>
      <c r="LB28" s="2648"/>
      <c r="LC28" s="2648"/>
      <c r="LD28" s="2648"/>
      <c r="LE28" s="2648"/>
      <c r="LF28" s="2648"/>
      <c r="LG28" s="2648"/>
      <c r="LH28" s="2648"/>
      <c r="LI28" s="2648"/>
      <c r="LJ28" s="2648"/>
      <c r="LK28" s="2648"/>
      <c r="LL28" s="2648"/>
      <c r="LM28" s="2648"/>
      <c r="LN28" s="2648"/>
      <c r="LO28" s="2648"/>
      <c r="LP28" s="2648"/>
      <c r="LQ28" s="2648"/>
      <c r="LR28" s="2648"/>
      <c r="LS28" s="2648"/>
      <c r="LT28" s="2648"/>
      <c r="LU28" s="2648"/>
      <c r="LV28" s="2648"/>
      <c r="LW28" s="2648"/>
      <c r="LX28" s="2648"/>
      <c r="LY28" s="2648"/>
      <c r="LZ28" s="2648"/>
      <c r="MA28" s="2648"/>
      <c r="MB28" s="2648"/>
      <c r="MC28" s="2648"/>
      <c r="MD28" s="2648"/>
      <c r="ME28" s="2648"/>
      <c r="MF28" s="2648"/>
      <c r="MG28" s="2648"/>
      <c r="MH28" s="2648"/>
      <c r="MI28" s="2648"/>
      <c r="MJ28" s="2648"/>
      <c r="MK28" s="2648"/>
      <c r="ML28" s="2648"/>
      <c r="MM28" s="2648"/>
      <c r="MN28" s="2648"/>
      <c r="MO28" s="2648"/>
      <c r="MP28" s="2648"/>
      <c r="MQ28" s="2648"/>
      <c r="MR28" s="2648"/>
      <c r="MS28" s="2648"/>
      <c r="MT28" s="2648"/>
      <c r="MU28" s="2648"/>
      <c r="MV28" s="2648"/>
      <c r="MW28" s="2648"/>
      <c r="MX28" s="2648"/>
      <c r="MY28" s="2648"/>
      <c r="MZ28" s="2648"/>
      <c r="NA28" s="2648"/>
      <c r="NB28" s="2648"/>
      <c r="NC28" s="2648"/>
      <c r="ND28" s="2648"/>
      <c r="NE28" s="2648"/>
      <c r="NF28" s="2648"/>
      <c r="NG28" s="2650"/>
      <c r="NH28" s="2649"/>
      <c r="NI28" s="2648"/>
    </row>
    <row r="29" spans="1:381" s="413" customFormat="1" ht="27" customHeight="1" thickBot="1">
      <c r="A29" s="3047">
        <v>0</v>
      </c>
      <c r="B29" s="5310">
        <v>81</v>
      </c>
      <c r="C29" s="5311">
        <v>35</v>
      </c>
      <c r="D29" s="5311">
        <v>100</v>
      </c>
      <c r="E29" s="5311"/>
      <c r="F29" s="5312">
        <v>25</v>
      </c>
      <c r="G29" s="5313"/>
      <c r="H29" s="5312"/>
      <c r="I29" s="5312"/>
      <c r="J29" s="5311"/>
      <c r="K29" s="5311"/>
      <c r="L29" s="5311"/>
      <c r="M29" s="5311">
        <v>51</v>
      </c>
      <c r="N29" s="5311">
        <v>34</v>
      </c>
      <c r="O29" s="5311">
        <v>92</v>
      </c>
      <c r="P29" s="5311">
        <v>197</v>
      </c>
      <c r="Q29" s="5311">
        <v>39</v>
      </c>
      <c r="R29" s="5311"/>
      <c r="S29" s="5311"/>
      <c r="T29" s="5311"/>
      <c r="U29" s="5311">
        <v>135</v>
      </c>
      <c r="V29" s="5311">
        <v>8</v>
      </c>
      <c r="W29" s="5311"/>
      <c r="X29" s="5311"/>
      <c r="Y29" s="5311"/>
      <c r="Z29" s="5311">
        <v>180</v>
      </c>
      <c r="AA29" s="5311"/>
      <c r="AB29" s="5311">
        <v>200</v>
      </c>
      <c r="AC29" s="5311"/>
      <c r="AD29" s="5312"/>
      <c r="AE29" s="5311"/>
      <c r="AF29" s="5311"/>
      <c r="AG29" s="5311">
        <v>42</v>
      </c>
      <c r="AH29" s="5311">
        <v>199</v>
      </c>
      <c r="AI29" s="5311">
        <v>320</v>
      </c>
      <c r="AJ29" s="5311">
        <v>320</v>
      </c>
      <c r="AK29" s="5311"/>
      <c r="AL29" s="5311">
        <v>51</v>
      </c>
      <c r="AM29" s="5311">
        <v>127</v>
      </c>
      <c r="AN29" s="5311"/>
      <c r="AO29" s="5311"/>
      <c r="AP29" s="5311">
        <v>398</v>
      </c>
      <c r="AQ29" s="5311">
        <v>225</v>
      </c>
      <c r="AR29" s="5311">
        <v>265</v>
      </c>
      <c r="AS29" s="5311">
        <v>100</v>
      </c>
      <c r="AT29" s="5311"/>
      <c r="AU29" s="5311">
        <v>43</v>
      </c>
      <c r="AV29" s="5311">
        <v>41</v>
      </c>
      <c r="AW29" s="5311"/>
      <c r="AX29" s="5311">
        <v>61</v>
      </c>
      <c r="AY29" s="5311">
        <v>81</v>
      </c>
      <c r="AZ29" s="5311"/>
      <c r="BA29" s="5311"/>
      <c r="BB29" s="5311">
        <v>214</v>
      </c>
      <c r="BC29" s="5311"/>
      <c r="BD29" s="5311">
        <v>31</v>
      </c>
      <c r="BE29" s="5311">
        <v>9</v>
      </c>
      <c r="BF29" s="5311"/>
      <c r="BG29" s="5311">
        <v>50</v>
      </c>
      <c r="BH29" s="5311">
        <v>16</v>
      </c>
      <c r="BI29" s="5311">
        <v>295</v>
      </c>
      <c r="BJ29" s="5311"/>
      <c r="BK29" s="5311">
        <v>55</v>
      </c>
      <c r="BL29" s="5311">
        <v>10</v>
      </c>
      <c r="BM29" s="5311">
        <v>15</v>
      </c>
      <c r="BN29" s="5311">
        <v>22</v>
      </c>
      <c r="BO29" s="5311">
        <v>22</v>
      </c>
      <c r="BP29" s="5314">
        <v>162</v>
      </c>
      <c r="BQ29" s="5311">
        <v>38</v>
      </c>
      <c r="BR29" s="5311">
        <v>22</v>
      </c>
      <c r="BS29" s="5311">
        <v>10</v>
      </c>
      <c r="BT29" s="5311">
        <v>33</v>
      </c>
      <c r="BU29" s="5311">
        <v>20</v>
      </c>
      <c r="BV29" s="5311">
        <v>25</v>
      </c>
      <c r="BW29" s="5311">
        <v>27</v>
      </c>
      <c r="BX29" s="5311">
        <v>33</v>
      </c>
      <c r="BY29" s="5311">
        <v>33</v>
      </c>
      <c r="BZ29" s="5311">
        <v>87</v>
      </c>
      <c r="CA29" s="5311">
        <v>52</v>
      </c>
      <c r="CB29" s="5311">
        <v>58</v>
      </c>
      <c r="CC29" s="5311">
        <v>162</v>
      </c>
      <c r="CD29" s="5312">
        <v>14</v>
      </c>
      <c r="CE29" s="5311">
        <v>49</v>
      </c>
      <c r="CF29" s="5312">
        <v>48</v>
      </c>
      <c r="CG29" s="5312"/>
      <c r="CH29" s="5312">
        <v>43</v>
      </c>
      <c r="CI29" s="5312">
        <v>105</v>
      </c>
      <c r="CJ29" s="5313"/>
      <c r="CK29" s="5312">
        <v>36</v>
      </c>
      <c r="CL29" s="5312">
        <v>57</v>
      </c>
      <c r="CM29" s="5312"/>
      <c r="CN29" s="5312"/>
      <c r="CO29" s="5312"/>
      <c r="CP29" s="5312"/>
      <c r="CQ29" s="5312"/>
      <c r="CR29" s="5312">
        <v>9</v>
      </c>
      <c r="CS29" s="5312">
        <v>20</v>
      </c>
      <c r="CT29" s="5312"/>
      <c r="CU29" s="5312"/>
      <c r="CV29" s="5312">
        <v>33</v>
      </c>
      <c r="CW29" s="5312">
        <v>48</v>
      </c>
      <c r="CX29" s="5312">
        <v>51</v>
      </c>
      <c r="CY29" s="5312">
        <v>8</v>
      </c>
      <c r="CZ29" s="5312">
        <v>25</v>
      </c>
      <c r="DA29" s="5315">
        <v>11</v>
      </c>
      <c r="DB29" s="5312"/>
      <c r="DC29" s="5312"/>
      <c r="DD29" s="5312">
        <v>30</v>
      </c>
      <c r="DE29" s="5312">
        <v>55</v>
      </c>
      <c r="DF29" s="5312">
        <v>110</v>
      </c>
      <c r="DG29" s="5316"/>
      <c r="DH29" s="5316">
        <v>54</v>
      </c>
      <c r="DI29" s="5316">
        <v>277</v>
      </c>
      <c r="DJ29" s="5316">
        <v>95</v>
      </c>
      <c r="DK29" s="5316">
        <v>47</v>
      </c>
      <c r="DL29" s="5316">
        <v>99</v>
      </c>
      <c r="DM29" s="5316">
        <v>118</v>
      </c>
      <c r="DN29" s="5316">
        <v>21</v>
      </c>
      <c r="DO29" s="5316">
        <v>34</v>
      </c>
      <c r="DP29" s="5316">
        <v>132</v>
      </c>
      <c r="DQ29" s="5312">
        <v>403</v>
      </c>
      <c r="DR29" s="5312">
        <v>49</v>
      </c>
      <c r="DS29" s="5312">
        <v>52</v>
      </c>
      <c r="DT29" s="5312">
        <v>100</v>
      </c>
      <c r="DU29" s="5312">
        <v>108</v>
      </c>
      <c r="DV29" s="5312">
        <v>35</v>
      </c>
      <c r="DW29" s="5312"/>
      <c r="DX29" s="5312">
        <v>73</v>
      </c>
      <c r="DY29" s="5312">
        <v>55</v>
      </c>
      <c r="DZ29" s="5287">
        <f>SUM(B29:DY29)</f>
        <v>7455</v>
      </c>
      <c r="EA29" s="5317"/>
      <c r="EB29" s="5305"/>
      <c r="EC29" s="5318"/>
      <c r="ED29" s="5305">
        <v>32</v>
      </c>
      <c r="EE29" s="5305"/>
      <c r="EF29" s="5305"/>
      <c r="EG29" s="5305"/>
      <c r="EH29" s="5305">
        <v>32</v>
      </c>
      <c r="EI29" s="5305">
        <v>227</v>
      </c>
      <c r="EJ29" s="5305">
        <v>0</v>
      </c>
      <c r="EK29" s="5305"/>
      <c r="EL29" s="5305"/>
      <c r="EM29" s="5305">
        <v>90</v>
      </c>
      <c r="EN29" s="5305">
        <v>220</v>
      </c>
      <c r="EO29" s="5305"/>
      <c r="EP29" s="5305">
        <v>64</v>
      </c>
      <c r="EQ29" s="5305"/>
      <c r="ER29" s="5305"/>
      <c r="ES29" s="5305">
        <v>87</v>
      </c>
      <c r="ET29" s="5305">
        <v>32</v>
      </c>
      <c r="EU29" s="5305">
        <v>96</v>
      </c>
      <c r="EV29" s="5305">
        <v>8</v>
      </c>
      <c r="EW29" s="5305">
        <v>66</v>
      </c>
      <c r="EX29" s="5305"/>
      <c r="EY29" s="5305">
        <v>89</v>
      </c>
      <c r="EZ29" s="5319">
        <v>909</v>
      </c>
      <c r="FA29" s="5305">
        <v>155</v>
      </c>
      <c r="FB29" s="5305">
        <v>790</v>
      </c>
      <c r="FC29" s="5305"/>
      <c r="FD29" s="5305"/>
      <c r="FE29" s="5305"/>
      <c r="FF29" s="5305">
        <v>250</v>
      </c>
      <c r="FG29" s="5305"/>
      <c r="FH29" s="5305"/>
      <c r="FI29" s="5305">
        <v>32</v>
      </c>
      <c r="FJ29" s="5305"/>
      <c r="FK29" s="5305">
        <v>174</v>
      </c>
      <c r="FL29" s="5305"/>
      <c r="FM29" s="5305"/>
      <c r="FN29" s="5302">
        <v>211</v>
      </c>
      <c r="FO29" s="5305">
        <v>145</v>
      </c>
      <c r="FP29" s="5305"/>
      <c r="FQ29" s="5305">
        <v>275</v>
      </c>
      <c r="FR29" s="5305"/>
      <c r="FS29" s="5305">
        <v>28</v>
      </c>
      <c r="FT29" s="5305">
        <v>22</v>
      </c>
      <c r="FU29" s="5305"/>
      <c r="FV29" s="5305">
        <v>11</v>
      </c>
      <c r="FW29" s="5305"/>
      <c r="FX29" s="5305"/>
      <c r="FY29" s="5305">
        <v>32</v>
      </c>
      <c r="FZ29" s="5305">
        <v>34</v>
      </c>
      <c r="GA29" s="5305">
        <v>8</v>
      </c>
      <c r="GB29" s="5305">
        <v>80</v>
      </c>
      <c r="GC29" s="5305">
        <v>170</v>
      </c>
      <c r="GD29" s="5305">
        <v>94</v>
      </c>
      <c r="GE29" s="5305">
        <v>95</v>
      </c>
      <c r="GF29" s="5305">
        <v>0</v>
      </c>
      <c r="GG29" s="5305">
        <v>0</v>
      </c>
      <c r="GH29" s="5305">
        <v>56</v>
      </c>
      <c r="GI29" s="5320"/>
      <c r="GJ29" s="5305">
        <v>90</v>
      </c>
      <c r="GK29" s="5321"/>
      <c r="GL29" s="5307">
        <f>SUM(EA29:GK29)</f>
        <v>4704</v>
      </c>
      <c r="GM29" s="5308">
        <f>SUM(B29:DY29)+SUM(EA29:GK29)</f>
        <v>12159</v>
      </c>
      <c r="GN29" s="5309">
        <v>94</v>
      </c>
      <c r="GO29" s="3593">
        <v>1</v>
      </c>
      <c r="GP29" s="1135"/>
      <c r="GQ29" s="1135"/>
      <c r="GR29" s="1135"/>
      <c r="GS29" s="1135"/>
      <c r="GT29" s="1135"/>
      <c r="GU29" s="1135"/>
      <c r="GV29" s="1135"/>
      <c r="GW29" s="1135"/>
      <c r="GX29" s="1135"/>
      <c r="GY29" s="1135"/>
      <c r="GZ29" s="1135"/>
      <c r="HA29" s="1135"/>
      <c r="HB29" s="1135"/>
      <c r="HC29" s="1135"/>
      <c r="HD29" s="1135"/>
      <c r="HE29" s="1135"/>
      <c r="HF29" s="1135"/>
      <c r="HG29" s="1135"/>
      <c r="HH29" s="1135"/>
      <c r="HI29" s="1135"/>
      <c r="HJ29" s="1135"/>
      <c r="HK29" s="1135"/>
      <c r="HL29" s="1135"/>
      <c r="HM29" s="1135"/>
      <c r="HN29" s="1135"/>
      <c r="HO29" s="1135"/>
      <c r="HP29" s="1135"/>
      <c r="HQ29" s="1135"/>
      <c r="HR29" s="1135"/>
      <c r="HS29" s="1135"/>
      <c r="HT29" s="1135"/>
      <c r="HU29" s="1135"/>
      <c r="HV29" s="1135"/>
      <c r="HW29" s="1135"/>
      <c r="HX29" s="1135"/>
      <c r="HY29" s="1135"/>
      <c r="HZ29" s="1135"/>
      <c r="IA29" s="1135"/>
      <c r="IB29" s="1135"/>
      <c r="IC29" s="1135"/>
      <c r="ID29" s="1135"/>
      <c r="IE29" s="1135"/>
      <c r="IF29" s="1135"/>
      <c r="IG29" s="1135"/>
      <c r="IH29" s="1135"/>
      <c r="II29" s="1135"/>
      <c r="IJ29" s="1135"/>
      <c r="IK29" s="1135"/>
      <c r="IL29" s="1135"/>
      <c r="IM29" s="1135"/>
      <c r="IN29" s="1135"/>
      <c r="IO29" s="1135"/>
      <c r="IP29" s="1135"/>
      <c r="IQ29" s="1135"/>
      <c r="IR29" s="1135"/>
      <c r="IS29" s="1135"/>
      <c r="IT29" s="1135"/>
      <c r="IU29" s="1135"/>
      <c r="IV29" s="1135"/>
      <c r="IW29" s="1135"/>
      <c r="IX29" s="1135"/>
      <c r="IY29" s="1135"/>
      <c r="IZ29" s="1135"/>
      <c r="JA29" s="1135"/>
      <c r="JB29" s="1135"/>
      <c r="JC29" s="1135"/>
      <c r="JD29" s="1135"/>
      <c r="JE29" s="1135"/>
      <c r="JF29" s="1135"/>
      <c r="JG29" s="1135"/>
      <c r="JH29" s="1135"/>
      <c r="JI29" s="1135"/>
      <c r="JJ29" s="1135"/>
      <c r="JK29" s="1135"/>
    </row>
    <row r="30" spans="1:381" s="1094" customFormat="1" ht="27" customHeight="1" thickBot="1">
      <c r="A30" s="3048" t="s">
        <v>1080</v>
      </c>
      <c r="B30" s="5322">
        <v>1956567</v>
      </c>
      <c r="C30" s="5323">
        <v>840000</v>
      </c>
      <c r="D30" s="5323">
        <v>2400000</v>
      </c>
      <c r="E30" s="5323"/>
      <c r="F30" s="5323">
        <v>317142</v>
      </c>
      <c r="G30" s="5323">
        <v>116640</v>
      </c>
      <c r="H30" s="5323"/>
      <c r="I30" s="5323"/>
      <c r="J30" s="5323"/>
      <c r="K30" s="5323"/>
      <c r="L30" s="5323"/>
      <c r="M30" s="5323">
        <v>909799</v>
      </c>
      <c r="N30" s="5323">
        <v>655824</v>
      </c>
      <c r="O30" s="5323">
        <v>2221382</v>
      </c>
      <c r="P30" s="5323">
        <v>1072896</v>
      </c>
      <c r="Q30" s="5323">
        <v>791304</v>
      </c>
      <c r="R30" s="5323"/>
      <c r="S30" s="5323"/>
      <c r="T30" s="5323"/>
      <c r="U30" s="5323">
        <v>4927852</v>
      </c>
      <c r="V30" s="5323">
        <v>669090</v>
      </c>
      <c r="W30" s="5323"/>
      <c r="X30" s="5323"/>
      <c r="Y30" s="5323"/>
      <c r="Z30" s="5323">
        <v>4315500</v>
      </c>
      <c r="AA30" s="5323"/>
      <c r="AB30" s="5323">
        <v>687100</v>
      </c>
      <c r="AC30" s="5323"/>
      <c r="AD30" s="5323"/>
      <c r="AE30" s="5323"/>
      <c r="AF30" s="5323"/>
      <c r="AG30" s="5323">
        <v>876024</v>
      </c>
      <c r="AH30" s="5323">
        <v>4649000</v>
      </c>
      <c r="AI30" s="5323">
        <v>7525000</v>
      </c>
      <c r="AJ30" s="5323">
        <v>7969400</v>
      </c>
      <c r="AK30" s="5323"/>
      <c r="AL30" s="5323">
        <v>702720</v>
      </c>
      <c r="AM30" s="5323">
        <v>3203990</v>
      </c>
      <c r="AN30" s="5323"/>
      <c r="AO30" s="5323"/>
      <c r="AP30" s="5323">
        <v>9773060</v>
      </c>
      <c r="AQ30" s="5323">
        <v>4975150</v>
      </c>
      <c r="AR30" s="5323">
        <v>7262000</v>
      </c>
      <c r="AS30" s="5323">
        <v>2149440</v>
      </c>
      <c r="AT30" s="5323">
        <v>400130</v>
      </c>
      <c r="AU30" s="5323">
        <v>1015000</v>
      </c>
      <c r="AV30" s="5323">
        <v>967424</v>
      </c>
      <c r="AW30" s="5323"/>
      <c r="AX30" s="5323">
        <v>1423008</v>
      </c>
      <c r="AY30" s="5323">
        <v>857280</v>
      </c>
      <c r="AZ30" s="5323"/>
      <c r="BA30" s="5323"/>
      <c r="BB30" s="5323">
        <v>5156820</v>
      </c>
      <c r="BC30" s="5323"/>
      <c r="BD30" s="5323">
        <v>718000</v>
      </c>
      <c r="BE30" s="5323">
        <v>231120</v>
      </c>
      <c r="BF30" s="5323"/>
      <c r="BG30" s="5323">
        <v>997800</v>
      </c>
      <c r="BH30" s="5323">
        <v>238560</v>
      </c>
      <c r="BI30" s="5323">
        <v>7541500</v>
      </c>
      <c r="BJ30" s="5323"/>
      <c r="BK30" s="5323">
        <v>626577</v>
      </c>
      <c r="BL30" s="5323">
        <v>37680</v>
      </c>
      <c r="BM30" s="5323">
        <v>331824</v>
      </c>
      <c r="BN30" s="5323">
        <v>456948</v>
      </c>
      <c r="BO30" s="5323">
        <v>441756</v>
      </c>
      <c r="BP30" s="5323">
        <v>3880320</v>
      </c>
      <c r="BQ30" s="5323">
        <v>521280</v>
      </c>
      <c r="BR30" s="5323">
        <v>323856</v>
      </c>
      <c r="BS30" s="5323">
        <v>238500</v>
      </c>
      <c r="BT30" s="5323">
        <v>767300</v>
      </c>
      <c r="BU30" s="5323">
        <v>487130</v>
      </c>
      <c r="BV30" s="5323">
        <v>600000</v>
      </c>
      <c r="BW30" s="5323">
        <v>539100</v>
      </c>
      <c r="BX30" s="5323">
        <v>586000</v>
      </c>
      <c r="BY30" s="5323">
        <v>649400</v>
      </c>
      <c r="BZ30" s="5323">
        <v>2080454</v>
      </c>
      <c r="CA30" s="5323">
        <v>1089840</v>
      </c>
      <c r="CB30" s="5323">
        <v>1700160</v>
      </c>
      <c r="CC30" s="5323">
        <v>2822400</v>
      </c>
      <c r="CD30" s="5323">
        <v>461933</v>
      </c>
      <c r="CE30" s="5323">
        <v>1141920</v>
      </c>
      <c r="CF30" s="5323">
        <v>1740480</v>
      </c>
      <c r="CG30" s="5323"/>
      <c r="CH30" s="5323">
        <v>422918</v>
      </c>
      <c r="CI30" s="5323">
        <v>2208000</v>
      </c>
      <c r="CJ30" s="5323">
        <v>34439</v>
      </c>
      <c r="CK30" s="5323">
        <v>769538</v>
      </c>
      <c r="CL30" s="5323">
        <v>1441053</v>
      </c>
      <c r="CM30" s="5323"/>
      <c r="CN30" s="5323"/>
      <c r="CO30" s="5323"/>
      <c r="CP30" s="5323"/>
      <c r="CQ30" s="5323"/>
      <c r="CR30" s="5323">
        <v>463680</v>
      </c>
      <c r="CS30" s="5323">
        <v>554880</v>
      </c>
      <c r="CT30" s="5323"/>
      <c r="CU30" s="5323"/>
      <c r="CV30" s="5323">
        <v>1039320</v>
      </c>
      <c r="CW30" s="5323">
        <v>925488</v>
      </c>
      <c r="CX30" s="5323">
        <v>1156134</v>
      </c>
      <c r="CY30" s="5323">
        <v>459216</v>
      </c>
      <c r="CZ30" s="5323">
        <v>605760</v>
      </c>
      <c r="DA30" s="5323">
        <v>650880</v>
      </c>
      <c r="DB30" s="5323">
        <v>0</v>
      </c>
      <c r="DC30" s="5323"/>
      <c r="DD30" s="5323">
        <v>751006</v>
      </c>
      <c r="DE30" s="5323">
        <v>1308761</v>
      </c>
      <c r="DF30" s="5323">
        <v>2542336</v>
      </c>
      <c r="DG30" s="5323">
        <v>16000</v>
      </c>
      <c r="DH30" s="5323">
        <v>894600</v>
      </c>
      <c r="DI30" s="5323">
        <v>1815668</v>
      </c>
      <c r="DJ30" s="5323">
        <v>686089</v>
      </c>
      <c r="DK30" s="5323">
        <v>1812000</v>
      </c>
      <c r="DL30" s="5323">
        <v>705761</v>
      </c>
      <c r="DM30" s="5323">
        <v>2784960</v>
      </c>
      <c r="DN30" s="5323">
        <v>981120</v>
      </c>
      <c r="DO30" s="5324">
        <v>850080</v>
      </c>
      <c r="DP30" s="5324">
        <v>2944000</v>
      </c>
      <c r="DQ30" s="5323">
        <v>9456000</v>
      </c>
      <c r="DR30" s="5323">
        <v>1368000</v>
      </c>
      <c r="DS30" s="5323">
        <v>1656000</v>
      </c>
      <c r="DT30" s="5323">
        <v>1045440</v>
      </c>
      <c r="DU30" s="5323">
        <v>2608200</v>
      </c>
      <c r="DV30" s="5323">
        <v>849960</v>
      </c>
      <c r="DW30" s="5323">
        <v>257725</v>
      </c>
      <c r="DX30" s="5325">
        <v>1683840</v>
      </c>
      <c r="DY30" s="5325">
        <v>1312560</v>
      </c>
      <c r="DZ30" s="5287">
        <f>SUM(B30:DY30)</f>
        <v>161099792</v>
      </c>
      <c r="EA30" s="5326"/>
      <c r="EB30" s="5327"/>
      <c r="EC30" s="5327"/>
      <c r="ED30" s="5327">
        <v>474240</v>
      </c>
      <c r="EE30" s="5327"/>
      <c r="EF30" s="5327"/>
      <c r="EG30" s="5327"/>
      <c r="EH30" s="5327">
        <v>304800</v>
      </c>
      <c r="EI30" s="5327">
        <v>5425920</v>
      </c>
      <c r="EJ30" s="5327">
        <v>360960</v>
      </c>
      <c r="EK30" s="5327">
        <v>636480</v>
      </c>
      <c r="EL30" s="5327"/>
      <c r="EM30" s="5327">
        <v>945600</v>
      </c>
      <c r="EN30" s="5327">
        <v>5164336</v>
      </c>
      <c r="EO30" s="5327"/>
      <c r="EP30" s="5327">
        <v>1071648</v>
      </c>
      <c r="EQ30" s="5327"/>
      <c r="ER30" s="5327"/>
      <c r="ES30" s="5327">
        <v>2063252</v>
      </c>
      <c r="ET30" s="5327">
        <v>621013</v>
      </c>
      <c r="EU30" s="5327">
        <v>578880</v>
      </c>
      <c r="EV30" s="5327">
        <v>118500</v>
      </c>
      <c r="EW30" s="5327">
        <v>715392</v>
      </c>
      <c r="EX30" s="5327"/>
      <c r="EY30" s="5327">
        <v>2308032</v>
      </c>
      <c r="EZ30" s="5328">
        <v>22024727</v>
      </c>
      <c r="FA30" s="5327">
        <v>3726432</v>
      </c>
      <c r="FB30" s="5327">
        <v>22699900</v>
      </c>
      <c r="FC30" s="5327"/>
      <c r="FD30" s="5327"/>
      <c r="FE30" s="5327"/>
      <c r="FF30" s="5327">
        <v>5122600</v>
      </c>
      <c r="FG30" s="5327"/>
      <c r="FH30" s="5327"/>
      <c r="FI30" s="5327">
        <v>654048</v>
      </c>
      <c r="FJ30" s="5327">
        <v>38340</v>
      </c>
      <c r="FK30" s="5327">
        <v>4398755</v>
      </c>
      <c r="FL30" s="5327"/>
      <c r="FM30" s="5327"/>
      <c r="FN30" s="5327">
        <v>5094618</v>
      </c>
      <c r="FO30" s="5327">
        <v>3678527</v>
      </c>
      <c r="FP30" s="5327"/>
      <c r="FQ30" s="5327">
        <v>6858181</v>
      </c>
      <c r="FR30" s="5327"/>
      <c r="FS30" s="5327">
        <v>409522</v>
      </c>
      <c r="FT30" s="5327">
        <v>446640</v>
      </c>
      <c r="FU30" s="5327"/>
      <c r="FV30" s="5327">
        <v>232254</v>
      </c>
      <c r="FW30" s="5329"/>
      <c r="FX30" s="5327">
        <v>334004</v>
      </c>
      <c r="FY30" s="5327">
        <v>620200</v>
      </c>
      <c r="FZ30" s="5327">
        <v>613170</v>
      </c>
      <c r="GA30" s="5327">
        <v>391200</v>
      </c>
      <c r="GB30" s="5327">
        <v>1506936</v>
      </c>
      <c r="GC30" s="5327">
        <v>1027096</v>
      </c>
      <c r="GD30" s="5327">
        <v>1698432</v>
      </c>
      <c r="GE30" s="5327">
        <v>1647840</v>
      </c>
      <c r="GF30" s="5327"/>
      <c r="GG30" s="5327"/>
      <c r="GH30" s="5327">
        <v>1605427</v>
      </c>
      <c r="GI30" s="5330">
        <v>61492</v>
      </c>
      <c r="GJ30" s="5331">
        <v>1260288</v>
      </c>
      <c r="GK30" s="5331"/>
      <c r="GL30" s="5332">
        <f>SUM(EA30:GK30)</f>
        <v>106939682</v>
      </c>
      <c r="GM30" s="5308">
        <f>SUM(B30:DY30)+SUM(EA30:GK30)</f>
        <v>268039474</v>
      </c>
      <c r="GN30" s="5008" t="s">
        <v>1895</v>
      </c>
      <c r="GO30" s="3594" t="s">
        <v>1080</v>
      </c>
      <c r="GP30" s="1093"/>
    </row>
    <row r="31" spans="1:381" s="4" customFormat="1" ht="18">
      <c r="A31" s="19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3567"/>
      <c r="AB31" s="3567"/>
      <c r="AC31" s="3567"/>
      <c r="AD31" s="3567"/>
      <c r="AE31" s="3567"/>
      <c r="AF31" s="3567"/>
      <c r="AG31" s="3567"/>
      <c r="AH31" s="3567"/>
      <c r="AI31" s="3567"/>
      <c r="AJ31" s="3567"/>
      <c r="AK31" s="3567"/>
      <c r="AL31" s="3567"/>
      <c r="AM31" s="3567"/>
      <c r="AN31" s="3567"/>
      <c r="AO31" s="3567"/>
      <c r="AP31" s="3567"/>
      <c r="AQ31" s="3567"/>
      <c r="AR31" s="3567"/>
      <c r="AS31" s="3567"/>
      <c r="AT31" s="3567"/>
      <c r="AU31" s="3567"/>
      <c r="AV31" s="3567"/>
      <c r="AW31" s="3567"/>
      <c r="AX31" s="3567"/>
      <c r="AY31" s="3567"/>
      <c r="AZ31" s="3567"/>
      <c r="BA31" s="3567"/>
      <c r="BB31" s="3567"/>
      <c r="BC31" s="3567"/>
      <c r="BD31" s="3567"/>
      <c r="BE31" s="3567"/>
      <c r="BF31" s="3567"/>
      <c r="BG31" s="3567"/>
      <c r="BH31" s="3567"/>
      <c r="BI31" s="3567"/>
      <c r="BJ31" s="3567"/>
      <c r="BK31" s="3567"/>
      <c r="BL31" s="3567"/>
      <c r="BM31" s="3567"/>
      <c r="BN31" s="3567"/>
      <c r="BO31" s="3567"/>
      <c r="BP31" s="3567"/>
      <c r="BQ31" s="3567"/>
      <c r="BR31" s="3567"/>
      <c r="BS31" s="3567"/>
      <c r="BT31" s="3567"/>
      <c r="BU31" s="3567"/>
      <c r="BV31" s="3567"/>
      <c r="BW31" s="3567"/>
      <c r="BX31" s="3567"/>
      <c r="BY31" s="3567"/>
      <c r="BZ31" s="3567"/>
      <c r="CA31" s="3567"/>
      <c r="CB31" s="3567"/>
      <c r="CC31" s="3567"/>
      <c r="CD31" s="3567"/>
      <c r="CE31" s="3567"/>
      <c r="CF31" s="3567"/>
      <c r="CG31" s="3567"/>
      <c r="CH31" s="3567"/>
      <c r="CI31" s="3567"/>
      <c r="CJ31" s="3567"/>
      <c r="CK31" s="3567"/>
      <c r="CL31" s="3567"/>
      <c r="CM31" s="3567"/>
      <c r="CN31" s="3567"/>
      <c r="CO31" s="3567"/>
      <c r="CP31" s="3567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465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686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2715"/>
      <c r="GO31" s="2146"/>
    </row>
    <row r="32" spans="1:381" s="18" customFormat="1" ht="51.75" customHeight="1">
      <c r="A32" s="17"/>
      <c r="B32" s="3568"/>
      <c r="C32" s="3568"/>
      <c r="D32" s="3568"/>
      <c r="E32" s="3568"/>
      <c r="F32" s="3568"/>
      <c r="G32" s="3568"/>
      <c r="H32" s="3568"/>
      <c r="I32" s="3568"/>
      <c r="J32" s="3568"/>
      <c r="K32" s="3568"/>
      <c r="L32" s="3568"/>
      <c r="M32" s="3568"/>
      <c r="N32" s="3568"/>
      <c r="O32" s="3568"/>
      <c r="P32" s="3568"/>
      <c r="Q32" s="3568"/>
      <c r="R32" s="3568"/>
      <c r="S32" s="3568"/>
      <c r="T32" s="3568"/>
      <c r="U32" s="3568"/>
      <c r="V32" s="3568"/>
      <c r="W32" s="3568"/>
      <c r="X32" s="3568"/>
      <c r="Y32" s="3568"/>
      <c r="Z32" s="3568"/>
      <c r="AA32" s="3568"/>
      <c r="AB32" s="3568"/>
      <c r="AC32" s="3568"/>
      <c r="AD32" s="3568"/>
      <c r="AE32" s="3568"/>
      <c r="AF32" s="3568"/>
      <c r="AG32" s="3568"/>
      <c r="AH32" s="3568"/>
      <c r="AI32" s="3568"/>
      <c r="AJ32" s="3568"/>
      <c r="AK32" s="3568"/>
      <c r="AL32" s="3568"/>
      <c r="AM32" s="3568"/>
      <c r="AN32" s="3568"/>
      <c r="AO32" s="3568"/>
      <c r="AP32" s="3568"/>
      <c r="AQ32" s="3568"/>
      <c r="AR32" s="3568"/>
      <c r="AS32" s="3568"/>
      <c r="AT32" s="3568"/>
      <c r="AU32" s="3568"/>
      <c r="AV32" s="3568"/>
      <c r="AW32" s="3568"/>
      <c r="AX32" s="3568"/>
      <c r="AY32" s="3568"/>
      <c r="AZ32" s="3568"/>
      <c r="BA32" s="3568"/>
      <c r="BB32" s="3568"/>
      <c r="BC32" s="3568"/>
      <c r="BD32" s="3568"/>
      <c r="BE32" s="3568"/>
      <c r="BF32" s="3568"/>
      <c r="BG32" s="3568"/>
      <c r="BH32" s="3568"/>
      <c r="BI32" s="3568"/>
      <c r="BJ32" s="3568"/>
      <c r="BK32" s="3568"/>
      <c r="BL32" s="3568"/>
      <c r="BM32" s="3568"/>
      <c r="BN32" s="3568"/>
      <c r="BO32" s="3568"/>
      <c r="BP32" s="3568"/>
      <c r="BQ32" s="3568"/>
      <c r="BR32" s="3568"/>
      <c r="BS32" s="3568"/>
      <c r="BT32" s="3568"/>
      <c r="BU32" s="3568"/>
      <c r="BV32" s="3568"/>
      <c r="BW32" s="3568"/>
      <c r="BX32" s="3568"/>
      <c r="BY32" s="3568"/>
      <c r="BZ32" s="3568"/>
      <c r="CA32" s="3568"/>
      <c r="CB32" s="3568"/>
      <c r="CC32" s="3568"/>
      <c r="CD32" s="3568"/>
      <c r="CE32" s="3568"/>
      <c r="CF32" s="3568"/>
      <c r="CG32" s="3568"/>
      <c r="CH32" s="3568"/>
      <c r="CI32" s="3568"/>
      <c r="CJ32" s="3568"/>
      <c r="CK32" s="3568"/>
      <c r="CL32" s="3568"/>
      <c r="CM32" s="3568"/>
      <c r="CN32" s="3568"/>
      <c r="CO32" s="3568"/>
      <c r="CP32" s="3568"/>
      <c r="CQ32" s="152"/>
      <c r="CR32" s="152"/>
      <c r="CS32" s="152"/>
      <c r="CT32" s="152"/>
      <c r="CU32" s="152"/>
      <c r="CV32" s="152"/>
      <c r="CW32" s="152"/>
      <c r="CX32" s="152"/>
      <c r="CY32" s="152"/>
      <c r="CZ32" s="152"/>
      <c r="DA32" s="152"/>
      <c r="DB32" s="152"/>
      <c r="DC32" s="152"/>
      <c r="DD32" s="152"/>
      <c r="DE32" s="152"/>
      <c r="DF32" s="152"/>
      <c r="DG32" s="152"/>
      <c r="DH32" s="152"/>
      <c r="DI32" s="152"/>
      <c r="DJ32" s="152"/>
      <c r="DK32" s="152"/>
      <c r="DL32" s="152"/>
      <c r="DM32" s="152"/>
      <c r="DN32" s="152"/>
      <c r="DO32" s="152"/>
      <c r="DP32" s="152"/>
      <c r="DQ32" s="152"/>
      <c r="DR32" s="152"/>
      <c r="DS32" s="152"/>
      <c r="DT32" s="152"/>
      <c r="DU32" s="152"/>
      <c r="DV32" s="152"/>
      <c r="DW32" s="152"/>
      <c r="DX32" s="152"/>
      <c r="DY32" s="152"/>
      <c r="DZ32" s="152"/>
      <c r="EA32" s="152"/>
      <c r="EB32" s="152"/>
      <c r="EC32" s="152"/>
      <c r="ED32" s="152"/>
      <c r="EE32" s="152"/>
      <c r="EF32" s="152"/>
      <c r="EG32" s="152"/>
      <c r="EH32" s="152"/>
      <c r="EI32" s="152"/>
      <c r="EJ32" s="152"/>
      <c r="EK32" s="152"/>
      <c r="EL32" s="152"/>
      <c r="EM32" s="152"/>
      <c r="EN32" s="152"/>
      <c r="EO32" s="152"/>
      <c r="EP32" s="152"/>
      <c r="EQ32" s="152"/>
      <c r="ER32" s="152"/>
      <c r="ES32" s="152"/>
      <c r="ET32" s="152"/>
      <c r="EU32" s="152"/>
      <c r="EV32" s="152"/>
      <c r="EW32" s="152"/>
      <c r="EX32" s="152"/>
      <c r="EY32" s="152"/>
      <c r="EZ32" s="152"/>
      <c r="FA32" s="152"/>
      <c r="FB32" s="152"/>
      <c r="FC32" s="152"/>
      <c r="FD32" s="152"/>
      <c r="FE32" s="152"/>
      <c r="FF32" s="152"/>
      <c r="FG32" s="152"/>
      <c r="FH32" s="152"/>
      <c r="FI32" s="152"/>
      <c r="FJ32" s="152"/>
      <c r="FK32" s="152"/>
      <c r="FL32" s="152"/>
      <c r="FM32" s="152"/>
      <c r="FN32" s="152"/>
      <c r="FO32" s="152"/>
      <c r="FP32" s="152"/>
      <c r="FQ32" s="152"/>
      <c r="FR32" s="152"/>
      <c r="FS32" s="152"/>
      <c r="FT32" s="152"/>
      <c r="FU32" s="152"/>
      <c r="FV32" s="152"/>
      <c r="FW32" s="152"/>
      <c r="FX32" s="152"/>
      <c r="FY32" s="152"/>
      <c r="FZ32" s="152"/>
      <c r="GA32" s="152"/>
      <c r="GB32" s="152"/>
      <c r="GC32" s="152"/>
      <c r="GD32" s="152"/>
      <c r="GE32" s="152"/>
      <c r="GF32" s="152"/>
      <c r="GG32" s="152"/>
      <c r="GH32" s="152"/>
      <c r="GI32" s="152"/>
      <c r="GJ32" s="152"/>
      <c r="GK32" s="152"/>
      <c r="GL32" s="152"/>
      <c r="GM32" s="152"/>
      <c r="GN32" s="2716"/>
      <c r="GO32" s="2147"/>
    </row>
    <row r="33" spans="1:197" s="18" customFormat="1" ht="59.25" customHeight="1">
      <c r="A33" s="17"/>
      <c r="B33" s="3568"/>
      <c r="C33" s="3568"/>
      <c r="D33" s="3568"/>
      <c r="E33" s="3568"/>
      <c r="F33" s="3568"/>
      <c r="G33" s="3568"/>
      <c r="H33" s="3568"/>
      <c r="I33" s="3568"/>
      <c r="J33" s="3568"/>
      <c r="K33" s="3568"/>
      <c r="L33" s="3568"/>
      <c r="M33" s="3568"/>
      <c r="N33" s="3568"/>
      <c r="O33" s="3568"/>
      <c r="P33" s="3568"/>
      <c r="Q33" s="3568"/>
      <c r="R33" s="3568"/>
      <c r="S33" s="3568"/>
      <c r="T33" s="3568"/>
      <c r="U33" s="3568"/>
      <c r="V33" s="3568"/>
      <c r="W33" s="3568"/>
      <c r="X33" s="3568"/>
      <c r="Y33" s="3568"/>
      <c r="Z33" s="3568"/>
      <c r="AA33" s="3568"/>
      <c r="AB33" s="3568"/>
      <c r="AC33" s="3568"/>
      <c r="AD33" s="3568"/>
      <c r="AE33" s="3568"/>
      <c r="AF33" s="3568"/>
      <c r="AG33" s="3568"/>
      <c r="AH33" s="3568"/>
      <c r="AI33" s="3568"/>
      <c r="AJ33" s="3568"/>
      <c r="AK33" s="3568"/>
      <c r="AL33" s="3568"/>
      <c r="AM33" s="3568"/>
      <c r="AN33" s="3568"/>
      <c r="AO33" s="3568"/>
      <c r="AP33" s="3568"/>
      <c r="AQ33" s="3568"/>
      <c r="AR33" s="3568"/>
      <c r="AS33" s="3568"/>
      <c r="AT33" s="3568"/>
      <c r="AU33" s="3568"/>
      <c r="AV33" s="3568"/>
      <c r="AW33" s="3568"/>
      <c r="AX33" s="3568"/>
      <c r="AY33" s="3568"/>
      <c r="AZ33" s="3568"/>
      <c r="BA33" s="3568"/>
      <c r="BB33" s="3568"/>
      <c r="BC33" s="3568"/>
      <c r="BD33" s="3568"/>
      <c r="BE33" s="3568"/>
      <c r="BF33" s="3568"/>
      <c r="BG33" s="3568"/>
      <c r="BH33" s="3568"/>
      <c r="BI33" s="3568"/>
      <c r="BJ33" s="3568"/>
      <c r="BK33" s="3568"/>
      <c r="BL33" s="3568"/>
      <c r="BM33" s="3568"/>
      <c r="BN33" s="3568"/>
      <c r="BO33" s="3568"/>
      <c r="BP33" s="3568"/>
      <c r="BQ33" s="3568"/>
      <c r="BR33" s="3568"/>
      <c r="BS33" s="3568"/>
      <c r="BT33" s="3568"/>
      <c r="BU33" s="3568"/>
      <c r="BV33" s="3568"/>
      <c r="BW33" s="3568"/>
      <c r="BX33" s="3568"/>
      <c r="BY33" s="3568"/>
      <c r="BZ33" s="3568"/>
      <c r="CA33" s="3568"/>
      <c r="CB33" s="3568"/>
      <c r="CC33" s="3568"/>
      <c r="CD33" s="3568"/>
      <c r="CE33" s="3568"/>
      <c r="CF33" s="3568"/>
      <c r="CG33" s="3568"/>
      <c r="CH33" s="3568"/>
      <c r="CI33" s="3568"/>
      <c r="CJ33" s="3568"/>
      <c r="CK33" s="3568"/>
      <c r="CL33" s="3568"/>
      <c r="CM33" s="3568"/>
      <c r="CN33" s="3568"/>
      <c r="CO33" s="3568"/>
      <c r="CP33" s="3568"/>
      <c r="CQ33" s="152"/>
      <c r="CR33" s="152"/>
      <c r="CS33" s="152"/>
      <c r="CT33" s="152"/>
      <c r="CU33" s="152"/>
      <c r="CV33" s="152"/>
      <c r="CW33" s="152"/>
      <c r="CX33" s="152"/>
      <c r="CY33" s="152"/>
      <c r="CZ33" s="152"/>
      <c r="DA33" s="152"/>
      <c r="DB33" s="152"/>
      <c r="DC33" s="152"/>
      <c r="DD33" s="152"/>
      <c r="DE33" s="152"/>
      <c r="DF33" s="152"/>
      <c r="DG33" s="152"/>
      <c r="DH33" s="152"/>
      <c r="DI33" s="152"/>
      <c r="DJ33" s="152"/>
      <c r="DK33" s="152"/>
      <c r="DL33" s="152"/>
      <c r="DM33" s="152"/>
      <c r="DN33" s="152"/>
      <c r="DO33" s="152"/>
      <c r="DP33" s="152"/>
      <c r="DQ33" s="152"/>
      <c r="DR33" s="152"/>
      <c r="DS33" s="152"/>
      <c r="DT33" s="152"/>
      <c r="DU33" s="152"/>
      <c r="DV33" s="152"/>
      <c r="DW33" s="152"/>
      <c r="DX33" s="152"/>
      <c r="DY33" s="152"/>
      <c r="DZ33" s="152"/>
      <c r="EA33" s="152"/>
      <c r="EB33" s="152"/>
      <c r="EC33" s="152"/>
      <c r="ED33" s="152"/>
      <c r="EE33" s="152"/>
      <c r="EF33" s="152"/>
      <c r="EG33" s="152"/>
      <c r="EH33" s="152"/>
      <c r="EI33" s="152"/>
      <c r="EJ33" s="152"/>
      <c r="EK33" s="152"/>
      <c r="EL33" s="152"/>
      <c r="EM33" s="152"/>
      <c r="EN33" s="152"/>
      <c r="EO33" s="152"/>
      <c r="EP33" s="152"/>
      <c r="EQ33" s="152"/>
      <c r="ER33" s="152"/>
      <c r="ES33" s="152"/>
      <c r="ET33" s="152"/>
      <c r="EU33" s="152"/>
      <c r="EV33" s="152"/>
      <c r="EW33" s="152"/>
      <c r="EX33" s="152"/>
      <c r="EY33" s="152"/>
      <c r="EZ33" s="152"/>
      <c r="FA33" s="152"/>
      <c r="FB33" s="152"/>
      <c r="FC33" s="152"/>
      <c r="FD33" s="152"/>
      <c r="FE33" s="152"/>
      <c r="FF33" s="152"/>
      <c r="FG33" s="152"/>
      <c r="FH33" s="152"/>
      <c r="FI33" s="152"/>
      <c r="FJ33" s="152"/>
      <c r="FK33" s="152"/>
      <c r="FL33" s="152"/>
      <c r="FM33" s="152"/>
      <c r="FN33" s="152"/>
      <c r="FO33" s="152"/>
      <c r="FP33" s="1778"/>
      <c r="FQ33" s="152"/>
      <c r="FR33" s="152"/>
      <c r="FS33" s="152"/>
      <c r="FT33" s="152"/>
      <c r="FU33" s="152"/>
      <c r="FV33" s="152"/>
      <c r="FW33" s="152"/>
      <c r="FX33" s="152"/>
      <c r="FY33" s="152"/>
      <c r="FZ33" s="152"/>
      <c r="GA33" s="152"/>
      <c r="GB33" s="152"/>
      <c r="GC33" s="152"/>
      <c r="GD33" s="152"/>
      <c r="GE33" s="152"/>
      <c r="GF33" s="152"/>
      <c r="GG33" s="152"/>
      <c r="GH33" s="152"/>
      <c r="GI33" s="152"/>
      <c r="GJ33" s="152"/>
      <c r="GK33" s="152"/>
      <c r="GL33" s="152"/>
      <c r="GM33" s="152"/>
      <c r="GN33" s="152"/>
      <c r="GO33" s="2147"/>
    </row>
    <row r="34" spans="1:197" ht="81.7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38"/>
      <c r="CR34" s="138"/>
      <c r="CT34" s="138"/>
      <c r="CU34" s="138"/>
      <c r="CV34" s="138"/>
      <c r="CW34" s="138"/>
      <c r="CX34" s="138"/>
      <c r="CY34" s="138"/>
      <c r="CZ34" s="138"/>
      <c r="DA34" s="138"/>
      <c r="DB34" s="138"/>
      <c r="DC34" s="138"/>
      <c r="DD34" s="138"/>
      <c r="DE34" s="138"/>
      <c r="DF34" s="138"/>
      <c r="DG34" s="138"/>
      <c r="DH34" s="138"/>
      <c r="DZ34" s="138"/>
      <c r="EB34" s="141"/>
      <c r="EC34" s="141"/>
      <c r="ED34" s="141"/>
      <c r="EE34" s="141"/>
      <c r="EF34" s="141"/>
      <c r="EG34" s="141"/>
      <c r="EH34" s="141"/>
      <c r="EI34" s="141"/>
      <c r="EJ34" s="141"/>
      <c r="EK34" s="141"/>
      <c r="EL34" s="141"/>
      <c r="EM34" s="141"/>
      <c r="EN34" s="141"/>
      <c r="EO34" s="141"/>
      <c r="EP34" s="141"/>
      <c r="EQ34" s="141"/>
      <c r="ER34" s="141"/>
      <c r="ES34" s="141"/>
      <c r="ET34" s="141"/>
      <c r="EU34" s="141"/>
      <c r="EV34" s="141"/>
      <c r="EW34" s="141"/>
      <c r="EX34" s="141"/>
      <c r="EY34" s="141"/>
      <c r="EZ34" s="141"/>
      <c r="FA34" s="141"/>
      <c r="FB34" s="141"/>
      <c r="FC34" s="141"/>
      <c r="FD34" s="141"/>
      <c r="FE34" s="141"/>
      <c r="FF34" s="141"/>
      <c r="FG34" s="141"/>
      <c r="FH34" s="141"/>
      <c r="FI34" s="141"/>
      <c r="FJ34" s="141"/>
      <c r="FK34" s="141"/>
      <c r="FL34" s="141"/>
      <c r="FM34" s="141"/>
      <c r="FN34" s="141"/>
      <c r="FO34" s="141"/>
      <c r="FP34" s="141"/>
      <c r="FQ34" s="141"/>
      <c r="FR34" s="141"/>
      <c r="FS34" s="141"/>
      <c r="FT34" s="141"/>
      <c r="FU34" s="141"/>
      <c r="FV34" s="141"/>
      <c r="FW34" s="141"/>
      <c r="FX34" s="141"/>
      <c r="FY34" s="141"/>
      <c r="FZ34" s="141"/>
      <c r="GA34" s="141"/>
      <c r="GB34" s="141"/>
      <c r="GC34" s="141"/>
      <c r="GD34" s="141"/>
      <c r="GE34" s="141"/>
      <c r="GF34" s="141"/>
      <c r="GG34" s="141"/>
      <c r="GH34" s="141"/>
      <c r="GI34" s="141"/>
      <c r="GJ34" s="141"/>
      <c r="GK34" s="141"/>
      <c r="GL34" s="140"/>
      <c r="GM34" s="15"/>
      <c r="GN34" s="140"/>
    </row>
    <row r="35" spans="1:197" ht="27" customHeight="1">
      <c r="A35" s="12"/>
      <c r="B35" s="5415" t="s">
        <v>849</v>
      </c>
      <c r="C35" s="5416"/>
      <c r="D35" s="5410" t="s">
        <v>1827</v>
      </c>
      <c r="E35" s="5410"/>
      <c r="F35" s="12"/>
      <c r="G35" s="12"/>
      <c r="H35" s="5261" t="s">
        <v>852</v>
      </c>
      <c r="I35" s="5261"/>
      <c r="J35" s="5261"/>
      <c r="K35" s="1025"/>
      <c r="L35" s="1025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38"/>
      <c r="CR35" s="138"/>
      <c r="CT35" s="138"/>
      <c r="CU35" s="138"/>
      <c r="CV35" s="138"/>
      <c r="CW35" s="138"/>
      <c r="CX35" s="138"/>
      <c r="CY35" s="138"/>
      <c r="CZ35" s="138"/>
      <c r="DA35" s="138"/>
      <c r="DB35" s="138"/>
      <c r="DC35" s="138"/>
      <c r="DD35" s="138"/>
      <c r="DE35" s="138"/>
      <c r="DF35" s="138"/>
      <c r="DG35" s="138"/>
      <c r="DH35" s="138"/>
      <c r="DZ35" s="138"/>
      <c r="EB35" s="19"/>
      <c r="EC35" s="19"/>
      <c r="ED35" s="19"/>
      <c r="EE35" s="19"/>
      <c r="EF35" s="19"/>
      <c r="EG35" s="19"/>
      <c r="EH35" s="19"/>
      <c r="EI35" s="19"/>
      <c r="EJ35" s="19"/>
      <c r="EK35" s="19"/>
      <c r="EL35" s="19"/>
      <c r="EM35" s="19"/>
      <c r="EN35" s="19"/>
      <c r="EO35" s="19"/>
      <c r="EP35" s="19"/>
      <c r="EQ35" s="19"/>
      <c r="ER35" s="19"/>
      <c r="ES35" s="19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538"/>
      <c r="GJ35" s="1538"/>
      <c r="GK35" s="1538"/>
      <c r="GN35" s="138"/>
    </row>
    <row r="36" spans="1:197" s="138" customFormat="1" ht="21.75" customHeight="1">
      <c r="B36" s="5408" t="s">
        <v>757</v>
      </c>
      <c r="C36" s="5409"/>
      <c r="D36" s="5414" t="s">
        <v>1811</v>
      </c>
      <c r="E36" s="5414"/>
      <c r="H36" s="1505" t="s">
        <v>853</v>
      </c>
      <c r="I36" s="1505"/>
      <c r="J36" s="1505"/>
      <c r="K36" s="585"/>
      <c r="L36" s="585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EB36" s="19"/>
      <c r="EC36" s="19"/>
      <c r="ED36" s="19"/>
      <c r="EE36" s="19"/>
      <c r="EF36" s="19"/>
      <c r="EG36" s="19"/>
      <c r="EH36" s="19"/>
      <c r="EI36" s="19"/>
      <c r="EJ36" s="19"/>
      <c r="EK36" s="19"/>
      <c r="EL36" s="19"/>
      <c r="EM36" s="19"/>
      <c r="EN36" s="19"/>
      <c r="EO36" s="19"/>
      <c r="EP36" s="19"/>
      <c r="EQ36" s="19"/>
      <c r="ER36" s="19"/>
      <c r="ES36" s="19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538"/>
      <c r="GJ36" s="1538"/>
      <c r="GK36" s="1538"/>
      <c r="GO36" s="919"/>
    </row>
    <row r="37" spans="1:197" ht="23.25" customHeight="1">
      <c r="A37" s="138"/>
      <c r="B37" s="5408" t="s">
        <v>848</v>
      </c>
      <c r="C37" s="5409"/>
      <c r="D37" s="5411" t="s">
        <v>27</v>
      </c>
      <c r="E37" s="5412"/>
      <c r="F37" s="138"/>
      <c r="H37" s="138"/>
      <c r="I37" s="138"/>
      <c r="J37" s="138"/>
      <c r="K37" s="5399"/>
      <c r="L37" s="5399"/>
      <c r="M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C37" s="138"/>
      <c r="AD37" s="138"/>
      <c r="AE37" s="138"/>
      <c r="AF37" s="138"/>
      <c r="AG37" s="138"/>
      <c r="AH37" s="138"/>
      <c r="AI37" s="138"/>
      <c r="AJ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BA37" s="138"/>
      <c r="BB37" s="138"/>
      <c r="BC37" s="138"/>
      <c r="BD37" s="138"/>
      <c r="BE37" s="138"/>
      <c r="BF37" s="138"/>
      <c r="BG37" s="138"/>
      <c r="BH37" s="138"/>
      <c r="BI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D37" s="138"/>
      <c r="CE37" s="138"/>
      <c r="CF37" s="138"/>
      <c r="CG37" s="138"/>
      <c r="CH37" s="138"/>
      <c r="CM37" s="138"/>
      <c r="CN37" s="138"/>
      <c r="CO37" s="138"/>
      <c r="CP37" s="138"/>
      <c r="CQ37" s="138"/>
      <c r="CR37" s="138"/>
      <c r="CT37" s="138"/>
      <c r="CU37" s="138"/>
      <c r="CV37" s="138"/>
      <c r="CW37" s="138"/>
      <c r="CX37" s="138"/>
      <c r="CY37" s="138"/>
      <c r="CZ37" s="138"/>
      <c r="DA37" s="138"/>
      <c r="DB37" s="138"/>
      <c r="DC37" s="138"/>
      <c r="DD37" s="138"/>
      <c r="DE37" s="138"/>
      <c r="DF37" s="138"/>
      <c r="DG37" s="138"/>
      <c r="DH37" s="138"/>
      <c r="DZ37" s="138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6"/>
      <c r="EU37" s="16"/>
      <c r="EV37" s="16"/>
      <c r="EW37" s="16"/>
      <c r="EX37" s="16"/>
      <c r="EY37" s="16"/>
      <c r="EZ37" s="16"/>
      <c r="FA37" s="16"/>
      <c r="FB37" s="16" t="s">
        <v>18</v>
      </c>
      <c r="FC37" s="16"/>
      <c r="FD37" s="16"/>
      <c r="FE37" s="16"/>
      <c r="FF37" s="16"/>
      <c r="FG37" s="16"/>
      <c r="FH37" s="16"/>
      <c r="FI37" s="16"/>
      <c r="FJ37" s="17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16"/>
      <c r="GB37" s="16"/>
      <c r="GC37" s="16"/>
      <c r="GD37" s="16"/>
      <c r="GE37" s="16"/>
      <c r="GF37" s="16"/>
      <c r="GG37" s="16"/>
      <c r="GN37" s="138"/>
    </row>
    <row r="38" spans="1:197" ht="30" customHeight="1">
      <c r="A38" s="138"/>
      <c r="B38" s="5400" t="s">
        <v>177</v>
      </c>
      <c r="C38" s="5401"/>
      <c r="D38" s="5413">
        <v>330</v>
      </c>
      <c r="E38" s="5413"/>
      <c r="F38" s="138"/>
      <c r="H38" s="138"/>
      <c r="I38" s="138"/>
      <c r="J38" s="138"/>
      <c r="K38" s="5399"/>
      <c r="L38" s="5399"/>
      <c r="M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C38" s="138"/>
      <c r="AD38" s="138"/>
      <c r="AE38" s="138"/>
      <c r="AF38" s="138"/>
      <c r="AG38" s="138"/>
      <c r="AH38" s="138"/>
      <c r="AI38" s="138"/>
      <c r="AJ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BA38" s="138"/>
      <c r="BB38" s="138"/>
      <c r="BC38" s="138"/>
      <c r="BD38" s="138"/>
      <c r="BE38" s="138"/>
      <c r="BF38" s="138"/>
      <c r="BG38" s="138"/>
      <c r="BH38" s="138"/>
      <c r="BI38" s="138"/>
      <c r="BK38" s="138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D38" s="138"/>
      <c r="CE38" s="138"/>
      <c r="CF38" s="138"/>
      <c r="CG38" s="138"/>
      <c r="CH38" s="138"/>
      <c r="CM38" s="138"/>
      <c r="CN38" s="138"/>
      <c r="CO38" s="138"/>
      <c r="CP38" s="138"/>
      <c r="CQ38" s="138"/>
      <c r="CR38" s="138"/>
      <c r="CT38" s="138"/>
      <c r="CU38" s="138"/>
      <c r="CV38" s="138"/>
      <c r="CW38" s="138"/>
      <c r="CX38" s="138"/>
      <c r="CY38" s="138"/>
      <c r="CZ38" s="138"/>
      <c r="DA38" s="138"/>
      <c r="DB38" s="138"/>
      <c r="DC38" s="138"/>
      <c r="DD38" s="138"/>
      <c r="DE38" s="138"/>
      <c r="DF38" s="138"/>
      <c r="DG38" s="138"/>
      <c r="DH38" s="138"/>
      <c r="DZ38" s="138"/>
      <c r="EB38" s="138"/>
      <c r="EC38" s="138"/>
      <c r="ED38" s="138"/>
      <c r="EF38" s="138"/>
      <c r="EG38" s="138"/>
      <c r="EH38" s="138"/>
      <c r="EI38" s="138"/>
      <c r="EJ38" s="138"/>
      <c r="EK38" s="138"/>
      <c r="EL38" s="138"/>
      <c r="EM38" s="138"/>
      <c r="EN38" s="138"/>
      <c r="EO38" s="138"/>
      <c r="EP38" s="138"/>
      <c r="EQ38" s="138"/>
      <c r="ES38" s="138"/>
      <c r="GN38" s="138"/>
    </row>
    <row r="39" spans="1:197" s="138" customFormat="1" ht="22.5" customHeight="1">
      <c r="B39" s="5402"/>
      <c r="C39" s="5403"/>
      <c r="D39" s="5404"/>
      <c r="E39" s="5405"/>
      <c r="F39" s="2592" t="s">
        <v>1180</v>
      </c>
      <c r="K39" s="5399"/>
      <c r="L39" s="5399"/>
      <c r="GO39" s="919"/>
    </row>
    <row r="40" spans="1:197" ht="26.25" customHeight="1">
      <c r="B40" s="5408" t="s">
        <v>742</v>
      </c>
      <c r="C40" s="5409"/>
      <c r="D40" s="5404"/>
      <c r="E40" s="5405"/>
      <c r="F40" s="2592" t="s">
        <v>1180</v>
      </c>
      <c r="H40" s="138"/>
      <c r="I40" s="138"/>
      <c r="J40" s="138"/>
      <c r="K40" s="5399"/>
      <c r="L40" s="5399"/>
      <c r="M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C40" s="138"/>
      <c r="AD40" s="138"/>
      <c r="AE40" s="138"/>
      <c r="AF40" s="138"/>
      <c r="AG40" s="138"/>
      <c r="AH40" s="138"/>
      <c r="AI40" s="138"/>
      <c r="AJ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BA40" s="138"/>
      <c r="BB40" s="138"/>
      <c r="BC40" s="138"/>
      <c r="BD40" s="138"/>
      <c r="BE40" s="138"/>
      <c r="BF40" s="138"/>
      <c r="BG40" s="138"/>
      <c r="BH40" s="138"/>
      <c r="BI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D40" s="138"/>
      <c r="CE40" s="138"/>
      <c r="CF40" s="138"/>
      <c r="CG40" s="138"/>
      <c r="CH40" s="138"/>
      <c r="CM40" s="138"/>
      <c r="CN40" s="138"/>
      <c r="CO40" s="138"/>
      <c r="CP40" s="138"/>
      <c r="CQ40" s="138"/>
      <c r="CR40" s="138"/>
      <c r="CT40" s="138"/>
      <c r="CU40" s="138"/>
      <c r="CV40" s="138"/>
      <c r="CW40" s="138"/>
      <c r="CX40" s="138"/>
      <c r="CY40" s="138"/>
      <c r="CZ40" s="138"/>
      <c r="DA40" s="138"/>
      <c r="DB40" s="138"/>
      <c r="DC40" s="138"/>
      <c r="DD40" s="138"/>
      <c r="DE40" s="138"/>
      <c r="DF40" s="138"/>
      <c r="DG40" s="138"/>
      <c r="DH40" s="138"/>
      <c r="DZ40" s="138"/>
      <c r="EB40" s="138"/>
      <c r="EC40" s="138"/>
      <c r="ED40" s="138"/>
      <c r="EF40" s="138"/>
      <c r="EG40" s="138"/>
      <c r="EH40" s="138"/>
      <c r="EI40" s="138"/>
      <c r="EJ40" s="138"/>
      <c r="EK40" s="138"/>
      <c r="EL40" s="138"/>
      <c r="EM40" s="138"/>
      <c r="EN40" s="138"/>
      <c r="EO40" s="138"/>
      <c r="EP40" s="138"/>
      <c r="EQ40" s="138"/>
      <c r="ES40" s="138"/>
      <c r="FL40" s="155"/>
      <c r="FM40" s="155"/>
      <c r="FN40" s="155"/>
      <c r="FO40" s="155"/>
      <c r="FP40" s="155"/>
      <c r="FQ40" s="155"/>
      <c r="FR40" s="155"/>
      <c r="FU40" s="156"/>
      <c r="GN40" s="138"/>
    </row>
    <row r="41" spans="1:197" ht="24.75" customHeight="1">
      <c r="B41" s="5408" t="s">
        <v>25</v>
      </c>
      <c r="C41" s="5409"/>
      <c r="D41" s="5413"/>
      <c r="E41" s="5413"/>
      <c r="F41" s="138"/>
      <c r="H41" s="138"/>
      <c r="I41" s="138"/>
      <c r="J41" s="138"/>
      <c r="K41" s="5399"/>
      <c r="L41" s="5399"/>
      <c r="M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C41" s="138"/>
      <c r="AD41" s="138"/>
      <c r="AE41" s="138"/>
      <c r="AF41" s="138"/>
      <c r="AG41" s="138"/>
      <c r="AH41" s="138"/>
      <c r="AI41" s="138"/>
      <c r="AJ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BA41" s="138"/>
      <c r="BB41" s="138"/>
      <c r="BC41" s="138"/>
      <c r="BD41" s="138"/>
      <c r="BE41" s="138"/>
      <c r="BF41" s="138"/>
      <c r="BG41" s="138"/>
      <c r="BH41" s="138"/>
      <c r="BI41" s="138"/>
      <c r="BK41" s="138"/>
      <c r="BL41" s="138"/>
      <c r="BM41" s="138"/>
      <c r="BN41" s="138"/>
      <c r="BO41" s="138"/>
      <c r="BP41" s="138"/>
      <c r="BQ41" s="138"/>
      <c r="BR41" s="138"/>
      <c r="BS41" s="138"/>
      <c r="BT41" s="138"/>
      <c r="BU41" s="138"/>
      <c r="BV41" s="138"/>
      <c r="BW41" s="138"/>
      <c r="BX41" s="138"/>
      <c r="BY41" s="138"/>
      <c r="BZ41" s="138"/>
      <c r="CD41" s="138"/>
      <c r="CE41" s="138"/>
      <c r="CF41" s="138"/>
      <c r="CG41" s="138"/>
      <c r="CH41" s="138"/>
      <c r="CM41" s="138"/>
      <c r="CN41" s="138"/>
      <c r="CO41" s="138"/>
      <c r="CP41" s="138"/>
      <c r="CQ41" s="138"/>
      <c r="CR41" s="138"/>
      <c r="CT41" s="138"/>
      <c r="CU41" s="138"/>
      <c r="CV41" s="138"/>
      <c r="CW41" s="138"/>
      <c r="CX41" s="138"/>
      <c r="CY41" s="138"/>
      <c r="CZ41" s="138"/>
      <c r="DA41" s="138"/>
      <c r="DB41" s="138"/>
      <c r="DC41" s="138"/>
      <c r="DD41" s="138"/>
      <c r="DE41" s="138"/>
      <c r="DF41" s="138"/>
      <c r="DG41" s="138"/>
      <c r="DH41" s="138"/>
      <c r="DZ41" s="138"/>
      <c r="EB41" s="138"/>
      <c r="EC41" s="138"/>
      <c r="ED41" s="138"/>
      <c r="EF41" s="138"/>
      <c r="EG41" s="138"/>
      <c r="EH41" s="138"/>
      <c r="EI41" s="138"/>
      <c r="EJ41" s="138"/>
      <c r="EK41" s="138"/>
      <c r="EL41" s="138"/>
      <c r="EM41" s="138"/>
      <c r="EN41" s="138"/>
      <c r="EO41" s="138"/>
      <c r="EP41" s="138"/>
      <c r="EQ41" s="138"/>
      <c r="ES41" s="138"/>
    </row>
    <row r="42" spans="1:197" ht="25.5" customHeight="1">
      <c r="B42" s="5408" t="s">
        <v>850</v>
      </c>
      <c r="C42" s="5409"/>
      <c r="D42" s="5407" t="s">
        <v>5</v>
      </c>
      <c r="E42" s="5407"/>
      <c r="H42" s="921"/>
      <c r="K42" s="5406"/>
      <c r="L42" s="5406"/>
      <c r="R42" s="138"/>
      <c r="V42" s="138"/>
      <c r="EB42" s="138"/>
      <c r="EC42" s="138"/>
      <c r="ED42" s="138"/>
      <c r="EF42" s="138"/>
      <c r="EG42" s="138"/>
      <c r="EH42" s="138"/>
      <c r="EI42" s="138"/>
      <c r="EJ42" s="138"/>
      <c r="EK42" s="138"/>
      <c r="EL42" s="138"/>
      <c r="EM42" s="138"/>
      <c r="EN42" s="138"/>
      <c r="EO42" s="138"/>
      <c r="EP42" s="138"/>
      <c r="EQ42" s="138"/>
      <c r="ES42" s="138"/>
    </row>
    <row r="43" spans="1:197" ht="27" customHeight="1">
      <c r="A43" s="151"/>
      <c r="B43" s="5408" t="s">
        <v>851</v>
      </c>
      <c r="C43" s="5409"/>
      <c r="D43" s="5394" t="s">
        <v>752</v>
      </c>
      <c r="E43" s="5395"/>
      <c r="H43" s="924"/>
      <c r="I43" s="927"/>
      <c r="K43" s="5406"/>
      <c r="L43" s="5406"/>
      <c r="R43" s="138"/>
      <c r="S43" s="138"/>
      <c r="V43" s="138"/>
      <c r="EB43" s="138"/>
      <c r="EC43" s="138"/>
      <c r="ED43" s="138"/>
      <c r="EF43" s="138"/>
      <c r="EG43" s="138"/>
      <c r="EH43" s="138"/>
      <c r="EI43" s="138"/>
      <c r="EJ43" s="138"/>
      <c r="EK43" s="138"/>
      <c r="EL43" s="138"/>
      <c r="EM43" s="138"/>
      <c r="EN43" s="138"/>
      <c r="EO43" s="138"/>
      <c r="EP43" s="138"/>
      <c r="EQ43" s="138"/>
      <c r="ES43" s="138"/>
    </row>
    <row r="44" spans="1:197" s="138" customFormat="1" ht="27" customHeight="1">
      <c r="A44" s="151"/>
      <c r="B44" s="5392" t="s">
        <v>1035</v>
      </c>
      <c r="C44" s="5393"/>
      <c r="D44" s="5394">
        <v>43277</v>
      </c>
      <c r="E44" s="5395"/>
      <c r="F44" s="1634" t="s">
        <v>876</v>
      </c>
      <c r="G44" s="921"/>
      <c r="H44" s="921"/>
      <c r="K44" s="920"/>
      <c r="L44" s="920"/>
      <c r="GO44" s="919"/>
    </row>
    <row r="45" spans="1:197" ht="24" customHeight="1">
      <c r="A45" s="174"/>
      <c r="B45" s="5396"/>
      <c r="C45" s="5396"/>
      <c r="D45" s="5397"/>
      <c r="E45" s="5397"/>
      <c r="R45" s="138"/>
      <c r="S45" s="138"/>
      <c r="V45" s="138"/>
      <c r="EB45" s="138"/>
      <c r="EC45" s="138"/>
      <c r="ED45" s="138"/>
      <c r="EF45" s="138"/>
      <c r="EG45" s="138"/>
      <c r="EH45" s="138"/>
      <c r="EI45" s="138"/>
      <c r="EJ45" s="138"/>
      <c r="EK45" s="138"/>
      <c r="EL45" s="138"/>
      <c r="EM45" s="138"/>
      <c r="EN45" s="138"/>
      <c r="EO45" s="138"/>
      <c r="EP45" s="138"/>
      <c r="EQ45" s="138"/>
      <c r="ES45" s="138"/>
    </row>
    <row r="46" spans="1:197">
      <c r="A46" s="163"/>
      <c r="R46" s="138"/>
      <c r="S46" s="138"/>
      <c r="V46" s="138"/>
    </row>
    <row r="47" spans="1:197">
      <c r="A47" s="164"/>
      <c r="B47" s="5392" t="s">
        <v>782</v>
      </c>
      <c r="C47" s="5393"/>
      <c r="D47" s="5398"/>
      <c r="E47" s="5398"/>
      <c r="V47" s="138"/>
    </row>
    <row r="48" spans="1:197">
      <c r="V48" s="138"/>
    </row>
    <row r="49" spans="1:197">
      <c r="V49" s="138"/>
    </row>
    <row r="50" spans="1:197">
      <c r="V50" s="138"/>
      <c r="GF50" s="134"/>
    </row>
    <row r="51" spans="1:197">
      <c r="V51" s="138"/>
    </row>
    <row r="52" spans="1:197">
      <c r="A52" s="157"/>
      <c r="B52" s="157"/>
      <c r="C52" s="157"/>
      <c r="V52" s="138"/>
    </row>
    <row r="53" spans="1:197">
      <c r="A53" s="1071" t="s">
        <v>785</v>
      </c>
      <c r="B53" s="1071" t="s">
        <v>786</v>
      </c>
      <c r="C53" s="157"/>
      <c r="V53" s="138"/>
    </row>
    <row r="54" spans="1:197">
      <c r="A54" s="1071" t="s">
        <v>787</v>
      </c>
      <c r="B54" s="1071" t="s">
        <v>803</v>
      </c>
      <c r="C54" s="921" t="s">
        <v>789</v>
      </c>
      <c r="V54" s="138"/>
    </row>
    <row r="55" spans="1:197">
      <c r="J55" s="138"/>
      <c r="V55" s="4"/>
    </row>
    <row r="56" spans="1:197">
      <c r="V56" s="4"/>
    </row>
    <row r="57" spans="1:197" ht="44.25">
      <c r="V57" s="4"/>
      <c r="EB57" s="137"/>
      <c r="EC57" s="137"/>
      <c r="ED57" s="137"/>
      <c r="EE57" s="137"/>
      <c r="EF57" s="137"/>
      <c r="EG57" s="137"/>
      <c r="EH57" s="137"/>
      <c r="EI57" s="137"/>
      <c r="EJ57" s="137"/>
      <c r="EK57" s="137"/>
      <c r="EL57" s="137"/>
      <c r="EM57" s="137"/>
      <c r="EN57" s="137"/>
      <c r="EO57" s="137"/>
      <c r="EP57" s="137"/>
      <c r="EQ57" s="137"/>
      <c r="ER57" s="137"/>
      <c r="ES57" s="137"/>
      <c r="ET57" s="137"/>
      <c r="EU57" s="137"/>
      <c r="EV57" s="137"/>
      <c r="EW57" s="137"/>
      <c r="EX57" s="137"/>
      <c r="EY57" s="137"/>
      <c r="EZ57" s="137"/>
      <c r="FA57" s="137"/>
      <c r="FB57" s="137"/>
      <c r="FC57" s="137"/>
      <c r="FD57" s="137"/>
      <c r="FE57" s="137"/>
      <c r="FF57" s="137"/>
      <c r="FG57" s="137"/>
      <c r="FH57" s="137"/>
      <c r="FI57" s="137"/>
      <c r="FJ57" s="137"/>
      <c r="FK57" s="137"/>
      <c r="FL57" s="137"/>
      <c r="FM57" s="137"/>
      <c r="FN57" s="137"/>
      <c r="FO57" s="137"/>
      <c r="FP57" s="137"/>
      <c r="FQ57" s="137"/>
      <c r="FR57" s="137"/>
      <c r="FS57" s="137"/>
      <c r="FT57" s="137"/>
      <c r="FU57" s="137"/>
      <c r="FV57" s="137"/>
      <c r="FW57" s="137"/>
      <c r="FX57" s="137"/>
      <c r="FY57" s="137"/>
      <c r="FZ57" s="137"/>
      <c r="GA57" s="137"/>
      <c r="GB57" s="137"/>
      <c r="GC57" s="137"/>
      <c r="GD57" s="137"/>
      <c r="GE57" s="137"/>
      <c r="GF57" s="137"/>
      <c r="GG57" s="137"/>
      <c r="GH57" s="137"/>
      <c r="GI57" s="137"/>
      <c r="GJ57" s="137"/>
      <c r="GK57" s="137"/>
    </row>
    <row r="58" spans="1:197">
      <c r="V58" s="4"/>
    </row>
    <row r="59" spans="1:197" s="140" customFormat="1">
      <c r="B59" s="141"/>
      <c r="C59" s="141"/>
      <c r="D59" s="141"/>
      <c r="E59" s="141"/>
      <c r="F59" s="142"/>
      <c r="G59" s="142"/>
      <c r="H59" s="143"/>
      <c r="I59" s="143"/>
      <c r="J59" s="141"/>
      <c r="K59" s="141"/>
      <c r="L59" s="144"/>
      <c r="M59" s="144"/>
      <c r="N59" s="144"/>
      <c r="O59" s="144"/>
      <c r="P59" s="144"/>
      <c r="Q59" s="144"/>
      <c r="R59" s="145"/>
      <c r="S59" s="145"/>
      <c r="T59" s="145"/>
      <c r="U59" s="146"/>
      <c r="V59" s="146"/>
      <c r="W59" s="141"/>
      <c r="X59" s="141"/>
      <c r="Y59" s="141"/>
      <c r="Z59" s="141"/>
      <c r="AA59" s="141"/>
      <c r="AB59" s="141"/>
      <c r="AC59" s="141"/>
      <c r="AD59" s="142"/>
      <c r="AE59" s="142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7"/>
      <c r="CE59" s="142"/>
      <c r="CF59" s="141"/>
      <c r="CG59" s="148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EB59" s="2"/>
      <c r="EC59" s="2"/>
      <c r="ED59" s="2"/>
      <c r="EE59" s="138"/>
      <c r="EF59" s="2"/>
      <c r="EG59" s="2"/>
      <c r="EH59" s="2"/>
      <c r="EI59" s="126"/>
      <c r="EJ59" s="126"/>
      <c r="EK59" s="2"/>
      <c r="EL59" s="2"/>
      <c r="EM59" s="2"/>
      <c r="EN59" s="2"/>
      <c r="EO59" s="2"/>
      <c r="EP59" s="2"/>
      <c r="EQ59" s="2"/>
      <c r="ER59" s="138"/>
      <c r="ES59" s="2"/>
      <c r="ET59" s="2"/>
      <c r="EU59" s="138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138"/>
      <c r="FN59" s="138"/>
      <c r="FO59" s="138"/>
      <c r="FP59" s="138"/>
      <c r="FQ59" s="138"/>
      <c r="FR59" s="138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138"/>
      <c r="GF59" s="2"/>
      <c r="GG59" s="2"/>
      <c r="GH59" s="2"/>
      <c r="GI59" s="2"/>
      <c r="GJ59" s="2"/>
      <c r="GK59" s="138"/>
      <c r="GO59" s="2148"/>
    </row>
    <row r="60" spans="1:197" s="140" customFormat="1" ht="44.25">
      <c r="B60" s="150"/>
      <c r="C60" s="150"/>
      <c r="D60" s="150"/>
      <c r="E60" s="150"/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  <c r="AH60" s="150"/>
      <c r="AI60" s="150"/>
      <c r="AJ60" s="150"/>
      <c r="AK60" s="150"/>
      <c r="AL60" s="150"/>
      <c r="AM60" s="150"/>
      <c r="AN60" s="150"/>
      <c r="AO60" s="150"/>
      <c r="AP60" s="150"/>
      <c r="AQ60" s="150"/>
      <c r="AR60" s="150"/>
      <c r="AS60" s="150"/>
      <c r="AT60" s="150"/>
      <c r="AU60" s="150"/>
      <c r="AV60" s="150"/>
      <c r="AW60" s="150"/>
      <c r="AX60" s="150"/>
      <c r="AY60" s="150"/>
      <c r="AZ60" s="150"/>
      <c r="BA60" s="150"/>
      <c r="BB60" s="150"/>
      <c r="BC60" s="150"/>
      <c r="BD60" s="150"/>
      <c r="BE60" s="150"/>
      <c r="BF60" s="150"/>
      <c r="BG60" s="150"/>
      <c r="BH60" s="150"/>
      <c r="BI60" s="150"/>
      <c r="BJ60" s="150"/>
      <c r="BK60" s="150"/>
      <c r="BL60" s="150"/>
      <c r="BM60" s="150"/>
      <c r="BN60" s="150"/>
      <c r="BO60" s="150"/>
      <c r="BP60" s="150"/>
      <c r="BQ60" s="150"/>
      <c r="BR60" s="150"/>
      <c r="BS60" s="150"/>
      <c r="BT60" s="150"/>
      <c r="BU60" s="150"/>
      <c r="BV60" s="150"/>
      <c r="BW60" s="150"/>
      <c r="BX60" s="150"/>
      <c r="BY60" s="150"/>
      <c r="BZ60" s="150"/>
      <c r="CA60" s="150"/>
      <c r="CB60" s="150"/>
      <c r="CC60" s="150"/>
      <c r="CD60" s="150"/>
      <c r="CE60" s="150"/>
      <c r="CF60" s="150"/>
      <c r="CG60" s="150"/>
      <c r="CH60" s="150"/>
      <c r="CI60" s="150"/>
      <c r="CJ60" s="150"/>
      <c r="CK60" s="150"/>
      <c r="CL60" s="150"/>
      <c r="CM60" s="150"/>
      <c r="CN60" s="150"/>
      <c r="CO60" s="150"/>
      <c r="CP60" s="150"/>
      <c r="CQ60" s="150"/>
      <c r="CR60" s="150"/>
      <c r="CS60" s="150"/>
      <c r="CT60" s="150"/>
      <c r="CU60" s="150"/>
      <c r="CV60" s="150"/>
      <c r="CW60" s="150"/>
      <c r="CX60" s="150"/>
      <c r="CY60" s="150"/>
      <c r="CZ60" s="150"/>
      <c r="DA60" s="150"/>
      <c r="DB60" s="150"/>
      <c r="DC60" s="150"/>
      <c r="DD60" s="150"/>
      <c r="DE60" s="150"/>
      <c r="DF60" s="150"/>
      <c r="DG60" s="150"/>
      <c r="DH60" s="150"/>
      <c r="DI60" s="150"/>
      <c r="DJ60" s="150"/>
      <c r="DK60" s="150"/>
      <c r="DL60" s="150"/>
      <c r="DM60" s="150"/>
      <c r="DN60" s="150"/>
      <c r="DO60" s="150"/>
      <c r="DP60" s="150"/>
      <c r="DQ60" s="150"/>
      <c r="DR60" s="150"/>
      <c r="DS60" s="150"/>
      <c r="DT60" s="150"/>
      <c r="DU60" s="150"/>
      <c r="DV60" s="150"/>
      <c r="DW60" s="150"/>
      <c r="DX60" s="150"/>
      <c r="DY60" s="150"/>
      <c r="EB60" s="2"/>
      <c r="EC60" s="2"/>
      <c r="ED60" s="2"/>
      <c r="EE60" s="138"/>
      <c r="EF60" s="2"/>
      <c r="EG60" s="2"/>
      <c r="EH60" s="2"/>
      <c r="EI60" s="126"/>
      <c r="EJ60" s="126"/>
      <c r="EK60" s="2"/>
      <c r="EL60" s="2"/>
      <c r="EM60" s="2"/>
      <c r="EN60" s="2"/>
      <c r="EO60" s="2"/>
      <c r="EP60" s="2"/>
      <c r="EQ60" s="2"/>
      <c r="ER60" s="138"/>
      <c r="ES60" s="2"/>
      <c r="ET60" s="2"/>
      <c r="EU60" s="138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138"/>
      <c r="FN60" s="138"/>
      <c r="FO60" s="138"/>
      <c r="FP60" s="138"/>
      <c r="FQ60" s="138"/>
      <c r="FR60" s="138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138"/>
      <c r="GF60" s="2"/>
      <c r="GG60" s="2"/>
      <c r="GH60" s="2"/>
      <c r="GI60" s="2"/>
      <c r="GJ60" s="2"/>
      <c r="GK60" s="138"/>
      <c r="GO60" s="2148"/>
    </row>
    <row r="61" spans="1:197" ht="28.5" customHeight="1">
      <c r="B61" s="923" t="s">
        <v>176</v>
      </c>
      <c r="C61" s="416" t="s">
        <v>741</v>
      </c>
      <c r="D61" s="923" t="s">
        <v>712</v>
      </c>
    </row>
    <row r="62" spans="1:197" ht="12" customHeight="1">
      <c r="B62" s="922"/>
      <c r="C62" s="417"/>
      <c r="D62" s="922"/>
      <c r="E62" s="138"/>
      <c r="F62" s="138"/>
      <c r="H62" s="138"/>
      <c r="I62" s="138"/>
      <c r="J62" s="138"/>
      <c r="K62" s="138"/>
      <c r="L62" s="138"/>
      <c r="M62" s="138"/>
      <c r="Q62" s="138"/>
      <c r="R62" s="138"/>
      <c r="S62" s="138"/>
      <c r="T62" s="138"/>
      <c r="U62" s="138"/>
      <c r="V62" s="138"/>
      <c r="W62" s="138"/>
      <c r="X62" s="138"/>
      <c r="Y62" s="138"/>
      <c r="Z62" s="138"/>
      <c r="AC62" s="138"/>
      <c r="AD62" s="138"/>
      <c r="AE62" s="138"/>
      <c r="AF62" s="138"/>
      <c r="AG62" s="138"/>
      <c r="AH62" s="138"/>
      <c r="AI62" s="138"/>
      <c r="AJ62" s="138"/>
      <c r="AM62" s="138"/>
      <c r="AN62" s="138"/>
      <c r="AO62" s="138"/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BA62" s="138"/>
      <c r="BB62" s="138"/>
      <c r="BC62" s="138"/>
      <c r="BD62" s="138"/>
      <c r="BE62" s="138"/>
      <c r="BF62" s="138"/>
      <c r="BG62" s="138"/>
      <c r="BH62" s="138"/>
      <c r="BI62" s="138"/>
      <c r="BK62" s="138"/>
      <c r="BL62" s="138"/>
      <c r="BM62" s="138"/>
      <c r="BN62" s="138"/>
      <c r="BO62" s="138"/>
      <c r="BP62" s="138"/>
      <c r="BQ62" s="138"/>
      <c r="BR62" s="138"/>
      <c r="BS62" s="138"/>
      <c r="BT62" s="138"/>
      <c r="BU62" s="138"/>
      <c r="BV62" s="138"/>
      <c r="BW62" s="138"/>
      <c r="BX62" s="138"/>
      <c r="BY62" s="138"/>
      <c r="BZ62" s="138"/>
      <c r="CD62" s="138"/>
      <c r="CE62" s="138"/>
      <c r="CF62" s="138"/>
      <c r="CG62" s="138"/>
      <c r="CH62" s="138"/>
      <c r="CM62" s="138"/>
      <c r="CN62" s="138"/>
      <c r="CO62" s="138"/>
      <c r="CP62" s="138"/>
      <c r="CQ62" s="138"/>
      <c r="CR62" s="138"/>
      <c r="CT62" s="138"/>
      <c r="CU62" s="138"/>
      <c r="CV62" s="138"/>
      <c r="CW62" s="138"/>
      <c r="CX62" s="138"/>
      <c r="CY62" s="138"/>
      <c r="CZ62" s="138"/>
      <c r="DA62" s="138"/>
      <c r="DB62" s="138"/>
      <c r="DC62" s="138"/>
      <c r="DD62" s="138"/>
      <c r="DE62" s="138"/>
      <c r="DF62" s="138"/>
      <c r="DG62" s="138"/>
      <c r="DH62" s="138"/>
      <c r="DZ62" s="138"/>
      <c r="EB62" s="140"/>
      <c r="EC62" s="140"/>
      <c r="ED62" s="140"/>
      <c r="EE62" s="140"/>
      <c r="EF62" s="140"/>
      <c r="EG62" s="140"/>
      <c r="EH62" s="140"/>
      <c r="EI62" s="149"/>
      <c r="EJ62" s="149"/>
      <c r="EK62" s="140"/>
      <c r="EL62" s="140"/>
      <c r="EM62" s="140"/>
      <c r="EN62" s="140"/>
      <c r="EO62" s="140"/>
      <c r="EP62" s="140"/>
      <c r="EQ62" s="140"/>
      <c r="ER62" s="140"/>
      <c r="ES62" s="140"/>
      <c r="ET62" s="140"/>
      <c r="EU62" s="140"/>
      <c r="EV62" s="140"/>
      <c r="EW62" s="140"/>
      <c r="EX62" s="140"/>
      <c r="EY62" s="140"/>
      <c r="EZ62" s="140"/>
      <c r="FA62" s="140"/>
      <c r="FB62" s="140"/>
      <c r="FC62" s="140"/>
      <c r="FD62" s="140"/>
      <c r="FE62" s="140"/>
      <c r="FF62" s="140"/>
      <c r="FG62" s="140"/>
      <c r="FH62" s="140"/>
      <c r="FI62" s="140"/>
      <c r="FJ62" s="140"/>
      <c r="FK62" s="140"/>
      <c r="FL62" s="140"/>
      <c r="FM62" s="140"/>
      <c r="FN62" s="140"/>
      <c r="FO62" s="140"/>
      <c r="FP62" s="140"/>
      <c r="FQ62" s="140"/>
      <c r="FR62" s="140"/>
      <c r="FS62" s="140"/>
      <c r="FT62" s="140"/>
      <c r="FU62" s="140"/>
      <c r="FV62" s="140"/>
      <c r="FW62" s="140"/>
      <c r="FX62" s="140"/>
      <c r="FY62" s="140"/>
      <c r="FZ62" s="140"/>
      <c r="GA62" s="140"/>
      <c r="GB62" s="140"/>
      <c r="GC62" s="140"/>
      <c r="GD62" s="140"/>
      <c r="GE62" s="140"/>
      <c r="GF62" s="140"/>
      <c r="GG62" s="140"/>
      <c r="GH62" s="140"/>
      <c r="GI62" s="140"/>
      <c r="GJ62" s="140"/>
      <c r="GK62" s="140"/>
      <c r="GL62" s="138"/>
      <c r="GM62" s="138"/>
    </row>
    <row r="63" spans="1:197" ht="26.25" customHeight="1">
      <c r="B63" s="922" t="s">
        <v>752</v>
      </c>
      <c r="C63" s="922" t="s">
        <v>27</v>
      </c>
      <c r="D63" s="922" t="s">
        <v>10</v>
      </c>
      <c r="EB63" s="140"/>
      <c r="EC63" s="140"/>
      <c r="ED63" s="140"/>
      <c r="EE63" s="140"/>
      <c r="EF63" s="140"/>
      <c r="EG63" s="140"/>
      <c r="EH63" s="140"/>
      <c r="EI63" s="149"/>
      <c r="EJ63" s="149"/>
      <c r="EK63" s="140"/>
      <c r="EL63" s="140"/>
      <c r="EM63" s="140"/>
      <c r="EN63" s="140"/>
      <c r="EO63" s="140"/>
      <c r="EP63" s="140"/>
      <c r="EQ63" s="140"/>
      <c r="ER63" s="140"/>
      <c r="ES63" s="140"/>
      <c r="ET63" s="140"/>
      <c r="EU63" s="140"/>
      <c r="EV63" s="140"/>
      <c r="EW63" s="140"/>
      <c r="EX63" s="140"/>
      <c r="EY63" s="140"/>
      <c r="EZ63" s="140"/>
      <c r="FA63" s="140"/>
      <c r="FB63" s="140"/>
      <c r="FC63" s="140"/>
      <c r="FD63" s="140"/>
      <c r="FE63" s="140"/>
      <c r="FF63" s="140"/>
      <c r="FG63" s="140"/>
      <c r="FH63" s="140"/>
      <c r="FI63" s="140"/>
      <c r="FJ63" s="140"/>
      <c r="FK63" s="140"/>
      <c r="FL63" s="140"/>
      <c r="FM63" s="140"/>
      <c r="FN63" s="140"/>
      <c r="FO63" s="140"/>
      <c r="FP63" s="140"/>
      <c r="FQ63" s="140"/>
      <c r="FR63" s="140"/>
      <c r="FS63" s="140"/>
      <c r="FT63" s="140"/>
      <c r="FU63" s="140"/>
      <c r="FV63" s="140"/>
      <c r="FW63" s="140"/>
      <c r="FX63" s="140"/>
      <c r="FY63" s="140"/>
      <c r="FZ63" s="140"/>
      <c r="GA63" s="140"/>
      <c r="GB63" s="140"/>
      <c r="GC63" s="140"/>
      <c r="GD63" s="140"/>
      <c r="GE63" s="140"/>
      <c r="GF63" s="140"/>
      <c r="GG63" s="140"/>
      <c r="GH63" s="140"/>
      <c r="GI63" s="140"/>
      <c r="GJ63" s="140"/>
      <c r="GK63" s="140"/>
    </row>
    <row r="64" spans="1:197" ht="29.25" customHeight="1">
      <c r="B64" s="922" t="s">
        <v>751</v>
      </c>
      <c r="C64" s="922" t="s">
        <v>22</v>
      </c>
      <c r="D64" s="922" t="s">
        <v>859</v>
      </c>
    </row>
    <row r="65" spans="1:208">
      <c r="B65" s="922" t="s">
        <v>759</v>
      </c>
      <c r="C65" s="922" t="s">
        <v>21</v>
      </c>
      <c r="D65" s="922" t="s">
        <v>5</v>
      </c>
    </row>
    <row r="66" spans="1:208">
      <c r="B66" s="922"/>
      <c r="C66" s="922" t="s">
        <v>109</v>
      </c>
      <c r="D66" s="922" t="s">
        <v>55</v>
      </c>
    </row>
    <row r="67" spans="1:208">
      <c r="B67" s="922"/>
      <c r="C67" s="922" t="s">
        <v>174</v>
      </c>
      <c r="D67" s="922" t="s">
        <v>858</v>
      </c>
    </row>
    <row r="68" spans="1:208">
      <c r="B68" s="922"/>
      <c r="C68" s="922" t="s">
        <v>753</v>
      </c>
      <c r="D68" s="922" t="s">
        <v>106</v>
      </c>
    </row>
    <row r="69" spans="1:208">
      <c r="B69" s="922"/>
      <c r="C69" s="922" t="s">
        <v>754</v>
      </c>
      <c r="D69" s="922" t="s">
        <v>4</v>
      </c>
    </row>
    <row r="70" spans="1:208">
      <c r="B70" s="922"/>
      <c r="C70" s="922" t="s">
        <v>45</v>
      </c>
      <c r="D70" s="922" t="s">
        <v>56</v>
      </c>
    </row>
    <row r="71" spans="1:208">
      <c r="B71" s="922"/>
      <c r="C71" s="922" t="s">
        <v>755</v>
      </c>
      <c r="D71" s="922" t="s">
        <v>6</v>
      </c>
    </row>
    <row r="76" spans="1:208">
      <c r="A76" s="2901">
        <v>0.8125</v>
      </c>
      <c r="B76" s="2902"/>
      <c r="C76" s="2902">
        <v>70</v>
      </c>
      <c r="D76" s="2902">
        <v>105</v>
      </c>
      <c r="E76" s="2902"/>
      <c r="F76" s="2902">
        <v>25</v>
      </c>
      <c r="G76" s="2902"/>
      <c r="H76" s="2902">
        <v>204</v>
      </c>
      <c r="I76" s="2902"/>
      <c r="J76" s="2902"/>
      <c r="K76" s="2902"/>
      <c r="L76" s="2902"/>
      <c r="M76" s="2902">
        <v>85</v>
      </c>
      <c r="N76" s="2902"/>
      <c r="O76" s="2902"/>
      <c r="P76" s="2902">
        <v>168</v>
      </c>
      <c r="Q76" s="2902">
        <v>42</v>
      </c>
      <c r="R76" s="2902"/>
      <c r="S76" s="2902">
        <v>180</v>
      </c>
      <c r="T76" s="2902"/>
      <c r="U76" s="2902">
        <v>272</v>
      </c>
      <c r="V76" s="2902">
        <v>8</v>
      </c>
      <c r="W76" s="2902"/>
      <c r="X76" s="2902"/>
      <c r="Y76" s="2902"/>
      <c r="Z76" s="2902">
        <v>110</v>
      </c>
      <c r="AA76" s="2902"/>
      <c r="AB76" s="2902"/>
      <c r="AC76" s="2902"/>
      <c r="AD76" s="2902">
        <v>80</v>
      </c>
      <c r="AE76" s="2902">
        <v>80</v>
      </c>
      <c r="AF76" s="2902"/>
      <c r="AG76" s="2902">
        <v>26</v>
      </c>
      <c r="AH76" s="2902">
        <v>210</v>
      </c>
      <c r="AI76" s="2902">
        <v>290</v>
      </c>
      <c r="AJ76" s="2902">
        <v>275</v>
      </c>
      <c r="AK76" s="2902"/>
      <c r="AL76" s="2902">
        <v>40</v>
      </c>
      <c r="AM76" s="2902"/>
      <c r="AN76" s="2902"/>
      <c r="AO76" s="2902"/>
      <c r="AP76" s="2902">
        <v>332</v>
      </c>
      <c r="AQ76" s="2902">
        <v>300</v>
      </c>
      <c r="AR76" s="2902"/>
      <c r="AS76" s="2902">
        <v>103</v>
      </c>
      <c r="AT76" s="2902"/>
      <c r="AU76" s="2902">
        <v>43</v>
      </c>
      <c r="AV76" s="2902">
        <v>42</v>
      </c>
      <c r="AW76" s="2902">
        <v>177</v>
      </c>
      <c r="AX76" s="2902"/>
      <c r="AY76" s="2902">
        <v>77</v>
      </c>
      <c r="AZ76" s="2902"/>
      <c r="BA76" s="2902"/>
      <c r="BB76" s="2902"/>
      <c r="BC76" s="2902">
        <v>18</v>
      </c>
      <c r="BD76" s="2902"/>
      <c r="BE76" s="2902">
        <v>8</v>
      </c>
      <c r="BF76" s="2902"/>
      <c r="BG76" s="2902">
        <v>53</v>
      </c>
      <c r="BH76" s="2902">
        <v>16</v>
      </c>
      <c r="BI76" s="2902">
        <v>315</v>
      </c>
      <c r="BJ76" s="2902">
        <v>391</v>
      </c>
      <c r="BK76" s="2902">
        <v>55</v>
      </c>
      <c r="BL76" s="2902">
        <v>24</v>
      </c>
      <c r="BM76" s="2902">
        <v>18</v>
      </c>
      <c r="BN76" s="2902">
        <v>22</v>
      </c>
      <c r="BO76" s="2902">
        <v>20</v>
      </c>
      <c r="BP76" s="2902">
        <v>178</v>
      </c>
      <c r="BQ76" s="2902">
        <v>9</v>
      </c>
      <c r="BR76" s="2902">
        <v>19</v>
      </c>
      <c r="BS76" s="2902">
        <v>11</v>
      </c>
      <c r="BT76" s="2902">
        <v>33</v>
      </c>
      <c r="BU76" s="2902">
        <v>12</v>
      </c>
      <c r="BV76" s="2902">
        <v>25</v>
      </c>
      <c r="BW76" s="2902">
        <v>28</v>
      </c>
      <c r="BX76" s="2902">
        <v>33</v>
      </c>
      <c r="BY76" s="2902">
        <v>33</v>
      </c>
      <c r="BZ76" s="2902">
        <v>95</v>
      </c>
      <c r="CA76" s="2902">
        <v>114</v>
      </c>
      <c r="CB76" s="2902">
        <v>113</v>
      </c>
      <c r="CC76" s="2902">
        <v>144</v>
      </c>
      <c r="CD76" s="2902">
        <v>100</v>
      </c>
      <c r="CE76" s="2902">
        <v>50</v>
      </c>
      <c r="CF76" s="2902">
        <v>150</v>
      </c>
      <c r="CG76" s="2902">
        <v>16</v>
      </c>
      <c r="CH76" s="2902">
        <v>43</v>
      </c>
      <c r="CI76" s="2902">
        <v>90</v>
      </c>
      <c r="CJ76" s="2902"/>
      <c r="CK76" s="2902"/>
      <c r="CL76" s="2902"/>
      <c r="CM76" s="2902">
        <v>97</v>
      </c>
      <c r="CN76" s="2902"/>
      <c r="CO76" s="2902"/>
      <c r="CP76" s="2902">
        <v>60</v>
      </c>
      <c r="CQ76" s="2902">
        <v>270</v>
      </c>
      <c r="CR76" s="2902">
        <v>100</v>
      </c>
      <c r="CS76" s="2902">
        <v>104</v>
      </c>
      <c r="CT76" s="2902"/>
      <c r="CU76" s="2902"/>
      <c r="CV76" s="2902">
        <v>100</v>
      </c>
      <c r="CW76" s="2902"/>
      <c r="CX76" s="2902"/>
      <c r="CY76" s="2902">
        <v>102</v>
      </c>
      <c r="CZ76" s="2902">
        <v>44</v>
      </c>
      <c r="DA76" s="2902">
        <v>56</v>
      </c>
      <c r="DB76" s="2902">
        <v>49</v>
      </c>
      <c r="DC76" s="2902"/>
      <c r="DD76" s="2902">
        <v>55</v>
      </c>
      <c r="DE76" s="2902">
        <v>55</v>
      </c>
      <c r="DF76" s="2902">
        <v>163</v>
      </c>
      <c r="DG76" s="2902"/>
      <c r="DH76" s="2902">
        <v>54</v>
      </c>
      <c r="DI76" s="2902">
        <v>206</v>
      </c>
      <c r="DJ76" s="2902">
        <v>98</v>
      </c>
      <c r="DK76" s="2902">
        <v>194</v>
      </c>
      <c r="DL76" s="2902">
        <v>99</v>
      </c>
      <c r="DM76" s="2902">
        <v>132</v>
      </c>
      <c r="DN76" s="2902">
        <v>100</v>
      </c>
      <c r="DO76" s="2902">
        <v>120</v>
      </c>
      <c r="DP76" s="2902"/>
      <c r="DQ76" s="2902">
        <v>239</v>
      </c>
      <c r="DR76" s="2902">
        <v>115</v>
      </c>
      <c r="DS76" s="2902">
        <v>214</v>
      </c>
      <c r="DT76" s="2902">
        <v>100</v>
      </c>
      <c r="DU76" s="2902"/>
      <c r="DV76" s="2902">
        <v>37</v>
      </c>
      <c r="DW76" s="2902"/>
      <c r="DX76" s="2902"/>
      <c r="DY76" s="2902"/>
      <c r="DZ76" s="2903">
        <f>SUM(B24:DW24)</f>
        <v>7635</v>
      </c>
      <c r="EA76" s="2902"/>
      <c r="EB76" s="2902"/>
      <c r="EC76" s="2902"/>
      <c r="ED76" s="2902">
        <v>83</v>
      </c>
      <c r="EE76" s="2902"/>
      <c r="EF76" s="2902"/>
      <c r="EG76" s="2902"/>
      <c r="EH76" s="2902"/>
      <c r="EI76" s="2904"/>
      <c r="EJ76" s="2904">
        <v>94</v>
      </c>
      <c r="EK76" s="2902"/>
      <c r="EL76" s="2902"/>
      <c r="EM76" s="2902"/>
      <c r="EN76" s="2902">
        <v>15</v>
      </c>
      <c r="EO76" s="2902"/>
      <c r="EP76" s="2902">
        <v>64</v>
      </c>
      <c r="EQ76" s="2902"/>
      <c r="ER76" s="2902">
        <v>97</v>
      </c>
      <c r="ES76" s="2902">
        <v>68</v>
      </c>
      <c r="ET76" s="2902">
        <v>28</v>
      </c>
      <c r="EU76" s="2902">
        <v>97</v>
      </c>
      <c r="EV76" s="2902">
        <v>32</v>
      </c>
      <c r="EW76" s="2902"/>
      <c r="EX76" s="2902"/>
      <c r="EY76" s="2902"/>
      <c r="EZ76" s="2902">
        <v>711</v>
      </c>
      <c r="FA76" s="2902">
        <v>365</v>
      </c>
      <c r="FB76" s="2902">
        <v>610</v>
      </c>
      <c r="FC76" s="2902"/>
      <c r="FD76" s="2902"/>
      <c r="FE76" s="2902"/>
      <c r="FF76" s="2902">
        <v>150</v>
      </c>
      <c r="FG76" s="2902"/>
      <c r="FH76" s="2902"/>
      <c r="FI76" s="2902">
        <v>50</v>
      </c>
      <c r="FJ76" s="2902"/>
      <c r="FK76" s="2902"/>
      <c r="FL76" s="2902"/>
      <c r="FM76" s="2902">
        <v>183</v>
      </c>
      <c r="FN76" s="2902"/>
      <c r="FO76" s="2902">
        <v>196</v>
      </c>
      <c r="FP76" s="2902"/>
      <c r="FQ76" s="2902">
        <v>419</v>
      </c>
      <c r="FR76" s="2902"/>
      <c r="FS76" s="2902">
        <v>36</v>
      </c>
      <c r="FT76" s="2902">
        <v>21</v>
      </c>
      <c r="FU76" s="2902"/>
      <c r="FV76" s="2902">
        <v>11</v>
      </c>
      <c r="FW76" s="2902">
        <v>0</v>
      </c>
      <c r="FX76" s="2902">
        <v>43</v>
      </c>
      <c r="FY76" s="2902">
        <v>32</v>
      </c>
      <c r="FZ76" s="2902">
        <v>23</v>
      </c>
      <c r="GA76" s="2902">
        <v>52</v>
      </c>
      <c r="GB76" s="2902">
        <v>100</v>
      </c>
      <c r="GC76" s="2902">
        <v>200</v>
      </c>
      <c r="GD76" s="2902">
        <v>94</v>
      </c>
      <c r="GE76" s="2902">
        <v>113</v>
      </c>
      <c r="GF76" s="2902">
        <v>0</v>
      </c>
      <c r="GG76" s="2902"/>
      <c r="GH76" s="2902">
        <v>113</v>
      </c>
      <c r="GI76" s="2902"/>
      <c r="GJ76" s="2902"/>
      <c r="GK76" s="2902"/>
      <c r="GL76" s="2905">
        <f>SUM(EA24:GK24)</f>
        <v>4721</v>
      </c>
      <c r="GM76" s="2903">
        <f>SUM(B24:DW24)+SUM(EA24:GK24)</f>
        <v>12356</v>
      </c>
    </row>
    <row r="77" spans="1:208">
      <c r="B77" s="134">
        <f t="shared" ref="B77:BN77" si="9">B76-B17</f>
        <v>0</v>
      </c>
      <c r="C77" s="134">
        <f t="shared" si="9"/>
        <v>70</v>
      </c>
      <c r="D77" s="134">
        <f t="shared" si="9"/>
        <v>105</v>
      </c>
      <c r="E77" s="134">
        <f t="shared" si="9"/>
        <v>0</v>
      </c>
      <c r="F77" s="134">
        <f t="shared" si="9"/>
        <v>25</v>
      </c>
      <c r="G77" s="134">
        <f t="shared" si="9"/>
        <v>0</v>
      </c>
      <c r="H77" s="134">
        <f t="shared" si="9"/>
        <v>204</v>
      </c>
      <c r="I77" s="134">
        <f t="shared" si="9"/>
        <v>0</v>
      </c>
      <c r="J77" s="134">
        <f t="shared" si="9"/>
        <v>0</v>
      </c>
      <c r="K77" s="134">
        <f t="shared" si="9"/>
        <v>0</v>
      </c>
      <c r="L77" s="134">
        <f t="shared" si="9"/>
        <v>0</v>
      </c>
      <c r="M77" s="134">
        <f t="shared" si="9"/>
        <v>85</v>
      </c>
      <c r="N77" s="134">
        <f t="shared" si="9"/>
        <v>0</v>
      </c>
      <c r="O77" s="134">
        <f t="shared" si="9"/>
        <v>0</v>
      </c>
      <c r="P77" s="134">
        <f t="shared" si="9"/>
        <v>168</v>
      </c>
      <c r="Q77" s="134">
        <f t="shared" si="9"/>
        <v>42</v>
      </c>
      <c r="R77" s="134">
        <f t="shared" si="9"/>
        <v>0</v>
      </c>
      <c r="S77" s="134">
        <f t="shared" si="9"/>
        <v>180</v>
      </c>
      <c r="T77" s="134">
        <f t="shared" si="9"/>
        <v>0</v>
      </c>
      <c r="U77" s="134">
        <f t="shared" si="9"/>
        <v>272</v>
      </c>
      <c r="V77" s="134">
        <f t="shared" si="9"/>
        <v>8</v>
      </c>
      <c r="W77" s="134">
        <f t="shared" si="9"/>
        <v>0</v>
      </c>
      <c r="X77" s="134">
        <f t="shared" si="9"/>
        <v>0</v>
      </c>
      <c r="Y77" s="134">
        <f t="shared" si="9"/>
        <v>0</v>
      </c>
      <c r="Z77" s="134">
        <f t="shared" si="9"/>
        <v>110</v>
      </c>
      <c r="AA77" s="134">
        <f t="shared" si="9"/>
        <v>0</v>
      </c>
      <c r="AB77" s="134">
        <f t="shared" si="9"/>
        <v>0</v>
      </c>
      <c r="AC77" s="134">
        <f t="shared" si="9"/>
        <v>0</v>
      </c>
      <c r="AD77" s="134">
        <f t="shared" si="9"/>
        <v>80</v>
      </c>
      <c r="AE77" s="134">
        <f t="shared" si="9"/>
        <v>80</v>
      </c>
      <c r="AF77" s="134">
        <f t="shared" si="9"/>
        <v>0</v>
      </c>
      <c r="AG77" s="134">
        <f t="shared" si="9"/>
        <v>26</v>
      </c>
      <c r="AH77" s="134">
        <f t="shared" si="9"/>
        <v>210</v>
      </c>
      <c r="AI77" s="134">
        <f t="shared" si="9"/>
        <v>290</v>
      </c>
      <c r="AJ77" s="134">
        <f t="shared" si="9"/>
        <v>275</v>
      </c>
      <c r="AK77" s="134"/>
      <c r="AL77" s="134">
        <f t="shared" si="9"/>
        <v>40</v>
      </c>
      <c r="AM77" s="134">
        <f t="shared" si="9"/>
        <v>0</v>
      </c>
      <c r="AN77" s="134">
        <f t="shared" si="9"/>
        <v>0</v>
      </c>
      <c r="AO77" s="134">
        <f t="shared" si="9"/>
        <v>0</v>
      </c>
      <c r="AP77" s="134">
        <f t="shared" si="9"/>
        <v>332</v>
      </c>
      <c r="AQ77" s="134">
        <f t="shared" si="9"/>
        <v>300</v>
      </c>
      <c r="AR77" s="134">
        <f t="shared" si="9"/>
        <v>0</v>
      </c>
      <c r="AS77" s="134">
        <f t="shared" si="9"/>
        <v>103</v>
      </c>
      <c r="AT77" s="134">
        <f t="shared" si="9"/>
        <v>0</v>
      </c>
      <c r="AU77" s="134">
        <f t="shared" si="9"/>
        <v>43</v>
      </c>
      <c r="AV77" s="134">
        <f t="shared" si="9"/>
        <v>42</v>
      </c>
      <c r="AW77" s="134">
        <f t="shared" si="9"/>
        <v>177</v>
      </c>
      <c r="AX77" s="134">
        <f t="shared" si="9"/>
        <v>0</v>
      </c>
      <c r="AY77" s="134">
        <f t="shared" si="9"/>
        <v>77</v>
      </c>
      <c r="AZ77" s="134">
        <f t="shared" si="9"/>
        <v>0</v>
      </c>
      <c r="BA77" s="134">
        <f t="shared" si="9"/>
        <v>0</v>
      </c>
      <c r="BB77" s="134">
        <f t="shared" si="9"/>
        <v>0</v>
      </c>
      <c r="BC77" s="134">
        <f t="shared" si="9"/>
        <v>18</v>
      </c>
      <c r="BD77" s="134">
        <f t="shared" si="9"/>
        <v>0</v>
      </c>
      <c r="BE77" s="134">
        <f t="shared" si="9"/>
        <v>8</v>
      </c>
      <c r="BF77" s="134">
        <f t="shared" si="9"/>
        <v>0</v>
      </c>
      <c r="BG77" s="134">
        <f t="shared" si="9"/>
        <v>53</v>
      </c>
      <c r="BH77" s="134">
        <f t="shared" si="9"/>
        <v>16</v>
      </c>
      <c r="BI77" s="134">
        <f t="shared" si="9"/>
        <v>315</v>
      </c>
      <c r="BJ77" s="134">
        <f t="shared" si="9"/>
        <v>391</v>
      </c>
      <c r="BK77" s="134">
        <f t="shared" si="9"/>
        <v>55</v>
      </c>
      <c r="BL77" s="134">
        <f t="shared" si="9"/>
        <v>24</v>
      </c>
      <c r="BM77" s="134">
        <f t="shared" si="9"/>
        <v>18</v>
      </c>
      <c r="BN77" s="134">
        <f t="shared" si="9"/>
        <v>22</v>
      </c>
      <c r="BO77" s="134">
        <f t="shared" ref="BO77:EB77" si="10">BO76-BO17</f>
        <v>20</v>
      </c>
      <c r="BP77" s="134">
        <f t="shared" si="10"/>
        <v>178</v>
      </c>
      <c r="BQ77" s="134">
        <f t="shared" si="10"/>
        <v>9</v>
      </c>
      <c r="BR77" s="134">
        <f t="shared" si="10"/>
        <v>19</v>
      </c>
      <c r="BS77" s="134">
        <f t="shared" si="10"/>
        <v>11</v>
      </c>
      <c r="BT77" s="134">
        <f t="shared" si="10"/>
        <v>33</v>
      </c>
      <c r="BU77" s="134">
        <f t="shared" si="10"/>
        <v>12</v>
      </c>
      <c r="BV77" s="134">
        <f t="shared" si="10"/>
        <v>25</v>
      </c>
      <c r="BW77" s="134">
        <f t="shared" si="10"/>
        <v>28</v>
      </c>
      <c r="BX77" s="134">
        <f t="shared" si="10"/>
        <v>33</v>
      </c>
      <c r="BY77" s="134">
        <f t="shared" si="10"/>
        <v>33</v>
      </c>
      <c r="BZ77" s="134">
        <f t="shared" si="10"/>
        <v>95</v>
      </c>
      <c r="CA77" s="134">
        <f t="shared" si="10"/>
        <v>114</v>
      </c>
      <c r="CB77" s="134">
        <f t="shared" si="10"/>
        <v>113</v>
      </c>
      <c r="CC77" s="134">
        <f t="shared" si="10"/>
        <v>144</v>
      </c>
      <c r="CD77" s="134">
        <f t="shared" si="10"/>
        <v>100</v>
      </c>
      <c r="CE77" s="134">
        <f>CE76-CI17</f>
        <v>50</v>
      </c>
      <c r="CF77" s="134">
        <f t="shared" si="10"/>
        <v>150</v>
      </c>
      <c r="CG77" s="134">
        <f t="shared" si="10"/>
        <v>16</v>
      </c>
      <c r="CH77" s="134">
        <f t="shared" si="10"/>
        <v>43</v>
      </c>
      <c r="CI77" s="134" t="e">
        <f>CI76-#REF!</f>
        <v>#REF!</v>
      </c>
      <c r="CJ77" s="134">
        <f t="shared" si="10"/>
        <v>0</v>
      </c>
      <c r="CK77" s="134">
        <f t="shared" si="10"/>
        <v>0</v>
      </c>
      <c r="CL77" s="134">
        <f t="shared" si="10"/>
        <v>0</v>
      </c>
      <c r="CM77" s="134">
        <f t="shared" si="10"/>
        <v>97</v>
      </c>
      <c r="CN77" s="134">
        <f t="shared" si="10"/>
        <v>0</v>
      </c>
      <c r="CO77" s="134">
        <f t="shared" si="10"/>
        <v>0</v>
      </c>
      <c r="CP77" s="134">
        <f t="shared" si="10"/>
        <v>60</v>
      </c>
      <c r="CQ77" s="134">
        <f t="shared" si="10"/>
        <v>270</v>
      </c>
      <c r="CR77" s="134">
        <f t="shared" si="10"/>
        <v>100</v>
      </c>
      <c r="CS77" s="134">
        <f t="shared" si="10"/>
        <v>104</v>
      </c>
      <c r="CT77" s="134">
        <f t="shared" si="10"/>
        <v>0</v>
      </c>
      <c r="CU77" s="134">
        <f t="shared" si="10"/>
        <v>0</v>
      </c>
      <c r="CV77" s="134">
        <f t="shared" si="10"/>
        <v>100</v>
      </c>
      <c r="CW77" s="134">
        <f t="shared" si="10"/>
        <v>0</v>
      </c>
      <c r="CX77" s="134">
        <f t="shared" si="10"/>
        <v>0</v>
      </c>
      <c r="CY77" s="134">
        <f t="shared" si="10"/>
        <v>102</v>
      </c>
      <c r="CZ77" s="134">
        <f t="shared" si="10"/>
        <v>44</v>
      </c>
      <c r="DA77" s="134">
        <f t="shared" si="10"/>
        <v>56</v>
      </c>
      <c r="DB77" s="134">
        <f t="shared" si="10"/>
        <v>49</v>
      </c>
      <c r="DC77" s="134">
        <f t="shared" si="10"/>
        <v>0</v>
      </c>
      <c r="DD77" s="134">
        <f t="shared" si="10"/>
        <v>55</v>
      </c>
      <c r="DE77" s="134">
        <f t="shared" si="10"/>
        <v>55</v>
      </c>
      <c r="DF77" s="134">
        <f t="shared" si="10"/>
        <v>163</v>
      </c>
      <c r="DG77" s="134">
        <f t="shared" si="10"/>
        <v>0</v>
      </c>
      <c r="DH77" s="134">
        <f t="shared" si="10"/>
        <v>54</v>
      </c>
      <c r="DI77" s="134">
        <f t="shared" si="10"/>
        <v>206</v>
      </c>
      <c r="DJ77" s="134">
        <f t="shared" si="10"/>
        <v>98</v>
      </c>
      <c r="DK77" s="134">
        <f t="shared" si="10"/>
        <v>194</v>
      </c>
      <c r="DL77" s="134">
        <f t="shared" si="10"/>
        <v>99</v>
      </c>
      <c r="DM77" s="134">
        <f t="shared" si="10"/>
        <v>132</v>
      </c>
      <c r="DN77" s="134">
        <f t="shared" si="10"/>
        <v>100</v>
      </c>
      <c r="DO77" s="134">
        <f t="shared" si="10"/>
        <v>120</v>
      </c>
      <c r="DP77" s="134">
        <f t="shared" si="10"/>
        <v>0</v>
      </c>
      <c r="DQ77" s="134">
        <f t="shared" si="10"/>
        <v>239</v>
      </c>
      <c r="DR77" s="134">
        <f t="shared" si="10"/>
        <v>115</v>
      </c>
      <c r="DS77" s="134">
        <f t="shared" si="10"/>
        <v>214</v>
      </c>
      <c r="DT77" s="134">
        <f t="shared" si="10"/>
        <v>100</v>
      </c>
      <c r="DU77" s="134">
        <f t="shared" si="10"/>
        <v>0</v>
      </c>
      <c r="DV77" s="134">
        <f t="shared" si="10"/>
        <v>37</v>
      </c>
      <c r="DW77" s="134">
        <f t="shared" si="10"/>
        <v>0</v>
      </c>
      <c r="DX77" s="134"/>
      <c r="DY77" s="134"/>
      <c r="DZ77" s="134">
        <f t="shared" si="10"/>
        <v>7635</v>
      </c>
      <c r="EA77" s="134">
        <f t="shared" si="10"/>
        <v>0</v>
      </c>
      <c r="EB77" s="134">
        <f t="shared" si="10"/>
        <v>0</v>
      </c>
      <c r="EC77" s="134">
        <f t="shared" ref="EC77:GO77" si="11">EC76-EC17</f>
        <v>0</v>
      </c>
      <c r="ED77" s="134">
        <f t="shared" si="11"/>
        <v>83</v>
      </c>
      <c r="EE77" s="134"/>
      <c r="EF77" s="134">
        <f t="shared" si="11"/>
        <v>0</v>
      </c>
      <c r="EG77" s="134">
        <f t="shared" si="11"/>
        <v>0</v>
      </c>
      <c r="EH77" s="134">
        <f t="shared" si="11"/>
        <v>0</v>
      </c>
      <c r="EI77" s="2906">
        <f t="shared" si="11"/>
        <v>0</v>
      </c>
      <c r="EJ77" s="2906">
        <f t="shared" si="11"/>
        <v>94</v>
      </c>
      <c r="EK77" s="134">
        <f t="shared" si="11"/>
        <v>0</v>
      </c>
      <c r="EL77" s="134">
        <f t="shared" si="11"/>
        <v>0</v>
      </c>
      <c r="EM77" s="134">
        <f t="shared" si="11"/>
        <v>0</v>
      </c>
      <c r="EN77" s="134">
        <f t="shared" si="11"/>
        <v>15</v>
      </c>
      <c r="EO77" s="134">
        <f t="shared" si="11"/>
        <v>0</v>
      </c>
      <c r="EP77" s="134">
        <f t="shared" si="11"/>
        <v>64</v>
      </c>
      <c r="EQ77" s="134">
        <f t="shared" si="11"/>
        <v>0</v>
      </c>
      <c r="ER77" s="134">
        <f t="shared" si="11"/>
        <v>97</v>
      </c>
      <c r="ES77" s="134">
        <f t="shared" si="11"/>
        <v>68</v>
      </c>
      <c r="ET77" s="134">
        <f t="shared" si="11"/>
        <v>28</v>
      </c>
      <c r="EU77" s="134">
        <f t="shared" si="11"/>
        <v>97</v>
      </c>
      <c r="EV77" s="134">
        <f t="shared" si="11"/>
        <v>32</v>
      </c>
      <c r="EW77" s="134">
        <f t="shared" si="11"/>
        <v>0</v>
      </c>
      <c r="EX77" s="134">
        <f t="shared" si="11"/>
        <v>0</v>
      </c>
      <c r="EY77" s="134">
        <f t="shared" si="11"/>
        <v>0</v>
      </c>
      <c r="EZ77" s="134">
        <f t="shared" si="11"/>
        <v>711</v>
      </c>
      <c r="FA77" s="134">
        <f t="shared" si="11"/>
        <v>365</v>
      </c>
      <c r="FB77" s="134">
        <f t="shared" si="11"/>
        <v>610</v>
      </c>
      <c r="FC77" s="134">
        <f t="shared" si="11"/>
        <v>0</v>
      </c>
      <c r="FD77" s="134">
        <f t="shared" si="11"/>
        <v>0</v>
      </c>
      <c r="FE77" s="134">
        <f t="shared" si="11"/>
        <v>0</v>
      </c>
      <c r="FF77" s="134">
        <f t="shared" si="11"/>
        <v>150</v>
      </c>
      <c r="FG77" s="134">
        <f t="shared" si="11"/>
        <v>0</v>
      </c>
      <c r="FH77" s="134">
        <f t="shared" si="11"/>
        <v>0</v>
      </c>
      <c r="FI77" s="134">
        <f t="shared" si="11"/>
        <v>50</v>
      </c>
      <c r="FJ77" s="134">
        <f t="shared" si="11"/>
        <v>0</v>
      </c>
      <c r="FK77" s="134">
        <f t="shared" si="11"/>
        <v>0</v>
      </c>
      <c r="FL77" s="134">
        <f t="shared" si="11"/>
        <v>0</v>
      </c>
      <c r="FM77" s="134">
        <f t="shared" si="11"/>
        <v>183</v>
      </c>
      <c r="FN77" s="134">
        <f t="shared" si="11"/>
        <v>0</v>
      </c>
      <c r="FO77" s="134">
        <f t="shared" si="11"/>
        <v>196</v>
      </c>
      <c r="FP77" s="134">
        <f t="shared" si="11"/>
        <v>0</v>
      </c>
      <c r="FQ77" s="134">
        <f t="shared" si="11"/>
        <v>419</v>
      </c>
      <c r="FR77" s="134">
        <f t="shared" si="11"/>
        <v>0</v>
      </c>
      <c r="FS77" s="134">
        <f t="shared" si="11"/>
        <v>36</v>
      </c>
      <c r="FT77" s="134">
        <f t="shared" si="11"/>
        <v>21</v>
      </c>
      <c r="FU77" s="134">
        <f t="shared" si="11"/>
        <v>0</v>
      </c>
      <c r="FV77" s="134">
        <f t="shared" si="11"/>
        <v>11</v>
      </c>
      <c r="FW77" s="134">
        <f t="shared" si="11"/>
        <v>0</v>
      </c>
      <c r="FX77" s="134">
        <f t="shared" si="11"/>
        <v>43</v>
      </c>
      <c r="FY77" s="134">
        <f t="shared" si="11"/>
        <v>32</v>
      </c>
      <c r="FZ77" s="134">
        <f t="shared" si="11"/>
        <v>23</v>
      </c>
      <c r="GA77" s="134">
        <f t="shared" si="11"/>
        <v>52</v>
      </c>
      <c r="GB77" s="134">
        <f t="shared" si="11"/>
        <v>100</v>
      </c>
      <c r="GC77" s="134">
        <f t="shared" si="11"/>
        <v>200</v>
      </c>
      <c r="GD77" s="134">
        <f t="shared" si="11"/>
        <v>94</v>
      </c>
      <c r="GE77" s="134">
        <f t="shared" si="11"/>
        <v>113</v>
      </c>
      <c r="GF77" s="134">
        <f t="shared" si="11"/>
        <v>0</v>
      </c>
      <c r="GG77" s="134">
        <f t="shared" si="11"/>
        <v>0</v>
      </c>
      <c r="GH77" s="134">
        <f t="shared" si="11"/>
        <v>113</v>
      </c>
      <c r="GI77" s="134">
        <f t="shared" si="11"/>
        <v>0</v>
      </c>
      <c r="GJ77" s="134">
        <f t="shared" si="11"/>
        <v>0</v>
      </c>
      <c r="GK77" s="134">
        <f t="shared" si="11"/>
        <v>0</v>
      </c>
      <c r="GL77" s="134">
        <f t="shared" si="11"/>
        <v>4721</v>
      </c>
      <c r="GM77" s="134">
        <f t="shared" si="11"/>
        <v>12356</v>
      </c>
      <c r="GN77" s="134">
        <f t="shared" si="11"/>
        <v>0</v>
      </c>
      <c r="GO77" s="2907">
        <f t="shared" si="11"/>
        <v>-0.58333333333333337</v>
      </c>
      <c r="GP77" s="134">
        <f t="shared" ref="GP77:GZ77" si="12">GP76-GP17</f>
        <v>0</v>
      </c>
      <c r="GQ77" s="134">
        <f t="shared" si="12"/>
        <v>0</v>
      </c>
      <c r="GR77" s="134">
        <f t="shared" si="12"/>
        <v>0</v>
      </c>
      <c r="GS77" s="134">
        <f t="shared" si="12"/>
        <v>0</v>
      </c>
      <c r="GT77" s="134">
        <f t="shared" si="12"/>
        <v>0</v>
      </c>
      <c r="GU77" s="134">
        <f t="shared" si="12"/>
        <v>0</v>
      </c>
      <c r="GV77" s="134">
        <f t="shared" si="12"/>
        <v>0</v>
      </c>
      <c r="GW77" s="134">
        <f t="shared" si="12"/>
        <v>0</v>
      </c>
      <c r="GX77" s="134">
        <f t="shared" si="12"/>
        <v>0</v>
      </c>
      <c r="GY77" s="134">
        <f t="shared" si="12"/>
        <v>0</v>
      </c>
      <c r="GZ77" s="134">
        <f t="shared" si="12"/>
        <v>0</v>
      </c>
    </row>
    <row r="83" spans="139:197">
      <c r="GF83" s="172"/>
    </row>
    <row r="86" spans="139:197" s="138" customFormat="1">
      <c r="EI86" s="126"/>
      <c r="EJ86" s="126"/>
      <c r="GO86" s="919"/>
    </row>
    <row r="91" spans="139:197" s="138" customFormat="1">
      <c r="EI91" s="126"/>
      <c r="EJ91" s="126"/>
      <c r="GO91" s="919"/>
    </row>
    <row r="92" spans="139:197" s="138" customFormat="1">
      <c r="EI92" s="126"/>
      <c r="EJ92" s="126"/>
      <c r="GO92" s="919"/>
    </row>
    <row r="93" spans="139:197" s="138" customFormat="1">
      <c r="EI93" s="126"/>
      <c r="EJ93" s="126"/>
      <c r="GO93" s="919"/>
    </row>
    <row r="94" spans="139:197" s="138" customFormat="1">
      <c r="EI94" s="126"/>
      <c r="EJ94" s="126"/>
      <c r="GO94" s="919"/>
    </row>
    <row r="95" spans="139:197" s="138" customFormat="1">
      <c r="EI95" s="126"/>
      <c r="EJ95" s="126"/>
      <c r="GO95" s="919"/>
    </row>
    <row r="96" spans="139:197" s="138" customFormat="1">
      <c r="EI96" s="126"/>
      <c r="EJ96" s="126"/>
      <c r="GO96" s="919"/>
    </row>
    <row r="106" spans="1:197">
      <c r="D106" s="919"/>
    </row>
    <row r="107" spans="1:197">
      <c r="A107" s="908"/>
      <c r="B107" s="5391"/>
      <c r="C107" s="5391"/>
      <c r="D107" s="5391"/>
      <c r="E107" s="5391"/>
      <c r="F107" s="5391"/>
      <c r="G107" s="1509"/>
    </row>
    <row r="108" spans="1:197">
      <c r="A108" s="176"/>
      <c r="B108" s="5391"/>
      <c r="C108" s="5391"/>
      <c r="D108" s="5391"/>
      <c r="E108" s="5391"/>
      <c r="F108" s="5391"/>
      <c r="G108" s="1509"/>
    </row>
    <row r="109" spans="1:197" s="138" customFormat="1">
      <c r="EI109" s="126"/>
      <c r="EJ109" s="126"/>
      <c r="GO109" s="919"/>
    </row>
    <row r="128" spans="139:197" s="138" customFormat="1">
      <c r="EI128" s="126"/>
      <c r="EJ128" s="126"/>
      <c r="GO128" s="919"/>
    </row>
    <row r="209" spans="1:2">
      <c r="A209" s="908"/>
      <c r="B209" s="908"/>
    </row>
    <row r="210" spans="1:2">
      <c r="A210" s="908"/>
      <c r="B210" s="908">
        <v>1</v>
      </c>
    </row>
  </sheetData>
  <customSheetViews>
    <customSheetView guid="{751D391F-C74F-4B53-B5B5-25E01AC12EA4}" scale="66">
      <pane xSplit="1" ySplit="3" topLeftCell="B5" activePane="bottomRight" state="frozen"/>
      <selection pane="bottomRight" activeCell="D37" sqref="D37:E37"/>
      <rowBreaks count="1" manualBreakCount="1">
        <brk id="35" max="16383" man="1"/>
      </rowBreaks>
      <colBreaks count="1" manualBreakCount="1">
        <brk id="190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1"/>
    </customSheetView>
    <customSheetView guid="{5A803268-F6C5-4035-B3E1-A94CB9AA8994}" scale="80" showPageBreaks="1" printArea="1" hiddenRows="1">
      <pane xSplit="1" ySplit="3" topLeftCell="R20" activePane="bottomRight" state="frozen"/>
      <selection pane="bottomRight" activeCell="FU25" sqref="FU25"/>
      <rowBreaks count="1" manualBreakCount="1">
        <brk id="32" max="16383" man="1"/>
      </rowBreaks>
      <colBreaks count="1" manualBreakCount="1">
        <brk id="176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2"/>
    </customSheetView>
    <customSheetView guid="{917057C8-5E5F-4164-B84C-85103677A2E5}" scale="90">
      <pane xSplit="1" ySplit="2" topLeftCell="AI4" activePane="bottomRight" state="frozen"/>
      <selection pane="bottomRight" activeCell="AM8" sqref="AM8"/>
      <rowBreaks count="1" manualBreakCount="1">
        <brk id="34" max="16383" man="1"/>
      </rowBreaks>
      <colBreaks count="1" manualBreakCount="1">
        <brk id="182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3"/>
    </customSheetView>
    <customSheetView guid="{4593F3EE-0998-4E0E-994A-E02D6BAF3A4B}" scale="61" showPageBreaks="1" printArea="1" topLeftCell="A3">
      <pane xSplit="1" ySplit="3" topLeftCell="B6" activePane="bottomRight" state="frozen"/>
      <selection pane="bottomRight" activeCell="D15" sqref="D15"/>
      <rowBreaks count="1" manualBreakCount="1">
        <brk id="34" max="16383" man="1"/>
      </rowBreaks>
      <colBreaks count="1" manualBreakCount="1">
        <brk id="172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4"/>
    </customSheetView>
    <customSheetView guid="{23F4DC00-BC97-4745-AA5C-F05D469CB1EF}" scale="80" showPageBreaks="1" printArea="1" topLeftCell="A3">
      <pane xSplit="1" ySplit="4" topLeftCell="DH19" activePane="bottomRight" state="frozen"/>
      <selection pane="bottomRight" activeCell="DK27" sqref="DK27"/>
      <rowBreaks count="1" manualBreakCount="1">
        <brk id="33" max="16383" man="1"/>
      </rowBreaks>
      <colBreaks count="1" manualBreakCount="1">
        <brk id="177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5"/>
    </customSheetView>
    <customSheetView guid="{B91C2E87-5EDA-40AE-AC27-0E2C17E803CE}" showPageBreaks="1" printArea="1">
      <pane xSplit="1" ySplit="3" topLeftCell="CE4" activePane="bottomRight" state="frozen"/>
      <selection pane="bottomRight" activeCell="CH14" sqref="CH14"/>
      <rowBreaks count="1" manualBreakCount="1">
        <brk id="34" max="16383" man="1"/>
      </rowBreaks>
      <colBreaks count="1" manualBreakCount="1">
        <brk id="180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6"/>
    </customSheetView>
    <customSheetView guid="{7C71EF2A-5ADA-494C-8F58-DDA71753DD90}" scale="80" showPageBreaks="1">
      <pane xSplit="1" ySplit="3" topLeftCell="DI4" activePane="bottomRight" state="frozen"/>
      <selection pane="bottomRight" activeCell="DQ3" sqref="DQ3:GA30"/>
      <rowBreaks count="1" manualBreakCount="1">
        <brk id="34" max="16383" man="1"/>
      </rowBreaks>
      <colBreaks count="1" manualBreakCount="1">
        <brk id="185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7"/>
    </customSheetView>
    <customSheetView guid="{4DB6C640-CE65-4513-9E5A-F6CDD1F4B8AF}">
      <pane xSplit="1" ySplit="3" topLeftCell="FB4" activePane="bottomRight" state="frozen"/>
      <selection pane="bottomRight" activeCell="AK1" sqref="AK1:AK1048576"/>
      <rowBreaks count="1" manualBreakCount="1">
        <brk id="35" max="16383" man="1"/>
      </rowBreaks>
      <colBreaks count="1" manualBreakCount="1">
        <brk id="192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8"/>
    </customSheetView>
    <customSheetView guid="{D1D1E152-95AB-45D3-AC07-4EC0834D3E0C}" scale="70">
      <pane xSplit="1" ySplit="3" topLeftCell="B4" activePane="bottomRight" state="frozen"/>
      <selection pane="bottomRight" activeCell="B14" sqref="B14:GN14"/>
      <rowBreaks count="1" manualBreakCount="1">
        <brk id="35" max="16383" man="1"/>
      </rowBreaks>
      <colBreaks count="1" manualBreakCount="1">
        <brk id="192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9"/>
    </customSheetView>
    <customSheetView guid="{C3348F62-02F2-4500-9BF2-19F2DEA57A8D}" showPageBreaks="1">
      <pane xSplit="1" ySplit="3" topLeftCell="B31" activePane="bottomRight" state="frozen"/>
      <selection pane="bottomRight" activeCell="G44" sqref="G44"/>
      <rowBreaks count="1" manualBreakCount="1">
        <brk id="35" max="16383" man="1"/>
      </rowBreaks>
      <colBreaks count="1" manualBreakCount="1">
        <brk id="191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10"/>
    </customSheetView>
  </customSheetViews>
  <mergeCells count="32">
    <mergeCell ref="B43:C43"/>
    <mergeCell ref="D35:E35"/>
    <mergeCell ref="D37:E37"/>
    <mergeCell ref="D38:E38"/>
    <mergeCell ref="D40:E40"/>
    <mergeCell ref="D41:E41"/>
    <mergeCell ref="D36:E36"/>
    <mergeCell ref="B35:C35"/>
    <mergeCell ref="B37:C37"/>
    <mergeCell ref="B40:C40"/>
    <mergeCell ref="B41:C41"/>
    <mergeCell ref="B42:C42"/>
    <mergeCell ref="B36:C36"/>
    <mergeCell ref="K40:L40"/>
    <mergeCell ref="K41:L41"/>
    <mergeCell ref="K42:L42"/>
    <mergeCell ref="D43:E43"/>
    <mergeCell ref="K43:L43"/>
    <mergeCell ref="D42:E42"/>
    <mergeCell ref="K37:L37"/>
    <mergeCell ref="K38:L38"/>
    <mergeCell ref="K39:L39"/>
    <mergeCell ref="B38:C39"/>
    <mergeCell ref="D39:E39"/>
    <mergeCell ref="B107:F107"/>
    <mergeCell ref="B108:F108"/>
    <mergeCell ref="B44:C44"/>
    <mergeCell ref="D44:E44"/>
    <mergeCell ref="B45:C45"/>
    <mergeCell ref="D45:E45"/>
    <mergeCell ref="B47:C47"/>
    <mergeCell ref="D47:E47"/>
  </mergeCells>
  <dataValidations xWindow="462" yWindow="207" count="4">
    <dataValidation type="list" allowBlank="1" showInputMessage="1" showErrorMessage="1" sqref="D43:E43" xr:uid="{00000000-0002-0000-0000-000000000000}">
      <formula1>$B$63:$B$65</formula1>
    </dataValidation>
    <dataValidation type="list" allowBlank="1" showInputMessage="1" showErrorMessage="1" sqref="D37:E37" xr:uid="{00000000-0002-0000-0000-000001000000}">
      <formula1>$C$63:$C$71</formula1>
    </dataValidation>
    <dataValidation type="list" allowBlank="1" showInputMessage="1" showErrorMessage="1" sqref="D42:E42" xr:uid="{00000000-0002-0000-0000-000002000000}">
      <formula1>$D$63:$D$71</formula1>
    </dataValidation>
    <dataValidation allowBlank="1" showInputMessage="1" showErrorMessage="1" prompt="precision" sqref="AM3" xr:uid="{00000000-0002-0000-0000-000003000000}"/>
  </dataValidations>
  <printOptions horizontalCentered="1" verticalCentered="1"/>
  <pageMargins left="0.2" right="0.2" top="0.75" bottom="0.75" header="0.3" footer="0.3"/>
  <pageSetup paperSize="9" scale="40" orientation="landscape" r:id="rId11"/>
  <rowBreaks count="1" manualBreakCount="1">
    <brk id="35" max="16383" man="1"/>
  </rowBreaks>
  <colBreaks count="1" manualBreakCount="1">
    <brk id="191" max="1048575" man="1"/>
  </colBreaks>
  <drawing r:id="rId12"/>
  <legacyDrawing r:id="rId13"/>
  <controls>
    <mc:AlternateContent xmlns:mc="http://schemas.openxmlformats.org/markup-compatibility/2006">
      <mc:Choice Requires="x14">
        <control shapeId="2049" r:id="rId14" name="CBtnTransferData">
          <controlPr defaultSize="0" autoLine="0" autoPict="0" r:id="rId15">
            <anchor moveWithCells="1">
              <from>
                <xdr:col>0</xdr:col>
                <xdr:colOff>123825</xdr:colOff>
                <xdr:row>34</xdr:row>
                <xdr:rowOff>0</xdr:rowOff>
              </from>
              <to>
                <xdr:col>0</xdr:col>
                <xdr:colOff>2428875</xdr:colOff>
                <xdr:row>35</xdr:row>
                <xdr:rowOff>247650</xdr:rowOff>
              </to>
            </anchor>
          </controlPr>
        </control>
      </mc:Choice>
      <mc:Fallback>
        <control shapeId="2049" r:id="rId14" name="CBtnTransferData"/>
      </mc:Fallback>
    </mc:AlternateContent>
    <mc:AlternateContent xmlns:mc="http://schemas.openxmlformats.org/markup-compatibility/2006">
      <mc:Choice Requires="x14">
        <control shapeId="2053" r:id="rId16" name="CBtnAddMachine">
          <controlPr defaultSize="0" autoLine="0" r:id="rId17">
            <anchor moveWithCells="1">
              <from>
                <xdr:col>0</xdr:col>
                <xdr:colOff>123825</xdr:colOff>
                <xdr:row>42</xdr:row>
                <xdr:rowOff>219075</xdr:rowOff>
              </from>
              <to>
                <xdr:col>0</xdr:col>
                <xdr:colOff>2028825</xdr:colOff>
                <xdr:row>44</xdr:row>
                <xdr:rowOff>104775</xdr:rowOff>
              </to>
            </anchor>
          </controlPr>
        </control>
      </mc:Choice>
      <mc:Fallback>
        <control shapeId="2053" r:id="rId16" name="CBtnAddMachine"/>
      </mc:Fallback>
    </mc:AlternateContent>
    <mc:AlternateContent xmlns:mc="http://schemas.openxmlformats.org/markup-compatibility/2006">
      <mc:Choice Requires="x14">
        <control shapeId="2054" r:id="rId18" name="CBtnDeleteMachine">
          <controlPr defaultSize="0" autoLine="0" r:id="rId19">
            <anchor moveWithCells="1">
              <from>
                <xdr:col>0</xdr:col>
                <xdr:colOff>123825</xdr:colOff>
                <xdr:row>44</xdr:row>
                <xdr:rowOff>171450</xdr:rowOff>
              </from>
              <to>
                <xdr:col>0</xdr:col>
                <xdr:colOff>2028825</xdr:colOff>
                <xdr:row>46</xdr:row>
                <xdr:rowOff>19050</xdr:rowOff>
              </to>
            </anchor>
          </controlPr>
        </control>
      </mc:Choice>
      <mc:Fallback>
        <control shapeId="2054" r:id="rId18" name="CBtnDeleteMachine"/>
      </mc:Fallback>
    </mc:AlternateContent>
    <mc:AlternateContent xmlns:mc="http://schemas.openxmlformats.org/markup-compatibility/2006">
      <mc:Choice Requires="x14">
        <control shapeId="2055" r:id="rId20" name="CBtnAddToReport">
          <controlPr defaultSize="0" autoLine="0" r:id="rId21">
            <anchor moveWithCells="1">
              <from>
                <xdr:col>0</xdr:col>
                <xdr:colOff>123825</xdr:colOff>
                <xdr:row>46</xdr:row>
                <xdr:rowOff>371475</xdr:rowOff>
              </from>
              <to>
                <xdr:col>0</xdr:col>
                <xdr:colOff>2028825</xdr:colOff>
                <xdr:row>48</xdr:row>
                <xdr:rowOff>104775</xdr:rowOff>
              </to>
            </anchor>
          </controlPr>
        </control>
      </mc:Choice>
      <mc:Fallback>
        <control shapeId="2055" r:id="rId20" name="CBtnAddToReport"/>
      </mc:Fallback>
    </mc:AlternateContent>
    <mc:AlternateContent xmlns:mc="http://schemas.openxmlformats.org/markup-compatibility/2006">
      <mc:Choice Requires="x14">
        <control shapeId="2056" r:id="rId22" name="CBtDeleteFromReport">
          <controlPr defaultSize="0" autoLine="0" r:id="rId23">
            <anchor moveWithCells="1">
              <from>
                <xdr:col>0</xdr:col>
                <xdr:colOff>123825</xdr:colOff>
                <xdr:row>48</xdr:row>
                <xdr:rowOff>161925</xdr:rowOff>
              </from>
              <to>
                <xdr:col>0</xdr:col>
                <xdr:colOff>2028825</xdr:colOff>
                <xdr:row>49</xdr:row>
                <xdr:rowOff>314325</xdr:rowOff>
              </to>
            </anchor>
          </controlPr>
        </control>
      </mc:Choice>
      <mc:Fallback>
        <control shapeId="2056" r:id="rId22" name="CBtDeleteFromReport"/>
      </mc:Fallback>
    </mc:AlternateContent>
    <mc:AlternateContent xmlns:mc="http://schemas.openxmlformats.org/markup-compatibility/2006">
      <mc:Choice Requires="x14">
        <control shapeId="2057" r:id="rId24" name="CBtnCreateDailyReport">
          <controlPr defaultSize="0" autoLine="0" r:id="rId25">
            <anchor moveWithCells="1">
              <from>
                <xdr:col>0</xdr:col>
                <xdr:colOff>123825</xdr:colOff>
                <xdr:row>38</xdr:row>
                <xdr:rowOff>180975</xdr:rowOff>
              </from>
              <to>
                <xdr:col>0</xdr:col>
                <xdr:colOff>2466975</xdr:colOff>
                <xdr:row>40</xdr:row>
                <xdr:rowOff>133350</xdr:rowOff>
              </to>
            </anchor>
          </controlPr>
        </control>
      </mc:Choice>
      <mc:Fallback>
        <control shapeId="2057" r:id="rId24" name="CBtnCreateDailyReport"/>
      </mc:Fallback>
    </mc:AlternateContent>
    <mc:AlternateContent xmlns:mc="http://schemas.openxmlformats.org/markup-compatibility/2006">
      <mc:Choice Requires="x14">
        <control shapeId="2058" r:id="rId26" name="CBtnCreateMorningReport">
          <controlPr defaultSize="0" autoLine="0" r:id="rId27">
            <anchor moveWithCells="1">
              <from>
                <xdr:col>0</xdr:col>
                <xdr:colOff>123825</xdr:colOff>
                <xdr:row>36</xdr:row>
                <xdr:rowOff>152400</xdr:rowOff>
              </from>
              <to>
                <xdr:col>0</xdr:col>
                <xdr:colOff>2466975</xdr:colOff>
                <xdr:row>38</xdr:row>
                <xdr:rowOff>47625</xdr:rowOff>
              </to>
            </anchor>
          </controlPr>
        </control>
      </mc:Choice>
      <mc:Fallback>
        <control shapeId="2058" r:id="rId26" name="CBtnCreateMorningReport"/>
      </mc:Fallback>
    </mc:AlternateContent>
    <mc:AlternateContent xmlns:mc="http://schemas.openxmlformats.org/markup-compatibility/2006">
      <mc:Choice Requires="x14">
        <control shapeId="2061" r:id="rId28" name="CBoxLocal">
          <controlPr defaultSize="0" autoLine="0" autoPict="0" r:id="rId29">
            <anchor moveWithCells="1">
              <from>
                <xdr:col>0</xdr:col>
                <xdr:colOff>95250</xdr:colOff>
                <xdr:row>50</xdr:row>
                <xdr:rowOff>38100</xdr:rowOff>
              </from>
              <to>
                <xdr:col>0</xdr:col>
                <xdr:colOff>2428875</xdr:colOff>
                <xdr:row>51</xdr:row>
                <xdr:rowOff>57150</xdr:rowOff>
              </to>
            </anchor>
          </controlPr>
        </control>
      </mc:Choice>
      <mc:Fallback>
        <control shapeId="2061" r:id="rId28" name="CBoxLocal"/>
      </mc:Fallback>
    </mc:AlternateContent>
    <mc:AlternateContent xmlns:mc="http://schemas.openxmlformats.org/markup-compatibility/2006">
      <mc:Choice Requires="x14">
        <control shapeId="2062" r:id="rId30" name="CBox_Insert">
          <controlPr defaultSize="0" autoLine="0" r:id="rId31">
            <anchor moveWithCells="1">
              <from>
                <xdr:col>0</xdr:col>
                <xdr:colOff>104775</xdr:colOff>
                <xdr:row>41</xdr:row>
                <xdr:rowOff>38100</xdr:rowOff>
              </from>
              <to>
                <xdr:col>0</xdr:col>
                <xdr:colOff>2476500</xdr:colOff>
                <xdr:row>42</xdr:row>
                <xdr:rowOff>142875</xdr:rowOff>
              </to>
            </anchor>
          </controlPr>
        </control>
      </mc:Choice>
      <mc:Fallback>
        <control shapeId="2062" r:id="rId30" name="CBox_Inse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  <pageSetUpPr fitToPage="1"/>
  </sheetPr>
  <dimension ref="A1:EA135"/>
  <sheetViews>
    <sheetView topLeftCell="B1" zoomScale="70" zoomScaleNormal="60" workbookViewId="0">
      <selection activeCell="L6" sqref="L6:L11"/>
    </sheetView>
  </sheetViews>
  <sheetFormatPr defaultColWidth="9.140625" defaultRowHeight="23.25"/>
  <cols>
    <col min="1" max="1" width="19.28515625" style="96" customWidth="1"/>
    <col min="2" max="2" width="13.7109375" style="5050" customWidth="1"/>
    <col min="3" max="3" width="23.85546875" style="1300" customWidth="1"/>
    <col min="4" max="11" width="21" style="1300" customWidth="1"/>
    <col min="12" max="12" width="25.7109375" style="1300" customWidth="1"/>
    <col min="13" max="13" width="18" style="96" customWidth="1"/>
    <col min="14" max="14" width="24.140625" style="101" customWidth="1"/>
    <col min="15" max="15" width="20.140625" style="96" hidden="1" customWidth="1"/>
    <col min="16" max="17" width="19.140625" style="96" customWidth="1"/>
    <col min="18" max="18" width="20.42578125" style="96" customWidth="1"/>
    <col min="19" max="19" width="26.85546875" style="96" customWidth="1"/>
    <col min="20" max="20" width="16" style="96" customWidth="1"/>
    <col min="21" max="21" width="24.85546875" style="96" customWidth="1"/>
    <col min="22" max="22" width="19.7109375" style="96" bestFit="1" customWidth="1"/>
    <col min="23" max="23" width="11" style="96" bestFit="1" customWidth="1"/>
    <col min="24" max="24" width="14.42578125" style="96" bestFit="1" customWidth="1"/>
    <col min="25" max="27" width="10.7109375" style="96" bestFit="1" customWidth="1"/>
    <col min="28" max="28" width="14.42578125" style="96" bestFit="1" customWidth="1"/>
    <col min="29" max="16384" width="9.140625" style="96"/>
  </cols>
  <sheetData>
    <row r="1" spans="1:21" ht="13.5" customHeight="1" thickBot="1">
      <c r="A1" s="92"/>
      <c r="B1" s="5036"/>
      <c r="C1" s="1296"/>
      <c r="D1" s="1296"/>
      <c r="E1" s="1296" t="s">
        <v>18</v>
      </c>
      <c r="F1" s="1296"/>
      <c r="G1" s="1296"/>
      <c r="H1" s="1296"/>
      <c r="I1" s="1296"/>
      <c r="J1" s="1296"/>
      <c r="K1" s="1296"/>
      <c r="L1" s="1297"/>
      <c r="M1" s="94"/>
      <c r="N1" s="879"/>
      <c r="Q1" s="184"/>
    </row>
    <row r="2" spans="1:21" ht="30" customHeight="1" thickBot="1">
      <c r="A2" s="92"/>
      <c r="B2" s="5033" t="s">
        <v>19</v>
      </c>
      <c r="C2" s="5419">
        <f>GEntry!A2</f>
        <v>43319</v>
      </c>
      <c r="D2" s="5420"/>
      <c r="E2" s="5421"/>
      <c r="F2" s="1298" t="s">
        <v>18</v>
      </c>
      <c r="G2" s="1299"/>
      <c r="H2" s="1298"/>
      <c r="I2" s="1298"/>
      <c r="J2" s="1299"/>
      <c r="K2" s="1298"/>
      <c r="L2" s="1297"/>
      <c r="M2" s="94"/>
      <c r="N2" s="879"/>
      <c r="Q2" s="91"/>
      <c r="R2" s="91"/>
    </row>
    <row r="3" spans="1:21" ht="24" thickBot="1">
      <c r="A3" s="92"/>
      <c r="B3" s="5037"/>
      <c r="C3" s="1298"/>
      <c r="D3" s="1298"/>
      <c r="E3" s="1298"/>
      <c r="F3" s="1298"/>
      <c r="G3" s="1298"/>
      <c r="H3" s="1298"/>
      <c r="I3" s="1298"/>
      <c r="J3" s="1298"/>
      <c r="K3" s="1298"/>
      <c r="L3" s="1297"/>
      <c r="M3" s="94"/>
      <c r="N3" s="879"/>
      <c r="O3" s="952" t="s">
        <v>107</v>
      </c>
      <c r="Q3" s="4990" t="s">
        <v>107</v>
      </c>
      <c r="R3" s="91"/>
    </row>
    <row r="4" spans="1:21" s="91" customFormat="1" ht="21.75" customHeight="1" thickBot="1">
      <c r="A4" s="99"/>
      <c r="B4" s="5417" t="s">
        <v>20</v>
      </c>
      <c r="C4" s="5149"/>
      <c r="D4" s="5150"/>
      <c r="E4" s="5150"/>
      <c r="F4" s="5150"/>
      <c r="G4" s="5150" t="s">
        <v>14</v>
      </c>
      <c r="H4" s="5150"/>
      <c r="I4" s="5150"/>
      <c r="J4" s="5150"/>
      <c r="K4" s="5150"/>
      <c r="L4" s="5151"/>
      <c r="M4" s="5422" t="s">
        <v>26</v>
      </c>
      <c r="N4" s="880"/>
      <c r="O4" s="953" t="s">
        <v>108</v>
      </c>
      <c r="Q4" s="4991" t="s">
        <v>108</v>
      </c>
    </row>
    <row r="5" spans="1:21" s="167" customFormat="1" ht="27.75" customHeight="1" thickBot="1">
      <c r="A5" s="166"/>
      <c r="B5" s="5418"/>
      <c r="C5" s="5152" t="s">
        <v>27</v>
      </c>
      <c r="D5" s="5152" t="s">
        <v>21</v>
      </c>
      <c r="E5" s="5152" t="s">
        <v>22</v>
      </c>
      <c r="F5" s="5153" t="s">
        <v>23</v>
      </c>
      <c r="G5" s="5153" t="s">
        <v>45</v>
      </c>
      <c r="H5" s="5153" t="s">
        <v>174</v>
      </c>
      <c r="I5" s="5153" t="s">
        <v>109</v>
      </c>
      <c r="J5" s="5154" t="s">
        <v>129</v>
      </c>
      <c r="K5" s="5154" t="s">
        <v>130</v>
      </c>
      <c r="L5" s="5155" t="s">
        <v>12</v>
      </c>
      <c r="M5" s="5423"/>
      <c r="N5" s="880"/>
      <c r="O5" s="883" t="s">
        <v>12</v>
      </c>
      <c r="P5" s="4980" t="s">
        <v>105</v>
      </c>
      <c r="Q5" s="4992" t="s">
        <v>12</v>
      </c>
      <c r="R5" s="91"/>
    </row>
    <row r="6" spans="1:21" ht="39.75" customHeight="1">
      <c r="A6" s="92"/>
      <c r="B6" s="5038">
        <v>4.1666666666666602E-2</v>
      </c>
      <c r="C6" s="3080">
        <f>Master!N14+Master!B14+Master!C14+Master!D14+Master!E14+Master!F14+Master!G14+Master!H14 +Master!I14+Master!J14+Master!L14+Master!M14+Master!R14+Master!S14+Master!T14+Master!AE14+Master!AF14+Master!AG14+Master!AH14+Master!AI14+Master!AK14+Master!AN14+Master!AO14+Master!AQ14+Master!AS14+Master!AU14+Master!BB14+Master!BC14 +Master!BD14+Master!BE14+Master!BF14+Master!BG14+Master!BH14+Master!BI14+Master!BJ14+Master!BK14+Master!BL14+Master!BM14 +Master!BN14+Master!BO14+Master!BP14+Master!BS14+Master!BT14+Master!BU14+Master!BV14+Master!BX14+Master!BZ14+Master!CB14+Master!CC14+Master!CD14+Master!CE14+Master!CF14+Master!CG14+Master!CH14+Master!CI14+Master!CJ14+Master!CK14+Master!CL14+Master!CM14+Master!CN14+Master!CO14+Master!CP14+Master!CQ14+Master!EB14+Master!EK14+Master!EL14  +Master!EO14+Master!EP14+Master!EY14+Master!EZ14+Master!FA14+Master!FG14+Master!FK14+Master!FM14+Master!FI14+Master!FO14+Master!DC14+Master!DN14+Master!FY14+Master!DS14+Master!DX14+Master!GF14</f>
        <v>5499</v>
      </c>
      <c r="D6" s="3081">
        <f>Master!K14+Master!O14+Master!P14+Master!Q14+Master!U14+Master!V14+Master!W14+Master!X14+Master!Y14+Master!AA14+Master!AB14+Master!AC14+Master!AD14+Master!AJ14+Master!AP14+Master!AV14+Master!AW14+Master!AX14+Master!AY14+Master!AZ14+Master!BA14+Master!BQ14+Master!BR14+Master!BY14+Master!EC14+Master!ED14+Master!EH14+Master!EI14+Master!EJ14+Master!EM14+Master!EQ14+Master!ER14+Master!ES14+Master!ET14+Master!EU14+Master!EV14+Master!EW14+Master!EX14+Master!CS14+Master!CV14+Master!CX14+Master!FP14+Master!CZ14+Master!DA14+Master!DB14+Master!DD14+Master!FR14+Master!FS14+Master!DE14+Master!DF14+Master!DH14+Master!FT14+Master!DI14+Master!DJ14+Master!FW14+Master!DK14+Master!DL14+Master!DM14+Master!DO14+Master!DQ14+Master!GA14+Master!DR14+Master!DT14+Master!DV14+Master!DW14+Master!GD14</f>
        <v>2513</v>
      </c>
      <c r="E6" s="3082">
        <f>Master!Z14+Master!AR14+Master!EA14+Master!EE14+Master!EN14+Master!FE14+Master!FF14+Master!FH14+Master!AT14+Master!CR14+Master!FL14+Master!CT14+Master!CU14+Master!FN14+Master!CW14+Master!FJ14+Master!FQ14+Master!FU14+Master!FZ14+Master!GE14</f>
        <v>1381</v>
      </c>
      <c r="F6" s="3083">
        <f t="shared" ref="F6:F7" si="0">D6+E6</f>
        <v>3894</v>
      </c>
      <c r="G6" s="3083">
        <f>Master!FB14+Master!FC14+Master!FD14+Master!FX14</f>
        <v>910</v>
      </c>
      <c r="H6" s="3083">
        <f>Master!CA14+Master!CY14+Master!DG14+Master!FV14+Master!DP14+Master!DU14+Master!GB14+Master!GC14</f>
        <v>0</v>
      </c>
      <c r="I6" s="3083">
        <f>Master!AL14+Master!AM14</f>
        <v>116</v>
      </c>
      <c r="J6" s="3083">
        <f>Master!BW14</f>
        <v>162</v>
      </c>
      <c r="K6" s="3084">
        <f>Master!DZ14</f>
        <v>914</v>
      </c>
      <c r="L6" s="5019">
        <f t="shared" ref="L6:L13" si="1">C6+F6+G6+H6+I6+J6+K6</f>
        <v>11495</v>
      </c>
      <c r="M6" s="4985">
        <v>1538.1086749999995</v>
      </c>
      <c r="N6" s="881"/>
      <c r="O6" s="1464">
        <f xml:space="preserve"> Master!Z14+Master!AC14+Master!AD14+Master!AE14+Master!AF14+Master!AG14+Master!AH14+Master!AI14+Master!AJ14</f>
        <v>279</v>
      </c>
      <c r="P6" s="4981">
        <v>12700</v>
      </c>
      <c r="Q6" s="4993">
        <f t="shared" ref="Q6:Q31" si="2">O6</f>
        <v>279</v>
      </c>
      <c r="R6" s="91"/>
      <c r="S6" s="1681"/>
    </row>
    <row r="7" spans="1:21" ht="39.75" customHeight="1">
      <c r="A7" s="92"/>
      <c r="B7" s="5039">
        <v>8.3333333333333301E-2</v>
      </c>
      <c r="C7" s="3080">
        <f>Master!N15+Master!B15+Master!C15+Master!D15+Master!E15+Master!F15+Master!G15+Master!H15 +Master!I15+Master!J15+Master!L15+Master!M15+Master!R15+Master!S15+Master!T15+Master!AE15+Master!AF15+Master!AG15+Master!AH15+Master!AI15+Master!AK15+Master!AN15+Master!AO15+Master!AQ15+Master!AS15+Master!AU15+Master!BB15+Master!BC15 +Master!BD15+Master!BE15+Master!BF15+Master!BG15+Master!BH15+Master!BI15+Master!BJ15+Master!BK15+Master!BL15+Master!BM15 +Master!BN15+Master!BO15+Master!BP15+Master!BS15+Master!BT15+Master!BU15+Master!BV15+Master!BX15+Master!BZ15+Master!CB15+Master!CC15+Master!CD15+Master!CE15+Master!CF15+Master!CG15+Master!CH15+Master!CI15+Master!CJ15+Master!CK15+Master!CL15+Master!CM15+Master!CN15+Master!CO15+Master!CP15+Master!CQ15+Master!EB15+Master!EK15+Master!EL15  +Master!EO15+Master!EP15+Master!EY15+Master!EZ15+Master!FA15+Master!FG15+Master!FK15+Master!FM15+Master!FI15+Master!FO15+Master!DC15+Master!DN15+Master!FY15+Master!DS15+Master!DX15+Master!GF15</f>
        <v>5500</v>
      </c>
      <c r="D7" s="3081">
        <f>Master!K15+Master!O15+Master!P15+Master!Q15+Master!U15+Master!V15+Master!W15+Master!X15+Master!Y15+Master!AA15+Master!AB15+Master!AC15+Master!AD15+Master!AJ15+Master!AP15+Master!AV15+Master!AW15+Master!AX15+Master!AY15+Master!AZ15+Master!BA15+Master!BQ15+Master!BR15+Master!BY15+Master!EC15+Master!ED15+Master!EH15+Master!EI15+Master!EJ15+Master!EM15+Master!EQ15+Master!ER15+Master!ES15+Master!ET15+Master!EU15+Master!EV15+Master!EW15+Master!EX15+Master!CS15+Master!CV15+Master!CX15+Master!FP15+Master!CZ15+Master!DA15+Master!DB15+Master!DD15+Master!FR15+Master!FS15+Master!DE15+Master!DF15+Master!DH15+Master!FT15+Master!DI15+Master!DJ15+Master!FW15+Master!DK15+Master!DL15+Master!DM15+Master!DO15+Master!DQ15+Master!GA15+Master!DR15+Master!DT15+Master!DV15+Master!DW15+Master!GD15</f>
        <v>2383</v>
      </c>
      <c r="E7" s="3082">
        <f>Master!Z15+Master!AR15+Master!EA15+Master!EE15+Master!EN15+Master!FE15+Master!FF15+Master!FH15+Master!AT15+Master!CR15+Master!FL15+Master!CT15+Master!CU15+Master!FN15+Master!CW15+Master!FJ15+Master!FQ15+Master!FU15+Master!FZ15+Master!GE15</f>
        <v>1384</v>
      </c>
      <c r="F7" s="3083">
        <f t="shared" si="0"/>
        <v>3767</v>
      </c>
      <c r="G7" s="3083">
        <f>Master!FB15+Master!FC15+Master!FD15+Master!FX15</f>
        <v>900</v>
      </c>
      <c r="H7" s="3083">
        <f>Master!CA15+Master!CY15+Master!DG15+Master!FV15+Master!DP15+Master!DU15+Master!GB15+Master!GC15</f>
        <v>0</v>
      </c>
      <c r="I7" s="3083">
        <f>Master!AL15+Master!AM15</f>
        <v>118</v>
      </c>
      <c r="J7" s="3083">
        <f>Master!BW15</f>
        <v>162</v>
      </c>
      <c r="K7" s="3084">
        <f>Master!DZ15</f>
        <v>914</v>
      </c>
      <c r="L7" s="5019">
        <f t="shared" si="1"/>
        <v>11361</v>
      </c>
      <c r="M7" s="4986">
        <v>1680.0312249999988</v>
      </c>
      <c r="N7" s="881"/>
      <c r="O7" s="1464">
        <f xml:space="preserve"> Master!Z15+Master!AC15+Master!AD15+Master!AE15+Master!AF15+Master!AG15+Master!AH15+Master!AI15+Master!AJ15</f>
        <v>276</v>
      </c>
      <c r="P7" s="4981">
        <v>12600</v>
      </c>
      <c r="Q7" s="4993">
        <f t="shared" si="2"/>
        <v>276</v>
      </c>
      <c r="R7" s="91"/>
      <c r="S7" s="91"/>
    </row>
    <row r="8" spans="1:21" ht="39.75" customHeight="1">
      <c r="A8" s="92"/>
      <c r="B8" s="5039">
        <v>0.125</v>
      </c>
      <c r="C8" s="3080">
        <f>Master!N16+Master!B16+Master!C16+Master!D16+Master!E16+Master!F16+Master!G16+Master!H16 +Master!I16+Master!J16+Master!L16+Master!M16+Master!R16+Master!S16+Master!T16+Master!AE16+Master!AF16+Master!AG16+Master!AH16+Master!AI16+Master!AK16+Master!AN16+Master!AO16+Master!AQ16+Master!AS16+Master!AU16+Master!BB16+Master!BC16 +Master!BD16+Master!BE16+Master!BF16+Master!BG16+Master!BH16+Master!BI16+Master!BJ16+Master!BK16+Master!BL16+Master!BM16 +Master!BN16+Master!BO16+Master!BP16+Master!BS16+Master!BT16+Master!BU16+Master!BV16+Master!BX16+Master!BZ16+Master!CB16+Master!CC16+Master!CD16+Master!CE16+Master!CF16+Master!CG16+Master!CH16+Master!CI16+Master!CJ16+Master!CK16+Master!CL16+Master!CM16+Master!CN16+Master!CO16+Master!CP16+Master!CQ16+Master!EB16+Master!EK16+Master!EL16  +Master!EO16+Master!EP16+Master!EY16+Master!EZ16+Master!FA16+Master!FG16+Master!FK16+Master!FM16+Master!FI16+Master!FO16+Master!DC16+Master!DN16+Master!FY16+Master!DS16+Master!DX16+Master!GF16</f>
        <v>5448</v>
      </c>
      <c r="D8" s="3081">
        <f>Master!K16+Master!O16+Master!P16+Master!Q16+Master!U16+Master!V16+Master!W16+Master!X16+Master!Y16+Master!AA16+Master!AB16+Master!AC16+Master!AD16+Master!AJ16+Master!AP16+Master!AV16+Master!AW16+Master!AX16+Master!AY16+Master!AZ16+Master!BA16+Master!BQ16+Master!BR16+Master!BY16+Master!EC16+Master!ED16+Master!EH16+Master!EI16+Master!EJ16+Master!EM16+Master!EQ16+Master!ER16+Master!ES16+Master!ET16+Master!EU16+Master!EV16+Master!EW16+Master!EX16+Master!CS16+Master!CV16+Master!CX16+Master!FP16+Master!CZ16+Master!DA16+Master!DB16+Master!DD16+Master!FR16+Master!FS16+Master!DE16+Master!DF16+Master!DH16+Master!FT16+Master!DI16+Master!DJ16+Master!FW16+Master!DK16+Master!DL16+Master!DM16+Master!DO16+Master!DQ16+Master!GA16+Master!DR16+Master!DT16+Master!DV16+Master!DW16+Master!GD16</f>
        <v>2394</v>
      </c>
      <c r="E8" s="3082">
        <f>Master!Z16+Master!AR16+Master!EA16+Master!EE16+Master!EN16+Master!FE16+Master!FF16+Master!FH16+Master!AT16+Master!CR16+Master!FL16+Master!CT16+Master!CU16+Master!FN16+Master!CW16+Master!FJ16+Master!FQ16+Master!FU16+Master!FZ16+Master!GE16</f>
        <v>1394</v>
      </c>
      <c r="F8" s="3083">
        <f>D8+E8</f>
        <v>3788</v>
      </c>
      <c r="G8" s="3083">
        <f>Master!FB16+Master!FC16+Master!FD16+Master!FX16</f>
        <v>900</v>
      </c>
      <c r="H8" s="3083">
        <f>Master!CA16+Master!CY16+Master!DG16+Master!FV16+Master!DP16+Master!DU16+Master!GB16+Master!GC16</f>
        <v>0</v>
      </c>
      <c r="I8" s="3083">
        <f>Master!AL16+Master!AM16</f>
        <v>118</v>
      </c>
      <c r="J8" s="3083">
        <f>Master!BW16</f>
        <v>168</v>
      </c>
      <c r="K8" s="3085">
        <f>Master!DZ16</f>
        <v>914</v>
      </c>
      <c r="L8" s="5019">
        <f t="shared" si="1"/>
        <v>11336</v>
      </c>
      <c r="M8" s="4986">
        <v>1589.7168750000001</v>
      </c>
      <c r="N8" s="881"/>
      <c r="O8" s="1464">
        <f xml:space="preserve"> Master!Z16+Master!AC16+Master!AD16+Master!AE16+Master!AF16+Master!AG16+Master!AH16+Master!AI16+Master!AJ16</f>
        <v>279</v>
      </c>
      <c r="P8" s="4981">
        <v>12500</v>
      </c>
      <c r="Q8" s="4993">
        <f t="shared" si="2"/>
        <v>279</v>
      </c>
      <c r="R8" s="91"/>
      <c r="S8" s="91"/>
    </row>
    <row r="9" spans="1:21" ht="39.75" customHeight="1" thickBot="1">
      <c r="A9" s="92"/>
      <c r="B9" s="5039">
        <v>0.16666666666666699</v>
      </c>
      <c r="C9" s="3080">
        <f>Master!N17+Master!B17+Master!C17+Master!D17+Master!E17+Master!F17+Master!G17+Master!H17 +Master!I17+Master!J17+Master!L17+Master!M17+Master!R17+Master!S17+Master!T17+Master!AE17+Master!AF17+Master!AG17+Master!AH17+Master!AI17+Master!AK17+Master!AN17+Master!AO17+Master!AQ17+Master!AS17+Master!AU17+Master!BB17+Master!BC17 +Master!BD17+Master!BE17+Master!BF17+Master!BG17+Master!BH17+Master!BI17+Master!BJ17+Master!BK17+Master!BL17+Master!BM17 +Master!BN17+Master!BO17+Master!BP17+Master!BS17+Master!BT17+Master!BU17+Master!BV17+Master!BX17+Master!BZ17+Master!CB17+Master!CC17+Master!CD17+Master!CE17+Master!CF17+Master!CG17+Master!CH17+Master!CI17+Master!CJ17+Master!CK17+Master!CL17+Master!CM17+Master!CN17+Master!CO17+Master!CP17+Master!CQ17+Master!EB17+Master!EK17+Master!EL17  +Master!EO17+Master!EP17+Master!EY17+Master!EZ17+Master!FA17+Master!FG17+Master!FK17+Master!FM17+Master!FI17+Master!FO17+Master!DC17+Master!DN17+Master!FY17+Master!DS17+Master!DX17+Master!GF17</f>
        <v>5481</v>
      </c>
      <c r="D9" s="3081">
        <f>Master!K17+Master!O17+Master!P17+Master!Q17+Master!U17+Master!V17+Master!W17+Master!X17+Master!Y17+Master!AA17+Master!AB17+Master!AC17+Master!AD17+Master!AJ17+Master!AP17+Master!AV17+Master!AW17+Master!AX17+Master!AY17+Master!AZ17+Master!BA17+Master!BQ17+Master!BR17+Master!BY17+Master!EC17+Master!ED17+Master!EH17+Master!EI17+Master!EJ17+Master!EM17+Master!EQ17+Master!ER17+Master!ES17+Master!ET17+Master!EU17+Master!EV17+Master!EW17+Master!EX17+Master!CS17+Master!CV17+Master!CX17+Master!FP17+Master!CZ17+Master!DA17+Master!DB17+Master!DD17+Master!FR17+Master!FS17+Master!DE17+Master!DF17+Master!DH17+Master!FT17+Master!DI17+Master!DJ17+Master!FW17+Master!DK17+Master!DL17+Master!DM17+Master!DO17+Master!DQ17+Master!GA17+Master!DR17+Master!DT17+Master!DV17+Master!DW17+Master!GD17</f>
        <v>2322</v>
      </c>
      <c r="E9" s="3082">
        <f>Master!Z17+Master!AR17+Master!EA17+Master!EE17+Master!EN17+Master!FE17+Master!FF17+Master!FH17+Master!AT17+Master!CR17+Master!FL17+Master!CT17+Master!CU17+Master!FN17+Master!CW17+Master!FJ17+Master!FQ17+Master!FU17+Master!FZ17+Master!GE17</f>
        <v>1396</v>
      </c>
      <c r="F9" s="3083">
        <f>D9+E9</f>
        <v>3718</v>
      </c>
      <c r="G9" s="3083">
        <f>Master!FB17+Master!FC17+Master!FD17+Master!FX17</f>
        <v>870</v>
      </c>
      <c r="H9" s="3083">
        <f>Master!CA17+Master!CY17+Master!DG17+Master!FV17+Master!DP17+Master!DU17+Master!GB17+Master!GC17</f>
        <v>0</v>
      </c>
      <c r="I9" s="3083">
        <f>Master!AL17+Master!AM17</f>
        <v>118</v>
      </c>
      <c r="J9" s="3083">
        <f>Master!BW17</f>
        <v>168</v>
      </c>
      <c r="K9" s="3084">
        <f>Master!DZ17</f>
        <v>914</v>
      </c>
      <c r="L9" s="5019">
        <f t="shared" si="1"/>
        <v>11269</v>
      </c>
      <c r="M9" s="4986">
        <v>1552.8538749999989</v>
      </c>
      <c r="N9" s="881"/>
      <c r="O9" s="1464">
        <f xml:space="preserve"> Master!Z17+Master!AC17+Master!AD17+Master!AE17+Master!AF17+Master!AG17+Master!AH17+Master!AI17+Master!AJ17</f>
        <v>279</v>
      </c>
      <c r="P9" s="4981">
        <v>12400</v>
      </c>
      <c r="Q9" s="4993">
        <f t="shared" si="2"/>
        <v>279</v>
      </c>
      <c r="R9" s="91"/>
      <c r="S9" s="91"/>
      <c r="U9" s="3095"/>
    </row>
    <row r="10" spans="1:21" ht="39.75" customHeight="1">
      <c r="A10" s="92"/>
      <c r="B10" s="5039">
        <v>0.20833333333333401</v>
      </c>
      <c r="C10" s="3080">
        <f>Master!N18+Master!B18+Master!C18+Master!D18+Master!E18+Master!F18+Master!G18+Master!H18 +Master!I18+Master!J18+Master!L18+Master!M18+Master!R18+Master!S18+Master!T18+Master!AE18+Master!AF18+Master!AG18+Master!AH18+Master!AI18+Master!AK18+Master!AN18+Master!AO18+Master!AQ18+Master!AS18+Master!AU18+Master!BB18+Master!BC18 +Master!BD18+Master!BE18+Master!BF18+Master!BG18+Master!BH18+Master!BI18+Master!BJ18+Master!BK18+Master!BL18+Master!BM18 +Master!BN18+Master!BO18+Master!BP18+Master!BS18+Master!BT18+Master!BU18+Master!BV18+Master!BX18+Master!BZ18+Master!CB18+Master!CC18+Master!CD18+Master!CE18+Master!CF18+Master!CG18+Master!CH18+Master!CI18+Master!CJ18+Master!CK18+Master!CL18+Master!CM18+Master!CN18+Master!CO18+Master!CP18+Master!CQ18+Master!EB18+Master!EK18+Master!EL18  +Master!EO18+Master!EP18+Master!EY18+Master!EZ18+Master!FA18+Master!FG18+Master!FK18+Master!FM18+Master!FI18+Master!FO18+Master!DC18+Master!DN18+Master!FY18+Master!DS18+Master!DX18+Master!GF18</f>
        <v>5519</v>
      </c>
      <c r="D10" s="3081">
        <f>Master!K18+Master!O18+Master!P18+Master!Q18+Master!U18+Master!V18+Master!W18+Master!X18+Master!Y18+Master!AA18+Master!AB18+Master!AC18+Master!AD18+Master!AJ18+Master!AP18+Master!AV18+Master!AW18+Master!AX18+Master!AY18+Master!AZ18+Master!BA18+Master!BQ18+Master!BR18+Master!BY18+Master!EC18+Master!ED18+Master!EH18+Master!EI18+Master!EJ18+Master!EM18+Master!EQ18+Master!ER18+Master!ES18+Master!ET18+Master!EU18+Master!EV18+Master!EW18+Master!EX18+Master!CS18+Master!CV18+Master!CX18+Master!FP18+Master!CZ18+Master!DA18+Master!DB18+Master!DD18+Master!FR18+Master!FS18+Master!DE18+Master!DF18+Master!DH18+Master!FT18+Master!DI18+Master!DJ18+Master!FW18+Master!DK18+Master!DL18+Master!DM18+Master!DO18+Master!DQ18+Master!GA18+Master!DR18+Master!DT18+Master!DV18+Master!DW18+Master!GD18</f>
        <v>2303</v>
      </c>
      <c r="E10" s="3082">
        <f>Master!Z18+Master!AR18+Master!EA18+Master!EE18+Master!EN18+Master!FE18+Master!FF18+Master!FH18+Master!AT18+Master!CR18+Master!FL18+Master!CT18+Master!CU18+Master!FN18+Master!CW18+Master!FJ18+Master!FQ18+Master!FU18+Master!FZ18+Master!GE18</f>
        <v>1389</v>
      </c>
      <c r="F10" s="3083">
        <f>D10+E10</f>
        <v>3692</v>
      </c>
      <c r="G10" s="3083">
        <f>Master!FB18+Master!FC18+Master!FD18+Master!FX18</f>
        <v>870</v>
      </c>
      <c r="H10" s="3083">
        <f>Master!CA18+Master!CY18+Master!DG18+Master!FV18+Master!DP18+Master!DU18+Master!GB18+Master!GC18</f>
        <v>0</v>
      </c>
      <c r="I10" s="3083">
        <f>Master!AL18+Master!AM18</f>
        <v>118</v>
      </c>
      <c r="J10" s="3083">
        <f>Master!BW18</f>
        <v>160</v>
      </c>
      <c r="K10" s="3084">
        <f>Master!DZ18</f>
        <v>914</v>
      </c>
      <c r="L10" s="5019">
        <f t="shared" si="1"/>
        <v>11273</v>
      </c>
      <c r="M10" s="4986">
        <v>1247.8125500000006</v>
      </c>
      <c r="N10" s="1146" t="s">
        <v>131</v>
      </c>
      <c r="O10" s="1464">
        <f xml:space="preserve"> Master!Z18+Master!AC18+Master!AD18+Master!AE18+Master!AF18+Master!AG18+Master!AH18+Master!AI18+Master!AJ18</f>
        <v>279</v>
      </c>
      <c r="P10" s="4981">
        <v>12100</v>
      </c>
      <c r="Q10" s="4993">
        <f t="shared" si="2"/>
        <v>279</v>
      </c>
      <c r="R10" s="91"/>
      <c r="S10" s="91"/>
    </row>
    <row r="11" spans="1:21" ht="39.75" customHeight="1" thickBot="1">
      <c r="A11" s="92"/>
      <c r="B11" s="5040">
        <v>0.250000000000001</v>
      </c>
      <c r="C11" s="3080">
        <f>Master!N19+Master!B19+Master!C19+Master!D19+Master!E19+Master!F19+Master!G19+Master!H19 +Master!I19+Master!J19+Master!L19+Master!M19+Master!R19+Master!S19+Master!T19+Master!AE19+Master!AF19+Master!AG19+Master!AH19+Master!AI19+Master!AK19+Master!AN19+Master!AO19+Master!AQ19+Master!AS19+Master!AU19+Master!BB19+Master!BC19 +Master!BD19+Master!BE19+Master!BF19+Master!BG19+Master!BH19+Master!BI19+Master!BJ19+Master!BK19+Master!BL19+Master!BM19 +Master!BN19+Master!BO19+Master!BP19+Master!BS19+Master!BT19+Master!BU19+Master!BV19+Master!BX19+Master!BZ19+Master!CB19+Master!CC19+Master!CD19+Master!CE19+Master!CF19+Master!CG19+Master!CH19+Master!CI19+Master!CJ19+Master!CK19+Master!CL19+Master!CM19+Master!CN19+Master!CO19+Master!CP19+Master!CQ19+Master!EB19+Master!EK19+Master!EL19  +Master!EO19+Master!EP19+Master!EY19+Master!EZ19+Master!FA19+Master!FG19+Master!FK19+Master!FM19+Master!FI19+Master!FO19+Master!DC19+Master!DN19+Master!FY19+Master!DS19+Master!DX19+Master!GF19</f>
        <v>5524</v>
      </c>
      <c r="D11" s="3081">
        <f>Master!K19+Master!O19+Master!P19+Master!Q19+Master!U19+Master!V19+Master!W19+Master!X19+Master!Y19+Master!AA19+Master!AB19+Master!AC19+Master!AD19+Master!AJ19+Master!AP19+Master!AV19+Master!AW19+Master!AX19+Master!AY19+Master!AZ19+Master!BA19+Master!BQ19+Master!BR19+Master!BY19+Master!EC19+Master!ED19+Master!EH19+Master!EI19+Master!EJ19+Master!EM19+Master!EQ19+Master!ER19+Master!ES19+Master!ET19+Master!EU19+Master!EV19+Master!EW19+Master!EX19+Master!CS19+Master!CV19+Master!CX19+Master!FP19+Master!CZ19+Master!DA19+Master!DB19+Master!DD19+Master!FR19+Master!FS19+Master!DE19+Master!DF19+Master!DH19+Master!FT19+Master!DI19+Master!DJ19+Master!FW19+Master!DK19+Master!DL19+Master!DM19+Master!DO19+Master!DQ19+Master!GA19+Master!DR19+Master!DT19+Master!DV19+Master!DW19+Master!GD19</f>
        <v>2298</v>
      </c>
      <c r="E11" s="3082">
        <f>Master!Z19+Master!AR19+Master!EA19+Master!EE19+Master!EN19+Master!FE19+Master!FF19+Master!FH19+Master!AT19+Master!CR19+Master!FL19+Master!CT19+Master!CU19+Master!FN19+Master!CW19+Master!FJ19+Master!FQ19+Master!FU19+Master!FZ19+Master!GE19</f>
        <v>1397</v>
      </c>
      <c r="F11" s="3083">
        <f>D11+E11</f>
        <v>3695</v>
      </c>
      <c r="G11" s="3083">
        <f>Master!FB19+Master!FC19+Master!FD19+Master!FX19</f>
        <v>860</v>
      </c>
      <c r="H11" s="3083">
        <f>Master!CA19+Master!CY19+Master!DG19+Master!FV19+Master!DP19+Master!DU19+Master!GB19+Master!GC19</f>
        <v>2</v>
      </c>
      <c r="I11" s="3083">
        <f>Master!AL19+Master!AM19</f>
        <v>118</v>
      </c>
      <c r="J11" s="3083">
        <f>Master!BW19</f>
        <v>152</v>
      </c>
      <c r="K11" s="3084">
        <f>Master!DZ19</f>
        <v>914</v>
      </c>
      <c r="L11" s="5019">
        <f t="shared" si="1"/>
        <v>11265</v>
      </c>
      <c r="M11" s="4986">
        <v>1087.4585000000006</v>
      </c>
      <c r="N11" s="1147">
        <f>MIN(L6:L12)</f>
        <v>11222</v>
      </c>
      <c r="O11" s="1464">
        <f xml:space="preserve"> Master!Z19+Master!AC19+Master!AD19+Master!AE19+Master!AF19+Master!AG19+Master!AH19+Master!AI19+Master!AJ19</f>
        <v>280</v>
      </c>
      <c r="P11" s="4981">
        <v>11600</v>
      </c>
      <c r="Q11" s="4993">
        <f t="shared" si="2"/>
        <v>280</v>
      </c>
      <c r="R11" s="91"/>
      <c r="S11" s="4891"/>
      <c r="T11" s="4891"/>
      <c r="U11" s="4891"/>
    </row>
    <row r="12" spans="1:21" ht="39.75" customHeight="1">
      <c r="A12" s="92"/>
      <c r="B12" s="5040">
        <v>0.29166666666666669</v>
      </c>
      <c r="C12" s="3080">
        <f>Master!N20+Master!B20+Master!C20+Master!D20+Master!E20+Master!F20+Master!G20+Master!H20 +Master!I20+Master!J20+Master!L20+Master!M20+Master!R20+Master!S20+Master!T20+Master!AE20+Master!AF20+Master!AG20+Master!AH20+Master!AI20+Master!AK20+Master!AN20+Master!AO20+Master!AQ20+Master!AS20+Master!AU20+Master!BB20+Master!BC20 +Master!BD20+Master!BE20+Master!BF20+Master!BG20+Master!BH20+Master!BI20+Master!BJ20+Master!BK20+Master!BL20+Master!BM20 +Master!BN20+Master!BO20+Master!BP20+Master!BS20+Master!BT20+Master!BU20+Master!BV20+Master!BX20+Master!BZ20+Master!CB20+Master!CC20+Master!CD20+Master!CE20+Master!CF20+Master!CG20+Master!CH20+Master!CI20+Master!CJ20+Master!CK20+Master!CL20+Master!CM20+Master!CN20+Master!CO20+Master!CP20+Master!CQ20+Master!EB20+Master!EK20+Master!EL20  +Master!EO20+Master!EP20+Master!EY20+Master!EZ20+Master!FA20+Master!FG20+Master!FK20+Master!FM20+Master!FI20+Master!FO20+Master!DC20+Master!DN20+Master!FY20+Master!DS20+Master!DX20+Master!GF20</f>
        <v>5522</v>
      </c>
      <c r="D12" s="3081">
        <f>Master!K20+Master!O20+Master!P20+Master!Q20+Master!U20+Master!V20+Master!W20+Master!X20+Master!Y20+Master!AA20+Master!AB20+Master!AC20+Master!AD20+Master!AJ20+Master!AP20+Master!AV20+Master!AW20+Master!AX20+Master!AY20+Master!AZ20+Master!BA20+Master!BQ20+Master!BR20+Master!BY20+Master!EC20+Master!ED20+Master!EH20+Master!EI20+Master!EJ20+Master!EM20+Master!EQ20+Master!ER20+Master!ES20+Master!ET20+Master!EU20+Master!EV20+Master!EW20+Master!EX20+Master!CS20+Master!CV20+Master!CX20+Master!FP20+Master!CZ20+Master!DA20+Master!DB20+Master!DD20+Master!FR20+Master!FS20+Master!DE20+Master!DF20+Master!DH20+Master!FT20+Master!DI20+Master!DJ20+Master!FW20+Master!DK20+Master!DL20+Master!DM20+Master!DO20+Master!DQ20+Master!GA20+Master!DR20+Master!DT20+Master!DV20+Master!DW20+Master!GD20</f>
        <v>2269</v>
      </c>
      <c r="E12" s="3082">
        <f>Master!Z20+Master!AR20+Master!EA20+Master!EE20+Master!EN20+Master!FE20+Master!FF20+Master!FH20+Master!AT20+Master!CR20+Master!FL20+Master!CT20+Master!CU20+Master!FN20+Master!CW20+Master!FJ20+Master!FQ20+Master!FU20+Master!FZ20+Master!GE20</f>
        <v>1395</v>
      </c>
      <c r="F12" s="3083">
        <f>D12+E12</f>
        <v>3664</v>
      </c>
      <c r="G12" s="3083">
        <f>Master!FB20+Master!FC20+Master!FD20+Master!FX20</f>
        <v>850</v>
      </c>
      <c r="H12" s="3083">
        <f>Master!CA20+Master!CY20+Master!DG20+Master!FV20+Master!DP20+Master!DU20+Master!GB20+Master!GC20</f>
        <v>18</v>
      </c>
      <c r="I12" s="3083">
        <f>Master!AL20+Master!AM20</f>
        <v>118</v>
      </c>
      <c r="J12" s="3083">
        <f>Master!BW20</f>
        <v>136</v>
      </c>
      <c r="K12" s="3084">
        <f>Master!DZ20</f>
        <v>914</v>
      </c>
      <c r="L12" s="5019">
        <f t="shared" si="1"/>
        <v>11222</v>
      </c>
      <c r="M12" s="4986">
        <v>967.65374999999949</v>
      </c>
      <c r="N12" s="1420"/>
      <c r="O12" s="1464">
        <f xml:space="preserve"> Master!Z20+Master!AC20+Master!AD20+Master!AE20+Master!AF20+Master!AG20+Master!AH20+Master!AI20+Master!AJ20</f>
        <v>272</v>
      </c>
      <c r="P12" s="4981">
        <v>11500</v>
      </c>
      <c r="Q12" s="4993">
        <f t="shared" si="2"/>
        <v>272</v>
      </c>
      <c r="R12" s="91"/>
      <c r="S12" s="4891"/>
      <c r="T12" s="4891"/>
      <c r="U12" s="4891"/>
    </row>
    <row r="13" spans="1:21" ht="39.75" customHeight="1">
      <c r="A13" s="92"/>
      <c r="B13" s="5041">
        <v>0.33333333333333331</v>
      </c>
      <c r="C13" s="5012">
        <f>Master!N21+Master!B21+Master!C21+Master!D21+Master!E21+Master!F21+Master!G21+Master!H21 +Master!I21+Master!J21+Master!L21+Master!M21+Master!R21+Master!S21+Master!T21+Master!AE21+Master!AF21+Master!AG21+Master!AH21+Master!AI21+Master!AK21+Master!AN21+Master!AO21+Master!AQ21+Master!AS21+Master!AU21+Master!BB21+Master!BC21 +Master!BD21+Master!BE21+Master!BF21+Master!BG21+Master!BH21+Master!BI21+Master!BJ21+Master!BK21+Master!BL21+Master!BM21 +Master!BN21+Master!BO21+Master!BP21+Master!BS21+Master!BT21+Master!BU21+Master!BV21+Master!BX21+Master!BZ21+Master!CB21+Master!CC21+Master!CD21+Master!CE21+Master!CF21+Master!CG21+Master!CH21+Master!CI21+Master!CJ21+Master!CK21+Master!CL21+Master!CM21+Master!CN21+Master!CO21+Master!CP21+Master!CQ21+Master!EB21+Master!EK21+Master!EL21  +Master!EO21+Master!EP21+Master!EY21+Master!EZ21+Master!FA21+Master!FG21+Master!FK21+Master!FM21+Master!FI21+Master!FO21+Master!DC21+Master!DN21+Master!FY21+Master!DS21+Master!DX21+Master!GF21</f>
        <v>5445</v>
      </c>
      <c r="D13" s="3174">
        <f>Master!K21+Master!O21+Master!P21+Master!Q21+Master!U21+Master!V21+Master!W21+Master!X21+Master!Y21+Master!AA21+Master!AB21+Master!AC21+Master!AD21+Master!AJ21+Master!AP21+Master!AV21+Master!AW21+Master!AX21+Master!AY21+Master!AZ21+Master!BA21+Master!BQ21+Master!BR21+Master!BY21+Master!EC21+Master!ED21+Master!EH21+Master!EI21+Master!EJ21+Master!EM21+Master!EQ21+Master!ER21+Master!ES21+Master!ET21+Master!EU21+Master!EV21+Master!EW21+Master!EX21+Master!CS21+Master!CV21+Master!CX21+Master!FP21+Master!CZ21+Master!DA21+Master!DB21+Master!DD21+Master!FR21+Master!FS21+Master!DE21+Master!DF21+Master!DH21+Master!FT21+Master!DI21+Master!DJ21+Master!FW21+Master!DK21+Master!DL21+Master!DM21+Master!DO21+Master!DQ21+Master!GA21+Master!DR21+Master!DT21+Master!DV21+Master!DW21+Master!GD21</f>
        <v>2312</v>
      </c>
      <c r="E13" s="3174">
        <f>Master!Z21+Master!AR21+Master!EA21+Master!EE21+Master!EN21+Master!FE21+Master!FF21+Master!FH21+Master!AT21+Master!CR21+Master!FL21+Master!CT21+Master!CU21+Master!FN21+Master!CW21+Master!FJ21+Master!FQ21+Master!FU21+Master!FZ21+Master!GE21</f>
        <v>1317</v>
      </c>
      <c r="F13" s="3086">
        <f t="shared" ref="F13" si="3">D13+E13</f>
        <v>3629</v>
      </c>
      <c r="G13" s="3086">
        <f>Master!FB21+Master!FC21+Master!FD21+Master!FX21</f>
        <v>850</v>
      </c>
      <c r="H13" s="3086">
        <f>Master!CA21+Master!CY21+Master!DG21+Master!FV21+Master!DP21+Master!DU21+Master!GB21+Master!GC21</f>
        <v>68</v>
      </c>
      <c r="I13" s="3088">
        <f>Master!AL21+Master!AM21</f>
        <v>118</v>
      </c>
      <c r="J13" s="3086">
        <f>Master!BW21</f>
        <v>142</v>
      </c>
      <c r="K13" s="3087">
        <f>Master!DZ21</f>
        <v>914</v>
      </c>
      <c r="L13" s="5020">
        <f t="shared" si="1"/>
        <v>11166</v>
      </c>
      <c r="M13" s="4986">
        <v>1299.4207499999993</v>
      </c>
      <c r="N13" s="1418"/>
      <c r="O13" s="1464">
        <f xml:space="preserve"> Master!Z21+Master!AC21+Master!AD21+Master!AE21+Master!AF21+Master!AG21+Master!AH21+Master!AI21+Master!AJ21</f>
        <v>269</v>
      </c>
      <c r="P13" s="4982"/>
      <c r="Q13" s="4993">
        <f t="shared" si="2"/>
        <v>269</v>
      </c>
      <c r="R13" s="91"/>
      <c r="S13" s="91"/>
      <c r="U13" s="2408"/>
    </row>
    <row r="14" spans="1:21" ht="39.75" customHeight="1">
      <c r="A14" s="92"/>
      <c r="B14" s="5041">
        <v>0.375</v>
      </c>
      <c r="C14" s="5012">
        <f>Master!N22+Master!B22+Master!C22+Master!D22+Master!E22+Master!F22+Master!G22+Master!H22 +Master!I22+Master!J22+Master!L22+Master!M22+Master!R22+Master!S22+Master!T22+Master!AE22+Master!AF22+Master!AG22+Master!AH22+Master!AI22+Master!AK22+Master!AN22+Master!AO22+Master!AQ22+Master!AS22+Master!AU22+Master!BB22+Master!BC22 +Master!BD22+Master!BE22+Master!BF22+Master!BG22+Master!BH22+Master!BI22+Master!BJ22+Master!BK22+Master!BL22+Master!BM22 +Master!BN22+Master!BO22+Master!BP22+Master!BS22+Master!BT22+Master!BU22+Master!BV22+Master!BX22+Master!BZ22+Master!CB22+Master!CC22+Master!CD22+Master!CE22+Master!CF22+Master!CG22+Master!CH22+Master!CI22+Master!CJ22+Master!CK22+Master!CL22+Master!CM22+Master!CN22+Master!CO22+Master!CP22+Master!CQ22+Master!EB22+Master!EK22+Master!EL22  +Master!EO22+Master!EP22+Master!EY22+Master!EZ22+Master!FA22+Master!FG22+Master!FK22+Master!FM22+Master!FI22+Master!FO22+Master!DC22+Master!DN22+Master!FY22+Master!DS22+Master!DX22+Master!GF22</f>
        <v>5190</v>
      </c>
      <c r="D14" s="3174">
        <f>Master!K22+Master!O22+Master!P22+Master!Q22+Master!U22+Master!V22+Master!W22+Master!X22+Master!Y22+Master!AA22+Master!AB22+Master!AC22+Master!AD22+Master!AJ22+Master!AP22+Master!AV22+Master!AW22+Master!AX22+Master!AY22+Master!AZ22+Master!BA22+Master!BQ22+Master!BR22+Master!BY22+Master!EC22+Master!ED22+Master!EH22+Master!EI22+Master!EJ22+Master!EM22+Master!EQ22+Master!ER22+Master!ES22+Master!ET22+Master!EU22+Master!EV22+Master!EW22+Master!EX22+Master!CS22+Master!CV22+Master!CX22+Master!FP22+Master!CZ22+Master!DA22+Master!DB22+Master!DD22+Master!FR22+Master!FS22+Master!DE22+Master!DF22+Master!DH22+Master!FT22+Master!DI22+Master!DJ22+Master!FW22+Master!DK22+Master!DL22+Master!DM22+Master!DO22+Master!DQ22+Master!GA22+Master!DR22+Master!DT22+Master!DV22+Master!DW22+Master!GD22</f>
        <v>2284</v>
      </c>
      <c r="E14" s="5010">
        <f>Master!Z22+Master!AR22+Master!EA22+Master!EE22+Master!EN22+Master!FE22+Master!FF22+Master!FH22+Master!AT22+Master!CR22+Master!FL22+Master!CT22+Master!CU22+Master!FN22+Master!CW22+Master!FJ22+Master!FQ22+Master!FU22+Master!FZ22+Master!GE22</f>
        <v>1309</v>
      </c>
      <c r="F14" s="3086">
        <f t="shared" ref="F14:F22" si="4">D14+E14</f>
        <v>3593</v>
      </c>
      <c r="G14" s="3088">
        <f>Master!FB22+Master!FC22+Master!FD22+Master!FX22</f>
        <v>850</v>
      </c>
      <c r="H14" s="3088">
        <f>Master!CA22+Master!CY22+Master!DG22+Master!FV22+Master!DP22+Master!DU22+Master!GB22+Master!GC22</f>
        <v>127</v>
      </c>
      <c r="I14" s="3088">
        <f>Master!AL22+Master!AM22</f>
        <v>117</v>
      </c>
      <c r="J14" s="3088">
        <f>Master!BW22</f>
        <v>154</v>
      </c>
      <c r="K14" s="4721">
        <f>Master!DZ22</f>
        <v>915</v>
      </c>
      <c r="L14" s="5021">
        <f t="shared" ref="L14" si="5">C14+F14+G14+H14+I14+J14+K14</f>
        <v>10946</v>
      </c>
      <c r="M14" s="4986">
        <v>1613.6778250000007</v>
      </c>
      <c r="N14" s="881" t="s">
        <v>18</v>
      </c>
      <c r="O14" s="1464">
        <f xml:space="preserve"> Master!Z22+Master!AC22+Master!AD22+Master!AE22+Master!AF22+Master!AG22+Master!AH22+Master!AI22+Master!AJ22</f>
        <v>274</v>
      </c>
      <c r="P14" s="4983"/>
      <c r="Q14" s="4993">
        <f t="shared" si="2"/>
        <v>274</v>
      </c>
      <c r="R14" s="91"/>
      <c r="S14" s="91"/>
      <c r="U14" s="2408"/>
    </row>
    <row r="15" spans="1:21" ht="39.75" customHeight="1" thickBot="1">
      <c r="A15" s="92"/>
      <c r="B15" s="5041">
        <v>0.41666666666666669</v>
      </c>
      <c r="C15" s="5012">
        <f>Master!N23+Master!B23+Master!C23+Master!D23+Master!E23+Master!F23+Master!G23+Master!H23 +Master!I23+Master!J23+Master!L23+Master!M23+Master!R23+Master!S23+Master!T23+Master!AE23+Master!AF23+Master!AG23+Master!AH23+Master!AI23+Master!AK23+Master!AN23+Master!AO23+Master!AQ23+Master!AS23+Master!AU23+Master!BB23+Master!BC23 +Master!BD23+Master!BE23+Master!BF23+Master!BG23+Master!BH23+Master!BI23+Master!BJ23+Master!BK23+Master!BL23+Master!BM23 +Master!BN23+Master!BO23+Master!BP23+Master!BS23+Master!BT23+Master!BU23+Master!BV23+Master!BX23+Master!BZ23+Master!CB23+Master!CC23+Master!CD23+Master!CE23+Master!CF23+Master!CG23+Master!CH23+Master!CI23+Master!CJ23+Master!CK23+Master!CL23+Master!CM23+Master!CN23+Master!CO23+Master!CP23+Master!CQ23+Master!EB23+Master!EK23+Master!EL23  +Master!EO23+Master!EP23+Master!EY23+Master!EZ23+Master!FA23+Master!FG23+Master!FK23+Master!FM23+Master!FI23+Master!FO23+Master!DC23+Master!DN23+Master!FY23+Master!DS23+Master!DX23+Master!GF23</f>
        <v>5178</v>
      </c>
      <c r="D15" s="3174">
        <f>Master!K23+Master!O23+Master!P23+Master!Q23+Master!U23+Master!V23+Master!W23+Master!X23+Master!Y23+Master!AA23+Master!AB23+Master!AC23+Master!AD23+Master!AJ23+Master!AP23+Master!AV23+Master!AW23+Master!AX23+Master!AY23+Master!AZ23+Master!BA23+Master!BQ23+Master!BR23+Master!BY23+Master!EC23+Master!ED23+Master!EH23+Master!EI23+Master!EJ23+Master!EM23+Master!EQ23+Master!ER23+Master!ES23+Master!ET23+Master!EU23+Master!EV23+Master!EW23+Master!EX23+Master!CS23+Master!CV23+Master!CX23+Master!FP23+Master!CZ23+Master!DA23+Master!DB23+Master!DD23+Master!FR23+Master!FS23+Master!DE23+Master!DF23+Master!DH23+Master!FT23+Master!DI23+Master!DJ23+Master!FW23+Master!DK23+Master!DL23+Master!DM23+Master!DO23+Master!DQ23+Master!GA23+Master!DR23+Master!DT23+Master!DV23+Master!DW23+Master!GD23</f>
        <v>2063</v>
      </c>
      <c r="E15" s="5010">
        <f>Master!Z23+Master!AR23+Master!EA23+Master!EE23+Master!EN23+Master!FE23+Master!FF23+Master!FH23+Master!AT23+Master!CR23+Master!FL23+Master!CT23+Master!CU23+Master!FN23+Master!CW23+Master!FJ23+Master!FQ23+Master!FU23+Master!FZ23+Master!GE23</f>
        <v>1399</v>
      </c>
      <c r="F15" s="3086">
        <f t="shared" si="4"/>
        <v>3462</v>
      </c>
      <c r="G15" s="3088">
        <f>Master!FB23+Master!FC23+Master!FD23+Master!FX23</f>
        <v>550</v>
      </c>
      <c r="H15" s="3088">
        <f>Master!CA23+Master!CY23+Master!DG23+Master!FV23+Master!DP23+Master!DU23+Master!GB23+Master!GC23</f>
        <v>149</v>
      </c>
      <c r="I15" s="3088">
        <f>Master!AL23+Master!AM23</f>
        <v>116</v>
      </c>
      <c r="J15" s="3088">
        <f>Master!BW23</f>
        <v>136</v>
      </c>
      <c r="K15" s="3089">
        <f>Master!DZ23</f>
        <v>914</v>
      </c>
      <c r="L15" s="5021">
        <f>C15+F15+G15+H15+I15+J15+K15</f>
        <v>10505</v>
      </c>
      <c r="M15" s="4986">
        <v>1976.7783749999999</v>
      </c>
      <c r="N15" s="881"/>
      <c r="O15" s="1464">
        <f xml:space="preserve"> Master!Z23+Master!AC23+Master!AD23+Master!AE23+Master!AF23+Master!AG23+Master!AH23+Master!AI23+Master!AJ23</f>
        <v>272</v>
      </c>
      <c r="P15" s="4983"/>
      <c r="Q15" s="4993">
        <f t="shared" si="2"/>
        <v>272</v>
      </c>
      <c r="R15" s="91"/>
      <c r="S15" s="91"/>
      <c r="U15" s="2409"/>
    </row>
    <row r="16" spans="1:21" ht="39.75" customHeight="1">
      <c r="A16" s="92"/>
      <c r="B16" s="5041">
        <v>0.45833333333333331</v>
      </c>
      <c r="C16" s="5012">
        <f>Master!N24+Master!B24+Master!C24+Master!D24+Master!E24+Master!F24+Master!G24+Master!H24 +Master!I24+Master!J24+Master!L24+Master!M24+Master!R24+Master!S24+Master!T24+Master!AE24+Master!AF24+Master!AG24+Master!AH24+Master!AI24+Master!AK24+Master!AN24+Master!AO24+Master!AQ24+Master!AS24+Master!AU24+Master!BB24+Master!BC24 +Master!BD24+Master!BE24+Master!BF24+Master!BG24+Master!BH24+Master!BI24+Master!BJ24+Master!BK24+Master!BL24+Master!BM24 +Master!BN24+Master!BO24+Master!BP24+Master!BS24+Master!BT24+Master!BU24+Master!BV24+Master!BX24+Master!BZ24+Master!CB24+Master!CC24+Master!CD24+Master!CE24+Master!CF24+Master!CG24+Master!CH24+Master!CI24+Master!CJ24+Master!CK24+Master!CL24+Master!CM24+Master!CN24+Master!CO24+Master!CP24+Master!CQ24+Master!EB24+Master!EK24+Master!EL24  +Master!EO24+Master!EP24+Master!EY24+Master!EZ24+Master!FA24+Master!FG24+Master!FK24+Master!FM24+Master!FI24+Master!FO24+Master!DC24+Master!DN24+Master!FY24+Master!DS24+Master!DX24+Master!GF24</f>
        <v>5112</v>
      </c>
      <c r="D16" s="3174">
        <f>Master!K24+Master!O24+Master!P24+Master!Q24+Master!U24+Master!V24+Master!W24+Master!X24+Master!Y24+Master!AA24+Master!AB24+Master!AC24+Master!AD24+Master!AJ24+Master!AP24+Master!AV24+Master!AW24+Master!AX24+Master!AY24+Master!AZ24+Master!BA24+Master!BQ24+Master!BR24+Master!BY24+Master!EC24+Master!ED24+Master!EH24+Master!EI24+Master!EJ24+Master!EM24+Master!EQ24+Master!ER24+Master!ES24+Master!ET24+Master!EU24+Master!EV24+Master!EW24+Master!EX24+Master!CS24+Master!CV24+Master!CX24+Master!FP24+Master!CZ24+Master!DA24+Master!DB24+Master!DD24+Master!FR24+Master!FS24+Master!DE24+Master!DF24+Master!DH24+Master!FT24+Master!DI24+Master!DJ24+Master!FW24+Master!DK24+Master!DL24+Master!DM24+Master!DO24+Master!DQ24+Master!GA24+Master!DR24+Master!DT24+Master!DV24+Master!DW24+Master!GD24</f>
        <v>2087</v>
      </c>
      <c r="E16" s="5010">
        <f>Master!Z24+Master!AR24+Master!EA24+Master!EE24+Master!EN24+Master!FE24+Master!FF24+Master!FH24+Master!AT24+Master!CR24+Master!FL24+Master!CT24+Master!CU24+Master!FN24+Master!CW24+Master!FJ24+Master!FQ24+Master!FU24+Master!FZ24+Master!GE24</f>
        <v>1399</v>
      </c>
      <c r="F16" s="3086">
        <f t="shared" si="4"/>
        <v>3486</v>
      </c>
      <c r="G16" s="3088">
        <f>Master!FB24+Master!FC24+Master!FD24+Master!FX24</f>
        <v>621</v>
      </c>
      <c r="H16" s="3088">
        <f>Master!CA24+Master!CY24+Master!DG24+Master!FV24+Master!DP24+Master!DU24+Master!GB24+Master!GC24</f>
        <v>175</v>
      </c>
      <c r="I16" s="3088">
        <f>Master!AL24+Master!AM24</f>
        <v>115</v>
      </c>
      <c r="J16" s="3088">
        <f>Master!BW24</f>
        <v>150</v>
      </c>
      <c r="K16" s="3089">
        <f>Master!DZ24</f>
        <v>914</v>
      </c>
      <c r="L16" s="5021">
        <f>C16+F16+G16+H16+I16+J16+K16</f>
        <v>10573</v>
      </c>
      <c r="M16" s="4986">
        <v>2025.6218499999995</v>
      </c>
      <c r="N16" s="1146" t="s">
        <v>807</v>
      </c>
      <c r="O16" s="1464">
        <f xml:space="preserve"> Master!Z24+Master!AC24+Master!AD24+Master!AE24+Master!AF24+Master!AG24+Master!AH24+Master!AI24+Master!AJ24</f>
        <v>267</v>
      </c>
      <c r="P16" s="4983"/>
      <c r="Q16" s="4993">
        <f t="shared" si="2"/>
        <v>267</v>
      </c>
      <c r="R16" s="91"/>
      <c r="S16" s="91"/>
      <c r="U16" s="2408"/>
    </row>
    <row r="17" spans="1:131" ht="39.75" customHeight="1" thickBot="1">
      <c r="A17" s="92"/>
      <c r="B17" s="5041">
        <v>0.5</v>
      </c>
      <c r="C17" s="5012">
        <f>Master!N25+Master!B25+Master!C25+Master!D25+Master!E25+Master!F25+Master!G25+Master!H25 +Master!I25+Master!J25+Master!L25+Master!M25+Master!R25+Master!S25+Master!T25+Master!AE25+Master!AF25+Master!AG25+Master!AH25+Master!AI25+Master!AK25+Master!AN25+Master!AO25+Master!AQ25+Master!AS25+Master!AU25+Master!BB25+Master!BC25 +Master!BD25+Master!BE25+Master!BF25+Master!BG25+Master!BH25+Master!BI25+Master!BJ25+Master!BK25+Master!BL25+Master!BM25 +Master!BN25+Master!BO25+Master!BP25+Master!BS25+Master!BT25+Master!BU25+Master!BV25+Master!BX25+Master!BZ25+Master!CB25+Master!CC25+Master!CD25+Master!CE25+Master!CF25+Master!CG25+Master!CH25+Master!CI25+Master!CJ25+Master!CK25+Master!CL25+Master!CM25+Master!CN25+Master!CO25+Master!CP25+Master!CQ25+Master!EB25+Master!EK25+Master!EL25  +Master!EO25+Master!EP25+Master!EY25+Master!EZ25+Master!FA25+Master!FG25+Master!FK25+Master!FM25+Master!FI25+Master!FO25+Master!DC25+Master!DN25+Master!FY25+Master!DS25+Master!DX25+Master!GF25</f>
        <v>0</v>
      </c>
      <c r="D17" s="3174">
        <f>Master!K25+Master!O25+Master!P25+Master!Q25+Master!U25+Master!V25+Master!W25+Master!X25+Master!Y25+Master!AA25+Master!AB25+Master!AC25+Master!AD25+Master!AJ25+Master!AP25+Master!AV25+Master!AW25+Master!AX25+Master!AY25+Master!AZ25+Master!BA25+Master!BQ25+Master!BR25+Master!BY25+Master!EC25+Master!ED25+Master!EH25+Master!EI25+Master!EJ25+Master!EM25+Master!EQ25+Master!ER25+Master!ES25+Master!ET25+Master!EU25+Master!EV25+Master!EW25+Master!EX25+Master!CS25+Master!CV25+Master!CX25+Master!FP25+Master!CZ25+Master!DA25+Master!DB25+Master!DD25+Master!FR25+Master!FS25+Master!DE25+Master!DF25+Master!DH25+Master!FT25+Master!DI25+Master!DJ25+Master!FW25+Master!DK25+Master!DL25+Master!DM25+Master!DO25+Master!DQ25+Master!GA25+Master!DR25+Master!DT25+Master!DV25+Master!DW25+Master!GD25</f>
        <v>0</v>
      </c>
      <c r="E17" s="5010">
        <f>Master!Z25+Master!AR25+Master!EA25+Master!EE25+Master!EN25+Master!FE25+Master!FF25+Master!FH25+Master!AT25+Master!CR25+Master!FL25+Master!CT25+Master!CU25+Master!FN25+Master!CW25+Master!FJ25+Master!FQ25+Master!FU25+Master!FZ25+Master!GE25</f>
        <v>0</v>
      </c>
      <c r="F17" s="3086">
        <f t="shared" si="4"/>
        <v>0</v>
      </c>
      <c r="G17" s="3088">
        <f>Master!FB25+Master!FC25+Master!FD25+Master!FX25</f>
        <v>0</v>
      </c>
      <c r="H17" s="3088">
        <f>Master!CA25+Master!CY25+Master!DG25+Master!FV25+Master!DP25+Master!DU25+Master!GB25+Master!GC25</f>
        <v>0</v>
      </c>
      <c r="I17" s="3088">
        <f>Master!AL25+Master!AM25</f>
        <v>0</v>
      </c>
      <c r="J17" s="3088">
        <f>Master!BW25</f>
        <v>0</v>
      </c>
      <c r="K17" s="3089">
        <f>Master!DZ25</f>
        <v>0</v>
      </c>
      <c r="L17" s="5021">
        <f>C17+F17+G17+H17+I17+J17+K17</f>
        <v>0</v>
      </c>
      <c r="M17" s="4986">
        <v>2293.8001750000003</v>
      </c>
      <c r="N17" s="1147">
        <f>MAX(L14:L17)</f>
        <v>10946</v>
      </c>
      <c r="O17" s="1464">
        <f xml:space="preserve"> Master!Z25+Master!AC25+Master!AD25+Master!AE25+Master!AF25+Master!AG25+Master!AH25+Master!AI25+Master!AJ25</f>
        <v>0</v>
      </c>
      <c r="P17" s="4983"/>
      <c r="Q17" s="4993">
        <f t="shared" si="2"/>
        <v>0</v>
      </c>
      <c r="R17" s="91"/>
      <c r="S17" s="91"/>
    </row>
    <row r="18" spans="1:131" ht="39.75" customHeight="1">
      <c r="A18" s="4850"/>
      <c r="B18" s="5041">
        <v>0.54166666666666696</v>
      </c>
      <c r="C18" s="5012">
        <f>Master!N26+Master!B26+Master!C26+Master!D26+Master!E26+Master!F26+Master!G26+Master!H26 +Master!I26+Master!J26+Master!L26+Master!M26+Master!R26+Master!S26+Master!T26+Master!AE26+Master!AF26+Master!AG26+Master!AH26+Master!AI26+Master!AK26+Master!AN26+Master!AO26+Master!AQ26+Master!AS26+Master!AU26+Master!BB26+Master!BC26 +Master!BD26+Master!BE26+Master!BF26+Master!BG26+Master!BH26+Master!BI26+Master!BJ26+Master!BK26+Master!BL26+Master!BM26 +Master!BN26+Master!BO26+Master!BP26+Master!BS26+Master!BT26+Master!BU26+Master!BV26+Master!BX26+Master!BZ26+Master!CB26+Master!CC26+Master!CD26+Master!CE26+Master!CF26+Master!CG26+Master!CH26+Master!CI26+Master!CJ26+Master!CK26+Master!CL26+Master!CM26+Master!CN26+Master!CO26+Master!CP26+Master!CQ26+Master!EB26+Master!EK26+Master!EL26  +Master!EO26+Master!EP26+Master!EY26+Master!EZ26+Master!FA26+Master!FG26+Master!FK26+Master!FM26+Master!FI26+Master!FO26+Master!DC26+Master!DN26+Master!FY26+Master!DS26+Master!DX26+Master!GF26</f>
        <v>0</v>
      </c>
      <c r="D18" s="3174">
        <f>Master!K26+Master!O26+Master!P26+Master!Q26+Master!U26+Master!V26+Master!W26+Master!X26+Master!Y26+Master!AA26+Master!AB26+Master!AC26+Master!AD26+Master!AJ26+Master!AP26+Master!AV26+Master!AW26+Master!AX26+Master!AY26+Master!AZ26+Master!BA26+Master!BQ26+Master!BR26+Master!BY26+Master!EC26+Master!ED26+Master!EH26+Master!EI26+Master!EJ26+Master!EM26+Master!EQ26+Master!ER26+Master!ES26+Master!ET26+Master!EU26+Master!EV26+Master!EW26+Master!EX26+Master!CS26+Master!CV26+Master!CX26+Master!FP26+Master!CZ26+Master!DA26+Master!DB26+Master!DD26+Master!FR26+Master!FS26+Master!DE26+Master!DF26+Master!DH26+Master!FT26+Master!DI26+Master!DJ26+Master!FW26+Master!DK26+Master!DL26+Master!DM26+Master!DO26+Master!DQ26+Master!GA26+Master!DR26+Master!DT26+Master!DV26+Master!DW26+Master!GD26</f>
        <v>0</v>
      </c>
      <c r="E18" s="5010">
        <f>Master!Z26+Master!AR26+Master!EA26+Master!EE26+Master!EN26+Master!FE26+Master!FF26+Master!FH26+Master!AT26+Master!CR26+Master!FL26+Master!CT26+Master!CU26+Master!FN26+Master!CW26+Master!FJ26+Master!FQ26+Master!FU26+Master!FZ26+Master!GE26</f>
        <v>0</v>
      </c>
      <c r="F18" s="3086">
        <f t="shared" si="4"/>
        <v>0</v>
      </c>
      <c r="G18" s="3088">
        <f>Master!FB26+Master!FC26+Master!FD26+Master!FX26</f>
        <v>0</v>
      </c>
      <c r="H18" s="3088">
        <f>Master!CA26+Master!CY26+Master!DG26+Master!FV26+Master!DP26+Master!DU26+Master!GB26+Master!GC26</f>
        <v>0</v>
      </c>
      <c r="I18" s="3088">
        <f>Master!AL26+Master!AM26</f>
        <v>0</v>
      </c>
      <c r="J18" s="3088">
        <f>Master!BW26</f>
        <v>0</v>
      </c>
      <c r="K18" s="3089">
        <f>Master!DZ26</f>
        <v>0</v>
      </c>
      <c r="L18" s="5021">
        <f t="shared" ref="L18:L21" si="6">C18+F18+G18+H18+I18+J18+K18</f>
        <v>0</v>
      </c>
      <c r="M18" s="4987">
        <v>1957.425299999999</v>
      </c>
      <c r="N18" s="881"/>
      <c r="O18" s="1464">
        <f xml:space="preserve"> Master!Z26+Master!AC26+Master!AD26+Master!AE26+Master!AF26+Master!AG26+Master!AH26+Master!AI26+Master!AJ26</f>
        <v>0</v>
      </c>
      <c r="P18" s="4983"/>
      <c r="Q18" s="4993">
        <f t="shared" si="2"/>
        <v>0</v>
      </c>
      <c r="R18" s="91"/>
      <c r="S18" s="91"/>
      <c r="T18" s="3120"/>
      <c r="U18" s="3120"/>
    </row>
    <row r="19" spans="1:131" ht="39.75" customHeight="1">
      <c r="A19" s="4851"/>
      <c r="B19" s="5042">
        <v>0.58333333333333337</v>
      </c>
      <c r="C19" s="5013">
        <f>Master!N27+Master!B27+Master!C27+Master!D27+Master!E27+Master!F27+Master!G27+Master!H27 +Master!I27+Master!J27+Master!L27+Master!M27+Master!R27+Master!S27+Master!T27+Master!AE27+Master!AF27+Master!AG27+Master!AH27+Master!AI27+Master!AK27+Master!AN27+Master!AO27+Master!AQ27+Master!AS27+Master!AU27+Master!BB27+Master!BC27 +Master!BD27+Master!BE27+Master!BF27+Master!BG27+Master!BH27+Master!BI27+Master!BJ27+Master!BK27+Master!BL27+Master!BM27 +Master!BN27+Master!BO27+Master!BP27+Master!BS27+Master!BT27+Master!BU27+Master!BV27+Master!BX27+Master!BZ27+Master!CB27+Master!CC27+Master!CD27+Master!CE27+Master!CF27+Master!CG27+Master!CH27+Master!CI27+Master!CJ27+Master!CK27+Master!CL27+Master!CM27+Master!CN27+Master!CO27+Master!CP27+Master!CQ27+Master!EB27+Master!EK27+Master!EL27  +Master!EO27+Master!EP27+Master!EY27+Master!EZ27+Master!FA27+Master!FG27+Master!FK27+Master!FM27+Master!FI27+Master!FO27+Master!DC27+Master!DN27+Master!FY27+Master!DS27+Master!DX27+Master!GF27</f>
        <v>0</v>
      </c>
      <c r="D19" s="4847">
        <f>Master!K27+Master!O27+Master!P27+Master!Q27+Master!U27+Master!V27+Master!W27+Master!X27+Master!Y27+Master!AA27+Master!AB27+Master!AC27+Master!AD27+Master!AJ27+Master!AP27+Master!AV27+Master!AW27+Master!AX27+Master!AY27+Master!AZ27+Master!BA27+Master!BQ27+Master!BR27+Master!BY27+Master!EC27+Master!ED27+Master!EH27+Master!EI27+Master!EJ27+Master!EM27+Master!EQ27+Master!ER27+Master!ES27+Master!ET27+Master!EU27+Master!EV27+Master!EW27+Master!EX27+Master!CS27+Master!CV27+Master!CX27+Master!FP27+Master!CZ27+Master!DA27+Master!DB27+Master!DD27+Master!FR27+Master!FS27+Master!DE27+Master!DF27+Master!DH27+Master!FT27+Master!DI27+Master!DJ27+Master!FW27+Master!DK27+Master!DL27+Master!DM27+Master!DO27+Master!DQ27+Master!GA27+Master!DR27+Master!DT27+Master!DV27+Master!DW27+Master!GD27</f>
        <v>0</v>
      </c>
      <c r="E19" s="5011">
        <f>Master!Z27+Master!AR27+Master!EA27+Master!EE27+Master!EN27+Master!FE27+Master!FF27+Master!FH27+Master!AT27+Master!CR27+Master!FL27+Master!CT27+Master!CU27+Master!FN27+Master!CW27+Master!FJ27+Master!FQ27+Master!FU27+Master!FZ27+Master!GE27</f>
        <v>0</v>
      </c>
      <c r="F19" s="4848">
        <f t="shared" si="4"/>
        <v>0</v>
      </c>
      <c r="G19" s="3090">
        <f>Master!FB27+Master!FC27+Master!FD27+Master!FX27</f>
        <v>0</v>
      </c>
      <c r="H19" s="3090">
        <f>Master!CA27+Master!CY27+Master!DG27+Master!FV27+Master!DP27+Master!DU27+Master!GB27+Master!GC27</f>
        <v>0</v>
      </c>
      <c r="I19" s="3090">
        <f>Master!AL27+Master!AM27</f>
        <v>0</v>
      </c>
      <c r="J19" s="3090">
        <f>Master!BW27</f>
        <v>0</v>
      </c>
      <c r="K19" s="3091">
        <f>Master!DZ27</f>
        <v>0</v>
      </c>
      <c r="L19" s="5022">
        <f>C19+F19+G19+H19+I19+J19+K19</f>
        <v>0</v>
      </c>
      <c r="M19" s="4986">
        <v>1898</v>
      </c>
      <c r="N19" s="881"/>
      <c r="O19" s="1464">
        <f xml:space="preserve"> Master!Z27+Master!AC27+Master!AD27+Master!AE27+Master!AF27+Master!AG27+Master!AH27+Master!AI27+Master!AJ27</f>
        <v>0</v>
      </c>
      <c r="P19" s="4984"/>
      <c r="Q19" s="4993">
        <f t="shared" si="2"/>
        <v>0</v>
      </c>
      <c r="R19" s="2920"/>
      <c r="S19" s="91"/>
      <c r="T19" s="3120"/>
      <c r="U19" s="3120"/>
    </row>
    <row r="20" spans="1:131" ht="37.5" customHeight="1">
      <c r="A20" s="4851"/>
      <c r="B20" s="5042">
        <v>0.625000000000003</v>
      </c>
      <c r="C20" s="5013">
        <f>Master!N28+Master!B28+Master!C28+Master!D28+Master!E28+Master!F28+Master!G28+Master!H28 +Master!I28+Master!J28+Master!L28+Master!M28+Master!R28+Master!S28+Master!T28+Master!AE28+Master!AF28+Master!AG28+Master!AH28+Master!AI28+Master!AK28+Master!AN28+Master!AO28+Master!AQ28+Master!AS28+Master!AU28+Master!BB28+Master!BC28 +Master!BD28+Master!BE28+Master!BF28+Master!BG28+Master!BH28+Master!BI28+Master!BJ28+Master!BK28+Master!BL28+Master!BM28 +Master!BN28+Master!BO28+Master!BP28+Master!BS28+Master!BT28+Master!BU28+Master!BV28+Master!BX28+Master!BZ28+Master!CB28+Master!CC28+Master!CD28+Master!CE28+Master!CF28+Master!CG28+Master!CH28+Master!CI28+Master!CJ28+Master!CK28+Master!CL28+Master!CM28+Master!CN28+Master!CO28+Master!CP28+Master!CQ28+Master!EB28+Master!EK28+Master!EL28  +Master!EO28+Master!EP28+Master!EY28+Master!EZ28+Master!FA28+Master!FG28+Master!FK28+Master!FM28+Master!FI28+Master!FO28+Master!DC28+Master!DN28+Master!FY28+Master!DS28+Master!DX28+Master!GF28</f>
        <v>0</v>
      </c>
      <c r="D20" s="4847">
        <f>Master!K28+Master!O28+Master!P28+Master!Q28+Master!U28+Master!V28+Master!W28+Master!X28+Master!Y28+Master!AA28+Master!AB28+Master!AC28+Master!AD28+Master!AJ28+Master!AP28+Master!AV28+Master!AW28+Master!AX28+Master!AY28+Master!AZ28+Master!BA28+Master!BQ28+Master!BR28+Master!BY28+Master!EC28+Master!ED28+Master!EH28+Master!EI28+Master!EJ28+Master!EM28+Master!EQ28+Master!ER28+Master!ES28+Master!ET28+Master!EU28+Master!EV28+Master!EW28+Master!EX28+Master!CS28+Master!CV28+Master!CX28+Master!FP28+Master!CZ28+Master!DA28+Master!DB28+Master!DD28+Master!FR28+Master!FS28+Master!DE28+Master!DF28+Master!DH28+Master!FT28+Master!DI28+Master!DJ28+Master!FW28+Master!DK28+Master!DL28+Master!DM28+Master!DO28+Master!DQ28+Master!GA28+Master!DR28+Master!DT28+Master!DV28+Master!DW28+Master!GD28</f>
        <v>0</v>
      </c>
      <c r="E20" s="5011">
        <f>Master!Z28+Master!AR28+Master!EA28+Master!EE28+Master!EN28+Master!FE28+Master!FF28+Master!FH28+Master!AT28+Master!CR28+Master!FL28+Master!CT28+Master!CU28+Master!FN28+Master!CW28+Master!FJ28+Master!FQ28+Master!FU28+Master!FZ28+Master!GE28</f>
        <v>0</v>
      </c>
      <c r="F20" s="4848">
        <f t="shared" si="4"/>
        <v>0</v>
      </c>
      <c r="G20" s="3090">
        <f>Master!FB28+Master!FC28+Master!FD28+Master!FX28</f>
        <v>0</v>
      </c>
      <c r="H20" s="3090">
        <f>Master!CA28+Master!CY28+Master!DG28+Master!FV28+Master!DP28+Master!DU28+Master!GB28+Master!GC28</f>
        <v>0</v>
      </c>
      <c r="I20" s="3090">
        <f>Master!AL28+Master!AM28</f>
        <v>0</v>
      </c>
      <c r="J20" s="3090">
        <f>Master!BW28</f>
        <v>0</v>
      </c>
      <c r="K20" s="3091">
        <f>Master!DZ28</f>
        <v>0</v>
      </c>
      <c r="L20" s="5022">
        <f>C20+F20+G20+H20+I20+J20+K20</f>
        <v>0</v>
      </c>
      <c r="M20" s="4986">
        <v>1884</v>
      </c>
      <c r="N20" s="881"/>
      <c r="O20" s="1464">
        <f xml:space="preserve"> Master!Z28+Master!AC28+Master!AD28+Master!AE28+Master!AF28+Master!AG28+Master!AH28+Master!AI28+Master!AJ28</f>
        <v>0</v>
      </c>
      <c r="P20" s="4984"/>
      <c r="Q20" s="4993">
        <f t="shared" si="2"/>
        <v>0</v>
      </c>
      <c r="R20" s="91"/>
      <c r="S20" s="91"/>
      <c r="T20" s="3120"/>
      <c r="U20" s="3120"/>
    </row>
    <row r="21" spans="1:131" ht="39.75" customHeight="1">
      <c r="A21" s="4851"/>
      <c r="B21" s="5042">
        <v>0.66666666666666996</v>
      </c>
      <c r="C21" s="5013">
        <f>Master!N29+Master!B29+Master!C29+Master!D29+Master!E29+Master!F29+Master!G29+Master!H29 +Master!I29+Master!J29+Master!L29+Master!M29+Master!R29+Master!S29+Master!T29+Master!AE29+Master!AF29+Master!AG29+Master!AH29+Master!AI29+Master!AK29+Master!AN29+Master!AO29+Master!AQ29+Master!AS29+Master!AU29+Master!BB29+Master!BC29 +Master!BD29+Master!BE29+Master!BF29+Master!BG29+Master!BH29+Master!BI29+Master!BJ29+Master!BK29+Master!BL29+Master!BM29 +Master!BN29+Master!BO29+Master!BP29+Master!BS29+Master!BT29+Master!BU29+Master!BV29+Master!BX29+Master!BZ29+Master!CB29+Master!CC29+Master!CD29+Master!CE29+Master!CF29+Master!CG29+Master!CH29+Master!CI29+Master!CJ29+Master!CK29+Master!CL29+Master!CM29+Master!CN29+Master!CO29+Master!CP29+Master!CQ29+Master!EB29+Master!EK29+Master!EL29  +Master!EO29+Master!EP29+Master!EY29+Master!EZ29+Master!FA29+Master!FG29+Master!FK29+Master!FM29+Master!FI29+Master!FO29+Master!DC29+Master!DN29+Master!FY29+Master!DS29+Master!DX29+Master!GF29</f>
        <v>0</v>
      </c>
      <c r="D21" s="4847">
        <f>Master!K29+Master!O29+Master!P29+Master!Q29+Master!U29+Master!V29+Master!W29+Master!X29+Master!Y29+Master!AA29+Master!AB29+Master!AC29+Master!AD29+Master!AJ29+Master!AP29+Master!AV29+Master!AW29+Master!AX29+Master!AY29+Master!AZ29+Master!BA29+Master!BQ29+Master!BR29+Master!BY29+Master!EC29+Master!ED29+Master!EH29+Master!EI29+Master!EJ29+Master!EM29+Master!EQ29+Master!ER29+Master!ES29+Master!ET29+Master!EU29+Master!EV29+Master!EW29+Master!EX29+Master!CS29+Master!CV29+Master!CX29+Master!FP29+Master!CZ29+Master!DA29+Master!DB29+Master!DD29+Master!FR29+Master!FS29+Master!DE29+Master!DF29+Master!DH29+Master!FT29+Master!DI29+Master!DJ29+Master!FW29+Master!DK29+Master!DL29+Master!DM29+Master!DO29+Master!DQ29+Master!GA29+Master!DR29+Master!DT29+Master!DV29+Master!DW29+Master!GD29</f>
        <v>0</v>
      </c>
      <c r="E21" s="5011">
        <f>Master!Z29+Master!AR29+Master!EA29+Master!EE29+Master!EN29+Master!FE29+Master!FF29+Master!FH29+Master!AT29+Master!CR29+Master!FL29+Master!CT29+Master!CU29+Master!FN29+Master!CW29+Master!FJ29+Master!FQ29+Master!FU29+Master!FZ29+Master!GE29</f>
        <v>0</v>
      </c>
      <c r="F21" s="4849">
        <f t="shared" si="4"/>
        <v>0</v>
      </c>
      <c r="G21" s="3090">
        <f>Master!FB29+Master!FC29+Master!FD29+Master!FX29</f>
        <v>0</v>
      </c>
      <c r="H21" s="3090">
        <f>Master!CA29+Master!CY29+Master!DG29+Master!FV29+Master!DP29+Master!DU29+Master!GB29+Master!GC29</f>
        <v>0</v>
      </c>
      <c r="I21" s="3090">
        <f>Master!AL29+Master!AM29</f>
        <v>0</v>
      </c>
      <c r="J21" s="3090">
        <f>Master!BW29</f>
        <v>0</v>
      </c>
      <c r="K21" s="3091">
        <f>Master!DZ29</f>
        <v>0</v>
      </c>
      <c r="L21" s="5022">
        <f t="shared" si="6"/>
        <v>0</v>
      </c>
      <c r="M21" s="4986">
        <v>1804</v>
      </c>
      <c r="N21" s="881"/>
      <c r="O21" s="1464">
        <f xml:space="preserve"> Master!Z29+Master!AC29+Master!AD29+Master!AE29+Master!AF29+Master!AG29+Master!AH29+Master!AI29+Master!AJ29</f>
        <v>0</v>
      </c>
      <c r="P21" s="4984"/>
      <c r="Q21" s="4993">
        <f t="shared" si="2"/>
        <v>0</v>
      </c>
      <c r="R21" s="91"/>
      <c r="S21" s="91"/>
      <c r="T21" s="3120"/>
      <c r="U21" s="3120"/>
      <c r="EA21" s="96">
        <v>0</v>
      </c>
    </row>
    <row r="22" spans="1:131" ht="39.75" customHeight="1">
      <c r="A22" s="92"/>
      <c r="B22" s="5042">
        <v>0.70833333333333703</v>
      </c>
      <c r="C22" s="5013">
        <f>Master!N30+Master!B30+Master!C30+Master!D30+Master!E30+Master!F30+Master!G30+Master!H30 +Master!I30+Master!J30+Master!L30+Master!M30+Master!R30+Master!S30+Master!T30+Master!AE30+Master!AF30+Master!AG30+Master!AH30+Master!AI30+Master!AK30+Master!AN30+Master!AO30+Master!AQ30+Master!AS30+Master!AU30+Master!BB30+Master!BC30 +Master!BD30+Master!BE30+Master!BF30+Master!BG30+Master!BH30+Master!BI30+Master!BJ30+Master!BK30+Master!BL30+Master!BM30 +Master!BN30+Master!BO30+Master!BP30+Master!BS30+Master!BT30+Master!BU30+Master!BV30+Master!BX30+Master!BZ30+Master!CB30+Master!CC30+Master!CD30+Master!CE30+Master!CF30+Master!CG30+Master!CH30+Master!CI30+Master!CJ30+Master!CK30+Master!CL30+Master!CM30+Master!CN30+Master!CO30+Master!CP30+Master!CQ30+Master!EB30+Master!EK30+Master!EL30  +Master!EO30+Master!EP30+Master!EY30+Master!EZ30+Master!FA30+Master!FG30+Master!FK30+Master!FM30+Master!FI30+Master!FO30+Master!DC30+Master!DN30+Master!FY30+Master!DS30+Master!DX30+Master!GF30</f>
        <v>0</v>
      </c>
      <c r="D22" s="4847">
        <f>Master!K30+Master!O30+Master!P30+Master!Q30+Master!U30+Master!V30+Master!W30+Master!X30+Master!Y30+Master!AA30+Master!AB30+Master!AC30+Master!AD30+Master!AJ30+Master!AP30+Master!AV30+Master!AW30+Master!AX30+Master!AY30+Master!AZ30+Master!BA30+Master!BQ30+Master!BR30+Master!BY30+Master!EC30+Master!ED30+Master!EH30+Master!EI30+Master!EJ30+Master!EM30+Master!EQ30+Master!ER30+Master!ES30+Master!ET30+Master!EU30+Master!EV30+Master!EW30+Master!EX30+Master!CS30+Master!CV30+Master!CX30+Master!FP30+Master!CZ30+Master!DA30+Master!DB30+Master!DD30+Master!FR30+Master!FS30+Master!DE30+Master!DF30+Master!DH30+Master!FT30+Master!DI30+Master!DJ30+Master!FW30+Master!DK30+Master!DL30+Master!DM30+Master!DO30+Master!DQ30+Master!GA30+Master!DR30+Master!DT30+Master!DV30+Master!DW30+Master!GD30</f>
        <v>0</v>
      </c>
      <c r="E22" s="5011">
        <f>Master!Z30+Master!AR30+Master!EA30+Master!EE30+Master!EN30+Master!FE30+Master!FF30+Master!FH30+Master!AT30+Master!CR30+Master!FL30+Master!CT30+Master!CU30+Master!FN30+Master!CW30+Master!FJ30+Master!FQ30+Master!FU30+Master!FZ30+Master!GE30</f>
        <v>0</v>
      </c>
      <c r="F22" s="4849">
        <f t="shared" si="4"/>
        <v>0</v>
      </c>
      <c r="G22" s="3090">
        <f>Master!FB30+Master!FC30+Master!FD30+Master!FX30</f>
        <v>0</v>
      </c>
      <c r="H22" s="3090">
        <f>Master!CA30+Master!CY30+Master!DG30+Master!FV30+Master!DP30+Master!DU30+Master!GB30+Master!GC30</f>
        <v>0</v>
      </c>
      <c r="I22" s="3090">
        <f>Master!AL30+Master!AM30</f>
        <v>0</v>
      </c>
      <c r="J22" s="3090">
        <f>Master!BW30</f>
        <v>0</v>
      </c>
      <c r="K22" s="3091">
        <f>Master!DZ30</f>
        <v>0</v>
      </c>
      <c r="L22" s="5022">
        <f t="shared" ref="L22:L27" si="7">C22+F22+G22+H22+I22+J22+K22</f>
        <v>0</v>
      </c>
      <c r="M22" s="4986">
        <v>1286</v>
      </c>
      <c r="N22" s="881"/>
      <c r="O22" s="1464">
        <f xml:space="preserve"> Master!Z30+Master!AC30+Master!AD30+Master!AE30+Master!AF30+Master!AG30+Master!AH30+Master!AI30+Master!AJ30</f>
        <v>0</v>
      </c>
      <c r="P22" s="4984"/>
      <c r="Q22" s="4993">
        <f t="shared" si="2"/>
        <v>0</v>
      </c>
      <c r="R22" s="91"/>
      <c r="S22" s="91"/>
    </row>
    <row r="23" spans="1:131" ht="39.75" customHeight="1">
      <c r="A23" s="92"/>
      <c r="B23" s="5042">
        <v>0.75</v>
      </c>
      <c r="C23" s="5013">
        <f>Master!N31+Master!B31+Master!C31+Master!D31+Master!E31+Master!F31+Master!G31+Master!H31 +Master!I31+Master!J31+Master!L31+Master!M31+Master!R31+Master!S31+Master!T31+Master!AE31+Master!AF31+Master!AG31+Master!AH31+Master!AI31+Master!AK31+Master!AN31+Master!AO31+Master!AQ31+Master!AS31+Master!AU31+Master!BB31+Master!BC31 +Master!BD31+Master!BE31+Master!BF31+Master!BG31+Master!BH31+Master!BI31+Master!BJ31+Master!BK31+Master!BL31+Master!BM31 +Master!BN31+Master!BO31+Master!BP31+Master!BS31+Master!BT31+Master!BU31+Master!BV31+Master!BX31+Master!BZ31+Master!CB31+Master!CC31+Master!CD31+Master!CE31+Master!CF31+Master!CG31+Master!CH31+Master!CI31+Master!CJ31+Master!CK31+Master!CL31+Master!CM31+Master!CN31+Master!CO31+Master!CP31+Master!CQ31+Master!EB31+Master!EK31+Master!EL31  +Master!EO31+Master!EP31+Master!EY31+Master!EZ31+Master!FA31+Master!FG31+Master!FK31+Master!FM31+Master!FI31+Master!FO31+Master!DC31+Master!DN31+Master!FY31+Master!DS31+Master!DX31+Master!GF31</f>
        <v>0</v>
      </c>
      <c r="D23" s="4847">
        <f>Master!K31+Master!O31+Master!P31+Master!Q31+Master!U31+Master!V31+Master!W31+Master!X31+Master!Y31+Master!AA31+Master!AB31+Master!AC31+Master!AD31+Master!AJ31+Master!AP31+Master!AV31+Master!AW31+Master!AX31+Master!AY31+Master!AZ31+Master!BA31+Master!BQ31+Master!BR31+Master!BY31+Master!EC31+Master!ED31+Master!EH31+Master!EI31+Master!EJ31+Master!EM31+Master!EQ31+Master!ER31+Master!ES31+Master!ET31+Master!EU31+Master!EV31+Master!EW31+Master!EX31+Master!CS31+Master!CV31+Master!CX31+Master!FP31+Master!CZ31+Master!DA31+Master!DB31+Master!DD31+Master!FR31+Master!FS31+Master!DE31+Master!DF31+Master!DH31+Master!FT31+Master!DI31+Master!DJ31+Master!FW31+Master!DK31+Master!DL31+Master!DM31+Master!DO31+Master!DQ31+Master!GA31+Master!DR31+Master!DT31+Master!DV31+Master!DW31+Master!GD31</f>
        <v>0</v>
      </c>
      <c r="E23" s="5011">
        <f>Master!Z31+Master!AR31+Master!EA31+Master!EE31+Master!EN31+Master!FE31+Master!FF31+Master!FH31+Master!AT31+Master!CR31+Master!FL31+Master!CT31+Master!CU31+Master!FN31+Master!CW31+Master!FJ31+Master!FQ31+Master!FU31+Master!FZ31+Master!GE31</f>
        <v>0</v>
      </c>
      <c r="F23" s="4849">
        <f t="shared" ref="F23:F32" si="8">D23+E23</f>
        <v>0</v>
      </c>
      <c r="G23" s="3090">
        <f>Master!FB31+Master!FC31+Master!FD31+Master!FX31</f>
        <v>0</v>
      </c>
      <c r="H23" s="3090">
        <f>Master!CA31+Master!CY31+Master!DG31+Master!FV31+Master!DP31+Master!DU31+Master!GB31+Master!GC31</f>
        <v>0</v>
      </c>
      <c r="I23" s="3090">
        <f>Master!AL31+Master!AM31</f>
        <v>0</v>
      </c>
      <c r="J23" s="3090">
        <f>Master!BW31</f>
        <v>0</v>
      </c>
      <c r="K23" s="3091">
        <f>Master!DZ31</f>
        <v>0</v>
      </c>
      <c r="L23" s="5022">
        <f t="shared" si="7"/>
        <v>0</v>
      </c>
      <c r="M23" s="4986">
        <v>755.69150000000081</v>
      </c>
      <c r="N23" s="881" t="s">
        <v>18</v>
      </c>
      <c r="O23" s="1464">
        <f xml:space="preserve"> Master!Z31+Master!AC31+Master!AD31+Master!AE31+Master!AF31+Master!AG31+Master!AH31+Master!AI31+Master!AJ31</f>
        <v>0</v>
      </c>
      <c r="P23" s="4984"/>
      <c r="Q23" s="4993">
        <f t="shared" si="2"/>
        <v>0</v>
      </c>
      <c r="R23" s="91"/>
      <c r="S23" s="91"/>
    </row>
    <row r="24" spans="1:131" ht="1.5" hidden="1" customHeight="1">
      <c r="A24" s="92"/>
      <c r="B24" s="5042">
        <v>0.77083333333333337</v>
      </c>
      <c r="C24" s="5014">
        <f>Master!N32+Master!B32+Master!C32+Master!D32+Master!E32+Master!F32+Master!G32+Master!H32 +Master!I32+Master!J32+Master!L32+Master!M32+Master!R32+Master!S32+Master!T32+Master!AE32+Master!AF32+Master!AG32+Master!AH32+Master!AI32+Master!AK32+Master!AN32+Master!AO32+Master!AQ32+Master!AS32+Master!AU32+Master!BB32+Master!BC32 +Master!BD32+Master!BE32+Master!BF32+Master!BG32+Master!BH32+Master!BI32+Master!BJ32+Master!BK32+Master!BL32+Master!BM32 +Master!BN32+Master!BO32+Master!BP32+Master!BS32+Master!BT32+Master!BU32+Master!BV32+Master!BX32+Master!BZ32+Master!CB32+Master!CC32+Master!CD32+Master!CE32+Master!CF32+Master!CG32+Master!CH32+Master!CI32+Master!CJ32+Master!CK32+Master!CL32+Master!CM32+Master!CN32+Master!CO32+Master!CP32+Master!CQ32+Master!EB32+Master!EK32+Master!EL32  +Master!EO32+Master!EP32+Master!EY32+Master!EZ32+Master!FA32+Master!FG32+Master!FK32+Master!FM32+Master!FI32+Master!FO32+Master!DC32+Master!DN32+Master!FY32+Master!DS32+Master!DX32+Master!GF32</f>
        <v>0</v>
      </c>
      <c r="D24" s="4847">
        <f>Master!K32+Master!O32+Master!P32+Master!Q32+Master!U32+Master!V32+Master!W32+Master!X32+Master!Y32+Master!AA32+Master!AB32+Master!AC32+Master!AD32+Master!AJ32+Master!AP32+Master!AV32+Master!AW32+Master!AX32+Master!AY32+Master!AZ32+Master!BA32+Master!BQ32+Master!BR32+Master!BY32+Master!EC32+Master!ED32+Master!EH32+Master!EI32+Master!EJ32+Master!EM32+Master!EQ32+Master!ER32+Master!ES32+Master!ET32+Master!EU32+Master!EV32+Master!EW32+Master!EX32+Master!CS32+Master!CV32+Master!CX32+Master!FP32+Master!CZ32+Master!DA32+Master!DB32+Master!DD32+Master!FR32+Master!FS32+Master!DE32+Master!DF32+Master!DH32+Master!FT32+Master!DI32+Master!DJ32+Master!FW32+Master!DK32+Master!DL32+Master!DM32+Master!DO32+Master!DQ32+Master!GA32+Master!DR32+Master!DT32+Master!DV32+Master!DW32+Master!GD32</f>
        <v>0</v>
      </c>
      <c r="E24" s="5011">
        <f>Master!Z32+Master!AR32+Master!EA32+Master!EE32+Master!EN32+Master!FE32+Master!FF32+Master!FH32+Master!AT32+Master!CR32+Master!FL32+Master!CT32+Master!CU32+Master!FN32+Master!CW32+Master!FJ32+Master!FQ32+Master!FU32+Master!FZ32+Master!GE32</f>
        <v>0</v>
      </c>
      <c r="F24" s="4849">
        <f t="shared" si="8"/>
        <v>0</v>
      </c>
      <c r="G24" s="3090">
        <f>Master!FB32+Master!FC32+Master!FD32+Master!FX32</f>
        <v>0</v>
      </c>
      <c r="H24" s="3090">
        <f>Master!CA32+Master!CY32+Master!DG32+Master!FV32+Master!DP32+Master!DU32+Master!GB32+Master!GC32</f>
        <v>0</v>
      </c>
      <c r="I24" s="3090">
        <f>Master!AL32+Master!AM32</f>
        <v>0</v>
      </c>
      <c r="J24" s="3090">
        <f>Master!BW32</f>
        <v>0</v>
      </c>
      <c r="K24" s="3091">
        <f>Master!DZ32</f>
        <v>0</v>
      </c>
      <c r="L24" s="5022">
        <f t="shared" si="7"/>
        <v>0</v>
      </c>
      <c r="M24" s="4986">
        <v>904.06507500000225</v>
      </c>
      <c r="N24" s="881"/>
      <c r="O24" s="1464">
        <f xml:space="preserve"> Master!Z32+Master!AC32+Master!AD32+Master!AE32+Master!AF32+Master!AG32+Master!AH32+Master!AI32+Master!AJ32</f>
        <v>0</v>
      </c>
      <c r="P24" s="4984"/>
      <c r="Q24" s="4993">
        <f t="shared" si="2"/>
        <v>0</v>
      </c>
      <c r="R24" s="91"/>
      <c r="S24" s="91"/>
    </row>
    <row r="25" spans="1:131" ht="39.75" customHeight="1">
      <c r="A25" s="3121"/>
      <c r="B25" s="5042">
        <v>0.79166666666666663</v>
      </c>
      <c r="C25" s="5014">
        <f>Master!N33+Master!B33+Master!C33+Master!D33+Master!E33+Master!F33+Master!G33+Master!H33 +Master!I33+Master!J33+Master!L33+Master!M33+Master!R33+Master!S33+Master!T33+Master!AE33+Master!AF33+Master!AG33+Master!AH33+Master!AI33+Master!AK33+Master!AN33+Master!AO33+Master!AQ33+Master!AS33+Master!AU33+Master!BB33+Master!BC33 +Master!BD33+Master!BE33+Master!BF33+Master!BG33+Master!BH33+Master!BI33+Master!BJ33+Master!BK33+Master!BL33+Master!BM33 +Master!BN33+Master!BO33+Master!BP33+Master!BS33+Master!BT33+Master!BU33+Master!BV33+Master!BX33+Master!BZ33+Master!CB33+Master!CC33+Master!CD33+Master!CE33+Master!CF33+Master!CG33+Master!CH33+Master!CI33+Master!CJ33+Master!CK33+Master!CL33+Master!CM33+Master!CN33+Master!CO33+Master!CP33+Master!CQ33+Master!EB33+Master!EK33+Master!EL33  +Master!EO33+Master!EP33+Master!EY33+Master!EZ33+Master!FA33+Master!FG33+Master!FK33+Master!FM33+Master!FI33+Master!FO33+Master!DC33+Master!DN33+Master!FY33+Master!DS33+Master!DX33+Master!GF33</f>
        <v>5068</v>
      </c>
      <c r="D25" s="4847">
        <f>Master!K33+Master!O33+Master!P33+Master!Q33+Master!U33+Master!V33+Master!W33+Master!X33+Master!Y33+Master!AA33+Master!AB33+Master!AC33+Master!AD33+Master!AJ33+Master!AP33+Master!AV33+Master!AW33+Master!AX33+Master!AY33+Master!AZ33+Master!BA33+Master!BQ33+Master!BR33+Master!BY33+Master!EC33+Master!ED33+Master!EH33+Master!EI33+Master!EJ33+Master!EM33+Master!EQ33+Master!ER33+Master!ES33+Master!ET33+Master!EU33+Master!EV33+Master!EW33+Master!EX33+Master!CS33+Master!CV33+Master!CX33+Master!FP33+Master!CZ33+Master!DA33+Master!DB33+Master!DD33+Master!FR33+Master!FS33+Master!DE33+Master!DF33+Master!DH33+Master!FT33+Master!DI33+Master!DJ33+Master!FW33+Master!DK33+Master!DL33+Master!DM33+Master!DO33+Master!DQ33+Master!GA33+Master!DR33+Master!DT33+Master!DV33+Master!DW33+Master!GD33</f>
        <v>3661</v>
      </c>
      <c r="E25" s="5011">
        <f>Master!Z33+Master!AR33+Master!EA33+Master!EE33+Master!EN33+Master!FE33+Master!FF33+Master!FH33+Master!AT33+Master!CR33+Master!FL33+Master!CT33+Master!CU33+Master!FN33+Master!CW33+Master!FJ33+Master!FQ33+Master!FU33+Master!FZ33+Master!GE33</f>
        <v>1197</v>
      </c>
      <c r="F25" s="4849">
        <f t="shared" si="8"/>
        <v>4858</v>
      </c>
      <c r="G25" s="3090">
        <f>Master!FB33+Master!FC33+Master!FD33+Master!FX33</f>
        <v>910</v>
      </c>
      <c r="H25" s="3090">
        <f>Master!CA33+Master!CY33+Master!DG33+Master!FV33+Master!DP33+Master!DU33+Master!GB33+Master!GC33</f>
        <v>0</v>
      </c>
      <c r="I25" s="3090">
        <f>Master!AL33+Master!AM33</f>
        <v>118</v>
      </c>
      <c r="J25" s="3090">
        <f>Master!BW33</f>
        <v>158</v>
      </c>
      <c r="K25" s="3091">
        <f>Master!DZ33</f>
        <v>907</v>
      </c>
      <c r="L25" s="5022">
        <f t="shared" si="7"/>
        <v>12019</v>
      </c>
      <c r="M25" s="4986">
        <v>1088</v>
      </c>
      <c r="N25" s="881"/>
      <c r="O25" s="1464">
        <f xml:space="preserve"> Master!Z33+Master!AC33+Master!AD33+Master!AE33+Master!AF33+Master!AG33+Master!AH33+Master!AI33+Master!AJ33</f>
        <v>269</v>
      </c>
      <c r="P25" s="4984"/>
      <c r="Q25" s="4993">
        <f t="shared" si="2"/>
        <v>269</v>
      </c>
      <c r="R25" s="91"/>
      <c r="S25" s="91"/>
    </row>
    <row r="26" spans="1:131" ht="39.75" customHeight="1" thickBot="1">
      <c r="A26" s="92"/>
      <c r="B26" s="5042">
        <v>0.8125</v>
      </c>
      <c r="C26" s="5014">
        <f>Master!N34+Master!B34+Master!C34+Master!D34+Master!E34+Master!F34+Master!G34+Master!H34 +Master!I34+Master!J34+Master!L34+Master!M34+Master!R34+Master!S34+Master!T34+Master!AE34+Master!AF34+Master!AG34+Master!AH34+Master!AI34+Master!AK34+Master!AN34+Master!AO34+Master!AQ34+Master!AS34+Master!AU34+Master!BB34+Master!BC34 +Master!BD34+Master!BE34+Master!BF34+Master!BG34+Master!BH34+Master!BI34+Master!BJ34+Master!BK34+Master!BL34+Master!BM34 +Master!BN34+Master!BO34+Master!BP34+Master!BS34+Master!BT34+Master!BU34+Master!BV34+Master!BX34+Master!BZ34+Master!CB34+Master!CC34+Master!CD34+Master!CE34+Master!CF34+Master!CG34+Master!CH34+Master!CI34+Master!CJ34+Master!CK34+Master!CL34+Master!CM34+Master!CN34+Master!CO34+Master!CP34+Master!CQ34+Master!EB34+Master!EK34+Master!EL34  +Master!EO34+Master!EP34+Master!EY34+Master!EZ34+Master!FA34+Master!FG34+Master!FK34+Master!FM34+Master!FI34+Master!FO34+Master!DC34+Master!DN34+Master!FY34+Master!DS34+Master!DX34+Master!GF34</f>
        <v>5110</v>
      </c>
      <c r="D26" s="4847">
        <f>Master!K34+Master!O34+Master!P34+Master!Q34+Master!U34+Master!V34+Master!W34+Master!X34+Master!Y34+Master!AA34+Master!AB34+Master!AC34+Master!AD34+Master!AJ34+Master!AP34+Master!AV34+Master!AW34+Master!AX34+Master!AY34+Master!AZ34+Master!BA34+Master!BQ34+Master!BR34+Master!BY34+Master!EC34+Master!ED34+Master!EH34+Master!EI34+Master!EJ34+Master!EM34+Master!EQ34+Master!ER34+Master!ES34+Master!ET34+Master!EU34+Master!EV34+Master!EW34+Master!EX34+Master!CS34+Master!CV34+Master!CX34+Master!FP34+Master!CZ34+Master!DA34+Master!DB34+Master!DD34+Master!FR34+Master!FS34+Master!DE34+Master!DF34+Master!DH34+Master!FT34+Master!DI34+Master!DJ34+Master!FW34+Master!DK34+Master!DL34+Master!DM34+Master!DO34+Master!DQ34+Master!GA34+Master!DR34+Master!DT34+Master!DV34+Master!DW34+Master!GD34</f>
        <v>4009</v>
      </c>
      <c r="E26" s="5011">
        <f>Master!Z34+Master!AR34+Master!EA34+Master!EE34+Master!EN34+Master!FE34+Master!FF34+Master!FH34+Master!AT34+Master!CR34+Master!FL34+Master!CT34+Master!CU34+Master!FN34+Master!CW34+Master!FJ34+Master!FQ34+Master!FU34+Master!FZ34+Master!GE34</f>
        <v>1150</v>
      </c>
      <c r="F26" s="4849">
        <f t="shared" si="8"/>
        <v>5159</v>
      </c>
      <c r="G26" s="3090">
        <f>Master!FB34+Master!FC34+Master!FD34+Master!FX34</f>
        <v>1030</v>
      </c>
      <c r="H26" s="3090">
        <f>Master!CA34+Master!CY34+Master!DG34+Master!FV34+Master!DP34+Master!DU34+Master!GB34+Master!GC34</f>
        <v>0</v>
      </c>
      <c r="I26" s="3090">
        <f>Master!AL34+Master!AM34</f>
        <v>118</v>
      </c>
      <c r="J26" s="3090">
        <f>Master!BW34</f>
        <v>160</v>
      </c>
      <c r="K26" s="3091">
        <f>Master!DZ34</f>
        <v>909</v>
      </c>
      <c r="L26" s="5022">
        <f t="shared" si="7"/>
        <v>12486</v>
      </c>
      <c r="M26" s="4986"/>
      <c r="O26" s="1464">
        <f xml:space="preserve"> Master!Z34+Master!AC34+Master!AD34+Master!AE34+Master!AF34+Master!AG34+Master!AH34+Master!AI34+Master!AJ34</f>
        <v>275</v>
      </c>
      <c r="P26" s="4984"/>
      <c r="Q26" s="4993">
        <f t="shared" si="2"/>
        <v>275</v>
      </c>
      <c r="S26" s="91"/>
    </row>
    <row r="27" spans="1:131" ht="39.75" customHeight="1">
      <c r="A27" s="92"/>
      <c r="B27" s="5042">
        <v>0.83333333333333337</v>
      </c>
      <c r="C27" s="5014">
        <f>Master!N35+Master!B35+Master!C35+Master!D35+Master!E35+Master!F35+Master!G35+Master!H35 +Master!I35+Master!J35+Master!L35+Master!M35+Master!R35+Master!S35+Master!T35+Master!AE35+Master!AF35+Master!AG35+Master!AH35+Master!AI35+Master!AK35+Master!AN35+Master!AO35+Master!AQ35+Master!AS35+Master!AU35+Master!BB35+Master!BC35 +Master!BD35+Master!BE35+Master!BF35+Master!BG35+Master!BH35+Master!BI35+Master!BJ35+Master!BK35+Master!BL35+Master!BM35 +Master!BN35+Master!BO35+Master!BP35+Master!BS35+Master!BT35+Master!BU35+Master!BV35+Master!BX35+Master!BZ35+Master!CB35+Master!CC35+Master!CD35+Master!CE35+Master!CF35+Master!CG35+Master!CH35+Master!CI35+Master!CJ35+Master!CK35+Master!CL35+Master!CM35+Master!CN35+Master!CO35+Master!CP35+Master!CQ35+Master!EB35+Master!EK35+Master!EL35  +Master!EO35+Master!EP35+Master!EY35+Master!EZ35+Master!FA35+Master!FG35+Master!FK35+Master!FM35+Master!FI35+Master!FO35+Master!DC35+Master!DN35+Master!FY35+Master!DS35+Master!DX35+Master!GF35</f>
        <v>5204</v>
      </c>
      <c r="D27" s="4847">
        <f>Master!K35+Master!O35+Master!P35+Master!Q35+Master!U35+Master!V35+Master!W35+Master!X35+Master!Y35+Master!AA35+Master!AB35+Master!AC35+Master!AD35+Master!AJ35+Master!AP35+Master!AV35+Master!AW35+Master!AX35+Master!AY35+Master!AZ35+Master!BA35+Master!BQ35+Master!BR35+Master!BY35+Master!EC35+Master!ED35+Master!EH35+Master!EI35+Master!EJ35+Master!EM35+Master!EQ35+Master!ER35+Master!ES35+Master!ET35+Master!EU35+Master!EV35+Master!EW35+Master!EX35+Master!CS35+Master!CV35+Master!CX35+Master!FP35+Master!CZ35+Master!DA35+Master!DB35+Master!DD35+Master!FR35+Master!FS35+Master!DE35+Master!DF35+Master!DH35+Master!FT35+Master!DI35+Master!DJ35+Master!FW35+Master!DK35+Master!DL35+Master!DM35+Master!DO35+Master!DQ35+Master!GA35+Master!DR35+Master!DT35+Master!DV35+Master!DW35+Master!GD35</f>
        <v>4103</v>
      </c>
      <c r="E27" s="5011">
        <f>Master!Z35+Master!AR35+Master!EA35+Master!EE35+Master!EN35+Master!FE35+Master!FF35+Master!FH35+Master!AT35+Master!CR35+Master!FL35+Master!CT35+Master!CU35+Master!FN35+Master!CW35+Master!FJ35+Master!FQ35+Master!FU35+Master!FZ35+Master!GE35</f>
        <v>1155</v>
      </c>
      <c r="F27" s="4849">
        <f t="shared" si="8"/>
        <v>5258</v>
      </c>
      <c r="G27" s="3090">
        <f>Master!FB35+Master!FC35+Master!FD35+Master!FX35</f>
        <v>1041</v>
      </c>
      <c r="H27" s="3090">
        <f>Master!CA35+Master!CY35+Master!DG35+Master!FV35+Master!DP35+Master!DU35+Master!GB35+Master!GC35</f>
        <v>0</v>
      </c>
      <c r="I27" s="3090">
        <f>Master!AL35+Master!AM35</f>
        <v>118</v>
      </c>
      <c r="J27" s="3090">
        <f>Master!BW35</f>
        <v>160</v>
      </c>
      <c r="K27" s="3091">
        <f>Master!DZ35</f>
        <v>909</v>
      </c>
      <c r="L27" s="5022">
        <f t="shared" si="7"/>
        <v>12690</v>
      </c>
      <c r="M27" s="4986"/>
      <c r="N27" s="1146" t="s">
        <v>808</v>
      </c>
      <c r="O27" s="1464">
        <f xml:space="preserve"> Master!Z35+Master!AC35+Master!AD35+Master!AE35+Master!AF35+Master!AG35+Master!AH35+Master!AI35+Master!AJ35</f>
        <v>276</v>
      </c>
      <c r="P27" s="4984"/>
      <c r="Q27" s="4993">
        <f t="shared" si="2"/>
        <v>276</v>
      </c>
      <c r="R27" s="91"/>
      <c r="S27" s="91"/>
    </row>
    <row r="28" spans="1:131" ht="39.75" customHeight="1" thickBot="1">
      <c r="A28" s="92"/>
      <c r="B28" s="5042">
        <v>0.875</v>
      </c>
      <c r="C28" s="5014">
        <f>Master!N36+Master!B36+Master!C36+Master!D36+Master!E36+Master!F36+Master!G36+Master!H36 +Master!I36+Master!J36+Master!L36+Master!M36+Master!R36+Master!S36+Master!T36+Master!AE36+Master!AF36+Master!AG36+Master!AH36+Master!AI36+Master!AK36+Master!AN36+Master!AO36+Master!AQ36+Master!AS36+Master!AU36+Master!BB36+Master!BC36 +Master!BD36+Master!BE36+Master!BF36+Master!BG36+Master!BH36+Master!BI36+Master!BJ36+Master!BK36+Master!BL36+Master!BM36 +Master!BN36+Master!BO36+Master!BP36+Master!BS36+Master!BT36+Master!BU36+Master!BV36+Master!BX36+Master!BZ36+Master!CB36+Master!CC36+Master!CD36+Master!CE36+Master!CF36+Master!CG36+Master!CH36+Master!CI36+Master!CJ36+Master!CK36+Master!CL36+Master!CM36+Master!CN36+Master!CO36+Master!CP36+Master!CQ36+Master!EB36+Master!EK36+Master!EL36  +Master!EO36+Master!EP36+Master!EY36+Master!EZ36+Master!FA36+Master!FG36+Master!FK36+Master!FM36+Master!FI36+Master!FO36+Master!DC36+Master!DN36+Master!FY36+Master!DS36+Master!DX36+Master!GF36</f>
        <v>5402</v>
      </c>
      <c r="D28" s="4847">
        <f>Master!K36+Master!O36+Master!P36+Master!Q36+Master!U36+Master!V36+Master!W36+Master!X36+Master!Y36+Master!AA36+Master!AB36+Master!AC36+Master!AD36+Master!AJ36+Master!AP36+Master!AV36+Master!AW36+Master!AX36+Master!AY36+Master!AZ36+Master!BA36+Master!BQ36+Master!BR36+Master!BY36+Master!EC36+Master!ED36+Master!EH36+Master!EI36+Master!EJ36+Master!EM36+Master!EQ36+Master!ER36+Master!ES36+Master!ET36+Master!EU36+Master!EV36+Master!EW36+Master!EX36+Master!CS36+Master!CV36+Master!CX36+Master!FP36+Master!CZ36+Master!DA36+Master!DB36+Master!DD36+Master!FR36+Master!FS36+Master!DE36+Master!DF36+Master!DH36+Master!FT36+Master!DI36+Master!DJ36+Master!FW36+Master!DK36+Master!DL36+Master!DM36+Master!DO36+Master!DQ36+Master!GA36+Master!DR36+Master!DT36+Master!DV36+Master!DW36+Master!GD36</f>
        <v>4216</v>
      </c>
      <c r="E28" s="5011">
        <f>Master!Z36+Master!AR36+Master!EA36+Master!EE36+Master!EN36+Master!FE36+Master!FF36+Master!FH36+Master!AT36+Master!CR36+Master!FL36+Master!CT36+Master!CU36+Master!FN36+Master!CW36+Master!FJ36+Master!FQ36+Master!FU36+Master!FZ36+Master!GE36</f>
        <v>1384</v>
      </c>
      <c r="F28" s="4973">
        <f>D28+E28</f>
        <v>5600</v>
      </c>
      <c r="G28" s="3090">
        <f>Master!FB36+Master!FC36+Master!FD36+Master!FX36</f>
        <v>1040</v>
      </c>
      <c r="H28" s="3090">
        <f>Master!CA36+Master!CY36+Master!DG36+Master!FV36+Master!DP36+Master!DU36+Master!GB36+Master!GC36</f>
        <v>0</v>
      </c>
      <c r="I28" s="3090">
        <f>Master!AL36+Master!AM36</f>
        <v>116</v>
      </c>
      <c r="J28" s="3090">
        <f>Master!BW36</f>
        <v>160</v>
      </c>
      <c r="K28" s="3091">
        <f>Master!DZ36</f>
        <v>909</v>
      </c>
      <c r="L28" s="5022">
        <f>C28+F28+G28+H28+I28+J28+K28</f>
        <v>13227</v>
      </c>
      <c r="M28" s="4986"/>
      <c r="N28" s="1147">
        <f>MAX(L23:L28)</f>
        <v>13227</v>
      </c>
      <c r="O28" s="1464">
        <f xml:space="preserve"> Master!Z36+Master!AC36+Master!AD36+Master!AE36+Master!AF36+Master!AG36+Master!AH36+Master!AI36+Master!AJ36</f>
        <v>296</v>
      </c>
      <c r="P28" s="4984"/>
      <c r="Q28" s="4993">
        <f t="shared" si="2"/>
        <v>296</v>
      </c>
      <c r="R28" s="91"/>
      <c r="S28" s="3126"/>
    </row>
    <row r="29" spans="1:131" ht="39.75" customHeight="1">
      <c r="A29" s="92"/>
      <c r="B29" s="5043">
        <v>0.91666666666666663</v>
      </c>
      <c r="C29" s="5016">
        <f>Master!N37+Master!B37+Master!C37+Master!D37+Master!E37+Master!F37+Master!G37+Master!H37 +Master!I37+Master!J37+Master!L37+Master!M37+Master!R37+Master!S37+Master!T37+Master!AE37+Master!AF37+Master!AG37+Master!AH37+Master!AI37+Master!AK37+Master!AN37+Master!AO37+Master!AQ37+Master!AS37+Master!AU37+Master!BB37+Master!BC37 +Master!BD37+Master!BE37+Master!BF37+Master!BG37+Master!BH37+Master!BI37+Master!BJ37+Master!BK37+Master!BL37+Master!BM37 +Master!BN37+Master!BO37+Master!BP37+Master!BS37+Master!BT37+Master!BU37+Master!BV37+Master!BX37+Master!BZ37+Master!CB37+Master!CC37+Master!CD37+Master!CE37+Master!CF37+Master!CG37+Master!CH37+Master!CI37+Master!CJ37+Master!CK37+Master!CL37+Master!CM37+Master!CN37+Master!CO37+Master!CP37+Master!CQ37+Master!EB37+Master!EK37+Master!EL37  +Master!EO37+Master!EP37+Master!EY37+Master!EZ37+Master!FA37+Master!FG37+Master!FK37+Master!FM37+Master!FI37+Master!FO37+Master!DC37+Master!DN37+Master!FY37+Master!DS37+Master!DX37+Master!GF37</f>
        <v>5489</v>
      </c>
      <c r="D29" s="5017">
        <f>Master!K37+Master!O37+Master!P37+Master!Q37+Master!U37+Master!V37+Master!W37+Master!X37+Master!Y37+Master!AA37+Master!AB37+Master!AC37+Master!AD37+Master!AJ37+Master!AP37+Master!AV37+Master!AW37+Master!AX37+Master!AY37+Master!AZ37+Master!BA37+Master!BQ37+Master!BR37+Master!BY37+Master!EC37+Master!ED37+Master!EH37+Master!EI37+Master!EJ37+Master!EM37+Master!EQ37+Master!ER37+Master!ES37+Master!ET37+Master!EU37+Master!EV37+Master!EW37+Master!EX37+Master!CS37+Master!CV37+Master!CX37+Master!FP37+Master!CZ37+Master!DA37+Master!DB37+Master!DD37+Master!FR37+Master!FS37+Master!DE37+Master!DF37+Master!DH37+Master!FT37+Master!DI37+Master!DJ37+Master!FW37+Master!DK37+Master!DL37+Master!DM37+Master!DO37+Master!DQ37+Master!GA37+Master!DR37+Master!DT37+Master!DV37+Master!DW37+Master!GD37</f>
        <v>4263</v>
      </c>
      <c r="E29" s="5017">
        <f>Master!Z37+Master!AR37+Master!EA37+Master!EE37+Master!EN37+Master!FE37+Master!FF37+Master!FH37+Master!AT37+Master!CR37+Master!FL37+Master!CT37+Master!CU37+Master!FN37+Master!CW37+Master!FJ37+Master!FQ37+Master!FU37+Master!FZ37+Master!GE37</f>
        <v>1236</v>
      </c>
      <c r="F29" s="5018">
        <f>D29+E29</f>
        <v>5499</v>
      </c>
      <c r="G29" s="5018">
        <f>Master!FB37+Master!FC37+Master!FD37+Master!FX37</f>
        <v>1040</v>
      </c>
      <c r="H29" s="5018">
        <f>Master!CA37+Master!CY37+Master!DG37+Master!FV37+Master!DP37+Master!DU37+Master!GB37+Master!GC37</f>
        <v>0</v>
      </c>
      <c r="I29" s="5018">
        <f>Master!AL37+Master!AM37</f>
        <v>116</v>
      </c>
      <c r="J29" s="5018">
        <f>Master!BW37</f>
        <v>170</v>
      </c>
      <c r="K29" s="5018">
        <f>Master!DZ37</f>
        <v>909</v>
      </c>
      <c r="L29" s="5018">
        <f>C29+F29+G29+H29+I29+J29+K29</f>
        <v>13223</v>
      </c>
      <c r="M29" s="4986"/>
      <c r="N29" s="1419"/>
      <c r="O29" s="1464">
        <f xml:space="preserve"> Master!Z37+Master!AC37+Master!AD37+Master!AE37+Master!AF37+Master!AG37+Master!AH37+Master!AI37+Master!AJ37</f>
        <v>283</v>
      </c>
      <c r="P29" s="4984"/>
      <c r="Q29" s="4993">
        <f t="shared" si="2"/>
        <v>283</v>
      </c>
      <c r="R29" s="91"/>
    </row>
    <row r="30" spans="1:131" ht="39.75" customHeight="1">
      <c r="A30" s="92"/>
      <c r="B30" s="5043">
        <v>0.95833333333333337</v>
      </c>
      <c r="C30" s="5016">
        <f>Master!N38+Master!B38+Master!C38+Master!D38+Master!E38+Master!F38+Master!G38+Master!H38 +Master!I38+Master!J38+Master!L38+Master!M38+Master!R38+Master!S38+Master!T38+Master!AE38+Master!AF38+Master!AG38+Master!AH38+Master!AI38+Master!AK38+Master!AN38+Master!AO38+Master!AQ38+Master!AS38+Master!AU38+Master!BB38+Master!BC38 +Master!BD38+Master!BE38+Master!BF38+Master!BG38+Master!BH38+Master!BI38+Master!BJ38+Master!BK38+Master!BL38+Master!BM38 +Master!BN38+Master!BO38+Master!BP38+Master!BS38+Master!BT38+Master!BU38+Master!BV38+Master!BX38+Master!BZ38+Master!CB38+Master!CC38+Master!CD38+Master!CE38+Master!CF38+Master!CG38+Master!CH38+Master!CI38+Master!CJ38+Master!CK38+Master!CL38+Master!CM38+Master!CN38+Master!CO38+Master!CP38+Master!CQ38+Master!EB38+Master!EK38+Master!EL38  +Master!EO38+Master!EP38+Master!EY38+Master!EZ38+Master!FA38+Master!FG38+Master!FK38+Master!FM38+Master!FI38+Master!FO38+Master!DC38+Master!DN38+Master!FY38+Master!DS38+Master!DX38+Master!GF38</f>
        <v>5500</v>
      </c>
      <c r="D30" s="5017">
        <f>Master!K38+Master!O38+Master!P38+Master!Q38+Master!U38+Master!V38+Master!W38+Master!X38+Master!Y38+Master!AA38+Master!AB38+Master!AC38+Master!AD38+Master!AJ38+Master!AP38+Master!AV38+Master!AW38+Master!AX38+Master!AY38+Master!AZ38+Master!BA38+Master!BQ38+Master!BR38+Master!BY38+Master!EC38+Master!ED38+Master!EH38+Master!EI38+Master!EJ38+Master!EM38+Master!EQ38+Master!ER38+Master!ES38+Master!ET38+Master!EU38+Master!EV38+Master!EW38+Master!EX38+Master!CS38+Master!CV38+Master!CX38+Master!FP38+Master!CZ38+Master!DA38+Master!DB38+Master!DD38+Master!FR38+Master!FS38+Master!DE38+Master!DF38+Master!DH38+Master!FT38+Master!DI38+Master!DJ38+Master!FW38+Master!DK38+Master!DL38+Master!DM38+Master!DO38+Master!DQ38+Master!GA38+Master!DR38+Master!DT38+Master!DV38+Master!DW38+Master!GD38</f>
        <v>3876</v>
      </c>
      <c r="E30" s="5017">
        <f>Master!Z38+Master!AR38+Master!EA38+Master!EE38+Master!EN38+Master!FE38+Master!FF38+Master!FH38+Master!AT38+Master!CR38+Master!FL38+Master!CT38+Master!CU38+Master!FN38+Master!CW38+Master!FJ38+Master!FQ38+Master!FU38+Master!FZ38+Master!GE38</f>
        <v>1391</v>
      </c>
      <c r="F30" s="5018">
        <f>D30+E30</f>
        <v>5267</v>
      </c>
      <c r="G30" s="5018">
        <f>Master!FB38+Master!FC38+Master!FD38+Master!FX38</f>
        <v>1040</v>
      </c>
      <c r="H30" s="5018">
        <f>Master!CA38+Master!CY38+Master!DG38+Master!FV38+Master!DP38+Master!DU38+Master!GB38+Master!GC38</f>
        <v>0</v>
      </c>
      <c r="I30" s="5018">
        <f>Master!AL38+Master!AM38</f>
        <v>116</v>
      </c>
      <c r="J30" s="5018">
        <f>Master!BW38</f>
        <v>162</v>
      </c>
      <c r="K30" s="5018">
        <f>Master!DZ38</f>
        <v>909</v>
      </c>
      <c r="L30" s="5018">
        <f>C30+F30+G30+H30+I30+J30+K30</f>
        <v>12994</v>
      </c>
      <c r="M30" s="4986"/>
      <c r="N30" s="881"/>
      <c r="O30" s="1464">
        <f xml:space="preserve"> Master!Z38+Master!AC38+Master!AD38+Master!AE38+Master!AF38+Master!AG38+Master!AH38+Master!AI38+Master!AJ38</f>
        <v>299</v>
      </c>
      <c r="P30" s="4984"/>
      <c r="Q30" s="4993">
        <f t="shared" si="2"/>
        <v>299</v>
      </c>
      <c r="R30" s="91"/>
      <c r="S30" s="91"/>
    </row>
    <row r="31" spans="1:131" ht="39.75" customHeight="1" thickBot="1">
      <c r="A31" s="92"/>
      <c r="B31" s="5044" t="s">
        <v>24</v>
      </c>
      <c r="C31" s="5016">
        <f>Master!N39+Master!B39+Master!C39+Master!D39+Master!E39+Master!F39+Master!G39+Master!H39 +Master!I39+Master!J39+Master!L39+Master!M39+Master!R39+Master!S39+Master!T39+Master!AE39+Master!AF39+Master!AG39+Master!AH39+Master!AI39+Master!AK39+Master!AN39+Master!AO39+Master!AQ39+Master!AS39+Master!AU39+Master!BB39+Master!BC39 +Master!BD39+Master!BE39+Master!BF39+Master!BG39+Master!BH39+Master!BI39+Master!BJ39+Master!BK39+Master!BL39+Master!BM39 +Master!BN39+Master!BO39+Master!BP39+Master!BS39+Master!BT39+Master!BU39+Master!BV39+Master!BX39+Master!BZ39+Master!CB39+Master!CC39+Master!CD39+Master!CE39+Master!CF39+Master!CG39+Master!CH39+Master!CI39+Master!CJ39+Master!CK39+Master!CL39+Master!CM39+Master!CN39+Master!CO39+Master!CP39+Master!CQ39+Master!EB39+Master!EK39+Master!EL39  +Master!EO39+Master!EP39+Master!EY39+Master!EZ39+Master!FA39+Master!FG39+Master!FK39+Master!FM39+Master!FI39+Master!FO39+Master!DC39+Master!DN39+Master!FY39+Master!DS39+Master!DX39+Master!GF39</f>
        <v>5496</v>
      </c>
      <c r="D31" s="5017">
        <f>Master!K39+Master!O39+Master!P39+Master!Q39+Master!U39+Master!V39+Master!W39+Master!X39+Master!Y39+Master!AA39+Master!AB39+Master!AC39+Master!AD39+Master!AJ39+Master!AP39+Master!AV39+Master!AW39+Master!AX39+Master!AY39+Master!AZ39+Master!BA39+Master!BQ39+Master!BR39+Master!BY39+Master!EC39+Master!ED39+Master!EH39+Master!EI39+Master!EJ39+Master!EM39+Master!EQ39+Master!ER39+Master!ES39+Master!ET39+Master!EU39+Master!EV39+Master!EW39+Master!EX39+Master!CS39+Master!CV39+Master!CX39+Master!FP39+Master!CZ39+Master!DA39+Master!DB39+Master!DD39+Master!FR39+Master!FS39+Master!DE39+Master!DF39+Master!DH39+Master!FT39+Master!DI39+Master!DJ39+Master!FW39+Master!DK39+Master!DL39+Master!DM39+Master!DO39+Master!DQ39+Master!GA39+Master!DR39+Master!DT39+Master!DV39+Master!DW39+Master!GD39</f>
        <v>3064</v>
      </c>
      <c r="E31" s="5017">
        <f>Master!Z39+Master!AR39+Master!EA39+Master!EE39+Master!EN39+Master!FE39+Master!FF39+Master!FH39+Master!AT39+Master!CR39+Master!FL39+Master!CT39+Master!CU39+Master!FN39+Master!CW39+Master!FJ39+Master!FQ39+Master!FU39+Master!FZ39+Master!GE39</f>
        <v>1372</v>
      </c>
      <c r="F31" s="5018">
        <f>D31+E31</f>
        <v>4436</v>
      </c>
      <c r="G31" s="5018">
        <f>Master!FB39+Master!FC39+Master!FD39+Master!FX39</f>
        <v>1040</v>
      </c>
      <c r="H31" s="5018">
        <f>Master!CA39+Master!CY39+Master!DG39+Master!FV39+Master!DP39+Master!DU39+Master!GB39+Master!GC39</f>
        <v>0</v>
      </c>
      <c r="I31" s="5018">
        <f>Master!AL39+Master!AM39</f>
        <v>116</v>
      </c>
      <c r="J31" s="5018">
        <f>Master!BW39</f>
        <v>162</v>
      </c>
      <c r="K31" s="5018">
        <f>Master!DZ39</f>
        <v>909</v>
      </c>
      <c r="L31" s="5018">
        <f>C31+F31+G31+H31+I31+J31+K31</f>
        <v>12159</v>
      </c>
      <c r="M31" s="4988"/>
      <c r="N31" s="881" t="s">
        <v>168</v>
      </c>
      <c r="O31" s="1464">
        <f xml:space="preserve"> Master!Z39+Master!AC39+Master!AD39+Master!AE39+Master!AF39+Master!AG39+Master!AH39+Master!AI39+Master!AJ39</f>
        <v>299</v>
      </c>
      <c r="P31" s="4984"/>
      <c r="Q31" s="4993">
        <f t="shared" si="2"/>
        <v>299</v>
      </c>
      <c r="R31" s="91"/>
      <c r="S31" s="5159" t="s">
        <v>1335</v>
      </c>
      <c r="T31" s="5160"/>
      <c r="U31" s="4890"/>
    </row>
    <row r="32" spans="1:131" s="133" customFormat="1" ht="39.75" customHeight="1" thickBot="1">
      <c r="B32" s="2525" t="s">
        <v>15</v>
      </c>
      <c r="C32" s="5025">
        <f>Master!N40+Master!B40+Master!C40+Master!D40+Master!E40+Master!F40+Master!G40+Master!H40 +Master!I40+Master!J40+Master!L40+Master!M40+Master!R40+Master!S40+Master!T40+Master!AE40+Master!AF40+Master!AG40+Master!AH40+Master!AI40+Master!AK40+Master!AN40+Master!AO40+Master!AQ40+Master!AS40+Master!AU40+Master!BB40+Master!BC40 +Master!BD40+Master!BE40+Master!BF40+Master!BG40+Master!BH40+Master!BI40+Master!BJ40+Master!BK40+Master!BL40+Master!BM40 +Master!BN40+Master!BO40+Master!BP40+Master!BS40+Master!BT40+Master!BU40+Master!BV40+Master!BX40+Master!BZ40+Master!CB40+Master!CC40+Master!CD40+Master!CE40+Master!CF40+Master!CG40+Master!CH40+Master!CI40+Master!CJ40+Master!CK40+Master!CL40+Master!CM40+Master!CN40+Master!CO40+Master!CP40+Master!CQ40+Master!EB40+Master!EK40+Master!EL40  +Master!EO40+Master!EP40+Master!EY40+Master!EZ40+Master!FA40+Master!FG40+Master!FK40+Master!FM40+Master!FI40+Master!FO40+Master!DC40+Master!DN40+Master!FY40+Master!DS40+Master!DX40+Master!GF40</f>
        <v>125596882</v>
      </c>
      <c r="D32" s="5015">
        <f>Master!K40+Master!O40+Master!P40+Master!Q40+Master!U40+Master!V40+Master!W40+Master!X40+Master!Y40+Master!AA40+Master!AB40+Master!AC40+Master!AD40+Master!AJ40+Master!AP40+Master!AV40+Master!AW40+Master!AX40+Master!AY40+Master!AZ40+Master!BA40+Master!BQ40+Master!BR40+Master!BY40+Master!EC40+Master!ED40+Master!EH40+Master!EI40+Master!EJ40+Master!EM40+Master!EQ40+Master!ER40+Master!ES40+Master!ET40+Master!EU40+Master!EV40+Master!EW40+Master!EX40+Master!CS40+Master!CV40+Master!CX40+Master!FP40+Master!CZ40+Master!DA40+Master!DB40+Master!DD40+Master!FR40+Master!FS40+Master!DE40+Master!DF40+Master!DH40+Master!FT40+Master!DI40+Master!DJ40+Master!FW40+Master!DK40+Master!DL40+Master!DM40+Master!DO40+Master!DQ40+Master!GA40+Master!DR40+Master!DT40+Master!DV40+Master!DW40+Master!GD40</f>
        <v>67950304</v>
      </c>
      <c r="E32" s="5015">
        <f>Master!Z40+Master!AR40+Master!EA40+Master!EE40+Master!EN40+Master!FE40+Master!FF40+Master!FH40+Master!AT40+Master!CR40+Master!FL40+Master!CT40+Master!CU40+Master!FN40+Master!CW40+Master!FJ40+Master!FQ40+Master!FU40+Master!FZ40+Master!GE40</f>
        <v>16406928</v>
      </c>
      <c r="F32" s="5026">
        <f t="shared" si="8"/>
        <v>84357232</v>
      </c>
      <c r="G32" s="3024">
        <f>Master!FB40+Master!FC40+Master!FD40+Master!FX40</f>
        <v>27822500</v>
      </c>
      <c r="H32" s="3024">
        <f>Master!CA40+Master!CY40+Master!DG40+Master!FV40+Master!DP40+Master!DU40+Master!GB40+Master!GC40</f>
        <v>1561246</v>
      </c>
      <c r="I32" s="3024">
        <f>Master!AL40+Master!AM40</f>
        <v>2796567</v>
      </c>
      <c r="J32" s="3024">
        <f>Master!BW40</f>
        <v>3880320</v>
      </c>
      <c r="K32" s="3024">
        <f>Master!DZ40</f>
        <v>22024727</v>
      </c>
      <c r="L32" s="5035">
        <f>C32+F32+G32+H32+I32+J32+K32</f>
        <v>268039474</v>
      </c>
      <c r="M32" s="4989"/>
      <c r="N32" s="882"/>
      <c r="P32" s="91"/>
      <c r="Q32" s="91" t="s">
        <v>153</v>
      </c>
      <c r="R32" s="91"/>
      <c r="S32" s="5161">
        <f>L32</f>
        <v>268039474</v>
      </c>
      <c r="T32" s="5162">
        <f>AVERAGE(L6:L31)</f>
        <v>8123.4230769230771</v>
      </c>
      <c r="U32" s="4889"/>
    </row>
    <row r="33" spans="1:28" s="133" customFormat="1" ht="39.75" customHeight="1">
      <c r="B33" s="1068"/>
      <c r="C33" s="3148"/>
      <c r="D33" s="881"/>
      <c r="E33" s="3149"/>
      <c r="F33" s="881"/>
      <c r="G33" s="881"/>
      <c r="H33" s="881"/>
      <c r="I33" s="881"/>
      <c r="J33" s="881"/>
      <c r="K33" s="882"/>
      <c r="L33" s="3150"/>
      <c r="M33" s="3151"/>
      <c r="N33" s="882"/>
      <c r="P33" s="91"/>
      <c r="Q33" s="91"/>
      <c r="R33" s="91"/>
      <c r="S33" s="5156">
        <f>YesterdayFWise!L32</f>
        <v>268039474</v>
      </c>
      <c r="T33" s="5157">
        <f>AVERAGE(YesterdayFWise!L6:L31)</f>
        <v>10673.807692307691</v>
      </c>
    </row>
    <row r="34" spans="1:28" s="133" customFormat="1" ht="39.75" customHeight="1">
      <c r="B34" s="1068"/>
      <c r="C34" s="3148"/>
      <c r="D34" s="881"/>
      <c r="E34" s="3149"/>
      <c r="F34" s="881"/>
      <c r="G34" s="881"/>
      <c r="H34" s="881"/>
      <c r="I34" s="881"/>
      <c r="J34" s="881"/>
      <c r="K34" s="882"/>
      <c r="L34" s="3150"/>
      <c r="M34" s="3151"/>
      <c r="N34" s="882"/>
      <c r="P34" s="91"/>
      <c r="Q34" s="91"/>
      <c r="R34" s="91"/>
      <c r="S34" s="5158">
        <f>Generation!AC197</f>
        <v>268039474</v>
      </c>
      <c r="T34" s="3456"/>
      <c r="U34" s="4889"/>
    </row>
    <row r="35" spans="1:28" ht="27.75" customHeight="1">
      <c r="B35" s="5045"/>
      <c r="P35" s="91"/>
      <c r="Q35" s="91"/>
      <c r="R35" s="91"/>
      <c r="S35" s="4887"/>
      <c r="T35" s="4888"/>
    </row>
    <row r="36" spans="1:28" ht="28.5">
      <c r="B36" s="5046" t="s">
        <v>879</v>
      </c>
      <c r="C36" s="3548">
        <v>42617</v>
      </c>
      <c r="D36" s="3549">
        <v>12892</v>
      </c>
      <c r="E36" s="3550">
        <v>0.875</v>
      </c>
      <c r="K36" s="1300" t="s">
        <v>18</v>
      </c>
      <c r="L36" s="1611"/>
      <c r="P36" s="91"/>
      <c r="Q36" s="91"/>
      <c r="R36" s="91"/>
      <c r="S36" s="91"/>
    </row>
    <row r="37" spans="1:28" s="1667" customFormat="1" ht="31.5">
      <c r="B37" s="5047" t="s">
        <v>1220</v>
      </c>
      <c r="C37" s="3553" t="s">
        <v>1796</v>
      </c>
      <c r="D37" s="3173">
        <v>13792</v>
      </c>
      <c r="E37" s="3172">
        <v>0.83333333333333337</v>
      </c>
      <c r="N37" s="1668"/>
      <c r="O37" s="1669"/>
      <c r="S37" s="1670"/>
    </row>
    <row r="38" spans="1:28" ht="27.75" customHeight="1">
      <c r="B38" s="5047" t="s">
        <v>1220</v>
      </c>
      <c r="C38" s="3547">
        <v>43284</v>
      </c>
      <c r="D38" s="3545">
        <v>14001</v>
      </c>
      <c r="E38" s="3546">
        <v>0.875</v>
      </c>
      <c r="F38" s="1301"/>
      <c r="H38" s="1668"/>
      <c r="I38" s="1668"/>
      <c r="J38" s="1668"/>
    </row>
    <row r="39" spans="1:28" ht="31.5">
      <c r="A39" s="2644"/>
      <c r="B39" s="5048" t="s">
        <v>1220</v>
      </c>
      <c r="C39" s="3547">
        <v>43284</v>
      </c>
      <c r="D39" s="3545">
        <v>14008</v>
      </c>
      <c r="E39" s="3546">
        <v>0.91666666666666663</v>
      </c>
      <c r="H39" s="1668"/>
      <c r="I39" s="3044"/>
      <c r="J39" s="1668"/>
      <c r="N39" s="2967"/>
      <c r="O39" s="2968"/>
      <c r="P39" s="2969"/>
      <c r="S39" s="3148"/>
      <c r="T39" s="3152"/>
      <c r="U39" s="3152"/>
      <c r="V39" s="2505"/>
      <c r="W39" s="2505"/>
      <c r="X39" s="3153"/>
      <c r="Y39" s="2505"/>
      <c r="Z39" s="2505"/>
      <c r="AA39" s="2505"/>
      <c r="AB39" s="3153"/>
    </row>
    <row r="40" spans="1:28" ht="31.5">
      <c r="B40" s="5048" t="s">
        <v>1220</v>
      </c>
      <c r="C40" s="3547">
        <v>43437</v>
      </c>
      <c r="D40" s="3545">
        <v>14423</v>
      </c>
      <c r="E40" s="3546">
        <v>0.875</v>
      </c>
      <c r="H40" s="1668"/>
      <c r="I40" s="1668"/>
      <c r="J40" s="1668"/>
      <c r="N40" s="2970"/>
      <c r="O40" s="2968"/>
      <c r="P40" s="2971"/>
      <c r="S40" s="3148"/>
      <c r="T40" s="3152"/>
      <c r="U40" s="3152"/>
      <c r="V40" s="2505"/>
      <c r="W40" s="2505"/>
      <c r="X40" s="3153"/>
      <c r="Y40" s="2505"/>
      <c r="Z40" s="2505"/>
      <c r="AA40" s="2505"/>
      <c r="AB40" s="3153"/>
    </row>
    <row r="41" spans="1:28" ht="31.5">
      <c r="B41" s="5048" t="s">
        <v>1220</v>
      </c>
      <c r="C41" s="5052" t="s">
        <v>1795</v>
      </c>
      <c r="D41" s="5053">
        <v>14782</v>
      </c>
      <c r="E41" s="5054">
        <v>0.875</v>
      </c>
      <c r="I41" s="2977"/>
      <c r="S41" s="3148"/>
      <c r="T41" s="3152"/>
      <c r="U41" s="3152"/>
      <c r="V41" s="2505"/>
      <c r="W41" s="2505"/>
      <c r="X41" s="3153"/>
      <c r="Y41" s="2505"/>
      <c r="Z41" s="2505"/>
      <c r="AA41" s="2505"/>
      <c r="AB41" s="3153"/>
    </row>
    <row r="42" spans="1:28" ht="31.5">
      <c r="B42" s="5049" t="s">
        <v>1220</v>
      </c>
      <c r="C42" s="3547"/>
      <c r="D42" s="3545"/>
      <c r="E42" s="3546"/>
      <c r="S42" s="3148"/>
      <c r="T42" s="3152"/>
      <c r="U42" s="3152"/>
      <c r="V42" s="2505"/>
      <c r="W42" s="2505"/>
      <c r="X42" s="3153"/>
      <c r="Y42" s="2505"/>
      <c r="Z42" s="2505"/>
      <c r="AA42" s="2505"/>
      <c r="AB42" s="3153"/>
    </row>
    <row r="43" spans="1:28" ht="27.75">
      <c r="L43" s="96"/>
      <c r="S43" s="3148"/>
      <c r="T43" s="3152"/>
      <c r="U43" s="3152"/>
      <c r="V43" s="2505"/>
      <c r="W43" s="2505"/>
      <c r="X43" s="3153"/>
      <c r="Y43" s="2505"/>
      <c r="Z43" s="2505"/>
      <c r="AA43" s="2505"/>
      <c r="AB43" s="3153"/>
    </row>
    <row r="44" spans="1:28" ht="27.75">
      <c r="A44" s="135"/>
      <c r="S44" s="3148"/>
      <c r="T44" s="3152"/>
      <c r="U44" s="3152"/>
      <c r="V44" s="2505"/>
      <c r="W44" s="2505"/>
      <c r="X44" s="3153"/>
      <c r="Y44" s="2505"/>
      <c r="Z44" s="2505"/>
      <c r="AA44" s="2505"/>
      <c r="AB44" s="3153"/>
    </row>
    <row r="45" spans="1:28" ht="27.75">
      <c r="S45" s="3148"/>
      <c r="T45" s="3152"/>
      <c r="U45" s="3152"/>
      <c r="V45" s="2505"/>
      <c r="W45" s="2505"/>
      <c r="X45" s="3153"/>
      <c r="Y45" s="2505"/>
      <c r="Z45" s="2505"/>
      <c r="AA45" s="2505"/>
      <c r="AB45" s="3153"/>
    </row>
    <row r="46" spans="1:28" ht="27.75">
      <c r="S46" s="3148"/>
      <c r="T46" s="3152"/>
      <c r="U46" s="3152"/>
      <c r="V46" s="2505"/>
      <c r="W46" s="2505"/>
      <c r="X46" s="3153"/>
      <c r="Y46" s="2505"/>
      <c r="Z46" s="2505"/>
      <c r="AA46" s="2505"/>
      <c r="AB46" s="3153"/>
    </row>
    <row r="47" spans="1:28" ht="27.75">
      <c r="S47" s="3148"/>
      <c r="T47" s="3152"/>
      <c r="U47" s="3152"/>
      <c r="V47" s="2505"/>
      <c r="W47" s="2505"/>
      <c r="X47" s="3153"/>
      <c r="Y47" s="2505"/>
      <c r="Z47" s="2505"/>
      <c r="AA47" s="2505"/>
      <c r="AB47" s="3153"/>
    </row>
    <row r="48" spans="1:28" ht="27.75">
      <c r="S48" s="3148"/>
      <c r="T48" s="3152"/>
      <c r="U48" s="3152"/>
      <c r="V48" s="2505"/>
      <c r="W48" s="2505"/>
      <c r="X48" s="3153"/>
      <c r="Y48" s="2505"/>
      <c r="Z48" s="2505"/>
      <c r="AA48" s="2505"/>
      <c r="AB48" s="3153"/>
    </row>
    <row r="49" spans="6:28" ht="27.75">
      <c r="S49" s="3148"/>
      <c r="T49" s="3152"/>
      <c r="U49" s="3152"/>
      <c r="V49" s="2505"/>
      <c r="W49" s="2505"/>
      <c r="X49" s="3153"/>
      <c r="Y49" s="2505"/>
      <c r="Z49" s="2505"/>
      <c r="AA49" s="2505"/>
      <c r="AB49" s="3153"/>
    </row>
    <row r="50" spans="6:28" ht="27.75">
      <c r="S50" s="3148"/>
      <c r="T50" s="3152"/>
      <c r="U50" s="3152"/>
      <c r="V50" s="2505"/>
      <c r="W50" s="2505"/>
      <c r="X50" s="3153"/>
      <c r="Y50" s="2505"/>
      <c r="Z50" s="2505"/>
      <c r="AA50" s="2505"/>
      <c r="AB50" s="3153"/>
    </row>
    <row r="51" spans="6:28" ht="27.75">
      <c r="S51" s="3148"/>
      <c r="T51" s="3152"/>
      <c r="U51" s="3152"/>
      <c r="V51" s="2505"/>
      <c r="W51" s="2505"/>
      <c r="X51" s="3153"/>
      <c r="Y51" s="2505"/>
      <c r="Z51" s="2505"/>
      <c r="AA51" s="2505"/>
      <c r="AB51" s="3153"/>
    </row>
    <row r="52" spans="6:28" ht="27.75">
      <c r="F52" s="2593"/>
      <c r="S52" s="3148"/>
      <c r="T52" s="3152"/>
      <c r="U52" s="3152"/>
      <c r="V52" s="2505"/>
      <c r="W52" s="2505"/>
      <c r="X52" s="3153"/>
      <c r="Y52" s="2505"/>
      <c r="Z52" s="2505"/>
      <c r="AA52" s="2505"/>
      <c r="AB52" s="3153"/>
    </row>
    <row r="53" spans="6:28" ht="27.75">
      <c r="S53" s="3148"/>
      <c r="T53" s="3152"/>
      <c r="U53" s="3152"/>
      <c r="V53" s="2505"/>
      <c r="W53" s="2505"/>
      <c r="X53" s="3153"/>
      <c r="Y53" s="2505"/>
      <c r="Z53" s="2505"/>
      <c r="AA53" s="2505"/>
      <c r="AB53" s="3153"/>
    </row>
    <row r="54" spans="6:28" ht="27.75">
      <c r="S54" s="3148"/>
      <c r="T54" s="3152"/>
      <c r="U54" s="3152"/>
      <c r="V54" s="2505"/>
      <c r="W54" s="2505"/>
      <c r="X54" s="3153"/>
      <c r="Y54" s="2505"/>
      <c r="Z54" s="2505"/>
      <c r="AA54" s="2505"/>
      <c r="AB54" s="3154"/>
    </row>
    <row r="55" spans="6:28" ht="27.75">
      <c r="S55" s="3148"/>
      <c r="T55" s="3152"/>
      <c r="U55" s="3152"/>
      <c r="V55" s="2505"/>
      <c r="W55" s="2505"/>
      <c r="X55" s="3153"/>
      <c r="Y55" s="2505"/>
      <c r="Z55" s="2505"/>
      <c r="AA55" s="2505"/>
      <c r="AB55" s="3153"/>
    </row>
    <row r="56" spans="6:28" ht="27.75">
      <c r="S56" s="3148"/>
      <c r="T56" s="3152"/>
      <c r="U56" s="3152"/>
      <c r="V56" s="2505"/>
      <c r="W56" s="2505"/>
      <c r="X56" s="3153"/>
      <c r="Y56" s="2505"/>
      <c r="Z56" s="2505"/>
      <c r="AA56" s="2505"/>
      <c r="AB56" s="3153"/>
    </row>
    <row r="57" spans="6:28" ht="27.75">
      <c r="S57" s="3148"/>
      <c r="T57" s="3152"/>
      <c r="U57" s="3152"/>
      <c r="V57" s="2505"/>
      <c r="W57" s="2505"/>
      <c r="X57" s="3153"/>
      <c r="Y57" s="2505"/>
      <c r="Z57" s="2505"/>
      <c r="AA57" s="2505"/>
      <c r="AB57" s="3153"/>
    </row>
    <row r="58" spans="6:28" ht="27.75">
      <c r="S58" s="3148"/>
      <c r="T58" s="3152"/>
      <c r="U58" s="3152"/>
      <c r="V58" s="2505"/>
      <c r="W58" s="2505"/>
      <c r="X58" s="3153"/>
      <c r="Y58" s="2505"/>
      <c r="Z58" s="2505"/>
      <c r="AA58" s="2505"/>
      <c r="AB58" s="3153"/>
    </row>
    <row r="59" spans="6:28" ht="27.75">
      <c r="S59" s="3148"/>
      <c r="T59" s="3152"/>
      <c r="U59" s="3152"/>
      <c r="V59" s="2505"/>
      <c r="W59" s="2505"/>
      <c r="X59" s="3153"/>
      <c r="Y59" s="2505"/>
      <c r="Z59" s="2505"/>
      <c r="AA59" s="2505"/>
      <c r="AB59" s="3153"/>
    </row>
    <row r="60" spans="6:28" ht="27.75">
      <c r="S60" s="2505"/>
      <c r="T60" s="3152"/>
      <c r="U60" s="3152"/>
      <c r="V60" s="2505"/>
      <c r="W60" s="2505"/>
      <c r="X60" s="3153"/>
      <c r="Y60" s="2505"/>
      <c r="Z60" s="2505"/>
      <c r="AA60" s="2505"/>
      <c r="AB60" s="3153"/>
    </row>
    <row r="61" spans="6:28" ht="27.75">
      <c r="S61" s="3152"/>
      <c r="T61" s="3152"/>
      <c r="U61" s="3152"/>
      <c r="V61" s="2505"/>
      <c r="W61" s="2505"/>
      <c r="X61" s="3153"/>
      <c r="Y61" s="2505"/>
      <c r="Z61" s="2505"/>
      <c r="AA61" s="2505"/>
      <c r="AB61" s="3153"/>
    </row>
    <row r="62" spans="6:28" ht="27.75">
      <c r="S62" s="3148"/>
      <c r="T62" s="3152"/>
      <c r="U62" s="3152"/>
      <c r="V62" s="2505"/>
      <c r="W62" s="2505"/>
      <c r="X62" s="3153"/>
      <c r="Y62" s="2505"/>
      <c r="Z62" s="2505"/>
      <c r="AA62" s="2505"/>
      <c r="AB62" s="3153"/>
    </row>
    <row r="63" spans="6:28" ht="27.75">
      <c r="S63" s="3148"/>
      <c r="T63" s="3152"/>
      <c r="U63" s="3152"/>
      <c r="V63" s="2505"/>
      <c r="W63" s="2505"/>
      <c r="X63" s="3153"/>
      <c r="Y63" s="2505"/>
      <c r="Z63" s="2505"/>
      <c r="AA63" s="2505"/>
      <c r="AB63" s="3153"/>
    </row>
    <row r="64" spans="6:28" ht="27.75">
      <c r="S64" s="3148"/>
      <c r="T64" s="881"/>
      <c r="U64" s="3155"/>
      <c r="V64" s="881"/>
      <c r="W64" s="881"/>
      <c r="X64" s="881"/>
      <c r="Y64" s="881"/>
      <c r="Z64" s="881"/>
      <c r="AA64" s="881"/>
      <c r="AB64" s="965"/>
    </row>
    <row r="75" spans="1:1">
      <c r="A75" s="1293"/>
    </row>
    <row r="76" spans="1:1">
      <c r="A76" s="1293"/>
    </row>
    <row r="77" spans="1:1">
      <c r="A77" s="1293" t="s">
        <v>1831</v>
      </c>
    </row>
    <row r="78" spans="1:1">
      <c r="A78" s="1293" t="s">
        <v>1832</v>
      </c>
    </row>
    <row r="79" spans="1:1">
      <c r="A79" s="1293"/>
    </row>
    <row r="80" spans="1:1">
      <c r="A80" s="1293"/>
    </row>
    <row r="81" spans="1:10">
      <c r="A81" s="1293"/>
    </row>
    <row r="82" spans="1:10" ht="92.25">
      <c r="A82" s="1293"/>
      <c r="F82" s="3230"/>
      <c r="G82" s="3230"/>
      <c r="H82" s="3230"/>
    </row>
    <row r="83" spans="1:10">
      <c r="A83" s="1293"/>
    </row>
    <row r="96" spans="1:10">
      <c r="A96" s="168"/>
      <c r="B96" s="5051"/>
      <c r="C96" s="1302"/>
      <c r="D96" s="1302"/>
      <c r="E96" s="1302"/>
      <c r="F96" s="1302"/>
      <c r="G96" s="1302"/>
      <c r="H96" s="1302"/>
      <c r="I96" s="1302"/>
      <c r="J96" s="1302"/>
    </row>
    <row r="97" spans="1:10">
      <c r="A97" s="168"/>
      <c r="B97" s="5051"/>
      <c r="C97" s="1302"/>
      <c r="D97" s="1302"/>
      <c r="E97" s="1302"/>
      <c r="F97" s="1302"/>
      <c r="G97" s="1302"/>
      <c r="H97" s="1302"/>
      <c r="I97" s="1302"/>
      <c r="J97" s="1302"/>
    </row>
    <row r="98" spans="1:10">
      <c r="A98" s="168"/>
      <c r="B98" s="5051"/>
      <c r="C98" s="1302"/>
      <c r="D98" s="1302"/>
      <c r="E98" s="1302"/>
      <c r="F98" s="1302"/>
      <c r="G98" s="1302"/>
      <c r="H98" s="1302"/>
      <c r="I98" s="1302"/>
      <c r="J98" s="1302"/>
    </row>
    <row r="99" spans="1:10">
      <c r="A99" s="169"/>
      <c r="B99" s="5051"/>
      <c r="C99" s="1302"/>
      <c r="D99" s="1302"/>
      <c r="E99" s="1302"/>
      <c r="F99" s="1302"/>
      <c r="G99" s="1302"/>
      <c r="H99" s="1302"/>
      <c r="I99" s="1302"/>
      <c r="J99" s="1302"/>
    </row>
    <row r="100" spans="1:10">
      <c r="A100" s="170"/>
      <c r="B100" s="5051"/>
      <c r="C100" s="1302"/>
      <c r="D100" s="1302"/>
      <c r="E100" s="1302"/>
      <c r="F100" s="1302"/>
      <c r="G100" s="1302"/>
      <c r="H100" s="1302"/>
      <c r="I100" s="1302"/>
      <c r="J100" s="1302"/>
    </row>
    <row r="101" spans="1:10">
      <c r="A101" s="171"/>
      <c r="B101" s="5051"/>
      <c r="C101" s="1302"/>
      <c r="D101" s="1302"/>
      <c r="E101" s="1302"/>
      <c r="F101" s="1302"/>
      <c r="G101" s="1302"/>
      <c r="H101" s="1302"/>
      <c r="I101" s="1302"/>
      <c r="J101" s="1302"/>
    </row>
    <row r="102" spans="1:10">
      <c r="A102" s="168"/>
      <c r="B102" s="5051" t="s">
        <v>813</v>
      </c>
      <c r="C102" s="1302"/>
      <c r="D102" s="1302"/>
      <c r="E102" s="1302"/>
      <c r="F102" s="1302"/>
      <c r="G102" s="1302"/>
      <c r="H102" s="1302"/>
      <c r="I102" s="1302"/>
      <c r="J102" s="1302"/>
    </row>
    <row r="103" spans="1:10">
      <c r="A103" s="168"/>
      <c r="B103" s="5051"/>
      <c r="C103" s="1302"/>
      <c r="D103" s="1302"/>
      <c r="E103" s="1302"/>
      <c r="F103" s="1302"/>
      <c r="G103" s="1302"/>
      <c r="H103" s="1302"/>
      <c r="I103" s="1302"/>
      <c r="J103" s="1302"/>
    </row>
    <row r="104" spans="1:10">
      <c r="A104" s="168"/>
      <c r="B104" s="5051"/>
      <c r="C104" s="1302"/>
      <c r="D104" s="1302"/>
      <c r="E104" s="1302"/>
      <c r="F104" s="1302"/>
      <c r="G104" s="1302"/>
      <c r="H104" s="1302"/>
      <c r="I104" s="1302"/>
      <c r="J104" s="1302"/>
    </row>
    <row r="105" spans="1:10">
      <c r="A105" s="168"/>
      <c r="B105" s="5051"/>
      <c r="C105" s="1302"/>
      <c r="D105" s="1302"/>
      <c r="E105" s="1302"/>
      <c r="F105" s="1302"/>
      <c r="G105" s="1302"/>
      <c r="H105" s="1302"/>
      <c r="I105" s="1302"/>
      <c r="J105" s="1302"/>
    </row>
    <row r="106" spans="1:10">
      <c r="A106" s="168"/>
      <c r="B106" s="5051"/>
      <c r="C106" s="1302"/>
      <c r="D106" s="1302"/>
      <c r="E106" s="1302"/>
      <c r="F106" s="1302"/>
      <c r="G106" s="1302"/>
      <c r="H106" s="1302"/>
      <c r="I106" s="1302"/>
      <c r="J106" s="1302"/>
    </row>
    <row r="107" spans="1:10">
      <c r="A107" s="168"/>
      <c r="B107" s="5051"/>
      <c r="C107" s="1302"/>
      <c r="D107" s="1302"/>
      <c r="E107" s="1302"/>
      <c r="F107" s="1302"/>
      <c r="G107" s="1302"/>
      <c r="H107" s="1302"/>
      <c r="I107" s="1302"/>
      <c r="J107" s="1302"/>
    </row>
    <row r="108" spans="1:10">
      <c r="A108" s="168"/>
      <c r="B108" s="5051"/>
      <c r="C108" s="1302"/>
      <c r="D108" s="1302"/>
      <c r="E108" s="1302"/>
      <c r="F108" s="1302"/>
      <c r="G108" s="1302"/>
      <c r="H108" s="1302"/>
      <c r="I108" s="1302"/>
      <c r="J108" s="1302"/>
    </row>
    <row r="109" spans="1:10">
      <c r="A109" s="168"/>
      <c r="B109" s="5051"/>
      <c r="C109" s="1302"/>
      <c r="D109" s="1302"/>
      <c r="E109" s="1302"/>
      <c r="F109" s="1302"/>
      <c r="G109" s="1302"/>
      <c r="H109" s="1302"/>
      <c r="I109" s="1302"/>
      <c r="J109" s="1302"/>
    </row>
    <row r="110" spans="1:10">
      <c r="A110" s="168"/>
      <c r="B110" s="5051"/>
      <c r="C110" s="1302"/>
      <c r="D110" s="1302"/>
      <c r="E110" s="1302"/>
      <c r="F110" s="1302"/>
      <c r="G110" s="1302"/>
      <c r="H110" s="1302"/>
      <c r="I110" s="1302"/>
      <c r="J110" s="1302"/>
    </row>
    <row r="111" spans="1:10">
      <c r="A111" s="168"/>
      <c r="B111" s="5051"/>
      <c r="C111" s="1302"/>
      <c r="D111" s="1302"/>
      <c r="E111" s="1302"/>
      <c r="F111" s="1302"/>
      <c r="G111" s="1302"/>
      <c r="H111" s="1302"/>
      <c r="I111" s="1302"/>
      <c r="J111" s="1302"/>
    </row>
    <row r="112" spans="1:10">
      <c r="A112" s="168"/>
      <c r="B112" s="5051"/>
      <c r="C112" s="1302"/>
      <c r="D112" s="1302"/>
      <c r="E112" s="1302"/>
      <c r="F112" s="1302"/>
      <c r="G112" s="1302"/>
      <c r="H112" s="1302"/>
      <c r="I112" s="1302"/>
      <c r="J112" s="1302"/>
    </row>
    <row r="113" spans="1:10">
      <c r="A113" s="168"/>
      <c r="B113" s="5051"/>
      <c r="C113" s="1302"/>
      <c r="D113" s="1302"/>
      <c r="E113" s="1302"/>
      <c r="F113" s="1302"/>
      <c r="G113" s="1302"/>
      <c r="H113" s="1302"/>
      <c r="I113" s="1302"/>
      <c r="J113" s="1302"/>
    </row>
    <row r="114" spans="1:10">
      <c r="A114" s="168"/>
      <c r="B114" s="5051"/>
      <c r="C114" s="1302"/>
      <c r="D114" s="1302"/>
      <c r="E114" s="1302"/>
      <c r="F114" s="1302"/>
      <c r="G114" s="1302"/>
      <c r="H114" s="1302"/>
      <c r="I114" s="1302"/>
      <c r="J114" s="1302"/>
    </row>
    <row r="115" spans="1:10">
      <c r="A115" s="168"/>
      <c r="B115" s="5051"/>
      <c r="C115" s="1302"/>
      <c r="D115" s="1302"/>
      <c r="E115" s="1302"/>
      <c r="F115" s="1302"/>
      <c r="G115" s="1302"/>
      <c r="H115" s="1302"/>
      <c r="I115" s="1302"/>
      <c r="J115" s="1302"/>
    </row>
    <row r="116" spans="1:10">
      <c r="A116" s="168"/>
      <c r="B116" s="5051"/>
      <c r="C116" s="1302"/>
      <c r="D116" s="1302"/>
      <c r="E116" s="1302"/>
      <c r="F116" s="1302"/>
      <c r="G116" s="1302"/>
      <c r="H116" s="1302"/>
      <c r="I116" s="1302"/>
      <c r="J116" s="1302"/>
    </row>
    <row r="117" spans="1:10">
      <c r="A117" s="168"/>
      <c r="B117" s="5051"/>
      <c r="C117" s="1302"/>
      <c r="D117" s="1302"/>
      <c r="E117" s="1302"/>
      <c r="F117" s="1302"/>
      <c r="G117" s="1302"/>
      <c r="H117" s="1302"/>
      <c r="I117" s="1302"/>
      <c r="J117" s="1302"/>
    </row>
    <row r="118" spans="1:10">
      <c r="A118" s="168"/>
      <c r="B118" s="5051"/>
      <c r="C118" s="1302"/>
      <c r="D118" s="1302"/>
      <c r="E118" s="1302"/>
      <c r="F118" s="1302"/>
      <c r="G118" s="1302"/>
      <c r="H118" s="1302"/>
      <c r="I118" s="1302"/>
      <c r="J118" s="1302"/>
    </row>
    <row r="119" spans="1:10">
      <c r="A119" s="168"/>
      <c r="B119" s="5051"/>
      <c r="C119" s="1302"/>
      <c r="D119" s="1302"/>
      <c r="E119" s="1302"/>
      <c r="F119" s="1302"/>
      <c r="G119" s="1302"/>
      <c r="H119" s="1302"/>
      <c r="I119" s="1302"/>
      <c r="J119" s="1302"/>
    </row>
    <row r="120" spans="1:10">
      <c r="A120" s="168"/>
      <c r="B120" s="5051"/>
      <c r="C120" s="1302"/>
      <c r="D120" s="1302"/>
      <c r="E120" s="1302"/>
      <c r="F120" s="1302"/>
      <c r="G120" s="1302"/>
      <c r="H120" s="1302"/>
      <c r="I120" s="1302"/>
      <c r="J120" s="1302"/>
    </row>
    <row r="121" spans="1:10">
      <c r="A121" s="168"/>
      <c r="B121" s="5051"/>
      <c r="C121" s="1302"/>
      <c r="D121" s="1302"/>
      <c r="E121" s="1302"/>
      <c r="F121" s="1302"/>
      <c r="G121" s="1302"/>
      <c r="H121" s="1302"/>
      <c r="I121" s="1302"/>
      <c r="J121" s="1302"/>
    </row>
    <row r="122" spans="1:10">
      <c r="A122" s="168"/>
      <c r="B122" s="5051"/>
      <c r="C122" s="1302"/>
      <c r="D122" s="1302"/>
      <c r="E122" s="1302"/>
      <c r="F122" s="1302"/>
      <c r="G122" s="1302"/>
      <c r="H122" s="1302"/>
      <c r="I122" s="1302"/>
      <c r="J122" s="1302"/>
    </row>
    <row r="123" spans="1:10">
      <c r="A123" s="168"/>
      <c r="B123" s="5051"/>
      <c r="C123" s="1302"/>
      <c r="D123" s="1302"/>
      <c r="E123" s="1302"/>
      <c r="F123" s="1302"/>
      <c r="G123" s="1302"/>
      <c r="H123" s="1302"/>
      <c r="I123" s="1302"/>
      <c r="J123" s="1302"/>
    </row>
    <row r="124" spans="1:10">
      <c r="A124" s="168"/>
      <c r="B124" s="5051"/>
      <c r="C124" s="1302"/>
      <c r="D124" s="1302"/>
      <c r="E124" s="1302"/>
      <c r="F124" s="1302"/>
      <c r="G124" s="1302"/>
      <c r="H124" s="1302"/>
      <c r="I124" s="1302"/>
      <c r="J124" s="1302"/>
    </row>
    <row r="128" spans="1:10" ht="46.5">
      <c r="E128" s="3287" t="s">
        <v>1563</v>
      </c>
    </row>
    <row r="129" spans="5:5" ht="46.5">
      <c r="E129" s="3287" t="s">
        <v>1570</v>
      </c>
    </row>
    <row r="130" spans="5:5" ht="46.5">
      <c r="E130" s="3286" t="s">
        <v>1569</v>
      </c>
    </row>
    <row r="131" spans="5:5" ht="46.5">
      <c r="E131" s="3286" t="s">
        <v>1564</v>
      </c>
    </row>
    <row r="132" spans="5:5" ht="46.5">
      <c r="E132" s="3286" t="s">
        <v>1565</v>
      </c>
    </row>
    <row r="133" spans="5:5" ht="46.5">
      <c r="E133" s="3286" t="s">
        <v>1566</v>
      </c>
    </row>
    <row r="134" spans="5:5" ht="46.5">
      <c r="E134" s="3286" t="s">
        <v>1567</v>
      </c>
    </row>
    <row r="135" spans="5:5" ht="46.5">
      <c r="E135" s="3286" t="s">
        <v>1568</v>
      </c>
    </row>
  </sheetData>
  <customSheetViews>
    <customSheetView guid="{751D391F-C74F-4B53-B5B5-25E01AC12EA4}" scale="70" showPageBreaks="1" printArea="1" hiddenRows="1" topLeftCell="B1">
      <selection activeCell="N14" sqref="N14"/>
      <pageMargins left="0.17" right="0.17" top="1" bottom="0.75" header="0.3" footer="0.3"/>
      <printOptions horizontalCentered="1"/>
      <pageSetup paperSize="9" scale="45" orientation="portrait" horizontalDpi="4294967295" verticalDpi="4294967295" r:id="rId1"/>
    </customSheetView>
    <customSheetView guid="{5A803268-F6C5-4035-B3E1-A94CB9AA8994}" scale="70" showPageBreaks="1" printArea="1" hiddenRows="1" topLeftCell="A4">
      <pane ySplit="2" topLeftCell="A9" activePane="bottomLeft" state="frozen"/>
      <selection pane="bottomLeft" activeCell="L18" sqref="L18"/>
      <pageMargins left="0.75" right="6.6666666666666697E-3" top="1" bottom="0.75" header="0.3" footer="0.3"/>
      <printOptions horizontalCentered="1"/>
      <pageSetup paperSize="9" scale="63" orientation="portrait" r:id="rId2"/>
    </customSheetView>
    <customSheetView guid="{917057C8-5E5F-4164-B84C-85103677A2E5}" scale="70">
      <pane xSplit="2" ySplit="3" topLeftCell="C6" activePane="bottomRight" state="frozen"/>
      <selection pane="bottomRight" activeCell="O6" sqref="O6:R31"/>
      <pageMargins left="0.25" right="0.23" top="1" bottom="0.75" header="0.3" footer="0.3"/>
      <printOptions horizontalCentered="1"/>
      <pageSetup paperSize="9" scale="46" orientation="portrait" r:id="rId3"/>
    </customSheetView>
    <customSheetView guid="{4593F3EE-0998-4E0E-994A-E02D6BAF3A4B}" scale="70" showPageBreaks="1" printArea="1" hiddenRows="1">
      <pane xSplit="1" ySplit="4" topLeftCell="B5" activePane="bottomRight" state="frozen"/>
      <selection pane="bottomRight" activeCell="L28" sqref="L28"/>
      <pageMargins left="0.25" right="0.23" top="1" bottom="0.75" header="0.3" footer="0.3"/>
      <printOptions horizontalCentered="1"/>
      <pageSetup paperSize="9" scale="47" orientation="portrait" r:id="rId4"/>
    </customSheetView>
    <customSheetView guid="{23F4DC00-BC97-4745-AA5C-F05D469CB1EF}" scale="70" showPageBreaks="1" printArea="1" hiddenRows="1">
      <pane xSplit="1" ySplit="3" topLeftCell="B4" activePane="bottomRight" state="frozen"/>
      <selection pane="bottomRight" activeCell="F17" sqref="F17"/>
      <pageMargins left="0.75" right="6.6666666666666697E-3" top="1" bottom="0.75" header="0.3" footer="0.3"/>
      <printOptions horizontalCentered="1"/>
      <pageSetup paperSize="9" scale="50" orientation="portrait" r:id="rId5"/>
    </customSheetView>
    <customSheetView guid="{B91C2E87-5EDA-40AE-AC27-0E2C17E803CE}" scale="69" showPageBreaks="1" printArea="1" hiddenRows="1" topLeftCell="A7">
      <selection activeCell="L17" sqref="L17"/>
      <pageMargins left="0.25" right="0.23" top="1" bottom="0.75" header="0.3" footer="0.3"/>
      <printOptions horizontalCentered="1"/>
      <pageSetup paperSize="9" scale="47" orientation="portrait" r:id="rId6"/>
    </customSheetView>
    <customSheetView guid="{7C71EF2A-5ADA-494C-8F58-DDA71753DD90}" scale="70" showPageBreaks="1" printArea="1" hiddenRows="1">
      <pane xSplit="2" ySplit="5" topLeftCell="C6" activePane="bottomRight" state="frozen"/>
      <selection pane="bottomRight" activeCell="O6" sqref="O6:R31"/>
      <pageMargins left="0.17" right="0.17" top="1" bottom="0.75" header="0.3" footer="0.3"/>
      <printOptions horizontalCentered="1"/>
      <pageSetup paperSize="9" scale="41" orientation="portrait" horizontalDpi="4294967295" verticalDpi="4294967295" r:id="rId7"/>
    </customSheetView>
    <customSheetView guid="{4DB6C640-CE65-4513-9E5A-F6CDD1F4B8AF}" scale="110" showPageBreaks="1" topLeftCell="D7">
      <selection activeCell="A89" sqref="A89:XFD89"/>
      <pageMargins left="0.17" right="0.17" top="1" bottom="0.75" header="0.3" footer="0.3"/>
      <printOptions horizontalCentered="1"/>
      <pageSetup paperSize="9" scale="45" orientation="portrait" horizontalDpi="4294967295" verticalDpi="4294967295" r:id="rId8"/>
    </customSheetView>
    <customSheetView guid="{D1D1E152-95AB-45D3-AC07-4EC0834D3E0C}" scale="60" showPageBreaks="1" printArea="1" hiddenRows="1">
      <pane xSplit="2" ySplit="5" topLeftCell="C6" activePane="bottomRight" state="frozen"/>
      <selection pane="bottomRight" activeCell="A14" sqref="A14"/>
      <pageMargins left="0.17" right="0.17" top="1" bottom="0.75" header="0.3" footer="0.3"/>
      <printOptions horizontalCentered="1"/>
      <pageSetup paperSize="9" scale="40" orientation="portrait" r:id="rId9"/>
    </customSheetView>
    <customSheetView guid="{C3348F62-02F2-4500-9BF2-19F2DEA57A8D}" scale="70" showPageBreaks="1" fitToPage="1" printArea="1" hiddenRows="1" hiddenColumns="1" topLeftCell="B1">
      <selection activeCell="L6" sqref="L6:L11"/>
      <pageMargins left="0.17" right="0.17" top="1" bottom="0.75" header="0.3" footer="0.3"/>
      <printOptions horizontalCentered="1"/>
      <pageSetup paperSize="9" scale="40" orientation="portrait" r:id="rId10"/>
    </customSheetView>
  </customSheetViews>
  <mergeCells count="3">
    <mergeCell ref="B4:B5"/>
    <mergeCell ref="C2:E2"/>
    <mergeCell ref="M4:M5"/>
  </mergeCells>
  <printOptions horizontalCentered="1"/>
  <pageMargins left="0.17" right="0.17" top="1" bottom="0.75" header="0.3" footer="0.3"/>
  <pageSetup paperSize="9" scale="40" orientation="portrait"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:GD29"/>
  <sheetViews>
    <sheetView topLeftCell="E1" zoomScaleNormal="93" workbookViewId="0">
      <pane ySplit="1" topLeftCell="A2" activePane="bottomLeft" state="frozen"/>
      <selection activeCell="E1" sqref="E1"/>
      <selection pane="bottomLeft" activeCell="F27" sqref="F27"/>
    </sheetView>
  </sheetViews>
  <sheetFormatPr defaultColWidth="21.42578125" defaultRowHeight="15"/>
  <sheetData>
    <row r="1" spans="1:186" ht="25.5" customHeight="1" thickBot="1">
      <c r="A1" s="2293">
        <v>42590</v>
      </c>
      <c r="B1" s="2296"/>
      <c r="C1" s="2294" t="s">
        <v>1137</v>
      </c>
      <c r="D1" s="2296"/>
      <c r="E1" s="2296"/>
      <c r="F1" s="2296"/>
      <c r="G1" s="2296"/>
      <c r="H1" s="2296"/>
      <c r="I1" s="2296"/>
      <c r="J1" s="2297"/>
      <c r="K1" s="2298"/>
      <c r="L1" s="2298"/>
      <c r="M1" s="2298"/>
      <c r="N1" s="2298"/>
      <c r="O1" s="2298"/>
      <c r="P1" s="2298"/>
      <c r="Q1" s="2298"/>
      <c r="R1" s="2298"/>
      <c r="S1" s="2298"/>
      <c r="T1" s="2298"/>
      <c r="U1" s="2298"/>
      <c r="V1" s="2299"/>
      <c r="W1" s="2300"/>
      <c r="X1" s="2301"/>
      <c r="Y1" s="2302"/>
      <c r="Z1" s="2302"/>
      <c r="AA1" s="2303"/>
      <c r="AB1" s="2304"/>
      <c r="AC1" s="2304"/>
      <c r="AD1" s="2300"/>
      <c r="AE1" s="2300"/>
      <c r="AF1" s="2301"/>
      <c r="AG1" s="2301"/>
      <c r="AH1" s="2301"/>
      <c r="AI1" s="2301"/>
      <c r="AJ1" s="2301"/>
      <c r="AK1" s="2301"/>
      <c r="AL1" s="2301"/>
      <c r="AM1" s="2301"/>
      <c r="AN1" s="2301"/>
      <c r="AO1" s="2304"/>
      <c r="AP1" s="2304"/>
      <c r="AQ1" s="2304"/>
      <c r="AR1" s="2304"/>
      <c r="AS1" s="2304"/>
      <c r="AT1" s="2304"/>
      <c r="AU1" s="2304"/>
      <c r="AV1" s="2304"/>
      <c r="AW1" s="2304"/>
      <c r="AX1" s="2304"/>
      <c r="AY1" s="2304"/>
      <c r="AZ1" s="2300"/>
      <c r="BA1" s="2300"/>
      <c r="BB1" s="2300"/>
      <c r="BC1" s="2300"/>
      <c r="BD1" s="2300"/>
      <c r="BE1" s="2300"/>
      <c r="BF1" s="2300"/>
      <c r="BG1" s="2300"/>
      <c r="BH1" s="2300"/>
      <c r="BI1" s="2300"/>
      <c r="BJ1" s="2300"/>
      <c r="BK1" s="2300"/>
      <c r="BL1" s="2300"/>
      <c r="BM1" s="2300"/>
      <c r="BN1" s="2300"/>
      <c r="BO1" s="2300"/>
      <c r="BP1" s="2301"/>
      <c r="BQ1" s="2305"/>
      <c r="BR1" s="2305"/>
      <c r="BS1" s="2305"/>
      <c r="BT1" s="2305"/>
      <c r="BU1" s="2305"/>
      <c r="BV1" s="2306"/>
      <c r="BW1" s="2306"/>
      <c r="BX1" s="2306"/>
      <c r="BY1" s="2304"/>
      <c r="BZ1" s="2304"/>
      <c r="CA1" s="2304"/>
      <c r="CB1" s="2304"/>
      <c r="CC1" s="2304"/>
      <c r="CD1" s="2304"/>
      <c r="CE1" s="2304"/>
      <c r="CF1" s="2304"/>
      <c r="CG1" s="2304"/>
      <c r="CH1" s="2304"/>
      <c r="CI1" s="2304"/>
      <c r="CJ1" s="2304"/>
      <c r="CK1" s="2304"/>
      <c r="CL1" s="2304"/>
      <c r="CM1" s="2304"/>
      <c r="CN1" s="2304"/>
      <c r="CO1" s="2304"/>
      <c r="CP1" s="2304"/>
      <c r="CQ1" s="2304"/>
      <c r="CR1" s="2304"/>
      <c r="CS1" s="2304"/>
      <c r="CT1" s="2304"/>
      <c r="CU1" s="2304"/>
      <c r="CV1" s="2304"/>
      <c r="CW1" s="2304"/>
      <c r="CX1" s="2304"/>
      <c r="CY1" s="2304"/>
      <c r="CZ1" s="2304"/>
      <c r="DA1" s="2304"/>
      <c r="DB1" s="2304"/>
      <c r="DC1" s="2304"/>
      <c r="DD1" s="2304"/>
      <c r="DE1" s="2304"/>
      <c r="DF1" s="2304"/>
      <c r="DG1" s="2304"/>
      <c r="DH1" s="2304"/>
      <c r="DI1" s="2304"/>
      <c r="DJ1" s="2304"/>
      <c r="DK1" s="2304"/>
      <c r="DL1" s="2304"/>
      <c r="DM1" s="2304"/>
      <c r="DN1" s="2304"/>
      <c r="DO1" s="2304"/>
      <c r="DP1" s="2304"/>
      <c r="DQ1" s="2307"/>
      <c r="DR1" s="2307"/>
      <c r="DS1" s="2300"/>
      <c r="DT1" s="2301"/>
      <c r="DU1" s="2301"/>
      <c r="DV1" s="2301"/>
      <c r="DW1" s="2301"/>
      <c r="DX1" s="2301"/>
      <c r="DY1" s="2308"/>
      <c r="DZ1" s="2308"/>
      <c r="EA1" s="2304"/>
      <c r="EB1" s="2304"/>
      <c r="EC1" s="2304"/>
      <c r="ED1" s="2304"/>
      <c r="EE1" s="2304"/>
      <c r="EF1" s="2304"/>
      <c r="EG1" s="2304"/>
      <c r="EH1" s="2304"/>
      <c r="EI1" s="2304"/>
      <c r="EJ1" s="2304"/>
      <c r="EK1" s="2304"/>
      <c r="EL1" s="2304"/>
      <c r="EM1" s="2304"/>
      <c r="EN1" s="2304"/>
      <c r="EO1" s="2304"/>
      <c r="EP1" s="2304"/>
      <c r="EQ1" s="2304"/>
      <c r="ER1" s="2304"/>
      <c r="ES1" s="2304"/>
      <c r="ET1" s="2304"/>
      <c r="EU1" s="2304"/>
      <c r="EV1" s="2309"/>
      <c r="EW1" s="2309"/>
      <c r="EX1" s="2309"/>
      <c r="EY1" s="2304"/>
      <c r="EZ1" s="2304"/>
      <c r="FA1" s="2304"/>
      <c r="FB1" s="2304"/>
      <c r="FC1" s="2304"/>
      <c r="FD1" s="2304"/>
      <c r="FE1" s="2304"/>
      <c r="FF1" s="2304"/>
      <c r="FG1" s="2304"/>
      <c r="FH1" s="2304"/>
      <c r="FI1" s="2304"/>
      <c r="FJ1" s="2304"/>
      <c r="FK1" s="2304"/>
      <c r="FL1" s="2304"/>
      <c r="FM1" s="2304"/>
      <c r="FN1" s="2310"/>
      <c r="FO1" s="2310"/>
      <c r="FP1" s="2311"/>
      <c r="FQ1" s="2311"/>
      <c r="FR1" s="2311"/>
      <c r="FS1" s="2311"/>
      <c r="FT1" s="2311"/>
      <c r="FU1" s="2311"/>
      <c r="FV1" s="2311"/>
      <c r="FW1" s="2311"/>
      <c r="FX1" s="2311"/>
      <c r="FY1" s="2311"/>
      <c r="FZ1" s="2311"/>
      <c r="GA1" s="2311"/>
      <c r="GB1" s="2312"/>
    </row>
    <row r="2" spans="1:186" s="2271" customFormat="1" ht="32.25" customHeight="1" thickBot="1">
      <c r="A2" s="2288" t="s">
        <v>0</v>
      </c>
      <c r="B2" s="1723" t="s">
        <v>910</v>
      </c>
      <c r="C2" s="2295" t="s">
        <v>911</v>
      </c>
      <c r="D2" s="1723" t="s">
        <v>912</v>
      </c>
      <c r="E2" s="1723" t="s">
        <v>913</v>
      </c>
      <c r="F2" s="1723" t="s">
        <v>914</v>
      </c>
      <c r="G2" s="1723" t="s">
        <v>969</v>
      </c>
      <c r="H2" s="1723" t="s">
        <v>915</v>
      </c>
      <c r="I2" s="1723" t="s">
        <v>916</v>
      </c>
      <c r="J2" s="1723" t="s">
        <v>1140</v>
      </c>
      <c r="K2" s="1723" t="s">
        <v>918</v>
      </c>
      <c r="L2" s="1723" t="s">
        <v>920</v>
      </c>
      <c r="M2" s="1723" t="s">
        <v>919</v>
      </c>
      <c r="N2" s="1723" t="s">
        <v>975</v>
      </c>
      <c r="O2" s="1723" t="s">
        <v>963</v>
      </c>
      <c r="P2" s="1723" t="s">
        <v>937</v>
      </c>
      <c r="Q2" s="1723" t="s">
        <v>897</v>
      </c>
      <c r="R2" s="1723" t="s">
        <v>898</v>
      </c>
      <c r="S2" s="1723" t="s">
        <v>896</v>
      </c>
      <c r="T2" s="1723" t="s">
        <v>964</v>
      </c>
      <c r="U2" s="1723" t="s">
        <v>931</v>
      </c>
      <c r="V2" s="1723" t="s">
        <v>884</v>
      </c>
      <c r="W2" s="1723" t="s">
        <v>885</v>
      </c>
      <c r="X2" s="1723" t="s">
        <v>886</v>
      </c>
      <c r="Y2" s="1723" t="s">
        <v>887</v>
      </c>
      <c r="Z2" s="1723" t="s">
        <v>888</v>
      </c>
      <c r="AA2" s="1723" t="s">
        <v>1139</v>
      </c>
      <c r="AB2" s="1723" t="s">
        <v>925</v>
      </c>
      <c r="AC2" s="1723" t="s">
        <v>926</v>
      </c>
      <c r="AD2" s="1723" t="s">
        <v>927</v>
      </c>
      <c r="AE2" s="1723"/>
      <c r="AF2" s="1723" t="s">
        <v>933</v>
      </c>
      <c r="AG2" s="1723" t="s">
        <v>930</v>
      </c>
      <c r="AH2" s="1723" t="s">
        <v>929</v>
      </c>
      <c r="AI2" s="1723" t="s">
        <v>928</v>
      </c>
      <c r="AJ2" s="1723" t="s">
        <v>934</v>
      </c>
      <c r="AK2" s="1723" t="s">
        <v>932</v>
      </c>
      <c r="AL2" s="1723" t="s">
        <v>1020</v>
      </c>
      <c r="AM2" s="1723" t="s">
        <v>1019</v>
      </c>
      <c r="AN2" s="1723" t="s">
        <v>156</v>
      </c>
      <c r="AO2" s="1723" t="s">
        <v>892</v>
      </c>
      <c r="AP2" s="1723" t="s">
        <v>891</v>
      </c>
      <c r="AQ2" s="1723" t="s">
        <v>944</v>
      </c>
      <c r="AR2" s="1723" t="s">
        <v>1138</v>
      </c>
      <c r="AS2" s="1723" t="s">
        <v>947</v>
      </c>
      <c r="AT2" s="1723" t="s">
        <v>948</v>
      </c>
      <c r="AU2" s="1723" t="s">
        <v>952</v>
      </c>
      <c r="AV2" s="1723" t="s">
        <v>953</v>
      </c>
      <c r="AW2" s="1723" t="s">
        <v>954</v>
      </c>
      <c r="AX2" s="1723" t="s">
        <v>955</v>
      </c>
      <c r="AY2" s="1723" t="s">
        <v>956</v>
      </c>
      <c r="AZ2" s="1723" t="s">
        <v>957</v>
      </c>
      <c r="BA2" s="1723" t="s">
        <v>958</v>
      </c>
      <c r="BB2" s="1723" t="s">
        <v>959</v>
      </c>
      <c r="BC2" s="1723" t="s">
        <v>962</v>
      </c>
      <c r="BD2" s="1723" t="s">
        <v>949</v>
      </c>
      <c r="BE2" s="1723" t="s">
        <v>961</v>
      </c>
      <c r="BF2" s="1723" t="s">
        <v>960</v>
      </c>
      <c r="BG2" s="1723" t="s">
        <v>906</v>
      </c>
      <c r="BH2" s="1723" t="s">
        <v>1025</v>
      </c>
      <c r="BI2" s="1723" t="s">
        <v>924</v>
      </c>
      <c r="BJ2" s="1723" t="s">
        <v>907</v>
      </c>
      <c r="BK2" s="1723" t="s">
        <v>945</v>
      </c>
      <c r="BL2" s="2289" t="s">
        <v>943</v>
      </c>
      <c r="BM2" s="1723" t="s">
        <v>160</v>
      </c>
      <c r="BN2" s="1723" t="s">
        <v>939</v>
      </c>
      <c r="BO2" s="1723" t="s">
        <v>940</v>
      </c>
      <c r="BP2" s="1723" t="s">
        <v>941</v>
      </c>
      <c r="BQ2" s="1723" t="s">
        <v>942</v>
      </c>
      <c r="BR2" s="1723" t="s">
        <v>259</v>
      </c>
      <c r="BS2" s="1723" t="s">
        <v>260</v>
      </c>
      <c r="BT2" s="1723" t="s">
        <v>1022</v>
      </c>
      <c r="BU2" s="1723" t="s">
        <v>1023</v>
      </c>
      <c r="BV2" s="1723" t="s">
        <v>889</v>
      </c>
      <c r="BW2" s="1723" t="s">
        <v>1105</v>
      </c>
      <c r="BX2" s="1723" t="s">
        <v>1110</v>
      </c>
      <c r="BY2" s="1723" t="s">
        <v>877</v>
      </c>
      <c r="BZ2" s="1723" t="s">
        <v>899</v>
      </c>
      <c r="CA2" s="1723" t="s">
        <v>908</v>
      </c>
      <c r="CB2" s="1723" t="s">
        <v>900</v>
      </c>
      <c r="CC2" s="1723" t="s">
        <v>1026</v>
      </c>
      <c r="CD2" s="1723" t="s">
        <v>938</v>
      </c>
      <c r="CE2" s="1723" t="s">
        <v>974</v>
      </c>
      <c r="CF2" s="1723" t="s">
        <v>976</v>
      </c>
      <c r="CG2" s="1723" t="s">
        <v>1067</v>
      </c>
      <c r="CH2" s="1723" t="s">
        <v>1075</v>
      </c>
      <c r="CI2" s="1723"/>
      <c r="CJ2" s="1723" t="s">
        <v>894</v>
      </c>
      <c r="CK2" s="1723" t="s">
        <v>158</v>
      </c>
      <c r="CL2" s="1723" t="s">
        <v>684</v>
      </c>
      <c r="CM2" s="1723" t="s">
        <v>904</v>
      </c>
      <c r="CN2" s="1723" t="s">
        <v>116</v>
      </c>
      <c r="CO2" s="1723" t="s">
        <v>893</v>
      </c>
      <c r="CP2" s="1723" t="s">
        <v>890</v>
      </c>
      <c r="CQ2" s="1723" t="s">
        <v>935</v>
      </c>
      <c r="CR2" s="1723" t="s">
        <v>921</v>
      </c>
      <c r="CS2" s="1723" t="s">
        <v>950</v>
      </c>
      <c r="CT2" s="1723" t="s">
        <v>936</v>
      </c>
      <c r="CU2" s="1723" t="s">
        <v>905</v>
      </c>
      <c r="CV2" s="1723" t="s">
        <v>923</v>
      </c>
      <c r="CW2" s="1723" t="s">
        <v>922</v>
      </c>
      <c r="CX2" s="1723" t="s">
        <v>903</v>
      </c>
      <c r="CY2" s="1723" t="s">
        <v>901</v>
      </c>
      <c r="CZ2" s="1723" t="s">
        <v>895</v>
      </c>
      <c r="DA2" s="1723" t="s">
        <v>902</v>
      </c>
      <c r="DB2" s="1723" t="s">
        <v>951</v>
      </c>
      <c r="DC2" s="1723" t="s">
        <v>946</v>
      </c>
      <c r="DD2" s="1723" t="s">
        <v>1018</v>
      </c>
      <c r="DE2" s="1723" t="s">
        <v>965</v>
      </c>
      <c r="DF2" s="1723" t="s">
        <v>966</v>
      </c>
      <c r="DG2" s="1723" t="s">
        <v>1027</v>
      </c>
      <c r="DH2" s="1723" t="s">
        <v>967</v>
      </c>
      <c r="DI2" s="1723" t="s">
        <v>968</v>
      </c>
      <c r="DJ2" s="1723" t="s">
        <v>970</v>
      </c>
      <c r="DK2" s="1723" t="s">
        <v>971</v>
      </c>
      <c r="DL2" s="1723" t="s">
        <v>972</v>
      </c>
      <c r="DM2" s="1723" t="s">
        <v>1083</v>
      </c>
      <c r="DN2" s="1723" t="s">
        <v>973</v>
      </c>
      <c r="DO2" s="1723" t="s">
        <v>977</v>
      </c>
      <c r="DP2" s="2729"/>
      <c r="DQ2" s="2290" t="s">
        <v>740</v>
      </c>
      <c r="DR2" s="1723"/>
      <c r="DS2" s="1723" t="s">
        <v>264</v>
      </c>
      <c r="DT2" s="1723" t="s">
        <v>978</v>
      </c>
      <c r="DU2" s="1723" t="s">
        <v>979</v>
      </c>
      <c r="DV2" s="1723"/>
      <c r="DW2" s="1723" t="s">
        <v>856</v>
      </c>
      <c r="DX2" s="1723" t="s">
        <v>981</v>
      </c>
      <c r="DY2" s="1723" t="s">
        <v>980</v>
      </c>
      <c r="DZ2" s="1723" t="s">
        <v>1013</v>
      </c>
      <c r="EA2" s="1723"/>
      <c r="EB2" s="1723"/>
      <c r="EC2" s="1723"/>
      <c r="ED2" s="1723"/>
      <c r="EE2" s="1723" t="s">
        <v>985</v>
      </c>
      <c r="EF2" s="1723" t="s">
        <v>986</v>
      </c>
      <c r="EG2" s="1723" t="s">
        <v>1009</v>
      </c>
      <c r="EH2" s="1723" t="s">
        <v>983</v>
      </c>
      <c r="EI2" s="1723" t="s">
        <v>987</v>
      </c>
      <c r="EJ2" s="1723" t="s">
        <v>1010</v>
      </c>
      <c r="EK2" s="1723" t="s">
        <v>984</v>
      </c>
      <c r="EL2" s="1723" t="s">
        <v>982</v>
      </c>
      <c r="EM2" s="1723" t="s">
        <v>1028</v>
      </c>
      <c r="EN2" s="1723" t="s">
        <v>1015</v>
      </c>
      <c r="EO2" s="2289" t="s">
        <v>835</v>
      </c>
      <c r="EP2" s="1723" t="s">
        <v>1113</v>
      </c>
      <c r="EQ2" s="1723" t="s">
        <v>1117</v>
      </c>
      <c r="ER2" s="1723"/>
      <c r="ES2" s="1723" t="s">
        <v>1000</v>
      </c>
      <c r="ET2" s="1723" t="s">
        <v>1001</v>
      </c>
      <c r="EU2" s="1723" t="s">
        <v>1002</v>
      </c>
      <c r="EV2" s="1723" t="s">
        <v>989</v>
      </c>
      <c r="EW2" s="1723" t="s">
        <v>988</v>
      </c>
      <c r="EX2" s="1723" t="s">
        <v>990</v>
      </c>
      <c r="EY2" s="1723"/>
      <c r="EZ2" s="1723" t="s">
        <v>1005</v>
      </c>
      <c r="FA2" s="1723" t="s">
        <v>1006</v>
      </c>
      <c r="FB2" s="1723" t="s">
        <v>1007</v>
      </c>
      <c r="FC2" s="1723" t="s">
        <v>1008</v>
      </c>
      <c r="FD2" s="1723" t="s">
        <v>1011</v>
      </c>
      <c r="FE2" s="1723" t="s">
        <v>1012</v>
      </c>
      <c r="FF2" s="1723" t="s">
        <v>1036</v>
      </c>
      <c r="FG2" s="1723" t="s">
        <v>1033</v>
      </c>
      <c r="FH2" s="1723" t="s">
        <v>991</v>
      </c>
      <c r="FI2" s="1723" t="s">
        <v>997</v>
      </c>
      <c r="FJ2" s="1723" t="s">
        <v>998</v>
      </c>
      <c r="FK2" s="1723" t="s">
        <v>999</v>
      </c>
      <c r="FL2" s="1723" t="s">
        <v>1029</v>
      </c>
      <c r="FM2" s="1723" t="s">
        <v>993</v>
      </c>
      <c r="FN2" s="1723" t="s">
        <v>994</v>
      </c>
      <c r="FO2" s="1723" t="s">
        <v>996</v>
      </c>
      <c r="FP2" s="1723" t="s">
        <v>995</v>
      </c>
      <c r="FQ2" s="1723" t="s">
        <v>992</v>
      </c>
      <c r="FR2" s="1723" t="s">
        <v>1014</v>
      </c>
      <c r="FS2" s="1723" t="s">
        <v>1088</v>
      </c>
      <c r="FT2" s="1723" t="s">
        <v>1085</v>
      </c>
      <c r="FU2" s="1723" t="s">
        <v>1003</v>
      </c>
      <c r="FV2" s="1723" t="s">
        <v>1004</v>
      </c>
      <c r="FW2" s="1723" t="s">
        <v>1016</v>
      </c>
      <c r="FX2" s="1723" t="s">
        <v>1039</v>
      </c>
      <c r="FY2" s="1723"/>
      <c r="FZ2" s="1723"/>
      <c r="GA2" s="2291" t="s">
        <v>739</v>
      </c>
      <c r="GB2" s="2292" t="s">
        <v>7</v>
      </c>
      <c r="GC2" s="2271" t="s">
        <v>773</v>
      </c>
      <c r="GD2" s="2271" t="s">
        <v>667</v>
      </c>
    </row>
    <row r="3" spans="1:186" ht="23.25">
      <c r="A3" s="1133">
        <v>4.1666666666666664E-2</v>
      </c>
      <c r="B3" s="2203"/>
      <c r="C3" s="2313"/>
      <c r="D3" s="2313"/>
      <c r="E3" s="2313"/>
      <c r="F3" s="2204"/>
      <c r="G3" s="2205"/>
      <c r="H3" s="2206"/>
      <c r="I3" s="2204"/>
      <c r="J3" s="2313"/>
      <c r="K3" s="2313"/>
      <c r="L3" s="2313"/>
      <c r="M3" s="2313"/>
      <c r="N3" s="2313"/>
      <c r="O3" s="2313"/>
      <c r="P3" s="2313"/>
      <c r="Q3" s="2313"/>
      <c r="R3" s="2313"/>
      <c r="S3" s="2313"/>
      <c r="T3" s="2313"/>
      <c r="U3" s="2313"/>
      <c r="V3" s="2313"/>
      <c r="W3" s="2313"/>
      <c r="X3" s="2313"/>
      <c r="Y3" s="2313"/>
      <c r="Z3" s="2313"/>
      <c r="AA3" s="2313"/>
      <c r="AB3" s="2317"/>
      <c r="AC3" s="2313"/>
      <c r="AD3" s="2313"/>
      <c r="AE3" s="2313"/>
      <c r="AF3" s="2313"/>
      <c r="AG3" s="2313"/>
      <c r="AH3" s="2313"/>
      <c r="AI3" s="2313"/>
      <c r="AJ3" s="2313"/>
      <c r="AK3" s="2313"/>
      <c r="AL3" s="2313"/>
      <c r="AM3" s="2313"/>
      <c r="AN3" s="2313"/>
      <c r="AO3" s="2313"/>
      <c r="AP3" s="2313"/>
      <c r="AQ3" s="2313"/>
      <c r="AR3" s="2313"/>
      <c r="AS3" s="2313"/>
      <c r="AT3" s="2313"/>
      <c r="AU3" s="2313"/>
      <c r="AV3" s="2313"/>
      <c r="AW3" s="2313"/>
      <c r="AX3" s="2313"/>
      <c r="AY3" s="2313"/>
      <c r="AZ3" s="2313"/>
      <c r="BA3" s="2313"/>
      <c r="BB3" s="2313"/>
      <c r="BC3" s="2313"/>
      <c r="BD3" s="2313"/>
      <c r="BE3" s="2313"/>
      <c r="BF3" s="2313"/>
      <c r="BG3" s="2313"/>
      <c r="BH3" s="2313"/>
      <c r="BI3" s="2313"/>
      <c r="BJ3" s="2313"/>
      <c r="BK3" s="2313"/>
      <c r="BL3" s="2321"/>
      <c r="BM3" s="2313"/>
      <c r="BN3" s="2313"/>
      <c r="BO3" s="2313"/>
      <c r="BP3" s="2313"/>
      <c r="BQ3" s="2313"/>
      <c r="BR3" s="2313"/>
      <c r="BS3" s="2313"/>
      <c r="BT3" s="2313"/>
      <c r="BU3" s="2313"/>
      <c r="BV3" s="2313"/>
      <c r="BW3" s="2313"/>
      <c r="BX3" s="2313"/>
      <c r="BY3" s="2349"/>
      <c r="BZ3" s="2317"/>
      <c r="CA3" s="2313"/>
      <c r="CB3" s="2317"/>
      <c r="CC3" s="2317"/>
      <c r="CD3" s="2317"/>
      <c r="CE3" s="2317"/>
      <c r="CF3" s="2350"/>
      <c r="CG3" s="2317"/>
      <c r="CH3" s="2317"/>
      <c r="CI3" s="2317"/>
      <c r="CJ3" s="2317"/>
      <c r="CK3" s="2317"/>
      <c r="CL3" s="2317"/>
      <c r="CM3" s="2317"/>
      <c r="CN3" s="2317"/>
      <c r="CO3" s="2317"/>
      <c r="CP3" s="2317"/>
      <c r="CQ3" s="2317"/>
      <c r="CR3" s="2317"/>
      <c r="CS3" s="2317"/>
      <c r="CT3" s="2317"/>
      <c r="CU3" s="2317"/>
      <c r="CV3" s="2317"/>
      <c r="CW3" s="2317"/>
      <c r="CX3" s="2317"/>
      <c r="CY3" s="2317"/>
      <c r="CZ3" s="2317"/>
      <c r="DA3" s="2317"/>
      <c r="DB3" s="2317"/>
      <c r="DC3" s="2349"/>
      <c r="DD3" s="2349"/>
      <c r="DE3" s="2317"/>
      <c r="DF3" s="2349"/>
      <c r="DG3" s="2349"/>
      <c r="DH3" s="2349"/>
      <c r="DI3" s="2349"/>
      <c r="DJ3" s="2349"/>
      <c r="DK3" s="2349"/>
      <c r="DL3" s="2349"/>
      <c r="DM3" s="2317"/>
      <c r="DN3" s="2317"/>
      <c r="DO3" s="2317"/>
      <c r="DP3" s="2317"/>
      <c r="DQ3" s="2153">
        <f t="shared" ref="DQ3:DQ28" si="0">SUM(B5:DW5)</f>
        <v>0</v>
      </c>
      <c r="DR3" s="2151"/>
      <c r="DS3" s="2115"/>
      <c r="DT3" s="2115"/>
      <c r="DU3" s="2347"/>
      <c r="DV3" s="2115"/>
      <c r="DW3" s="2115"/>
      <c r="DX3" s="2115"/>
      <c r="DY3" s="2115"/>
      <c r="DZ3" s="2115"/>
      <c r="EA3" s="2115"/>
      <c r="EB3" s="2115"/>
      <c r="EC3" s="2115"/>
      <c r="ED3" s="2115"/>
      <c r="EE3" s="2347"/>
      <c r="EF3" s="2347"/>
      <c r="EG3" s="2347"/>
      <c r="EH3" s="2347"/>
      <c r="EI3" s="2347"/>
      <c r="EJ3" s="2347"/>
      <c r="EK3" s="2347"/>
      <c r="EL3" s="2347"/>
      <c r="EM3" s="2347"/>
      <c r="EN3" s="2347"/>
      <c r="EO3" s="2322"/>
      <c r="EP3" s="2347"/>
      <c r="EQ3" s="2347"/>
      <c r="ER3" s="2347"/>
      <c r="ES3" s="2347"/>
      <c r="ET3" s="2347"/>
      <c r="EU3" s="2347"/>
      <c r="EV3" s="2207"/>
      <c r="EW3" s="2207"/>
      <c r="EX3" s="2207"/>
      <c r="EY3" s="2347"/>
      <c r="EZ3" s="2347"/>
      <c r="FA3" s="2347"/>
      <c r="FB3" s="2347"/>
      <c r="FC3" s="2347"/>
      <c r="FD3" s="2347"/>
      <c r="FE3" s="2347"/>
      <c r="FF3" s="2347"/>
      <c r="FG3" s="2347"/>
      <c r="FH3" s="2347"/>
      <c r="FI3" s="2347"/>
      <c r="FJ3" s="2347"/>
      <c r="FK3" s="2347"/>
      <c r="FL3" s="2347"/>
      <c r="FM3" s="2347"/>
      <c r="FN3" s="2347"/>
      <c r="FO3" s="2347"/>
      <c r="FP3" s="2347"/>
      <c r="FQ3" s="2347"/>
      <c r="FR3" s="2345"/>
      <c r="FS3" s="2345"/>
      <c r="FT3" s="2345"/>
      <c r="FU3" s="2345"/>
      <c r="FV3" s="2345"/>
      <c r="FW3" s="2345"/>
      <c r="FX3" s="2155"/>
      <c r="FY3" s="2154"/>
      <c r="FZ3" s="2154">
        <f t="shared" ref="FZ3:FZ20" si="1">SUM(DY5:GF5)</f>
        <v>0</v>
      </c>
      <c r="GA3" s="2159">
        <f t="shared" ref="GA3:GA20" si="2">SUM(B5:DY5)+SUM(DW5:GF5)</f>
        <v>0</v>
      </c>
      <c r="GB3" s="2152"/>
    </row>
    <row r="4" spans="1:186" ht="23.25">
      <c r="A4" s="1137">
        <v>8.3333333333333329E-2</v>
      </c>
      <c r="B4" s="2351"/>
      <c r="C4" s="2313"/>
      <c r="D4" s="2313"/>
      <c r="E4" s="2313"/>
      <c r="F4" s="2317"/>
      <c r="G4" s="2350"/>
      <c r="H4" s="2349"/>
      <c r="I4" s="2317"/>
      <c r="J4" s="2313"/>
      <c r="K4" s="2313"/>
      <c r="L4" s="2313"/>
      <c r="M4" s="2313"/>
      <c r="N4" s="2313"/>
      <c r="O4" s="2313"/>
      <c r="P4" s="2313"/>
      <c r="Q4" s="2313"/>
      <c r="R4" s="2313"/>
      <c r="S4" s="2313"/>
      <c r="T4" s="2313"/>
      <c r="U4" s="2313"/>
      <c r="V4" s="2313"/>
      <c r="W4" s="2313"/>
      <c r="X4" s="2313"/>
      <c r="Y4" s="2313"/>
      <c r="Z4" s="2313"/>
      <c r="AA4" s="2313"/>
      <c r="AB4" s="2317"/>
      <c r="AC4" s="2313"/>
      <c r="AD4" s="2313"/>
      <c r="AE4" s="2313"/>
      <c r="AF4" s="2313"/>
      <c r="AG4" s="2313"/>
      <c r="AH4" s="2313"/>
      <c r="AI4" s="2313"/>
      <c r="AJ4" s="2313"/>
      <c r="AK4" s="2313"/>
      <c r="AL4" s="2313"/>
      <c r="AM4" s="2313"/>
      <c r="AN4" s="2313"/>
      <c r="AO4" s="2313"/>
      <c r="AP4" s="2313"/>
      <c r="AQ4" s="2313"/>
      <c r="AR4" s="2313"/>
      <c r="AS4" s="2313"/>
      <c r="AT4" s="2313"/>
      <c r="AU4" s="2313"/>
      <c r="AV4" s="2313"/>
      <c r="AW4" s="2313"/>
      <c r="AX4" s="2313"/>
      <c r="AY4" s="2313"/>
      <c r="AZ4" s="2313"/>
      <c r="BA4" s="2313"/>
      <c r="BB4" s="2313"/>
      <c r="BC4" s="2313"/>
      <c r="BD4" s="2313"/>
      <c r="BE4" s="2313"/>
      <c r="BF4" s="2313"/>
      <c r="BG4" s="2313"/>
      <c r="BH4" s="2313"/>
      <c r="BI4" s="2313"/>
      <c r="BJ4" s="2313"/>
      <c r="BK4" s="2313"/>
      <c r="BL4" s="2321"/>
      <c r="BM4" s="2313"/>
      <c r="BN4" s="2313"/>
      <c r="BO4" s="2313"/>
      <c r="BP4" s="2313"/>
      <c r="BQ4" s="2313"/>
      <c r="BR4" s="2313"/>
      <c r="BS4" s="2313"/>
      <c r="BT4" s="2313"/>
      <c r="BU4" s="2313"/>
      <c r="BV4" s="2313"/>
      <c r="BW4" s="2313"/>
      <c r="BX4" s="2313"/>
      <c r="BY4" s="2349"/>
      <c r="BZ4" s="2317"/>
      <c r="CA4" s="2313"/>
      <c r="CB4" s="2317"/>
      <c r="CC4" s="2317"/>
      <c r="CD4" s="2317"/>
      <c r="CE4" s="2317"/>
      <c r="CF4" s="2350"/>
      <c r="CG4" s="2317"/>
      <c r="CH4" s="2317"/>
      <c r="CI4" s="2317"/>
      <c r="CJ4" s="2317"/>
      <c r="CK4" s="2317"/>
      <c r="CL4" s="2317"/>
      <c r="CM4" s="2317"/>
      <c r="CN4" s="2317"/>
      <c r="CO4" s="2317"/>
      <c r="CP4" s="2317"/>
      <c r="CQ4" s="2317"/>
      <c r="CR4" s="2317"/>
      <c r="CS4" s="2317"/>
      <c r="CT4" s="2317"/>
      <c r="CU4" s="2317"/>
      <c r="CV4" s="2317"/>
      <c r="CW4" s="2317"/>
      <c r="CX4" s="2317"/>
      <c r="CY4" s="2317"/>
      <c r="CZ4" s="2317"/>
      <c r="DA4" s="2317"/>
      <c r="DB4" s="2317"/>
      <c r="DC4" s="2349"/>
      <c r="DD4" s="2349"/>
      <c r="DE4" s="2317"/>
      <c r="DF4" s="2349"/>
      <c r="DG4" s="2349"/>
      <c r="DH4" s="2349"/>
      <c r="DI4" s="2349"/>
      <c r="DJ4" s="2349"/>
      <c r="DK4" s="2349"/>
      <c r="DL4" s="2349"/>
      <c r="DM4" s="2317"/>
      <c r="DN4" s="2317"/>
      <c r="DO4" s="2317"/>
      <c r="DP4" s="2317"/>
      <c r="DQ4" s="2153">
        <f t="shared" si="0"/>
        <v>0</v>
      </c>
      <c r="DR4" s="2151"/>
      <c r="DS4" s="2115"/>
      <c r="DT4" s="2115"/>
      <c r="DU4" s="2347"/>
      <c r="DV4" s="2115"/>
      <c r="DW4" s="2115"/>
      <c r="DX4" s="2115"/>
      <c r="DY4" s="2115"/>
      <c r="DZ4" s="2115"/>
      <c r="EA4" s="2115"/>
      <c r="EB4" s="2115"/>
      <c r="EC4" s="2115"/>
      <c r="ED4" s="2115"/>
      <c r="EE4" s="2347"/>
      <c r="EF4" s="2347"/>
      <c r="EG4" s="2347"/>
      <c r="EH4" s="2347"/>
      <c r="EI4" s="2347"/>
      <c r="EJ4" s="2347"/>
      <c r="EK4" s="2347"/>
      <c r="EL4" s="2347"/>
      <c r="EM4" s="2347"/>
      <c r="EN4" s="2347"/>
      <c r="EO4" s="2322"/>
      <c r="EP4" s="2347"/>
      <c r="EQ4" s="2347"/>
      <c r="ER4" s="2347"/>
      <c r="ES4" s="2347"/>
      <c r="ET4" s="2347"/>
      <c r="EU4" s="2347"/>
      <c r="EV4" s="2347"/>
      <c r="EW4" s="2347"/>
      <c r="EX4" s="2347"/>
      <c r="EY4" s="2347"/>
      <c r="EZ4" s="2347"/>
      <c r="FA4" s="2347"/>
      <c r="FB4" s="2347"/>
      <c r="FC4" s="2347"/>
      <c r="FD4" s="2347"/>
      <c r="FE4" s="2347"/>
      <c r="FF4" s="2347"/>
      <c r="FG4" s="2347"/>
      <c r="FH4" s="2347"/>
      <c r="FI4" s="2347"/>
      <c r="FJ4" s="2347"/>
      <c r="FK4" s="2347"/>
      <c r="FL4" s="2347"/>
      <c r="FM4" s="2347"/>
      <c r="FN4" s="2347"/>
      <c r="FO4" s="2347"/>
      <c r="FP4" s="2347"/>
      <c r="FQ4" s="2347"/>
      <c r="FR4" s="2345"/>
      <c r="FS4" s="2345"/>
      <c r="FT4" s="2345"/>
      <c r="FU4" s="2345"/>
      <c r="FV4" s="2345"/>
      <c r="FW4" s="2345"/>
      <c r="FX4" s="2155"/>
      <c r="FY4" s="2154"/>
      <c r="FZ4" s="2154">
        <f t="shared" si="1"/>
        <v>0</v>
      </c>
      <c r="GA4" s="2159">
        <f t="shared" si="2"/>
        <v>0</v>
      </c>
      <c r="GB4" s="2152"/>
    </row>
    <row r="5" spans="1:186" ht="23.25">
      <c r="A5" s="1137">
        <v>0.125</v>
      </c>
      <c r="B5" s="2351"/>
      <c r="C5" s="2313"/>
      <c r="D5" s="2313"/>
      <c r="E5" s="2313"/>
      <c r="F5" s="2317"/>
      <c r="G5" s="2350"/>
      <c r="H5" s="2349"/>
      <c r="I5" s="2317"/>
      <c r="J5" s="2313"/>
      <c r="K5" s="2313"/>
      <c r="L5" s="2313"/>
      <c r="M5" s="2313"/>
      <c r="N5" s="2313"/>
      <c r="O5" s="2313"/>
      <c r="P5" s="2313"/>
      <c r="Q5" s="2313"/>
      <c r="R5" s="2313"/>
      <c r="S5" s="2313"/>
      <c r="T5" s="2313"/>
      <c r="U5" s="2313"/>
      <c r="V5" s="2313"/>
      <c r="W5" s="2313"/>
      <c r="X5" s="2313"/>
      <c r="Y5" s="2313"/>
      <c r="Z5" s="2313"/>
      <c r="AA5" s="2313"/>
      <c r="AB5" s="2317"/>
      <c r="AC5" s="2313"/>
      <c r="AD5" s="2313"/>
      <c r="AE5" s="2313"/>
      <c r="AF5" s="2313"/>
      <c r="AG5" s="2313"/>
      <c r="AH5" s="2313"/>
      <c r="AI5" s="2313"/>
      <c r="AJ5" s="2313"/>
      <c r="AK5" s="2313"/>
      <c r="AL5" s="2313"/>
      <c r="AM5" s="2313"/>
      <c r="AN5" s="2313"/>
      <c r="AO5" s="2313"/>
      <c r="AP5" s="2313"/>
      <c r="AQ5" s="2313"/>
      <c r="AR5" s="2313"/>
      <c r="AS5" s="2313"/>
      <c r="AT5" s="2313"/>
      <c r="AU5" s="2313"/>
      <c r="AV5" s="2313"/>
      <c r="AW5" s="2313"/>
      <c r="AX5" s="2313"/>
      <c r="AY5" s="2313"/>
      <c r="AZ5" s="2313"/>
      <c r="BA5" s="2313"/>
      <c r="BB5" s="2313"/>
      <c r="BC5" s="2313"/>
      <c r="BD5" s="2313"/>
      <c r="BE5" s="2313"/>
      <c r="BF5" s="2313"/>
      <c r="BG5" s="2313"/>
      <c r="BH5" s="2313"/>
      <c r="BI5" s="2313"/>
      <c r="BJ5" s="2313"/>
      <c r="BK5" s="2313"/>
      <c r="BL5" s="2321"/>
      <c r="BM5" s="2313"/>
      <c r="BN5" s="2313"/>
      <c r="BO5" s="2313"/>
      <c r="BP5" s="2313"/>
      <c r="BQ5" s="2313"/>
      <c r="BR5" s="2313"/>
      <c r="BS5" s="2313"/>
      <c r="BT5" s="2313"/>
      <c r="BU5" s="2313"/>
      <c r="BV5" s="2313"/>
      <c r="BW5" s="2313"/>
      <c r="BX5" s="2313"/>
      <c r="BY5" s="2349"/>
      <c r="BZ5" s="2317"/>
      <c r="CA5" s="2313"/>
      <c r="CB5" s="2317"/>
      <c r="CC5" s="2317"/>
      <c r="CD5" s="2317"/>
      <c r="CE5" s="2317"/>
      <c r="CF5" s="2350"/>
      <c r="CG5" s="2317"/>
      <c r="CH5" s="2317"/>
      <c r="CI5" s="2317"/>
      <c r="CJ5" s="2317"/>
      <c r="CK5" s="2317"/>
      <c r="CL5" s="2317"/>
      <c r="CM5" s="2317"/>
      <c r="CN5" s="2317"/>
      <c r="CO5" s="2317"/>
      <c r="CP5" s="2317"/>
      <c r="CQ5" s="2317"/>
      <c r="CR5" s="2317"/>
      <c r="CS5" s="2317"/>
      <c r="CT5" s="2317"/>
      <c r="CU5" s="2317"/>
      <c r="CV5" s="2317"/>
      <c r="CW5" s="2317"/>
      <c r="CX5" s="2317"/>
      <c r="CY5" s="2317"/>
      <c r="CZ5" s="2317"/>
      <c r="DA5" s="2317"/>
      <c r="DB5" s="2317"/>
      <c r="DC5" s="2349"/>
      <c r="DD5" s="2349"/>
      <c r="DE5" s="2317"/>
      <c r="DF5" s="2349"/>
      <c r="DG5" s="2349"/>
      <c r="DH5" s="2349"/>
      <c r="DI5" s="2349"/>
      <c r="DJ5" s="2349"/>
      <c r="DK5" s="2349"/>
      <c r="DL5" s="2349"/>
      <c r="DM5" s="2317"/>
      <c r="DN5" s="2317"/>
      <c r="DO5" s="2317"/>
      <c r="DP5" s="2317"/>
      <c r="DQ5" s="2153">
        <f t="shared" si="0"/>
        <v>0</v>
      </c>
      <c r="DR5" s="2151"/>
      <c r="DS5" s="2115"/>
      <c r="DT5" s="2115"/>
      <c r="DU5" s="2347"/>
      <c r="DV5" s="2115"/>
      <c r="DW5" s="2115"/>
      <c r="DX5" s="2115"/>
      <c r="DY5" s="2115"/>
      <c r="DZ5" s="2115"/>
      <c r="EA5" s="2115"/>
      <c r="EB5" s="2115"/>
      <c r="EC5" s="2115"/>
      <c r="ED5" s="2115"/>
      <c r="EE5" s="2347"/>
      <c r="EF5" s="2347"/>
      <c r="EG5" s="2347"/>
      <c r="EH5" s="2347"/>
      <c r="EI5" s="2347"/>
      <c r="EJ5" s="2347"/>
      <c r="EK5" s="2347"/>
      <c r="EL5" s="2347"/>
      <c r="EM5" s="2347"/>
      <c r="EN5" s="2347"/>
      <c r="EO5" s="2322"/>
      <c r="EP5" s="2347"/>
      <c r="EQ5" s="2347"/>
      <c r="ER5" s="2347"/>
      <c r="ES5" s="2347"/>
      <c r="ET5" s="2347"/>
      <c r="EU5" s="2347"/>
      <c r="EV5" s="2347"/>
      <c r="EW5" s="2347"/>
      <c r="EX5" s="2347"/>
      <c r="EY5" s="2347"/>
      <c r="EZ5" s="2347"/>
      <c r="FA5" s="2347"/>
      <c r="FB5" s="2347"/>
      <c r="FC5" s="2347"/>
      <c r="FD5" s="2347"/>
      <c r="FE5" s="2347"/>
      <c r="FF5" s="2347"/>
      <c r="FG5" s="2347"/>
      <c r="FH5" s="2347"/>
      <c r="FI5" s="2347"/>
      <c r="FJ5" s="2347"/>
      <c r="FK5" s="2347"/>
      <c r="FL5" s="2347"/>
      <c r="FM5" s="2347"/>
      <c r="FN5" s="2347"/>
      <c r="FO5" s="2347"/>
      <c r="FP5" s="2347"/>
      <c r="FQ5" s="2347"/>
      <c r="FR5" s="2345"/>
      <c r="FS5" s="2345"/>
      <c r="FT5" s="2345"/>
      <c r="FU5" s="2345"/>
      <c r="FV5" s="2345"/>
      <c r="FW5" s="2345"/>
      <c r="FX5" s="2155"/>
      <c r="FY5" s="2154"/>
      <c r="FZ5" s="2154">
        <f t="shared" si="1"/>
        <v>0</v>
      </c>
      <c r="GA5" s="2159">
        <f t="shared" si="2"/>
        <v>0</v>
      </c>
      <c r="GB5" s="2152"/>
    </row>
    <row r="6" spans="1:186" ht="23.25">
      <c r="A6" s="1137">
        <v>0.16666666666666666</v>
      </c>
      <c r="B6" s="2351"/>
      <c r="C6" s="2313"/>
      <c r="D6" s="2313"/>
      <c r="E6" s="2313"/>
      <c r="F6" s="2317"/>
      <c r="G6" s="2350"/>
      <c r="H6" s="2349"/>
      <c r="I6" s="2317"/>
      <c r="J6" s="2313"/>
      <c r="K6" s="2313"/>
      <c r="L6" s="2313"/>
      <c r="M6" s="2313"/>
      <c r="N6" s="2313"/>
      <c r="O6" s="2313"/>
      <c r="P6" s="2313"/>
      <c r="Q6" s="2313"/>
      <c r="R6" s="2313"/>
      <c r="S6" s="2313"/>
      <c r="T6" s="2313"/>
      <c r="U6" s="2313"/>
      <c r="V6" s="2313"/>
      <c r="W6" s="2313"/>
      <c r="X6" s="2313"/>
      <c r="Y6" s="2313"/>
      <c r="Z6" s="2313"/>
      <c r="AA6" s="2313"/>
      <c r="AB6" s="2317"/>
      <c r="AC6" s="2313"/>
      <c r="AD6" s="2313"/>
      <c r="AE6" s="2313"/>
      <c r="AF6" s="2313"/>
      <c r="AG6" s="2313"/>
      <c r="AH6" s="2313"/>
      <c r="AI6" s="2313"/>
      <c r="AJ6" s="2313"/>
      <c r="AK6" s="2313"/>
      <c r="AL6" s="2313"/>
      <c r="AM6" s="2313"/>
      <c r="AN6" s="2313"/>
      <c r="AO6" s="2313"/>
      <c r="AP6" s="2313"/>
      <c r="AQ6" s="2313"/>
      <c r="AR6" s="2313"/>
      <c r="AS6" s="2313"/>
      <c r="AT6" s="2313"/>
      <c r="AU6" s="2313"/>
      <c r="AV6" s="2313"/>
      <c r="AW6" s="2313"/>
      <c r="AX6" s="2313"/>
      <c r="AY6" s="2313"/>
      <c r="AZ6" s="2313"/>
      <c r="BA6" s="2313"/>
      <c r="BB6" s="2313"/>
      <c r="BC6" s="2313"/>
      <c r="BD6" s="2313"/>
      <c r="BE6" s="2313"/>
      <c r="BF6" s="2313"/>
      <c r="BG6" s="2313"/>
      <c r="BH6" s="2313"/>
      <c r="BI6" s="2313"/>
      <c r="BJ6" s="2313"/>
      <c r="BK6" s="2313"/>
      <c r="BL6" s="2321"/>
      <c r="BM6" s="2313"/>
      <c r="BN6" s="2313"/>
      <c r="BO6" s="2313"/>
      <c r="BP6" s="2313"/>
      <c r="BQ6" s="2313"/>
      <c r="BR6" s="2313"/>
      <c r="BS6" s="2313"/>
      <c r="BT6" s="2313"/>
      <c r="BU6" s="2313"/>
      <c r="BV6" s="2313"/>
      <c r="BW6" s="2313"/>
      <c r="BX6" s="2313"/>
      <c r="BY6" s="2349"/>
      <c r="BZ6" s="2317"/>
      <c r="CA6" s="2313"/>
      <c r="CB6" s="2317"/>
      <c r="CC6" s="2317"/>
      <c r="CD6" s="2317"/>
      <c r="CE6" s="2317"/>
      <c r="CF6" s="2350"/>
      <c r="CG6" s="2317"/>
      <c r="CH6" s="2317"/>
      <c r="CI6" s="2317"/>
      <c r="CJ6" s="2317"/>
      <c r="CK6" s="2317"/>
      <c r="CL6" s="2317"/>
      <c r="CM6" s="2317"/>
      <c r="CN6" s="2317"/>
      <c r="CO6" s="2317"/>
      <c r="CP6" s="2317"/>
      <c r="CQ6" s="2317"/>
      <c r="CR6" s="2317"/>
      <c r="CS6" s="2317"/>
      <c r="CT6" s="2317"/>
      <c r="CU6" s="2317"/>
      <c r="CV6" s="2317"/>
      <c r="CW6" s="2317"/>
      <c r="CX6" s="2317"/>
      <c r="CY6" s="2317"/>
      <c r="CZ6" s="2317"/>
      <c r="DA6" s="2317"/>
      <c r="DB6" s="2317"/>
      <c r="DC6" s="2349"/>
      <c r="DD6" s="2349"/>
      <c r="DE6" s="2317"/>
      <c r="DF6" s="2349"/>
      <c r="DG6" s="2349"/>
      <c r="DH6" s="2349"/>
      <c r="DI6" s="2349"/>
      <c r="DJ6" s="2349"/>
      <c r="DK6" s="2349"/>
      <c r="DL6" s="2349"/>
      <c r="DM6" s="2317"/>
      <c r="DN6" s="2317"/>
      <c r="DO6" s="2317"/>
      <c r="DP6" s="2317"/>
      <c r="DQ6" s="2153">
        <f t="shared" si="0"/>
        <v>0</v>
      </c>
      <c r="DR6" s="2151"/>
      <c r="DS6" s="2115"/>
      <c r="DT6" s="2115"/>
      <c r="DU6" s="2347"/>
      <c r="DV6" s="2115"/>
      <c r="DW6" s="2115"/>
      <c r="DX6" s="2115"/>
      <c r="DY6" s="2115"/>
      <c r="DZ6" s="2115"/>
      <c r="EA6" s="2115"/>
      <c r="EB6" s="2115"/>
      <c r="EC6" s="2115"/>
      <c r="ED6" s="2115"/>
      <c r="EE6" s="2347"/>
      <c r="EF6" s="2347"/>
      <c r="EG6" s="2347"/>
      <c r="EH6" s="2347"/>
      <c r="EI6" s="2347"/>
      <c r="EJ6" s="2347"/>
      <c r="EK6" s="2347"/>
      <c r="EL6" s="2347"/>
      <c r="EM6" s="2347"/>
      <c r="EN6" s="2347"/>
      <c r="EO6" s="2322"/>
      <c r="EP6" s="2347"/>
      <c r="EQ6" s="2347"/>
      <c r="ER6" s="2347"/>
      <c r="ES6" s="2347"/>
      <c r="ET6" s="2347"/>
      <c r="EU6" s="2347"/>
      <c r="EV6" s="2347"/>
      <c r="EW6" s="2347"/>
      <c r="EX6" s="2347"/>
      <c r="EY6" s="2347"/>
      <c r="EZ6" s="2347"/>
      <c r="FA6" s="2347"/>
      <c r="FB6" s="2347"/>
      <c r="FC6" s="2347"/>
      <c r="FD6" s="2347"/>
      <c r="FE6" s="2347"/>
      <c r="FF6" s="2347"/>
      <c r="FG6" s="2347"/>
      <c r="FH6" s="2347"/>
      <c r="FI6" s="2347"/>
      <c r="FJ6" s="2347"/>
      <c r="FK6" s="2347"/>
      <c r="FL6" s="2347"/>
      <c r="FM6" s="2347"/>
      <c r="FN6" s="2347"/>
      <c r="FO6" s="2347"/>
      <c r="FP6" s="2347"/>
      <c r="FQ6" s="2347"/>
      <c r="FR6" s="2345"/>
      <c r="FS6" s="2345"/>
      <c r="FT6" s="2345"/>
      <c r="FU6" s="2345"/>
      <c r="FV6" s="2345"/>
      <c r="FW6" s="2345"/>
      <c r="FX6" s="2155"/>
      <c r="FY6" s="2154"/>
      <c r="FZ6" s="2154">
        <f t="shared" si="1"/>
        <v>0</v>
      </c>
      <c r="GA6" s="2159">
        <f t="shared" si="2"/>
        <v>0</v>
      </c>
      <c r="GB6" s="2152"/>
    </row>
    <row r="7" spans="1:186" ht="23.25">
      <c r="A7" s="1138">
        <v>0.20833333333333401</v>
      </c>
      <c r="B7" s="2351"/>
      <c r="C7" s="2313"/>
      <c r="D7" s="2313"/>
      <c r="E7" s="2313"/>
      <c r="F7" s="2317"/>
      <c r="G7" s="2317"/>
      <c r="H7" s="2726"/>
      <c r="I7" s="2317"/>
      <c r="J7" s="2313"/>
      <c r="K7" s="2313"/>
      <c r="L7" s="2313"/>
      <c r="M7" s="2313"/>
      <c r="N7" s="2313"/>
      <c r="O7" s="2313"/>
      <c r="P7" s="2313"/>
      <c r="Q7" s="2313"/>
      <c r="R7" s="2313"/>
      <c r="S7" s="2313"/>
      <c r="T7" s="2313"/>
      <c r="U7" s="2313"/>
      <c r="V7" s="2313"/>
      <c r="W7" s="2313"/>
      <c r="X7" s="2313"/>
      <c r="Y7" s="2313"/>
      <c r="Z7" s="2313"/>
      <c r="AA7" s="2313"/>
      <c r="AB7" s="2317"/>
      <c r="AC7" s="2313"/>
      <c r="AD7" s="2313"/>
      <c r="AE7" s="2313"/>
      <c r="AF7" s="2313"/>
      <c r="AG7" s="2313"/>
      <c r="AH7" s="2313"/>
      <c r="AI7" s="2313"/>
      <c r="AJ7" s="2313"/>
      <c r="AK7" s="2313"/>
      <c r="AL7" s="2313"/>
      <c r="AM7" s="2313"/>
      <c r="AN7" s="2313"/>
      <c r="AO7" s="2313"/>
      <c r="AP7" s="2313"/>
      <c r="AQ7" s="2313"/>
      <c r="AR7" s="2313"/>
      <c r="AS7" s="2313"/>
      <c r="AT7" s="2313"/>
      <c r="AU7" s="2313"/>
      <c r="AV7" s="2313"/>
      <c r="AW7" s="2313"/>
      <c r="AX7" s="2313"/>
      <c r="AY7" s="2313"/>
      <c r="AZ7" s="2313"/>
      <c r="BA7" s="2313"/>
      <c r="BB7" s="2313"/>
      <c r="BC7" s="2313"/>
      <c r="BD7" s="2313"/>
      <c r="BE7" s="2313"/>
      <c r="BF7" s="2313"/>
      <c r="BG7" s="2313"/>
      <c r="BH7" s="2313"/>
      <c r="BI7" s="2313"/>
      <c r="BJ7" s="2313"/>
      <c r="BK7" s="2313"/>
      <c r="BL7" s="2321"/>
      <c r="BM7" s="2313"/>
      <c r="BN7" s="2313"/>
      <c r="BO7" s="2313"/>
      <c r="BP7" s="2313"/>
      <c r="BQ7" s="2313"/>
      <c r="BR7" s="2313"/>
      <c r="BS7" s="2313"/>
      <c r="BT7" s="2313"/>
      <c r="BU7" s="2313"/>
      <c r="BV7" s="2313"/>
      <c r="BW7" s="2313"/>
      <c r="BX7" s="2313"/>
      <c r="BY7" s="2349"/>
      <c r="BZ7" s="2317"/>
      <c r="CA7" s="2313"/>
      <c r="CB7" s="2317"/>
      <c r="CC7" s="2317"/>
      <c r="CD7" s="2317"/>
      <c r="CE7" s="2317"/>
      <c r="CF7" s="2350"/>
      <c r="CG7" s="2317"/>
      <c r="CH7" s="2317"/>
      <c r="CI7" s="2317"/>
      <c r="CJ7" s="2317"/>
      <c r="CK7" s="2317"/>
      <c r="CL7" s="2317"/>
      <c r="CM7" s="2317"/>
      <c r="CN7" s="2317"/>
      <c r="CO7" s="2317"/>
      <c r="CP7" s="2317"/>
      <c r="CQ7" s="2317"/>
      <c r="CR7" s="2317"/>
      <c r="CS7" s="2317"/>
      <c r="CT7" s="2317"/>
      <c r="CU7" s="2317"/>
      <c r="CV7" s="2317"/>
      <c r="CW7" s="2317"/>
      <c r="CX7" s="2317"/>
      <c r="CY7" s="2317"/>
      <c r="CZ7" s="2317"/>
      <c r="DA7" s="2317"/>
      <c r="DB7" s="2317"/>
      <c r="DC7" s="2349"/>
      <c r="DD7" s="2349"/>
      <c r="DE7" s="2317"/>
      <c r="DF7" s="2349"/>
      <c r="DG7" s="2349"/>
      <c r="DH7" s="2349"/>
      <c r="DI7" s="2349"/>
      <c r="DJ7" s="2349"/>
      <c r="DK7" s="2349"/>
      <c r="DL7" s="2349"/>
      <c r="DM7" s="2317"/>
      <c r="DN7" s="2317"/>
      <c r="DO7" s="2317"/>
      <c r="DP7" s="2317"/>
      <c r="DQ7" s="2153">
        <f t="shared" si="0"/>
        <v>0</v>
      </c>
      <c r="DR7" s="2151"/>
      <c r="DS7" s="2115"/>
      <c r="DT7" s="2115"/>
      <c r="DU7" s="2347"/>
      <c r="DV7" s="2115"/>
      <c r="DW7" s="2115"/>
      <c r="DX7" s="2115"/>
      <c r="DY7" s="2115"/>
      <c r="DZ7" s="2115"/>
      <c r="EA7" s="2115"/>
      <c r="EB7" s="2115"/>
      <c r="EC7" s="2115"/>
      <c r="ED7" s="2115"/>
      <c r="EE7" s="2347"/>
      <c r="EF7" s="2347"/>
      <c r="EG7" s="2347"/>
      <c r="EH7" s="2347"/>
      <c r="EI7" s="2347"/>
      <c r="EJ7" s="2347"/>
      <c r="EK7" s="2347"/>
      <c r="EL7" s="2347"/>
      <c r="EM7" s="2347"/>
      <c r="EN7" s="2347"/>
      <c r="EO7" s="2322"/>
      <c r="EP7" s="2347"/>
      <c r="EQ7" s="2347"/>
      <c r="ER7" s="2347"/>
      <c r="ES7" s="2347"/>
      <c r="ET7" s="2347"/>
      <c r="EU7" s="2347"/>
      <c r="EV7" s="2347"/>
      <c r="EW7" s="2347"/>
      <c r="EX7" s="2347"/>
      <c r="EY7" s="2347"/>
      <c r="EZ7" s="2347"/>
      <c r="FA7" s="2347"/>
      <c r="FB7" s="2347"/>
      <c r="FC7" s="2347"/>
      <c r="FD7" s="2347"/>
      <c r="FE7" s="2347"/>
      <c r="FF7" s="2347"/>
      <c r="FG7" s="2347"/>
      <c r="FH7" s="2347"/>
      <c r="FI7" s="2347"/>
      <c r="FJ7" s="2347"/>
      <c r="FK7" s="2347"/>
      <c r="FL7" s="2347"/>
      <c r="FM7" s="2347"/>
      <c r="FN7" s="2347"/>
      <c r="FO7" s="2347"/>
      <c r="FP7" s="2347"/>
      <c r="FQ7" s="2347"/>
      <c r="FR7" s="2345"/>
      <c r="FS7" s="2345"/>
      <c r="FT7" s="2345"/>
      <c r="FU7" s="2345"/>
      <c r="FV7" s="2345"/>
      <c r="FW7" s="2345"/>
      <c r="FX7" s="2155"/>
      <c r="FY7" s="2154"/>
      <c r="FZ7" s="2154">
        <f t="shared" si="1"/>
        <v>0</v>
      </c>
      <c r="GA7" s="2159">
        <f t="shared" si="2"/>
        <v>0</v>
      </c>
      <c r="GB7" s="2152"/>
    </row>
    <row r="8" spans="1:186" ht="23.25">
      <c r="A8" s="1138">
        <v>0.25</v>
      </c>
      <c r="B8" s="2351"/>
      <c r="C8" s="2313"/>
      <c r="D8" s="2313"/>
      <c r="E8" s="2313"/>
      <c r="F8" s="2317"/>
      <c r="G8" s="2350"/>
      <c r="H8" s="2349"/>
      <c r="I8" s="2317"/>
      <c r="J8" s="2313"/>
      <c r="K8" s="2313"/>
      <c r="L8" s="2313"/>
      <c r="M8" s="2313"/>
      <c r="N8" s="2313"/>
      <c r="O8" s="2313"/>
      <c r="P8" s="2313"/>
      <c r="Q8" s="2313"/>
      <c r="R8" s="2313"/>
      <c r="S8" s="2313"/>
      <c r="T8" s="2313"/>
      <c r="U8" s="2313"/>
      <c r="V8" s="2313"/>
      <c r="W8" s="2313"/>
      <c r="X8" s="2313"/>
      <c r="Y8" s="2313"/>
      <c r="Z8" s="2313"/>
      <c r="AA8" s="2313"/>
      <c r="AB8" s="2317"/>
      <c r="AC8" s="2313"/>
      <c r="AD8" s="2313"/>
      <c r="AE8" s="2313"/>
      <c r="AF8" s="2313"/>
      <c r="AG8" s="2313"/>
      <c r="AH8" s="2313"/>
      <c r="AI8" s="2313"/>
      <c r="AJ8" s="2313"/>
      <c r="AK8" s="2313"/>
      <c r="AL8" s="2313"/>
      <c r="AM8" s="2313"/>
      <c r="AN8" s="2313"/>
      <c r="AO8" s="2313"/>
      <c r="AP8" s="2313"/>
      <c r="AQ8" s="2313"/>
      <c r="AR8" s="2313"/>
      <c r="AS8" s="2313"/>
      <c r="AT8" s="2313"/>
      <c r="AU8" s="2313"/>
      <c r="AV8" s="2313"/>
      <c r="AW8" s="2313"/>
      <c r="AX8" s="2313"/>
      <c r="AY8" s="2313"/>
      <c r="AZ8" s="2313"/>
      <c r="BA8" s="2313"/>
      <c r="BB8" s="2313"/>
      <c r="BC8" s="2313"/>
      <c r="BD8" s="2313"/>
      <c r="BE8" s="2313"/>
      <c r="BF8" s="2313"/>
      <c r="BG8" s="2313"/>
      <c r="BH8" s="2313"/>
      <c r="BI8" s="2313"/>
      <c r="BJ8" s="2313"/>
      <c r="BK8" s="2313"/>
      <c r="BL8" s="2321"/>
      <c r="BM8" s="2313"/>
      <c r="BN8" s="2313"/>
      <c r="BO8" s="2313"/>
      <c r="BP8" s="2313"/>
      <c r="BQ8" s="2313"/>
      <c r="BR8" s="2313"/>
      <c r="BS8" s="2313"/>
      <c r="BT8" s="2313"/>
      <c r="BU8" s="2313"/>
      <c r="BV8" s="2313"/>
      <c r="BW8" s="2313"/>
      <c r="BX8" s="2313"/>
      <c r="BY8" s="2349"/>
      <c r="BZ8" s="2317"/>
      <c r="CA8" s="2313"/>
      <c r="CB8" s="2317"/>
      <c r="CC8" s="2317"/>
      <c r="CD8" s="2317"/>
      <c r="CE8" s="2317"/>
      <c r="CF8" s="2350"/>
      <c r="CG8" s="2317"/>
      <c r="CH8" s="2317"/>
      <c r="CI8" s="2317"/>
      <c r="CJ8" s="2317"/>
      <c r="CK8" s="2317"/>
      <c r="CL8" s="2317"/>
      <c r="CM8" s="2317"/>
      <c r="CN8" s="2317"/>
      <c r="CO8" s="2317"/>
      <c r="CP8" s="2317"/>
      <c r="CQ8" s="2317"/>
      <c r="CR8" s="2317"/>
      <c r="CS8" s="2317"/>
      <c r="CT8" s="2317"/>
      <c r="CU8" s="2317"/>
      <c r="CV8" s="2317"/>
      <c r="CW8" s="2317"/>
      <c r="CX8" s="2317"/>
      <c r="CY8" s="2317"/>
      <c r="CZ8" s="2317"/>
      <c r="DA8" s="2317"/>
      <c r="DB8" s="2317"/>
      <c r="DC8" s="2349"/>
      <c r="DD8" s="2349"/>
      <c r="DE8" s="2317"/>
      <c r="DF8" s="2349"/>
      <c r="DG8" s="2349"/>
      <c r="DH8" s="2349"/>
      <c r="DI8" s="2349"/>
      <c r="DJ8" s="2349"/>
      <c r="DK8" s="2349"/>
      <c r="DL8" s="2349"/>
      <c r="DM8" s="2317"/>
      <c r="DN8" s="2317"/>
      <c r="DO8" s="2317"/>
      <c r="DP8" s="2317"/>
      <c r="DQ8" s="2153">
        <f t="shared" si="0"/>
        <v>0</v>
      </c>
      <c r="DR8" s="2151"/>
      <c r="DS8" s="2115"/>
      <c r="DT8" s="2115"/>
      <c r="DU8" s="2347"/>
      <c r="DV8" s="2115"/>
      <c r="DW8" s="2115"/>
      <c r="DX8" s="2115"/>
      <c r="DY8" s="2115"/>
      <c r="DZ8" s="2115"/>
      <c r="EA8" s="2115"/>
      <c r="EB8" s="2115"/>
      <c r="EC8" s="2115"/>
      <c r="ED8" s="2115"/>
      <c r="EE8" s="2347"/>
      <c r="EF8" s="2347"/>
      <c r="EG8" s="2347"/>
      <c r="EH8" s="2347"/>
      <c r="EI8" s="2347"/>
      <c r="EJ8" s="2347"/>
      <c r="EK8" s="2347"/>
      <c r="EL8" s="2347"/>
      <c r="EM8" s="2347"/>
      <c r="EN8" s="2347"/>
      <c r="EO8" s="2322"/>
      <c r="EP8" s="2347"/>
      <c r="EQ8" s="2347"/>
      <c r="ER8" s="2347"/>
      <c r="ES8" s="2347"/>
      <c r="ET8" s="2347"/>
      <c r="EU8" s="2347"/>
      <c r="EV8" s="2347"/>
      <c r="EW8" s="2347"/>
      <c r="EX8" s="2347"/>
      <c r="EY8" s="2347"/>
      <c r="EZ8" s="2347"/>
      <c r="FA8" s="2347"/>
      <c r="FB8" s="2347"/>
      <c r="FC8" s="2347"/>
      <c r="FD8" s="2347"/>
      <c r="FE8" s="2347"/>
      <c r="FF8" s="2347"/>
      <c r="FG8" s="2347"/>
      <c r="FH8" s="2347"/>
      <c r="FI8" s="2347"/>
      <c r="FJ8" s="2347"/>
      <c r="FK8" s="2347"/>
      <c r="FL8" s="2347"/>
      <c r="FM8" s="2347"/>
      <c r="FN8" s="2347"/>
      <c r="FO8" s="2347"/>
      <c r="FP8" s="2347"/>
      <c r="FQ8" s="2347"/>
      <c r="FR8" s="2345"/>
      <c r="FS8" s="2345"/>
      <c r="FT8" s="2345"/>
      <c r="FU8" s="2345"/>
      <c r="FV8" s="2345"/>
      <c r="FW8" s="2345"/>
      <c r="FX8" s="2155"/>
      <c r="FY8" s="2154"/>
      <c r="FZ8" s="2154">
        <f t="shared" si="1"/>
        <v>0</v>
      </c>
      <c r="GA8" s="2159">
        <f t="shared" si="2"/>
        <v>0</v>
      </c>
      <c r="GB8" s="2152"/>
    </row>
    <row r="9" spans="1:186" ht="23.25">
      <c r="A9" s="1138">
        <v>0.29166666666666669</v>
      </c>
      <c r="B9" s="2351"/>
      <c r="C9" s="2313"/>
      <c r="D9" s="2313"/>
      <c r="E9" s="2313"/>
      <c r="F9" s="2317"/>
      <c r="G9" s="2350"/>
      <c r="H9" s="2349"/>
      <c r="I9" s="2317"/>
      <c r="J9" s="2313"/>
      <c r="K9" s="2313"/>
      <c r="L9" s="2313"/>
      <c r="M9" s="2313"/>
      <c r="N9" s="2313"/>
      <c r="O9" s="2313"/>
      <c r="P9" s="2313"/>
      <c r="Q9" s="2313"/>
      <c r="R9" s="2313"/>
      <c r="S9" s="2313"/>
      <c r="T9" s="2313"/>
      <c r="U9" s="2313"/>
      <c r="V9" s="2313"/>
      <c r="W9" s="2313"/>
      <c r="X9" s="2313"/>
      <c r="Y9" s="2313"/>
      <c r="Z9" s="2313"/>
      <c r="AA9" s="2313"/>
      <c r="AB9" s="2317"/>
      <c r="AC9" s="2313"/>
      <c r="AD9" s="2313"/>
      <c r="AE9" s="2313"/>
      <c r="AF9" s="2313"/>
      <c r="AG9" s="2313"/>
      <c r="AH9" s="2313"/>
      <c r="AI9" s="2313"/>
      <c r="AJ9" s="2313"/>
      <c r="AK9" s="2313"/>
      <c r="AL9" s="2313"/>
      <c r="AM9" s="2313"/>
      <c r="AN9" s="2313"/>
      <c r="AO9" s="2313"/>
      <c r="AP9" s="2313"/>
      <c r="AQ9" s="2313"/>
      <c r="AR9" s="2313"/>
      <c r="AS9" s="2313"/>
      <c r="AT9" s="2313"/>
      <c r="AU9" s="2313"/>
      <c r="AV9" s="2313"/>
      <c r="AW9" s="2313"/>
      <c r="AX9" s="2313"/>
      <c r="AY9" s="2313"/>
      <c r="AZ9" s="2313"/>
      <c r="BA9" s="2313"/>
      <c r="BB9" s="2313"/>
      <c r="BC9" s="2313"/>
      <c r="BD9" s="2313"/>
      <c r="BE9" s="2313"/>
      <c r="BF9" s="2313"/>
      <c r="BG9" s="2313"/>
      <c r="BH9" s="2313"/>
      <c r="BI9" s="2313"/>
      <c r="BJ9" s="2313"/>
      <c r="BK9" s="2313"/>
      <c r="BL9" s="2321"/>
      <c r="BM9" s="2313"/>
      <c r="BN9" s="2313"/>
      <c r="BO9" s="2313"/>
      <c r="BP9" s="2313"/>
      <c r="BQ9" s="2313"/>
      <c r="BR9" s="2313"/>
      <c r="BS9" s="2313"/>
      <c r="BT9" s="2313"/>
      <c r="BU9" s="2313"/>
      <c r="BV9" s="2313"/>
      <c r="BW9" s="2313"/>
      <c r="BX9" s="2313"/>
      <c r="BY9" s="2349"/>
      <c r="BZ9" s="2317"/>
      <c r="CA9" s="2313"/>
      <c r="CB9" s="2317"/>
      <c r="CC9" s="2317"/>
      <c r="CD9" s="2317"/>
      <c r="CE9" s="2317"/>
      <c r="CF9" s="2350"/>
      <c r="CG9" s="2317"/>
      <c r="CH9" s="2317"/>
      <c r="CI9" s="2317"/>
      <c r="CJ9" s="2317"/>
      <c r="CK9" s="2317"/>
      <c r="CL9" s="2317"/>
      <c r="CM9" s="2317"/>
      <c r="CN9" s="2317"/>
      <c r="CO9" s="2317"/>
      <c r="CP9" s="2317"/>
      <c r="CQ9" s="2317"/>
      <c r="CR9" s="2317"/>
      <c r="CS9" s="2317"/>
      <c r="CT9" s="2317"/>
      <c r="CU9" s="2317"/>
      <c r="CV9" s="2317"/>
      <c r="CW9" s="2317"/>
      <c r="CX9" s="2317"/>
      <c r="CY9" s="2317"/>
      <c r="CZ9" s="2317"/>
      <c r="DA9" s="2317"/>
      <c r="DB9" s="2317"/>
      <c r="DC9" s="2349"/>
      <c r="DD9" s="2349"/>
      <c r="DE9" s="2349"/>
      <c r="DF9" s="2349"/>
      <c r="DG9" s="2349"/>
      <c r="DH9" s="2349"/>
      <c r="DI9" s="2349"/>
      <c r="DJ9" s="2349"/>
      <c r="DK9" s="2349"/>
      <c r="DL9" s="2349"/>
      <c r="DM9" s="2317"/>
      <c r="DN9" s="2317"/>
      <c r="DO9" s="2317"/>
      <c r="DP9" s="2317"/>
      <c r="DQ9" s="2153">
        <f t="shared" si="0"/>
        <v>0</v>
      </c>
      <c r="DR9" s="2151"/>
      <c r="DS9" s="2115"/>
      <c r="DT9" s="2115"/>
      <c r="DU9" s="2347"/>
      <c r="DV9" s="2115"/>
      <c r="DW9" s="2115"/>
      <c r="DX9" s="2115"/>
      <c r="DY9" s="2115"/>
      <c r="DZ9" s="2115"/>
      <c r="EA9" s="2115"/>
      <c r="EB9" s="2115"/>
      <c r="EC9" s="2115"/>
      <c r="ED9" s="2115"/>
      <c r="EE9" s="2347"/>
      <c r="EF9" s="2347"/>
      <c r="EG9" s="2347"/>
      <c r="EH9" s="2347"/>
      <c r="EI9" s="2347"/>
      <c r="EJ9" s="2347"/>
      <c r="EK9" s="2347"/>
      <c r="EL9" s="2347"/>
      <c r="EM9" s="2347"/>
      <c r="EN9" s="2347"/>
      <c r="EO9" s="2322"/>
      <c r="EP9" s="2347"/>
      <c r="EQ9" s="2347"/>
      <c r="ER9" s="2347"/>
      <c r="ES9" s="2347"/>
      <c r="ET9" s="2347"/>
      <c r="EU9" s="2347"/>
      <c r="EV9" s="2347"/>
      <c r="EW9" s="2347"/>
      <c r="EX9" s="2347"/>
      <c r="EY9" s="2347"/>
      <c r="EZ9" s="2347"/>
      <c r="FA9" s="2347"/>
      <c r="FB9" s="2347"/>
      <c r="FC9" s="2347"/>
      <c r="FD9" s="2347"/>
      <c r="FE9" s="2347"/>
      <c r="FF9" s="2347"/>
      <c r="FG9" s="2347"/>
      <c r="FH9" s="2347"/>
      <c r="FI9" s="2347"/>
      <c r="FJ9" s="2347"/>
      <c r="FK9" s="2347"/>
      <c r="FL9" s="2347"/>
      <c r="FM9" s="2347"/>
      <c r="FN9" s="2347"/>
      <c r="FO9" s="2347"/>
      <c r="FP9" s="2347"/>
      <c r="FQ9" s="2345"/>
      <c r="FR9" s="2345"/>
      <c r="FS9" s="2345"/>
      <c r="FT9" s="2345"/>
      <c r="FU9" s="2345"/>
      <c r="FV9" s="2345"/>
      <c r="FW9" s="2345"/>
      <c r="FX9" s="2155"/>
      <c r="FY9" s="2154"/>
      <c r="FZ9" s="2154">
        <f t="shared" si="1"/>
        <v>0</v>
      </c>
      <c r="GA9" s="2159">
        <f t="shared" si="2"/>
        <v>0</v>
      </c>
      <c r="GB9" s="2152"/>
    </row>
    <row r="10" spans="1:186" ht="23.25">
      <c r="A10" s="1139">
        <v>0.33333333333333331</v>
      </c>
      <c r="B10" s="2178"/>
      <c r="C10" s="2314"/>
      <c r="D10" s="2314"/>
      <c r="E10" s="2314"/>
      <c r="F10" s="2318"/>
      <c r="G10" s="2323"/>
      <c r="H10" s="2318"/>
      <c r="I10" s="2318"/>
      <c r="J10" s="2314"/>
      <c r="K10" s="2314"/>
      <c r="L10" s="2314"/>
      <c r="M10" s="2314"/>
      <c r="N10" s="2314"/>
      <c r="O10" s="2314"/>
      <c r="P10" s="2314"/>
      <c r="Q10" s="2314"/>
      <c r="R10" s="2314"/>
      <c r="S10" s="2314"/>
      <c r="T10" s="2314"/>
      <c r="U10" s="2314"/>
      <c r="V10" s="2314"/>
      <c r="W10" s="2314"/>
      <c r="X10" s="2314"/>
      <c r="Y10" s="2314"/>
      <c r="Z10" s="2314"/>
      <c r="AA10" s="2314"/>
      <c r="AB10" s="2314"/>
      <c r="AC10" s="2318"/>
      <c r="AD10" s="2314"/>
      <c r="AE10" s="2314"/>
      <c r="AF10" s="2314"/>
      <c r="AG10" s="2314"/>
      <c r="AH10" s="2314"/>
      <c r="AI10" s="2314"/>
      <c r="AJ10" s="2314"/>
      <c r="AK10" s="2314"/>
      <c r="AL10" s="2314"/>
      <c r="AM10" s="2314"/>
      <c r="AN10" s="2314"/>
      <c r="AO10" s="2314"/>
      <c r="AP10" s="2352"/>
      <c r="AQ10" s="2314"/>
      <c r="AR10" s="2314"/>
      <c r="AS10" s="2314"/>
      <c r="AT10" s="2314"/>
      <c r="AU10" s="2314"/>
      <c r="AV10" s="2314"/>
      <c r="AW10" s="2314"/>
      <c r="AX10" s="2314"/>
      <c r="AY10" s="2314"/>
      <c r="AZ10" s="2314"/>
      <c r="BA10" s="2314"/>
      <c r="BB10" s="2314"/>
      <c r="BC10" s="2314"/>
      <c r="BD10" s="2314"/>
      <c r="BE10" s="2314"/>
      <c r="BF10" s="2314"/>
      <c r="BG10" s="2314"/>
      <c r="BH10" s="2314"/>
      <c r="BI10" s="2314"/>
      <c r="BJ10" s="2314"/>
      <c r="BK10" s="2314"/>
      <c r="BL10" s="2321"/>
      <c r="BM10" s="2314"/>
      <c r="BN10" s="2314"/>
      <c r="BO10" s="2314"/>
      <c r="BP10" s="2314"/>
      <c r="BQ10" s="2314"/>
      <c r="BR10" s="2314"/>
      <c r="BS10" s="2314"/>
      <c r="BT10" s="2314"/>
      <c r="BU10" s="2314"/>
      <c r="BV10" s="2314"/>
      <c r="BW10" s="2314"/>
      <c r="BX10" s="2314"/>
      <c r="BY10" s="2314"/>
      <c r="BZ10" s="2324"/>
      <c r="CA10" s="2318"/>
      <c r="CB10" s="2314"/>
      <c r="CC10" s="2318"/>
      <c r="CD10" s="2318"/>
      <c r="CE10" s="2318"/>
      <c r="CF10" s="2323"/>
      <c r="CG10" s="2318"/>
      <c r="CH10" s="2318"/>
      <c r="CI10" s="2318"/>
      <c r="CJ10" s="2318"/>
      <c r="CK10" s="2318"/>
      <c r="CL10" s="2318"/>
      <c r="CM10" s="2318"/>
      <c r="CN10" s="2318"/>
      <c r="CO10" s="2318"/>
      <c r="CP10" s="2318"/>
      <c r="CQ10" s="2318"/>
      <c r="CR10" s="2318"/>
      <c r="CS10" s="2318"/>
      <c r="CT10" s="2318"/>
      <c r="CU10" s="2318"/>
      <c r="CV10" s="2318"/>
      <c r="CW10" s="2318"/>
      <c r="CX10" s="2318"/>
      <c r="CY10" s="2318"/>
      <c r="CZ10" s="2318"/>
      <c r="DA10" s="2318"/>
      <c r="DB10" s="2318"/>
      <c r="DC10" s="2325"/>
      <c r="DD10" s="2325"/>
      <c r="DE10" s="2325"/>
      <c r="DF10" s="2324"/>
      <c r="DG10" s="2324"/>
      <c r="DH10" s="2324"/>
      <c r="DI10" s="2324"/>
      <c r="DJ10" s="2324"/>
      <c r="DK10" s="2325"/>
      <c r="DL10" s="2324"/>
      <c r="DM10" s="2324"/>
      <c r="DN10" s="2324"/>
      <c r="DO10" s="2324"/>
      <c r="DP10" s="2324"/>
      <c r="DQ10" s="2153">
        <f t="shared" si="0"/>
        <v>0</v>
      </c>
      <c r="DR10" s="2156"/>
      <c r="DS10" s="2156"/>
      <c r="DT10" s="2156"/>
      <c r="DU10" s="2327"/>
      <c r="DV10" s="2157"/>
      <c r="DW10" s="2157"/>
      <c r="DX10" s="2157"/>
      <c r="DY10" s="2157"/>
      <c r="DZ10" s="2157"/>
      <c r="EA10" s="2157"/>
      <c r="EB10" s="2157"/>
      <c r="EC10" s="2157"/>
      <c r="ED10" s="2157"/>
      <c r="EE10" s="2327"/>
      <c r="EF10" s="2327"/>
      <c r="EG10" s="2327"/>
      <c r="EH10" s="2327"/>
      <c r="EI10" s="2327"/>
      <c r="EJ10" s="2327"/>
      <c r="EK10" s="2327"/>
      <c r="EL10" s="2327"/>
      <c r="EM10" s="2327"/>
      <c r="EN10" s="2327"/>
      <c r="EO10" s="2322"/>
      <c r="EP10" s="2327"/>
      <c r="EQ10" s="2327"/>
      <c r="ER10" s="2327"/>
      <c r="ES10" s="2327"/>
      <c r="ET10" s="2327"/>
      <c r="EU10" s="2327"/>
      <c r="EV10" s="2327"/>
      <c r="EW10" s="2327"/>
      <c r="EX10" s="2328"/>
      <c r="EY10" s="2327"/>
      <c r="EZ10" s="2327"/>
      <c r="FA10" s="2327"/>
      <c r="FB10" s="2327"/>
      <c r="FC10" s="2327"/>
      <c r="FD10" s="2327"/>
      <c r="FE10" s="2327"/>
      <c r="FF10" s="2327"/>
      <c r="FG10" s="2327"/>
      <c r="FH10" s="2327"/>
      <c r="FI10" s="2327"/>
      <c r="FJ10" s="2327"/>
      <c r="FK10" s="2327"/>
      <c r="FL10" s="2327"/>
      <c r="FM10" s="2327"/>
      <c r="FN10" s="2327"/>
      <c r="FO10" s="2327"/>
      <c r="FP10" s="2327"/>
      <c r="FQ10" s="2327"/>
      <c r="FR10" s="2327"/>
      <c r="FS10" s="2327"/>
      <c r="FT10" s="2327"/>
      <c r="FU10" s="2327"/>
      <c r="FV10" s="2327"/>
      <c r="FW10" s="2327"/>
      <c r="FX10" s="2158"/>
      <c r="FY10" s="2158"/>
      <c r="FZ10" s="2157">
        <f t="shared" si="1"/>
        <v>0</v>
      </c>
      <c r="GA10" s="2159">
        <f t="shared" si="2"/>
        <v>0</v>
      </c>
      <c r="GB10" s="2152"/>
    </row>
    <row r="11" spans="1:186" ht="23.25">
      <c r="A11" s="1139">
        <v>0.375</v>
      </c>
      <c r="B11" s="2178"/>
      <c r="C11" s="2314"/>
      <c r="D11" s="2314"/>
      <c r="E11" s="2314"/>
      <c r="F11" s="2318"/>
      <c r="G11" s="2323"/>
      <c r="H11" s="2318"/>
      <c r="I11" s="2318"/>
      <c r="J11" s="2314"/>
      <c r="K11" s="2314"/>
      <c r="L11" s="2314"/>
      <c r="M11" s="2314"/>
      <c r="N11" s="2314"/>
      <c r="O11" s="2314"/>
      <c r="P11" s="2314"/>
      <c r="Q11" s="2314"/>
      <c r="R11" s="2314"/>
      <c r="S11" s="2314"/>
      <c r="T11" s="2314"/>
      <c r="U11" s="2314"/>
      <c r="V11" s="2314"/>
      <c r="W11" s="2314"/>
      <c r="X11" s="2314"/>
      <c r="Y11" s="2314"/>
      <c r="Z11" s="2314"/>
      <c r="AA11" s="2314"/>
      <c r="AB11" s="2314"/>
      <c r="AC11" s="2318"/>
      <c r="AD11" s="2314"/>
      <c r="AE11" s="2314"/>
      <c r="AF11" s="2314"/>
      <c r="AG11" s="2314"/>
      <c r="AH11" s="2314"/>
      <c r="AI11" s="2314"/>
      <c r="AJ11" s="2314"/>
      <c r="AK11" s="2314"/>
      <c r="AL11" s="2314"/>
      <c r="AM11" s="2314"/>
      <c r="AN11" s="2314"/>
      <c r="AO11" s="2314"/>
      <c r="AP11" s="2314"/>
      <c r="AQ11" s="2314"/>
      <c r="AR11" s="2314"/>
      <c r="AS11" s="2314"/>
      <c r="AT11" s="2314"/>
      <c r="AU11" s="2314"/>
      <c r="AV11" s="2314"/>
      <c r="AW11" s="2314"/>
      <c r="AX11" s="2314"/>
      <c r="AY11" s="2314"/>
      <c r="AZ11" s="2314"/>
      <c r="BA11" s="2314"/>
      <c r="BB11" s="2314"/>
      <c r="BC11" s="2314"/>
      <c r="BD11" s="2314"/>
      <c r="BE11" s="2314"/>
      <c r="BF11" s="2314"/>
      <c r="BG11" s="2314"/>
      <c r="BH11" s="2314"/>
      <c r="BI11" s="2314"/>
      <c r="BJ11" s="2314"/>
      <c r="BK11" s="2314"/>
      <c r="BL11" s="2321"/>
      <c r="BM11" s="2314"/>
      <c r="BN11" s="2314"/>
      <c r="BO11" s="2314"/>
      <c r="BP11" s="2314"/>
      <c r="BQ11" s="2314"/>
      <c r="BR11" s="2314"/>
      <c r="BS11" s="2314"/>
      <c r="BT11" s="2314"/>
      <c r="BU11" s="2314"/>
      <c r="BV11" s="2314"/>
      <c r="BW11" s="2314"/>
      <c r="BX11" s="2314"/>
      <c r="BY11" s="2314"/>
      <c r="BZ11" s="2324"/>
      <c r="CA11" s="2318"/>
      <c r="CB11" s="2314"/>
      <c r="CC11" s="2318"/>
      <c r="CD11" s="2318"/>
      <c r="CE11" s="2318"/>
      <c r="CF11" s="2323"/>
      <c r="CG11" s="2318"/>
      <c r="CH11" s="2318"/>
      <c r="CI11" s="2318"/>
      <c r="CJ11" s="2318"/>
      <c r="CK11" s="2318"/>
      <c r="CL11" s="2318"/>
      <c r="CM11" s="2318"/>
      <c r="CN11" s="2318"/>
      <c r="CO11" s="2318"/>
      <c r="CP11" s="2318"/>
      <c r="CQ11" s="2318"/>
      <c r="CR11" s="2318"/>
      <c r="CS11" s="2318"/>
      <c r="CT11" s="2318"/>
      <c r="CU11" s="2318"/>
      <c r="CV11" s="2318"/>
      <c r="CW11" s="2318"/>
      <c r="CX11" s="2318"/>
      <c r="CY11" s="2318"/>
      <c r="CZ11" s="2318"/>
      <c r="DA11" s="2318"/>
      <c r="DB11" s="2318"/>
      <c r="DC11" s="2325"/>
      <c r="DD11" s="2325"/>
      <c r="DE11" s="2324"/>
      <c r="DF11" s="2324"/>
      <c r="DG11" s="2324"/>
      <c r="DH11" s="2324"/>
      <c r="DI11" s="2324"/>
      <c r="DJ11" s="2325"/>
      <c r="DK11" s="2324"/>
      <c r="DL11" s="2324"/>
      <c r="DM11" s="2324"/>
      <c r="DN11" s="2324"/>
      <c r="DO11" s="2318"/>
      <c r="DP11" s="2318"/>
      <c r="DQ11" s="2153">
        <f t="shared" si="0"/>
        <v>0</v>
      </c>
      <c r="DR11" s="2156"/>
      <c r="DS11" s="2156"/>
      <c r="DT11" s="2157"/>
      <c r="DU11" s="2327"/>
      <c r="DV11" s="2157"/>
      <c r="DW11" s="2157"/>
      <c r="DX11" s="2157"/>
      <c r="DY11" s="2157"/>
      <c r="DZ11" s="2157"/>
      <c r="EA11" s="2157"/>
      <c r="EB11" s="2157"/>
      <c r="EC11" s="2157"/>
      <c r="ED11" s="2157"/>
      <c r="EE11" s="2327"/>
      <c r="EF11" s="2329"/>
      <c r="EG11" s="2327"/>
      <c r="EH11" s="2327"/>
      <c r="EI11" s="2327"/>
      <c r="EJ11" s="2327"/>
      <c r="EK11" s="2327"/>
      <c r="EL11" s="2327"/>
      <c r="EM11" s="2327"/>
      <c r="EN11" s="2328"/>
      <c r="EO11" s="2322"/>
      <c r="EP11" s="2327"/>
      <c r="EQ11" s="2327"/>
      <c r="ER11" s="2327"/>
      <c r="ES11" s="2327"/>
      <c r="ET11" s="2327"/>
      <c r="EU11" s="2327"/>
      <c r="EV11" s="2327"/>
      <c r="EW11" s="2327"/>
      <c r="EX11" s="2327"/>
      <c r="EY11" s="2327"/>
      <c r="EZ11" s="2327"/>
      <c r="FA11" s="2327"/>
      <c r="FB11" s="2327"/>
      <c r="FC11" s="2327"/>
      <c r="FD11" s="2327"/>
      <c r="FE11" s="2327"/>
      <c r="FF11" s="2327"/>
      <c r="FG11" s="2327"/>
      <c r="FH11" s="2327"/>
      <c r="FI11" s="2327"/>
      <c r="FJ11" s="2327"/>
      <c r="FK11" s="2327"/>
      <c r="FL11" s="2327"/>
      <c r="FM11" s="2327"/>
      <c r="FN11" s="2327"/>
      <c r="FO11" s="2327"/>
      <c r="FP11" s="2327"/>
      <c r="FQ11" s="2327"/>
      <c r="FR11" s="2327"/>
      <c r="FS11" s="2327"/>
      <c r="FT11" s="2327"/>
      <c r="FU11" s="2327"/>
      <c r="FV11" s="2327"/>
      <c r="FW11" s="2327"/>
      <c r="FX11" s="2158"/>
      <c r="FY11" s="2157"/>
      <c r="FZ11" s="2165">
        <f t="shared" si="1"/>
        <v>0</v>
      </c>
      <c r="GA11" s="2159">
        <f t="shared" si="2"/>
        <v>0</v>
      </c>
      <c r="GB11" s="2152"/>
    </row>
    <row r="12" spans="1:186" ht="23.25">
      <c r="A12" s="1139">
        <v>0.41666666666666669</v>
      </c>
      <c r="B12" s="2178"/>
      <c r="C12" s="2314"/>
      <c r="D12" s="2314"/>
      <c r="E12" s="2314"/>
      <c r="F12" s="2318"/>
      <c r="G12" s="2323"/>
      <c r="H12" s="2318"/>
      <c r="I12" s="2318"/>
      <c r="J12" s="2314"/>
      <c r="K12" s="2314"/>
      <c r="L12" s="2314"/>
      <c r="M12" s="2314"/>
      <c r="N12" s="2314"/>
      <c r="O12" s="2314"/>
      <c r="P12" s="2314"/>
      <c r="Q12" s="2314"/>
      <c r="R12" s="2314"/>
      <c r="S12" s="2314"/>
      <c r="T12" s="2314"/>
      <c r="U12" s="2314"/>
      <c r="V12" s="2314"/>
      <c r="W12" s="2314"/>
      <c r="X12" s="2314"/>
      <c r="Y12" s="2314"/>
      <c r="Z12" s="2314"/>
      <c r="AA12" s="2314"/>
      <c r="AB12" s="2314"/>
      <c r="AC12" s="2318"/>
      <c r="AD12" s="2314"/>
      <c r="AE12" s="2314"/>
      <c r="AF12" s="2314"/>
      <c r="AG12" s="2314"/>
      <c r="AH12" s="2314"/>
      <c r="AI12" s="2314"/>
      <c r="AJ12" s="2314"/>
      <c r="AK12" s="2314"/>
      <c r="AL12" s="2314"/>
      <c r="AM12" s="2314"/>
      <c r="AN12" s="2314"/>
      <c r="AO12" s="2314"/>
      <c r="AP12" s="2314"/>
      <c r="AQ12" s="2314"/>
      <c r="AR12" s="2314"/>
      <c r="AS12" s="2314"/>
      <c r="AT12" s="2314"/>
      <c r="AU12" s="2314"/>
      <c r="AV12" s="2314"/>
      <c r="AW12" s="2314"/>
      <c r="AX12" s="2314"/>
      <c r="AY12" s="2314"/>
      <c r="AZ12" s="2314"/>
      <c r="BA12" s="2314"/>
      <c r="BB12" s="2314"/>
      <c r="BC12" s="2314"/>
      <c r="BD12" s="2314"/>
      <c r="BE12" s="2314"/>
      <c r="BF12" s="2314"/>
      <c r="BG12" s="2314"/>
      <c r="BH12" s="2314"/>
      <c r="BI12" s="2314"/>
      <c r="BJ12" s="2314"/>
      <c r="BK12" s="2314"/>
      <c r="BL12" s="2321"/>
      <c r="BM12" s="2314"/>
      <c r="BN12" s="2314"/>
      <c r="BO12" s="2314"/>
      <c r="BP12" s="2314"/>
      <c r="BQ12" s="2314"/>
      <c r="BR12" s="2314"/>
      <c r="BS12" s="2314"/>
      <c r="BT12" s="2314"/>
      <c r="BU12" s="2314"/>
      <c r="BV12" s="2314"/>
      <c r="BW12" s="2314"/>
      <c r="BX12" s="2314"/>
      <c r="BY12" s="2314"/>
      <c r="BZ12" s="2324"/>
      <c r="CA12" s="2318"/>
      <c r="CB12" s="2314"/>
      <c r="CC12" s="2318"/>
      <c r="CD12" s="2318"/>
      <c r="CE12" s="2318"/>
      <c r="CF12" s="2323"/>
      <c r="CG12" s="2318"/>
      <c r="CH12" s="2318"/>
      <c r="CI12" s="2318"/>
      <c r="CJ12" s="2318"/>
      <c r="CK12" s="2318"/>
      <c r="CL12" s="2318"/>
      <c r="CM12" s="2318"/>
      <c r="CN12" s="2318"/>
      <c r="CO12" s="2318"/>
      <c r="CP12" s="2318"/>
      <c r="CQ12" s="2318"/>
      <c r="CR12" s="2318"/>
      <c r="CS12" s="2318"/>
      <c r="CT12" s="2318"/>
      <c r="CU12" s="2318"/>
      <c r="CV12" s="2318"/>
      <c r="CW12" s="2318"/>
      <c r="CX12" s="2318"/>
      <c r="CY12" s="2318"/>
      <c r="CZ12" s="2318"/>
      <c r="DA12" s="2318"/>
      <c r="DB12" s="2318"/>
      <c r="DC12" s="2325"/>
      <c r="DD12" s="2325"/>
      <c r="DE12" s="2324"/>
      <c r="DF12" s="2324"/>
      <c r="DG12" s="2324"/>
      <c r="DH12" s="2324"/>
      <c r="DI12" s="2324"/>
      <c r="DJ12" s="2325"/>
      <c r="DK12" s="2324"/>
      <c r="DL12" s="2324"/>
      <c r="DM12" s="2324"/>
      <c r="DN12" s="2324"/>
      <c r="DO12" s="2324"/>
      <c r="DP12" s="2324"/>
      <c r="DQ12" s="2153">
        <f t="shared" si="0"/>
        <v>0</v>
      </c>
      <c r="DR12" s="2192"/>
      <c r="DS12" s="2192"/>
      <c r="DT12" s="2165"/>
      <c r="DU12" s="2330"/>
      <c r="DV12" s="2165"/>
      <c r="DW12" s="2165"/>
      <c r="DX12" s="2165"/>
      <c r="DY12" s="2165"/>
      <c r="DZ12" s="2165"/>
      <c r="EA12" s="2165"/>
      <c r="EB12" s="2165"/>
      <c r="EC12" s="2165"/>
      <c r="ED12" s="2165"/>
      <c r="EE12" s="2327"/>
      <c r="EF12" s="2329"/>
      <c r="EG12" s="2327"/>
      <c r="EH12" s="2327"/>
      <c r="EI12" s="2327"/>
      <c r="EJ12" s="2327"/>
      <c r="EK12" s="2327"/>
      <c r="EL12" s="2327"/>
      <c r="EM12" s="2327"/>
      <c r="EN12" s="2328"/>
      <c r="EO12" s="2322"/>
      <c r="EP12" s="2327"/>
      <c r="EQ12" s="2327"/>
      <c r="ER12" s="2327"/>
      <c r="ES12" s="2327"/>
      <c r="ET12" s="2327"/>
      <c r="EU12" s="2327"/>
      <c r="EV12" s="2327"/>
      <c r="EW12" s="2327"/>
      <c r="EX12" s="2327"/>
      <c r="EY12" s="2327"/>
      <c r="EZ12" s="2327"/>
      <c r="FA12" s="2327"/>
      <c r="FB12" s="2327"/>
      <c r="FC12" s="2327"/>
      <c r="FD12" s="2327"/>
      <c r="FE12" s="2327"/>
      <c r="FF12" s="2327"/>
      <c r="FG12" s="2327"/>
      <c r="FH12" s="2327"/>
      <c r="FI12" s="2327"/>
      <c r="FJ12" s="2327"/>
      <c r="FK12" s="2327"/>
      <c r="FL12" s="2327"/>
      <c r="FM12" s="2327"/>
      <c r="FN12" s="2327"/>
      <c r="FO12" s="2327"/>
      <c r="FP12" s="2327"/>
      <c r="FQ12" s="2327"/>
      <c r="FR12" s="2327"/>
      <c r="FS12" s="2327"/>
      <c r="FT12" s="2327"/>
      <c r="FU12" s="2327"/>
      <c r="FV12" s="2327"/>
      <c r="FW12" s="2327"/>
      <c r="FX12" s="2193"/>
      <c r="FY12" s="2157"/>
      <c r="FZ12" s="2157">
        <f t="shared" si="1"/>
        <v>0</v>
      </c>
      <c r="GA12" s="2159">
        <f t="shared" si="2"/>
        <v>0</v>
      </c>
      <c r="GB12" s="2152"/>
    </row>
    <row r="13" spans="1:186" ht="23.25">
      <c r="A13" s="1139">
        <v>0.45833333333333331</v>
      </c>
      <c r="B13" s="2178"/>
      <c r="C13" s="2314"/>
      <c r="D13" s="2314"/>
      <c r="E13" s="2314"/>
      <c r="F13" s="2318"/>
      <c r="G13" s="2323"/>
      <c r="H13" s="2318"/>
      <c r="I13" s="2318"/>
      <c r="J13" s="2314"/>
      <c r="K13" s="2314"/>
      <c r="L13" s="2314"/>
      <c r="M13" s="2314"/>
      <c r="N13" s="2314"/>
      <c r="O13" s="2314"/>
      <c r="P13" s="2314"/>
      <c r="Q13" s="2314"/>
      <c r="R13" s="2314"/>
      <c r="S13" s="2314"/>
      <c r="T13" s="2314"/>
      <c r="U13" s="2314"/>
      <c r="V13" s="2314"/>
      <c r="W13" s="2314"/>
      <c r="X13" s="2314"/>
      <c r="Y13" s="2314"/>
      <c r="Z13" s="2314"/>
      <c r="AA13" s="2314"/>
      <c r="AB13" s="2314"/>
      <c r="AC13" s="2318"/>
      <c r="AD13" s="2314"/>
      <c r="AE13" s="2314"/>
      <c r="AF13" s="2314"/>
      <c r="AG13" s="2314"/>
      <c r="AH13" s="2314"/>
      <c r="AI13" s="2314"/>
      <c r="AJ13" s="2314"/>
      <c r="AK13" s="2314"/>
      <c r="AL13" s="2314"/>
      <c r="AM13" s="2314"/>
      <c r="AN13" s="2314"/>
      <c r="AO13" s="2314"/>
      <c r="AP13" s="2314"/>
      <c r="AQ13" s="2314"/>
      <c r="AR13" s="2314"/>
      <c r="AS13" s="2314"/>
      <c r="AT13" s="2314"/>
      <c r="AU13" s="2314"/>
      <c r="AV13" s="2314"/>
      <c r="AW13" s="2314"/>
      <c r="AX13" s="2314"/>
      <c r="AY13" s="2314"/>
      <c r="AZ13" s="2314"/>
      <c r="BA13" s="2314"/>
      <c r="BB13" s="2314"/>
      <c r="BC13" s="2314"/>
      <c r="BD13" s="2314"/>
      <c r="BE13" s="2314"/>
      <c r="BF13" s="2314"/>
      <c r="BG13" s="2314"/>
      <c r="BH13" s="2314"/>
      <c r="BI13" s="2314"/>
      <c r="BJ13" s="2314"/>
      <c r="BK13" s="2314"/>
      <c r="BL13" s="2321"/>
      <c r="BM13" s="2314"/>
      <c r="BN13" s="2314"/>
      <c r="BO13" s="2314"/>
      <c r="BP13" s="2314"/>
      <c r="BQ13" s="2314"/>
      <c r="BR13" s="2314"/>
      <c r="BS13" s="2314"/>
      <c r="BT13" s="2314"/>
      <c r="BU13" s="2314"/>
      <c r="BV13" s="2314"/>
      <c r="BW13" s="2314"/>
      <c r="BX13" s="2314"/>
      <c r="BY13" s="2314"/>
      <c r="BZ13" s="2324"/>
      <c r="CA13" s="2318"/>
      <c r="CB13" s="2314"/>
      <c r="CC13" s="2318"/>
      <c r="CD13" s="2318"/>
      <c r="CE13" s="2318"/>
      <c r="CF13" s="2323"/>
      <c r="CG13" s="2318"/>
      <c r="CH13" s="2318"/>
      <c r="CI13" s="2318"/>
      <c r="CJ13" s="2318"/>
      <c r="CK13" s="2318"/>
      <c r="CL13" s="2318"/>
      <c r="CM13" s="2318"/>
      <c r="CN13" s="2318"/>
      <c r="CO13" s="2318"/>
      <c r="CP13" s="2318"/>
      <c r="CQ13" s="2318"/>
      <c r="CR13" s="2318"/>
      <c r="CS13" s="2318"/>
      <c r="CT13" s="2318"/>
      <c r="CU13" s="2318"/>
      <c r="CV13" s="2318"/>
      <c r="CW13" s="2318"/>
      <c r="CX13" s="2318"/>
      <c r="CY13" s="2318"/>
      <c r="CZ13" s="2318"/>
      <c r="DA13" s="2318"/>
      <c r="DB13" s="2318"/>
      <c r="DC13" s="2325"/>
      <c r="DD13" s="2325"/>
      <c r="DE13" s="2324"/>
      <c r="DF13" s="2324"/>
      <c r="DG13" s="2324"/>
      <c r="DH13" s="2324"/>
      <c r="DI13" s="2324"/>
      <c r="DJ13" s="2325"/>
      <c r="DK13" s="2324"/>
      <c r="DL13" s="2324"/>
      <c r="DM13" s="2324"/>
      <c r="DN13" s="2324"/>
      <c r="DO13" s="2324"/>
      <c r="DP13" s="2324"/>
      <c r="DQ13" s="2153">
        <f t="shared" si="0"/>
        <v>0</v>
      </c>
      <c r="DR13" s="2156"/>
      <c r="DS13" s="2156"/>
      <c r="DT13" s="2157"/>
      <c r="DU13" s="2327"/>
      <c r="DV13" s="2157"/>
      <c r="DW13" s="2157"/>
      <c r="DX13" s="2157"/>
      <c r="DY13" s="2157"/>
      <c r="DZ13" s="2157"/>
      <c r="EA13" s="2157"/>
      <c r="EB13" s="2157"/>
      <c r="EC13" s="2157"/>
      <c r="ED13" s="2157"/>
      <c r="EE13" s="2327"/>
      <c r="EF13" s="2327"/>
      <c r="EG13" s="2327"/>
      <c r="EH13" s="2327"/>
      <c r="EI13" s="2327"/>
      <c r="EJ13" s="2327"/>
      <c r="EK13" s="2327"/>
      <c r="EL13" s="2327"/>
      <c r="EM13" s="2327"/>
      <c r="EN13" s="2328"/>
      <c r="EO13" s="2322"/>
      <c r="EP13" s="2327"/>
      <c r="EQ13" s="2327"/>
      <c r="ER13" s="2327"/>
      <c r="ES13" s="2327"/>
      <c r="ET13" s="2327"/>
      <c r="EU13" s="2327"/>
      <c r="EV13" s="2327"/>
      <c r="EW13" s="2327"/>
      <c r="EX13" s="2327"/>
      <c r="EY13" s="2327"/>
      <c r="EZ13" s="2327"/>
      <c r="FA13" s="2327"/>
      <c r="FB13" s="2327"/>
      <c r="FC13" s="2327"/>
      <c r="FD13" s="2327"/>
      <c r="FE13" s="2327"/>
      <c r="FF13" s="2327"/>
      <c r="FG13" s="2327"/>
      <c r="FH13" s="2327"/>
      <c r="FI13" s="2327"/>
      <c r="FJ13" s="2327"/>
      <c r="FK13" s="2327"/>
      <c r="FL13" s="2327"/>
      <c r="FM13" s="2327"/>
      <c r="FN13" s="2327"/>
      <c r="FO13" s="2327"/>
      <c r="FP13" s="2327"/>
      <c r="FQ13" s="2327"/>
      <c r="FR13" s="2327"/>
      <c r="FS13" s="2327"/>
      <c r="FT13" s="2327"/>
      <c r="FU13" s="2327"/>
      <c r="FV13" s="2327"/>
      <c r="FW13" s="2327"/>
      <c r="FX13" s="2158"/>
      <c r="FY13" s="2157"/>
      <c r="FZ13" s="2157">
        <f t="shared" si="1"/>
        <v>0</v>
      </c>
      <c r="GA13" s="2159">
        <f t="shared" si="2"/>
        <v>0</v>
      </c>
      <c r="GB13" s="2152"/>
    </row>
    <row r="14" spans="1:186" ht="23.25">
      <c r="A14" s="1139">
        <v>0.5</v>
      </c>
      <c r="B14" s="2178"/>
      <c r="C14" s="2314"/>
      <c r="D14" s="2314"/>
      <c r="E14" s="2314"/>
      <c r="F14" s="2318"/>
      <c r="G14" s="2323"/>
      <c r="H14" s="2318"/>
      <c r="I14" s="2318"/>
      <c r="J14" s="2314"/>
      <c r="K14" s="2314"/>
      <c r="L14" s="2314"/>
      <c r="M14" s="2314"/>
      <c r="N14" s="2314"/>
      <c r="O14" s="2314"/>
      <c r="P14" s="2314"/>
      <c r="Q14" s="2314"/>
      <c r="R14" s="2314"/>
      <c r="S14" s="2314"/>
      <c r="T14" s="2314"/>
      <c r="U14" s="2314"/>
      <c r="V14" s="2314"/>
      <c r="W14" s="2314"/>
      <c r="X14" s="2314"/>
      <c r="Y14" s="2314"/>
      <c r="Z14" s="2314"/>
      <c r="AA14" s="2314"/>
      <c r="AB14" s="2314"/>
      <c r="AC14" s="2318"/>
      <c r="AD14" s="2314"/>
      <c r="AE14" s="2314"/>
      <c r="AF14" s="2314"/>
      <c r="AG14" s="2314"/>
      <c r="AH14" s="2314"/>
      <c r="AI14" s="2314"/>
      <c r="AJ14" s="2314"/>
      <c r="AK14" s="2314"/>
      <c r="AL14" s="2314"/>
      <c r="AM14" s="2314"/>
      <c r="AN14" s="2314"/>
      <c r="AO14" s="2314"/>
      <c r="AP14" s="2314"/>
      <c r="AQ14" s="2314"/>
      <c r="AR14" s="2314"/>
      <c r="AS14" s="2314"/>
      <c r="AT14" s="2314"/>
      <c r="AU14" s="2314"/>
      <c r="AV14" s="2314"/>
      <c r="AW14" s="2314"/>
      <c r="AX14" s="2314"/>
      <c r="AY14" s="2314"/>
      <c r="AZ14" s="2314"/>
      <c r="BA14" s="2314"/>
      <c r="BB14" s="2314"/>
      <c r="BC14" s="2314"/>
      <c r="BD14" s="2314"/>
      <c r="BE14" s="2314"/>
      <c r="BF14" s="2314"/>
      <c r="BG14" s="2314"/>
      <c r="BH14" s="2314"/>
      <c r="BI14" s="2314"/>
      <c r="BJ14" s="2314"/>
      <c r="BK14" s="2314"/>
      <c r="BL14" s="2321"/>
      <c r="BM14" s="2314"/>
      <c r="BN14" s="2314"/>
      <c r="BO14" s="2314"/>
      <c r="BP14" s="2314"/>
      <c r="BQ14" s="2314"/>
      <c r="BR14" s="2314"/>
      <c r="BS14" s="2314"/>
      <c r="BT14" s="2314"/>
      <c r="BU14" s="2314"/>
      <c r="BV14" s="2314"/>
      <c r="BW14" s="2314"/>
      <c r="BX14" s="2314"/>
      <c r="BY14" s="2314"/>
      <c r="BZ14" s="2324"/>
      <c r="CA14" s="2318"/>
      <c r="CB14" s="2314"/>
      <c r="CC14" s="2318"/>
      <c r="CD14" s="2318"/>
      <c r="CE14" s="2318"/>
      <c r="CF14" s="2323"/>
      <c r="CG14" s="2318"/>
      <c r="CH14" s="2318"/>
      <c r="CI14" s="2318"/>
      <c r="CJ14" s="2318"/>
      <c r="CK14" s="2318"/>
      <c r="CL14" s="2318"/>
      <c r="CM14" s="2318"/>
      <c r="CN14" s="2318"/>
      <c r="CO14" s="2318"/>
      <c r="CP14" s="2318"/>
      <c r="CQ14" s="2318"/>
      <c r="CR14" s="2318"/>
      <c r="CS14" s="2318"/>
      <c r="CT14" s="2318"/>
      <c r="CU14" s="2318"/>
      <c r="CV14" s="2318"/>
      <c r="CW14" s="2318"/>
      <c r="CX14" s="2318"/>
      <c r="CY14" s="2318"/>
      <c r="CZ14" s="2318"/>
      <c r="DA14" s="2318"/>
      <c r="DB14" s="2318"/>
      <c r="DC14" s="2325"/>
      <c r="DD14" s="2325"/>
      <c r="DE14" s="2324"/>
      <c r="DF14" s="2324"/>
      <c r="DG14" s="2324"/>
      <c r="DH14" s="2324"/>
      <c r="DI14" s="2324"/>
      <c r="DJ14" s="2325"/>
      <c r="DK14" s="2324"/>
      <c r="DL14" s="2324"/>
      <c r="DM14" s="2324"/>
      <c r="DN14" s="2324"/>
      <c r="DO14" s="2324"/>
      <c r="DP14" s="2324"/>
      <c r="DQ14" s="2153">
        <f t="shared" si="0"/>
        <v>0</v>
      </c>
      <c r="DR14" s="2156"/>
      <c r="DS14" s="2156"/>
      <c r="DT14" s="2157"/>
      <c r="DU14" s="2327"/>
      <c r="DV14" s="2157"/>
      <c r="DW14" s="2157"/>
      <c r="DX14" s="2157"/>
      <c r="DY14" s="2157"/>
      <c r="DZ14" s="2157"/>
      <c r="EA14" s="2157"/>
      <c r="EB14" s="2157"/>
      <c r="EC14" s="2157"/>
      <c r="ED14" s="2157"/>
      <c r="EE14" s="2327"/>
      <c r="EF14" s="2329"/>
      <c r="EG14" s="2327"/>
      <c r="EH14" s="2327"/>
      <c r="EI14" s="2327"/>
      <c r="EJ14" s="2327"/>
      <c r="EK14" s="2327"/>
      <c r="EL14" s="2327"/>
      <c r="EM14" s="2327"/>
      <c r="EN14" s="2328"/>
      <c r="EO14" s="2322"/>
      <c r="EP14" s="2327"/>
      <c r="EQ14" s="2327"/>
      <c r="ER14" s="2327"/>
      <c r="ES14" s="2327"/>
      <c r="ET14" s="2327"/>
      <c r="EU14" s="2327"/>
      <c r="EV14" s="2327"/>
      <c r="EW14" s="2327"/>
      <c r="EX14" s="2327"/>
      <c r="EY14" s="2327"/>
      <c r="EZ14" s="2327"/>
      <c r="FA14" s="2327"/>
      <c r="FB14" s="2327"/>
      <c r="FC14" s="2327"/>
      <c r="FD14" s="2327"/>
      <c r="FE14" s="2327"/>
      <c r="FF14" s="2327"/>
      <c r="FG14" s="2327"/>
      <c r="FH14" s="2327"/>
      <c r="FI14" s="2327"/>
      <c r="FJ14" s="2327"/>
      <c r="FK14" s="2327"/>
      <c r="FL14" s="2327"/>
      <c r="FM14" s="2327"/>
      <c r="FN14" s="2327"/>
      <c r="FO14" s="2327"/>
      <c r="FP14" s="2327"/>
      <c r="FQ14" s="2327"/>
      <c r="FR14" s="2327"/>
      <c r="FS14" s="2327"/>
      <c r="FT14" s="2327"/>
      <c r="FU14" s="2327"/>
      <c r="FV14" s="2327"/>
      <c r="FW14" s="2327"/>
      <c r="FX14" s="2158"/>
      <c r="FY14" s="2157"/>
      <c r="FZ14" s="2157">
        <f t="shared" si="1"/>
        <v>0</v>
      </c>
      <c r="GA14" s="2159">
        <f t="shared" si="2"/>
        <v>0</v>
      </c>
      <c r="GB14" s="2152"/>
    </row>
    <row r="15" spans="1:186" ht="23.25">
      <c r="A15" s="1139">
        <v>0.54166666666666663</v>
      </c>
      <c r="B15" s="2178"/>
      <c r="C15" s="2314"/>
      <c r="D15" s="2314"/>
      <c r="E15" s="2314"/>
      <c r="F15" s="2318"/>
      <c r="G15" s="2323"/>
      <c r="H15" s="2318"/>
      <c r="I15" s="2318"/>
      <c r="J15" s="2314"/>
      <c r="K15" s="2314"/>
      <c r="L15" s="2314"/>
      <c r="M15" s="2314"/>
      <c r="N15" s="2314"/>
      <c r="O15" s="2314"/>
      <c r="P15" s="2314"/>
      <c r="Q15" s="2314"/>
      <c r="R15" s="2314"/>
      <c r="S15" s="2314"/>
      <c r="T15" s="2314"/>
      <c r="U15" s="2314"/>
      <c r="V15" s="2314"/>
      <c r="W15" s="2314"/>
      <c r="X15" s="2314"/>
      <c r="Y15" s="2314"/>
      <c r="Z15" s="2314"/>
      <c r="AA15" s="2314"/>
      <c r="AB15" s="2314"/>
      <c r="AC15" s="2318"/>
      <c r="AD15" s="2314"/>
      <c r="AE15" s="2314"/>
      <c r="AF15" s="2314"/>
      <c r="AG15" s="2314"/>
      <c r="AH15" s="2314"/>
      <c r="AI15" s="2314"/>
      <c r="AJ15" s="2314"/>
      <c r="AK15" s="2314"/>
      <c r="AL15" s="2314"/>
      <c r="AM15" s="2314"/>
      <c r="AN15" s="2314"/>
      <c r="AO15" s="2314"/>
      <c r="AP15" s="2314"/>
      <c r="AQ15" s="2314"/>
      <c r="AR15" s="2314"/>
      <c r="AS15" s="2314"/>
      <c r="AT15" s="2314"/>
      <c r="AU15" s="2314"/>
      <c r="AV15" s="2314"/>
      <c r="AW15" s="2314"/>
      <c r="AX15" s="2314"/>
      <c r="AY15" s="2314"/>
      <c r="AZ15" s="2314"/>
      <c r="BA15" s="2314"/>
      <c r="BB15" s="2314"/>
      <c r="BC15" s="2314"/>
      <c r="BD15" s="2314"/>
      <c r="BE15" s="2314"/>
      <c r="BF15" s="2314"/>
      <c r="BG15" s="2314"/>
      <c r="BH15" s="2314"/>
      <c r="BI15" s="2314"/>
      <c r="BJ15" s="2314"/>
      <c r="BK15" s="2314"/>
      <c r="BL15" s="2321"/>
      <c r="BM15" s="2314"/>
      <c r="BN15" s="2314"/>
      <c r="BO15" s="2314"/>
      <c r="BP15" s="2314"/>
      <c r="BQ15" s="2314"/>
      <c r="BR15" s="2314"/>
      <c r="BS15" s="2314"/>
      <c r="BT15" s="2314"/>
      <c r="BU15" s="2314"/>
      <c r="BV15" s="2314"/>
      <c r="BW15" s="2314"/>
      <c r="BX15" s="2314"/>
      <c r="BY15" s="2314"/>
      <c r="BZ15" s="2324"/>
      <c r="CA15" s="2318"/>
      <c r="CB15" s="2314"/>
      <c r="CC15" s="2318"/>
      <c r="CD15" s="2318"/>
      <c r="CE15" s="2318"/>
      <c r="CF15" s="2323"/>
      <c r="CG15" s="2318"/>
      <c r="CH15" s="2318"/>
      <c r="CI15" s="2318"/>
      <c r="CJ15" s="2318"/>
      <c r="CK15" s="2318"/>
      <c r="CL15" s="2318"/>
      <c r="CM15" s="2318"/>
      <c r="CN15" s="2318"/>
      <c r="CO15" s="2318"/>
      <c r="CP15" s="2318"/>
      <c r="CQ15" s="2318"/>
      <c r="CR15" s="2318"/>
      <c r="CS15" s="2318"/>
      <c r="CT15" s="2318"/>
      <c r="CU15" s="2318"/>
      <c r="CV15" s="2318"/>
      <c r="CW15" s="2318"/>
      <c r="CX15" s="2318"/>
      <c r="CY15" s="2318"/>
      <c r="CZ15" s="2318"/>
      <c r="DA15" s="2318"/>
      <c r="DB15" s="2318"/>
      <c r="DC15" s="2323"/>
      <c r="DD15" s="2325"/>
      <c r="DE15" s="2324"/>
      <c r="DF15" s="2324"/>
      <c r="DG15" s="2324"/>
      <c r="DH15" s="2324"/>
      <c r="DI15" s="2324"/>
      <c r="DJ15" s="2325"/>
      <c r="DK15" s="2324"/>
      <c r="DL15" s="2324"/>
      <c r="DM15" s="2324"/>
      <c r="DN15" s="2324"/>
      <c r="DO15" s="2324"/>
      <c r="DP15" s="2324"/>
      <c r="DQ15" s="2153">
        <f t="shared" si="0"/>
        <v>0</v>
      </c>
      <c r="DR15" s="2326"/>
      <c r="DS15" s="2326"/>
      <c r="DT15" s="2327"/>
      <c r="DU15" s="2327"/>
      <c r="DV15" s="2327"/>
      <c r="DW15" s="2327"/>
      <c r="DX15" s="2327"/>
      <c r="DY15" s="2327"/>
      <c r="DZ15" s="2327"/>
      <c r="EA15" s="2327"/>
      <c r="EB15" s="2327"/>
      <c r="EC15" s="2327"/>
      <c r="ED15" s="2157"/>
      <c r="EE15" s="2327"/>
      <c r="EF15" s="2329"/>
      <c r="EG15" s="2327"/>
      <c r="EH15" s="2327"/>
      <c r="EI15" s="2327"/>
      <c r="EJ15" s="2327"/>
      <c r="EK15" s="2327"/>
      <c r="EL15" s="2327"/>
      <c r="EM15" s="2327"/>
      <c r="EN15" s="2328"/>
      <c r="EO15" s="2322"/>
      <c r="EP15" s="2327"/>
      <c r="EQ15" s="2327"/>
      <c r="ER15" s="2327"/>
      <c r="ES15" s="2327"/>
      <c r="ET15" s="2327"/>
      <c r="EU15" s="2327"/>
      <c r="EV15" s="2327"/>
      <c r="EW15" s="2327"/>
      <c r="EX15" s="2327"/>
      <c r="EY15" s="2327"/>
      <c r="EZ15" s="2327"/>
      <c r="FA15" s="2327"/>
      <c r="FB15" s="2327"/>
      <c r="FC15" s="2327"/>
      <c r="FD15" s="2327"/>
      <c r="FE15" s="2327"/>
      <c r="FF15" s="2327"/>
      <c r="FG15" s="2327"/>
      <c r="FH15" s="2327"/>
      <c r="FI15" s="2327"/>
      <c r="FJ15" s="2327"/>
      <c r="FK15" s="2327"/>
      <c r="FL15" s="2327"/>
      <c r="FM15" s="2327"/>
      <c r="FN15" s="2327"/>
      <c r="FO15" s="2327"/>
      <c r="FP15" s="2327"/>
      <c r="FQ15" s="2327"/>
      <c r="FR15" s="2327"/>
      <c r="FS15" s="2327"/>
      <c r="FT15" s="2327"/>
      <c r="FU15" s="2327"/>
      <c r="FV15" s="2327"/>
      <c r="FW15" s="2327"/>
      <c r="FX15" s="2158"/>
      <c r="FY15" s="2157"/>
      <c r="FZ15" s="2157">
        <f t="shared" si="1"/>
        <v>0</v>
      </c>
      <c r="GA15" s="2159">
        <f t="shared" si="2"/>
        <v>0</v>
      </c>
      <c r="GB15" s="2152"/>
    </row>
    <row r="16" spans="1:186" ht="23.25">
      <c r="A16" s="2195">
        <v>0.58333333333333337</v>
      </c>
      <c r="B16" s="2185"/>
      <c r="C16" s="2315"/>
      <c r="D16" s="2315"/>
      <c r="E16" s="2315"/>
      <c r="F16" s="2319"/>
      <c r="G16" s="2331"/>
      <c r="H16" s="2319"/>
      <c r="I16" s="2319"/>
      <c r="J16" s="2315"/>
      <c r="K16" s="2315"/>
      <c r="L16" s="2315"/>
      <c r="M16" s="2315"/>
      <c r="N16" s="2315"/>
      <c r="O16" s="2315"/>
      <c r="P16" s="2315"/>
      <c r="Q16" s="2315"/>
      <c r="R16" s="2315"/>
      <c r="S16" s="2315"/>
      <c r="T16" s="2315"/>
      <c r="U16" s="2315"/>
      <c r="V16" s="2315"/>
      <c r="W16" s="2315"/>
      <c r="X16" s="2315"/>
      <c r="Y16" s="2315"/>
      <c r="Z16" s="2315"/>
      <c r="AA16" s="2315"/>
      <c r="AB16" s="2315"/>
      <c r="AC16" s="2319"/>
      <c r="AD16" s="2315"/>
      <c r="AE16" s="2315"/>
      <c r="AF16" s="2315"/>
      <c r="AG16" s="2315"/>
      <c r="AH16" s="2315"/>
      <c r="AI16" s="2315"/>
      <c r="AJ16" s="2315"/>
      <c r="AK16" s="2315"/>
      <c r="AL16" s="2315"/>
      <c r="AM16" s="2315"/>
      <c r="AN16" s="2315"/>
      <c r="AO16" s="2315"/>
      <c r="AP16" s="2315"/>
      <c r="AQ16" s="2315"/>
      <c r="AR16" s="2315"/>
      <c r="AS16" s="2315"/>
      <c r="AT16" s="2315"/>
      <c r="AU16" s="2315"/>
      <c r="AV16" s="2315"/>
      <c r="AW16" s="2315"/>
      <c r="AX16" s="2315"/>
      <c r="AY16" s="2315"/>
      <c r="AZ16" s="2315"/>
      <c r="BA16" s="2315"/>
      <c r="BB16" s="2315"/>
      <c r="BC16" s="2315"/>
      <c r="BD16" s="2315"/>
      <c r="BE16" s="2315"/>
      <c r="BF16" s="2315"/>
      <c r="BG16" s="2315"/>
      <c r="BH16" s="2315"/>
      <c r="BI16" s="2315"/>
      <c r="BJ16" s="2315"/>
      <c r="BK16" s="2315"/>
      <c r="BL16" s="2332"/>
      <c r="BM16" s="2315"/>
      <c r="BN16" s="2315"/>
      <c r="BO16" s="2315"/>
      <c r="BP16" s="2315"/>
      <c r="BQ16" s="2315"/>
      <c r="BR16" s="2315"/>
      <c r="BS16" s="2315"/>
      <c r="BT16" s="2315"/>
      <c r="BU16" s="2315"/>
      <c r="BV16" s="2315"/>
      <c r="BW16" s="2315"/>
      <c r="BX16" s="2315"/>
      <c r="BY16" s="2315"/>
      <c r="BZ16" s="2333"/>
      <c r="CA16" s="2319"/>
      <c r="CB16" s="2315"/>
      <c r="CC16" s="2319"/>
      <c r="CD16" s="2319"/>
      <c r="CE16" s="2319"/>
      <c r="CF16" s="2331"/>
      <c r="CG16" s="2319"/>
      <c r="CH16" s="2319"/>
      <c r="CI16" s="2319"/>
      <c r="CJ16" s="2319"/>
      <c r="CK16" s="2319"/>
      <c r="CL16" s="2319"/>
      <c r="CM16" s="2319"/>
      <c r="CN16" s="2319"/>
      <c r="CO16" s="2319"/>
      <c r="CP16" s="2319"/>
      <c r="CQ16" s="2319"/>
      <c r="CR16" s="2319"/>
      <c r="CS16" s="2319"/>
      <c r="CT16" s="2319"/>
      <c r="CU16" s="2319"/>
      <c r="CV16" s="2319"/>
      <c r="CW16" s="2319"/>
      <c r="CX16" s="2319"/>
      <c r="CY16" s="2319"/>
      <c r="CZ16" s="2319"/>
      <c r="DA16" s="2319"/>
      <c r="DB16" s="2319"/>
      <c r="DC16" s="2331"/>
      <c r="DD16" s="2319"/>
      <c r="DE16" s="2333"/>
      <c r="DF16" s="2333"/>
      <c r="DG16" s="2333"/>
      <c r="DH16" s="2333"/>
      <c r="DI16" s="2333"/>
      <c r="DJ16" s="2333"/>
      <c r="DK16" s="2333"/>
      <c r="DL16" s="2333"/>
      <c r="DM16" s="2333"/>
      <c r="DN16" s="2333"/>
      <c r="DO16" s="2333"/>
      <c r="DP16" s="2333"/>
      <c r="DQ16" s="2153">
        <f t="shared" si="0"/>
        <v>0</v>
      </c>
      <c r="DR16" s="2186"/>
      <c r="DS16" s="2161"/>
      <c r="DT16" s="2161"/>
      <c r="DU16" s="2108"/>
      <c r="DV16" s="2162"/>
      <c r="DW16" s="2162"/>
      <c r="DX16" s="2162"/>
      <c r="DY16" s="2162"/>
      <c r="DZ16" s="2162"/>
      <c r="EA16" s="2162"/>
      <c r="EB16" s="2162"/>
      <c r="EC16" s="2162"/>
      <c r="ED16" s="2162"/>
      <c r="EE16" s="2108"/>
      <c r="EF16" s="2108"/>
      <c r="EG16" s="2108"/>
      <c r="EH16" s="2108"/>
      <c r="EI16" s="2108"/>
      <c r="EJ16" s="2108"/>
      <c r="EK16" s="2108"/>
      <c r="EL16" s="2108"/>
      <c r="EM16" s="2108"/>
      <c r="EN16" s="2108"/>
      <c r="EO16" s="2322"/>
      <c r="EP16" s="2108"/>
      <c r="EQ16" s="2334"/>
      <c r="ER16" s="2108"/>
      <c r="ES16" s="2108"/>
      <c r="ET16" s="2108"/>
      <c r="EU16" s="2108"/>
      <c r="EV16" s="2108"/>
      <c r="EW16" s="2335"/>
      <c r="EX16" s="2108"/>
      <c r="EY16" s="2108"/>
      <c r="EZ16" s="2108"/>
      <c r="FA16" s="2108"/>
      <c r="FB16" s="2108"/>
      <c r="FC16" s="2108"/>
      <c r="FD16" s="2108"/>
      <c r="FE16" s="2108"/>
      <c r="FF16" s="2108"/>
      <c r="FG16" s="2108"/>
      <c r="FH16" s="2108"/>
      <c r="FI16" s="2108"/>
      <c r="FJ16" s="2108"/>
      <c r="FK16" s="2108"/>
      <c r="FL16" s="2108"/>
      <c r="FM16" s="2108"/>
      <c r="FN16" s="2108"/>
      <c r="FO16" s="2108"/>
      <c r="FP16" s="2108"/>
      <c r="FQ16" s="2108"/>
      <c r="FR16" s="2108"/>
      <c r="FS16" s="2108"/>
      <c r="FT16" s="2108"/>
      <c r="FU16" s="2108"/>
      <c r="FV16" s="2108"/>
      <c r="FW16" s="2108"/>
      <c r="FX16" s="2163"/>
      <c r="FY16" s="2162"/>
      <c r="FZ16" s="2116">
        <f t="shared" si="1"/>
        <v>0</v>
      </c>
      <c r="GA16" s="2159">
        <f t="shared" si="2"/>
        <v>0</v>
      </c>
      <c r="GB16" s="2152"/>
    </row>
    <row r="17" spans="1:184" ht="23.25">
      <c r="A17" s="2196">
        <v>0.625</v>
      </c>
      <c r="B17" s="2185"/>
      <c r="C17" s="2315"/>
      <c r="D17" s="2315"/>
      <c r="E17" s="2315"/>
      <c r="F17" s="2319"/>
      <c r="G17" s="2331"/>
      <c r="H17" s="2319"/>
      <c r="I17" s="2319"/>
      <c r="J17" s="2315"/>
      <c r="K17" s="2315"/>
      <c r="L17" s="2315"/>
      <c r="M17" s="2315"/>
      <c r="N17" s="2315"/>
      <c r="O17" s="2315"/>
      <c r="P17" s="2315"/>
      <c r="Q17" s="2315"/>
      <c r="R17" s="2315"/>
      <c r="S17" s="2315"/>
      <c r="T17" s="2315"/>
      <c r="U17" s="2315"/>
      <c r="V17" s="2315"/>
      <c r="W17" s="2315"/>
      <c r="X17" s="2315"/>
      <c r="Y17" s="2315"/>
      <c r="Z17" s="2315"/>
      <c r="AA17" s="2315"/>
      <c r="AB17" s="2319"/>
      <c r="AC17" s="2315"/>
      <c r="AD17" s="2315"/>
      <c r="AE17" s="2315"/>
      <c r="AF17" s="2315"/>
      <c r="AG17" s="2315"/>
      <c r="AH17" s="2315"/>
      <c r="AI17" s="2315"/>
      <c r="AJ17" s="2315"/>
      <c r="AK17" s="2315"/>
      <c r="AL17" s="2315"/>
      <c r="AM17" s="2315"/>
      <c r="AN17" s="2315"/>
      <c r="AO17" s="2315"/>
      <c r="AP17" s="2315"/>
      <c r="AQ17" s="2315"/>
      <c r="AR17" s="2315"/>
      <c r="AS17" s="2315"/>
      <c r="AT17" s="2315"/>
      <c r="AU17" s="2315"/>
      <c r="AV17" s="2315"/>
      <c r="AW17" s="2315"/>
      <c r="AX17" s="2315"/>
      <c r="AY17" s="2315"/>
      <c r="AZ17" s="2315"/>
      <c r="BA17" s="2315"/>
      <c r="BB17" s="2315"/>
      <c r="BC17" s="2315"/>
      <c r="BD17" s="2315"/>
      <c r="BE17" s="2315"/>
      <c r="BF17" s="2315"/>
      <c r="BG17" s="2315"/>
      <c r="BH17" s="2315"/>
      <c r="BI17" s="2315"/>
      <c r="BJ17" s="2315"/>
      <c r="BK17" s="2315"/>
      <c r="BL17" s="2332"/>
      <c r="BM17" s="2315"/>
      <c r="BN17" s="2315"/>
      <c r="BO17" s="2315"/>
      <c r="BP17" s="2315"/>
      <c r="BQ17" s="2315"/>
      <c r="BR17" s="2315"/>
      <c r="BS17" s="2315"/>
      <c r="BT17" s="2315"/>
      <c r="BU17" s="2315"/>
      <c r="BV17" s="2315"/>
      <c r="BW17" s="2315"/>
      <c r="BX17" s="2315"/>
      <c r="BY17" s="2333"/>
      <c r="BZ17" s="2319"/>
      <c r="CA17" s="2315"/>
      <c r="CB17" s="2319"/>
      <c r="CC17" s="2319"/>
      <c r="CD17" s="2319"/>
      <c r="CE17" s="2319"/>
      <c r="CF17" s="2331"/>
      <c r="CG17" s="2319"/>
      <c r="CH17" s="2319"/>
      <c r="CI17" s="2319"/>
      <c r="CJ17" s="2319"/>
      <c r="CK17" s="2319"/>
      <c r="CL17" s="2319"/>
      <c r="CM17" s="2319"/>
      <c r="CN17" s="2319"/>
      <c r="CO17" s="2319"/>
      <c r="CP17" s="2319"/>
      <c r="CQ17" s="2319"/>
      <c r="CR17" s="2319"/>
      <c r="CS17" s="2319"/>
      <c r="CT17" s="2319"/>
      <c r="CU17" s="2319"/>
      <c r="CV17" s="2319"/>
      <c r="CW17" s="2319"/>
      <c r="CX17" s="2319"/>
      <c r="CY17" s="2319"/>
      <c r="CZ17" s="2319"/>
      <c r="DA17" s="2319"/>
      <c r="DB17" s="2319"/>
      <c r="DC17" s="2331"/>
      <c r="DD17" s="2319"/>
      <c r="DE17" s="2333"/>
      <c r="DF17" s="2333"/>
      <c r="DG17" s="2333"/>
      <c r="DH17" s="2333"/>
      <c r="DI17" s="2333"/>
      <c r="DJ17" s="2333"/>
      <c r="DK17" s="2333"/>
      <c r="DL17" s="2333"/>
      <c r="DM17" s="2333"/>
      <c r="DN17" s="2319"/>
      <c r="DO17" s="2319"/>
      <c r="DP17" s="2319"/>
      <c r="DQ17" s="2153">
        <f t="shared" si="0"/>
        <v>0</v>
      </c>
      <c r="DR17" s="2186"/>
      <c r="DS17" s="2161"/>
      <c r="DT17" s="2162"/>
      <c r="DU17" s="2108"/>
      <c r="DV17" s="2162"/>
      <c r="DW17" s="2162"/>
      <c r="DX17" s="2162"/>
      <c r="DY17" s="2162"/>
      <c r="DZ17" s="2162"/>
      <c r="EA17" s="2162"/>
      <c r="EB17" s="2162"/>
      <c r="EC17" s="2162"/>
      <c r="ED17" s="2162"/>
      <c r="EE17" s="2108"/>
      <c r="EF17" s="2336"/>
      <c r="EG17" s="2108"/>
      <c r="EH17" s="2108"/>
      <c r="EI17" s="2108"/>
      <c r="EJ17" s="2108"/>
      <c r="EK17" s="2108"/>
      <c r="EL17" s="2108"/>
      <c r="EM17" s="2108"/>
      <c r="EN17" s="2108"/>
      <c r="EO17" s="2322"/>
      <c r="EP17" s="2108"/>
      <c r="EQ17" s="2108"/>
      <c r="ER17" s="2108"/>
      <c r="ES17" s="2108"/>
      <c r="ET17" s="2108"/>
      <c r="EU17" s="2335"/>
      <c r="EV17" s="2108"/>
      <c r="EW17" s="2108"/>
      <c r="EX17" s="2108"/>
      <c r="EY17" s="2108"/>
      <c r="EZ17" s="2108"/>
      <c r="FA17" s="2108"/>
      <c r="FB17" s="2108"/>
      <c r="FC17" s="2108"/>
      <c r="FD17" s="2108"/>
      <c r="FE17" s="2108"/>
      <c r="FF17" s="2108"/>
      <c r="FG17" s="2108"/>
      <c r="FH17" s="2108"/>
      <c r="FI17" s="2108"/>
      <c r="FJ17" s="2108"/>
      <c r="FK17" s="2108"/>
      <c r="FL17" s="2108"/>
      <c r="FM17" s="2108"/>
      <c r="FN17" s="2108"/>
      <c r="FO17" s="2108"/>
      <c r="FP17" s="2108"/>
      <c r="FQ17" s="2108"/>
      <c r="FR17" s="2108"/>
      <c r="FS17" s="2108"/>
      <c r="FT17" s="2108"/>
      <c r="FU17" s="2108"/>
      <c r="FV17" s="2108"/>
      <c r="FW17" s="2108"/>
      <c r="FX17" s="2163"/>
      <c r="FY17" s="2162"/>
      <c r="FZ17" s="2116">
        <f t="shared" si="1"/>
        <v>0</v>
      </c>
      <c r="GA17" s="2159">
        <f t="shared" si="2"/>
        <v>0</v>
      </c>
      <c r="GB17" s="2152"/>
    </row>
    <row r="18" spans="1:184" ht="23.25">
      <c r="A18" s="2195">
        <v>0.66666666666666663</v>
      </c>
      <c r="B18" s="2185"/>
      <c r="C18" s="2315"/>
      <c r="D18" s="2315"/>
      <c r="E18" s="2315"/>
      <c r="F18" s="2319"/>
      <c r="G18" s="2331"/>
      <c r="H18" s="2319"/>
      <c r="I18" s="2319"/>
      <c r="J18" s="2315"/>
      <c r="K18" s="2315"/>
      <c r="L18" s="2315"/>
      <c r="M18" s="2315"/>
      <c r="N18" s="2315"/>
      <c r="O18" s="2315"/>
      <c r="P18" s="2315"/>
      <c r="Q18" s="2315"/>
      <c r="R18" s="2315"/>
      <c r="S18" s="2315"/>
      <c r="T18" s="2315"/>
      <c r="U18" s="2315"/>
      <c r="V18" s="2315"/>
      <c r="W18" s="2315"/>
      <c r="X18" s="2315"/>
      <c r="Y18" s="2315"/>
      <c r="Z18" s="2315"/>
      <c r="AA18" s="2315"/>
      <c r="AB18" s="2319"/>
      <c r="AC18" s="2315"/>
      <c r="AD18" s="2315"/>
      <c r="AE18" s="2315"/>
      <c r="AF18" s="2315"/>
      <c r="AG18" s="2315"/>
      <c r="AH18" s="2315"/>
      <c r="AI18" s="2315"/>
      <c r="AJ18" s="2315"/>
      <c r="AK18" s="2315"/>
      <c r="AL18" s="2315"/>
      <c r="AM18" s="2315"/>
      <c r="AN18" s="2315"/>
      <c r="AO18" s="2315"/>
      <c r="AP18" s="2315"/>
      <c r="AQ18" s="2315"/>
      <c r="AR18" s="2315"/>
      <c r="AS18" s="2315"/>
      <c r="AT18" s="2315"/>
      <c r="AU18" s="2315"/>
      <c r="AV18" s="2315"/>
      <c r="AW18" s="2315"/>
      <c r="AX18" s="2315"/>
      <c r="AY18" s="2315"/>
      <c r="AZ18" s="2315"/>
      <c r="BA18" s="2315"/>
      <c r="BB18" s="2315"/>
      <c r="BC18" s="2315"/>
      <c r="BD18" s="2315"/>
      <c r="BE18" s="2315"/>
      <c r="BF18" s="2315"/>
      <c r="BG18" s="2315"/>
      <c r="BH18" s="2315"/>
      <c r="BI18" s="2315"/>
      <c r="BJ18" s="2315"/>
      <c r="BK18" s="2315"/>
      <c r="BL18" s="2332"/>
      <c r="BM18" s="2315"/>
      <c r="BN18" s="2315"/>
      <c r="BO18" s="2315"/>
      <c r="BP18" s="2315"/>
      <c r="BQ18" s="2315"/>
      <c r="BR18" s="2315"/>
      <c r="BS18" s="2315"/>
      <c r="BT18" s="2315"/>
      <c r="BU18" s="2315"/>
      <c r="BV18" s="2315"/>
      <c r="BW18" s="2315"/>
      <c r="BX18" s="2315"/>
      <c r="BY18" s="2333"/>
      <c r="BZ18" s="2319"/>
      <c r="CA18" s="2315"/>
      <c r="CB18" s="2319"/>
      <c r="CC18" s="2319"/>
      <c r="CD18" s="2319"/>
      <c r="CE18" s="2319"/>
      <c r="CF18" s="2331"/>
      <c r="CG18" s="2319"/>
      <c r="CH18" s="2319"/>
      <c r="CI18" s="2319"/>
      <c r="CJ18" s="2319"/>
      <c r="CK18" s="2319"/>
      <c r="CL18" s="2319"/>
      <c r="CM18" s="2319"/>
      <c r="CN18" s="2319"/>
      <c r="CO18" s="2319"/>
      <c r="CP18" s="2319"/>
      <c r="CQ18" s="2319"/>
      <c r="CR18" s="2319"/>
      <c r="CS18" s="2319"/>
      <c r="CT18" s="2319"/>
      <c r="CU18" s="2319"/>
      <c r="CV18" s="2319"/>
      <c r="CW18" s="2319"/>
      <c r="CX18" s="2319"/>
      <c r="CY18" s="2319"/>
      <c r="CZ18" s="2319"/>
      <c r="DA18" s="2319"/>
      <c r="DB18" s="2319"/>
      <c r="DC18" s="2331"/>
      <c r="DD18" s="2319"/>
      <c r="DE18" s="2333"/>
      <c r="DF18" s="2333"/>
      <c r="DG18" s="2333"/>
      <c r="DH18" s="2333"/>
      <c r="DI18" s="2333"/>
      <c r="DJ18" s="2333"/>
      <c r="DK18" s="2333"/>
      <c r="DL18" s="2333"/>
      <c r="DM18" s="2333"/>
      <c r="DN18" s="2319"/>
      <c r="DO18" s="2319"/>
      <c r="DP18" s="2319"/>
      <c r="DQ18" s="2153">
        <f t="shared" si="0"/>
        <v>0</v>
      </c>
      <c r="DR18" s="2186"/>
      <c r="DS18" s="2161"/>
      <c r="DT18" s="2162"/>
      <c r="DU18" s="2108"/>
      <c r="DV18" s="2162"/>
      <c r="DW18" s="2162"/>
      <c r="DX18" s="2162"/>
      <c r="DY18" s="2162"/>
      <c r="DZ18" s="2162"/>
      <c r="EA18" s="2162"/>
      <c r="EB18" s="2162"/>
      <c r="EC18" s="2162"/>
      <c r="ED18" s="2162"/>
      <c r="EE18" s="2108"/>
      <c r="EF18" s="2336"/>
      <c r="EG18" s="2108"/>
      <c r="EH18" s="2108"/>
      <c r="EI18" s="2108"/>
      <c r="EJ18" s="2108"/>
      <c r="EK18" s="2108"/>
      <c r="EL18" s="2108"/>
      <c r="EM18" s="2108"/>
      <c r="EN18" s="2108"/>
      <c r="EO18" s="2322"/>
      <c r="EP18" s="2108"/>
      <c r="EQ18" s="2108"/>
      <c r="ER18" s="2108"/>
      <c r="ES18" s="2108"/>
      <c r="ET18" s="2108"/>
      <c r="EU18" s="2335"/>
      <c r="EV18" s="2108"/>
      <c r="EW18" s="2108"/>
      <c r="EX18" s="2108"/>
      <c r="EY18" s="2108"/>
      <c r="EZ18" s="2108"/>
      <c r="FA18" s="2108"/>
      <c r="FB18" s="2108"/>
      <c r="FC18" s="2108"/>
      <c r="FD18" s="2108"/>
      <c r="FE18" s="2108"/>
      <c r="FF18" s="2108"/>
      <c r="FG18" s="2108"/>
      <c r="FH18" s="2108"/>
      <c r="FI18" s="2108"/>
      <c r="FJ18" s="2108"/>
      <c r="FK18" s="2108"/>
      <c r="FL18" s="2108"/>
      <c r="FM18" s="2108"/>
      <c r="FN18" s="2108"/>
      <c r="FO18" s="2108"/>
      <c r="FP18" s="2108"/>
      <c r="FQ18" s="2108"/>
      <c r="FR18" s="2108"/>
      <c r="FS18" s="2108"/>
      <c r="FT18" s="2108"/>
      <c r="FU18" s="2108"/>
      <c r="FV18" s="2108"/>
      <c r="FW18" s="2108"/>
      <c r="FX18" s="2160"/>
      <c r="FY18" s="2116"/>
      <c r="FZ18" s="2116">
        <f t="shared" si="1"/>
        <v>0</v>
      </c>
      <c r="GA18" s="2159">
        <f t="shared" si="2"/>
        <v>0</v>
      </c>
      <c r="GB18" s="2152"/>
    </row>
    <row r="19" spans="1:184" ht="23.25">
      <c r="A19" s="2195">
        <v>0.70833333333333337</v>
      </c>
      <c r="B19" s="2185"/>
      <c r="C19" s="2315"/>
      <c r="D19" s="2315"/>
      <c r="E19" s="2315"/>
      <c r="F19" s="2319"/>
      <c r="G19" s="2331"/>
      <c r="H19" s="2319"/>
      <c r="I19" s="2319"/>
      <c r="J19" s="2315"/>
      <c r="K19" s="2315"/>
      <c r="L19" s="2315"/>
      <c r="M19" s="2315"/>
      <c r="N19" s="2315"/>
      <c r="O19" s="2315"/>
      <c r="P19" s="2315"/>
      <c r="Q19" s="2315"/>
      <c r="R19" s="2315"/>
      <c r="S19" s="2315"/>
      <c r="T19" s="2315"/>
      <c r="U19" s="2315"/>
      <c r="V19" s="2315"/>
      <c r="W19" s="2315"/>
      <c r="X19" s="2315"/>
      <c r="Y19" s="2315"/>
      <c r="Z19" s="2315"/>
      <c r="AA19" s="2315"/>
      <c r="AB19" s="2319"/>
      <c r="AC19" s="2315"/>
      <c r="AD19" s="2315"/>
      <c r="AE19" s="2315"/>
      <c r="AF19" s="2315"/>
      <c r="AG19" s="2315"/>
      <c r="AH19" s="2315"/>
      <c r="AI19" s="2315"/>
      <c r="AJ19" s="2315"/>
      <c r="AK19" s="2315"/>
      <c r="AL19" s="2315"/>
      <c r="AM19" s="2315"/>
      <c r="AN19" s="2315"/>
      <c r="AO19" s="2315"/>
      <c r="AP19" s="2315"/>
      <c r="AQ19" s="2315"/>
      <c r="AR19" s="2315"/>
      <c r="AS19" s="2315"/>
      <c r="AT19" s="2315"/>
      <c r="AU19" s="2315"/>
      <c r="AV19" s="2315"/>
      <c r="AW19" s="2315"/>
      <c r="AX19" s="2315"/>
      <c r="AY19" s="2315"/>
      <c r="AZ19" s="2315"/>
      <c r="BA19" s="2315"/>
      <c r="BB19" s="2315"/>
      <c r="BC19" s="2315"/>
      <c r="BD19" s="2315"/>
      <c r="BE19" s="2315"/>
      <c r="BF19" s="2315"/>
      <c r="BG19" s="2315"/>
      <c r="BH19" s="2315"/>
      <c r="BI19" s="2315"/>
      <c r="BJ19" s="2315"/>
      <c r="BK19" s="2315"/>
      <c r="BL19" s="2332"/>
      <c r="BM19" s="2315"/>
      <c r="BN19" s="2315"/>
      <c r="BO19" s="2315"/>
      <c r="BP19" s="2315"/>
      <c r="BQ19" s="2315"/>
      <c r="BR19" s="2315"/>
      <c r="BS19" s="2315"/>
      <c r="BT19" s="2315"/>
      <c r="BU19" s="2315"/>
      <c r="BV19" s="2315"/>
      <c r="BW19" s="2315"/>
      <c r="BX19" s="2315"/>
      <c r="BY19" s="2333"/>
      <c r="BZ19" s="2319"/>
      <c r="CA19" s="2315"/>
      <c r="CB19" s="2319"/>
      <c r="CC19" s="2319"/>
      <c r="CD19" s="2319"/>
      <c r="CE19" s="2319"/>
      <c r="CF19" s="2331"/>
      <c r="CG19" s="2319"/>
      <c r="CH19" s="2319"/>
      <c r="CI19" s="2319"/>
      <c r="CJ19" s="2319"/>
      <c r="CK19" s="2319"/>
      <c r="CL19" s="2319"/>
      <c r="CM19" s="2319"/>
      <c r="CN19" s="2319"/>
      <c r="CO19" s="2319"/>
      <c r="CP19" s="2319"/>
      <c r="CQ19" s="2319"/>
      <c r="CR19" s="2319"/>
      <c r="CS19" s="2319"/>
      <c r="CT19" s="2319"/>
      <c r="CU19" s="2319"/>
      <c r="CV19" s="2319"/>
      <c r="CW19" s="2319"/>
      <c r="CX19" s="2319"/>
      <c r="CY19" s="2319"/>
      <c r="CZ19" s="2319"/>
      <c r="DA19" s="2319"/>
      <c r="DB19" s="2319"/>
      <c r="DC19" s="2331"/>
      <c r="DD19" s="2319"/>
      <c r="DE19" s="2333"/>
      <c r="DF19" s="2333"/>
      <c r="DG19" s="2333"/>
      <c r="DH19" s="2333"/>
      <c r="DI19" s="2333"/>
      <c r="DJ19" s="2333"/>
      <c r="DK19" s="2333"/>
      <c r="DL19" s="2333"/>
      <c r="DM19" s="2333"/>
      <c r="DN19" s="2319"/>
      <c r="DO19" s="2319"/>
      <c r="DP19" s="2319"/>
      <c r="DQ19" s="2153">
        <f t="shared" si="0"/>
        <v>0</v>
      </c>
      <c r="DR19" s="2186"/>
      <c r="DS19" s="2161"/>
      <c r="DT19" s="2162"/>
      <c r="DU19" s="2108"/>
      <c r="DV19" s="2162"/>
      <c r="DW19" s="2162"/>
      <c r="DX19" s="2162"/>
      <c r="DY19" s="2162"/>
      <c r="DZ19" s="2162"/>
      <c r="EA19" s="2162"/>
      <c r="EB19" s="2162"/>
      <c r="EC19" s="2162"/>
      <c r="ED19" s="2162"/>
      <c r="EE19" s="2108"/>
      <c r="EF19" s="2336"/>
      <c r="EG19" s="2108"/>
      <c r="EH19" s="2108"/>
      <c r="EI19" s="2108"/>
      <c r="EJ19" s="2108"/>
      <c r="EK19" s="2108"/>
      <c r="EL19" s="2108"/>
      <c r="EM19" s="2108"/>
      <c r="EN19" s="2108"/>
      <c r="EO19" s="2322"/>
      <c r="EP19" s="2108"/>
      <c r="EQ19" s="2108"/>
      <c r="ER19" s="2108"/>
      <c r="ES19" s="2108"/>
      <c r="ET19" s="2108"/>
      <c r="EU19" s="2335"/>
      <c r="EV19" s="2108"/>
      <c r="EW19" s="2108"/>
      <c r="EX19" s="2108"/>
      <c r="EY19" s="2108"/>
      <c r="EZ19" s="2108"/>
      <c r="FA19" s="2108"/>
      <c r="FB19" s="2108"/>
      <c r="FC19" s="2108"/>
      <c r="FD19" s="2108"/>
      <c r="FE19" s="2108"/>
      <c r="FF19" s="2108"/>
      <c r="FG19" s="2108"/>
      <c r="FH19" s="2108"/>
      <c r="FI19" s="2108"/>
      <c r="FJ19" s="2108"/>
      <c r="FK19" s="2108"/>
      <c r="FL19" s="2108"/>
      <c r="FM19" s="2108"/>
      <c r="FN19" s="2108"/>
      <c r="FO19" s="2108"/>
      <c r="FP19" s="2108"/>
      <c r="FQ19" s="2108"/>
      <c r="FR19" s="2108"/>
      <c r="FS19" s="2108"/>
      <c r="FT19" s="2108"/>
      <c r="FU19" s="2108"/>
      <c r="FV19" s="2108"/>
      <c r="FW19" s="2108"/>
      <c r="FX19" s="2160"/>
      <c r="FY19" s="2116"/>
      <c r="FZ19" s="2116">
        <f t="shared" si="1"/>
        <v>0</v>
      </c>
      <c r="GA19" s="2159">
        <f t="shared" si="2"/>
        <v>0</v>
      </c>
      <c r="GB19" s="2152"/>
    </row>
    <row r="20" spans="1:184" ht="23.25">
      <c r="A20" s="2195">
        <v>0.75</v>
      </c>
      <c r="B20" s="2185"/>
      <c r="C20" s="2315"/>
      <c r="D20" s="2315"/>
      <c r="E20" s="2315"/>
      <c r="F20" s="2319"/>
      <c r="G20" s="2331"/>
      <c r="H20" s="2319"/>
      <c r="I20" s="2319"/>
      <c r="J20" s="2315"/>
      <c r="K20" s="2315"/>
      <c r="L20" s="2315"/>
      <c r="M20" s="2315"/>
      <c r="N20" s="2315"/>
      <c r="O20" s="2315"/>
      <c r="P20" s="2315"/>
      <c r="Q20" s="2315"/>
      <c r="R20" s="2315"/>
      <c r="S20" s="2315"/>
      <c r="T20" s="2315"/>
      <c r="U20" s="2315"/>
      <c r="V20" s="2315"/>
      <c r="W20" s="2315"/>
      <c r="X20" s="2315"/>
      <c r="Y20" s="2315"/>
      <c r="Z20" s="2315"/>
      <c r="AA20" s="2315"/>
      <c r="AB20" s="2319"/>
      <c r="AC20" s="2315"/>
      <c r="AD20" s="2315"/>
      <c r="AE20" s="2315"/>
      <c r="AF20" s="2315"/>
      <c r="AG20" s="2315"/>
      <c r="AH20" s="2315"/>
      <c r="AI20" s="2315"/>
      <c r="AJ20" s="2315"/>
      <c r="AK20" s="2315"/>
      <c r="AL20" s="2315"/>
      <c r="AM20" s="2315"/>
      <c r="AN20" s="2315"/>
      <c r="AO20" s="2315"/>
      <c r="AP20" s="2315"/>
      <c r="AQ20" s="2315"/>
      <c r="AR20" s="2315"/>
      <c r="AS20" s="2315"/>
      <c r="AT20" s="2315"/>
      <c r="AU20" s="2315"/>
      <c r="AV20" s="2315"/>
      <c r="AW20" s="2315"/>
      <c r="AX20" s="2315"/>
      <c r="AY20" s="2315"/>
      <c r="AZ20" s="2315"/>
      <c r="BA20" s="2315"/>
      <c r="BB20" s="2315"/>
      <c r="BC20" s="2315"/>
      <c r="BD20" s="2315"/>
      <c r="BE20" s="2315"/>
      <c r="BF20" s="2315"/>
      <c r="BG20" s="2315"/>
      <c r="BH20" s="2315"/>
      <c r="BI20" s="2315"/>
      <c r="BJ20" s="2315"/>
      <c r="BK20" s="2315"/>
      <c r="BL20" s="2332"/>
      <c r="BM20" s="2315"/>
      <c r="BN20" s="2315"/>
      <c r="BO20" s="2315"/>
      <c r="BP20" s="2315"/>
      <c r="BQ20" s="2315"/>
      <c r="BR20" s="2315"/>
      <c r="BS20" s="2315"/>
      <c r="BT20" s="2315"/>
      <c r="BU20" s="2315"/>
      <c r="BV20" s="2315"/>
      <c r="BW20" s="2315"/>
      <c r="BX20" s="2315"/>
      <c r="BY20" s="2333"/>
      <c r="BZ20" s="2319"/>
      <c r="CA20" s="2315"/>
      <c r="CB20" s="2319"/>
      <c r="CC20" s="2319"/>
      <c r="CD20" s="2319"/>
      <c r="CE20" s="2319"/>
      <c r="CF20" s="2331"/>
      <c r="CG20" s="2319"/>
      <c r="CH20" s="2319"/>
      <c r="CI20" s="2319"/>
      <c r="CJ20" s="2319"/>
      <c r="CK20" s="2319"/>
      <c r="CL20" s="2319"/>
      <c r="CM20" s="2319"/>
      <c r="CN20" s="2319"/>
      <c r="CO20" s="2319"/>
      <c r="CP20" s="2319"/>
      <c r="CQ20" s="2319"/>
      <c r="CR20" s="2319"/>
      <c r="CS20" s="2319"/>
      <c r="CT20" s="2319"/>
      <c r="CU20" s="2319"/>
      <c r="CV20" s="2319"/>
      <c r="CW20" s="2319"/>
      <c r="CX20" s="2319"/>
      <c r="CY20" s="2319"/>
      <c r="CZ20" s="2319"/>
      <c r="DA20" s="2319"/>
      <c r="DB20" s="2319"/>
      <c r="DC20" s="2331"/>
      <c r="DD20" s="2319"/>
      <c r="DE20" s="2333"/>
      <c r="DF20" s="2333"/>
      <c r="DG20" s="2333"/>
      <c r="DH20" s="2333"/>
      <c r="DI20" s="2333"/>
      <c r="DJ20" s="2333"/>
      <c r="DK20" s="2333"/>
      <c r="DL20" s="2333"/>
      <c r="DM20" s="2333"/>
      <c r="DN20" s="2319"/>
      <c r="DO20" s="2319"/>
      <c r="DP20" s="2319"/>
      <c r="DQ20" s="2153">
        <f t="shared" si="0"/>
        <v>0</v>
      </c>
      <c r="DR20" s="2186"/>
      <c r="DS20" s="2161"/>
      <c r="DT20" s="2162"/>
      <c r="DU20" s="2108"/>
      <c r="DV20" s="2162"/>
      <c r="DW20" s="2162"/>
      <c r="DX20" s="2187"/>
      <c r="DY20" s="2162"/>
      <c r="DZ20" s="2162"/>
      <c r="EA20" s="2162"/>
      <c r="EB20" s="2162"/>
      <c r="EC20" s="2162"/>
      <c r="ED20" s="2162"/>
      <c r="EE20" s="2108"/>
      <c r="EF20" s="2108"/>
      <c r="EG20" s="2108"/>
      <c r="EH20" s="2108"/>
      <c r="EI20" s="2108"/>
      <c r="EJ20" s="2108"/>
      <c r="EK20" s="2108"/>
      <c r="EL20" s="2108"/>
      <c r="EM20" s="2108"/>
      <c r="EN20" s="2108"/>
      <c r="EO20" s="2322"/>
      <c r="EP20" s="2108"/>
      <c r="EQ20" s="2334"/>
      <c r="ER20" s="2108"/>
      <c r="ES20" s="2108"/>
      <c r="ET20" s="2108"/>
      <c r="EU20" s="2335"/>
      <c r="EV20" s="2108"/>
      <c r="EW20" s="2108"/>
      <c r="EX20" s="2108"/>
      <c r="EY20" s="2108"/>
      <c r="EZ20" s="2108"/>
      <c r="FA20" s="2108"/>
      <c r="FB20" s="2108"/>
      <c r="FC20" s="2108"/>
      <c r="FD20" s="2108"/>
      <c r="FE20" s="2108"/>
      <c r="FF20" s="2108"/>
      <c r="FG20" s="2108"/>
      <c r="FH20" s="2108"/>
      <c r="FI20" s="2108"/>
      <c r="FJ20" s="2108"/>
      <c r="FK20" s="2108"/>
      <c r="FL20" s="2108"/>
      <c r="FM20" s="2108"/>
      <c r="FN20" s="2108"/>
      <c r="FO20" s="2108"/>
      <c r="FP20" s="2108"/>
      <c r="FQ20" s="2108"/>
      <c r="FR20" s="2108"/>
      <c r="FS20" s="2108"/>
      <c r="FT20" s="2108"/>
      <c r="FU20" s="2108"/>
      <c r="FV20" s="2108"/>
      <c r="FW20" s="2108"/>
      <c r="FX20" s="2163"/>
      <c r="FY20" s="2109"/>
      <c r="FZ20" s="2111">
        <f t="shared" si="1"/>
        <v>0</v>
      </c>
      <c r="GA20" s="2159">
        <f t="shared" si="2"/>
        <v>0</v>
      </c>
      <c r="GB20" s="2152"/>
    </row>
    <row r="21" spans="1:184" ht="9" customHeight="1">
      <c r="A21" s="2112"/>
      <c r="B21" s="2113"/>
      <c r="C21" s="2316"/>
      <c r="D21" s="2316"/>
      <c r="E21" s="2316"/>
      <c r="F21" s="2320"/>
      <c r="G21" s="2353"/>
      <c r="H21" s="2320"/>
      <c r="I21" s="2320"/>
      <c r="J21" s="2316"/>
      <c r="K21" s="2316"/>
      <c r="L21" s="2316"/>
      <c r="M21" s="2316"/>
      <c r="N21" s="2316"/>
      <c r="O21" s="2316"/>
      <c r="P21" s="2316"/>
      <c r="Q21" s="2316"/>
      <c r="R21" s="2316"/>
      <c r="S21" s="2316"/>
      <c r="T21" s="2316"/>
      <c r="U21" s="2316"/>
      <c r="V21" s="2316"/>
      <c r="W21" s="2316"/>
      <c r="X21" s="2316"/>
      <c r="Y21" s="2316"/>
      <c r="Z21" s="2316"/>
      <c r="AA21" s="2316"/>
      <c r="AB21" s="2320"/>
      <c r="AC21" s="2316"/>
      <c r="AD21" s="2316"/>
      <c r="AE21" s="2316"/>
      <c r="AF21" s="2316"/>
      <c r="AG21" s="2316"/>
      <c r="AH21" s="2316"/>
      <c r="AI21" s="2316"/>
      <c r="AJ21" s="2316"/>
      <c r="AK21" s="2316"/>
      <c r="AL21" s="2316"/>
      <c r="AM21" s="2316"/>
      <c r="AN21" s="2316"/>
      <c r="AO21" s="2316"/>
      <c r="AP21" s="2316"/>
      <c r="AQ21" s="2316"/>
      <c r="AR21" s="2316"/>
      <c r="AS21" s="2316"/>
      <c r="AT21" s="2316"/>
      <c r="AU21" s="2316"/>
      <c r="AV21" s="2316"/>
      <c r="AW21" s="2316"/>
      <c r="AX21" s="2316"/>
      <c r="AY21" s="2316"/>
      <c r="AZ21" s="2316"/>
      <c r="BA21" s="2316"/>
      <c r="BB21" s="2316"/>
      <c r="BC21" s="2316"/>
      <c r="BD21" s="2316"/>
      <c r="BE21" s="2316"/>
      <c r="BF21" s="2316"/>
      <c r="BG21" s="2316"/>
      <c r="BH21" s="2316"/>
      <c r="BI21" s="2316"/>
      <c r="BJ21" s="2316"/>
      <c r="BK21" s="2316"/>
      <c r="BL21" s="2354"/>
      <c r="BM21" s="2316"/>
      <c r="BN21" s="2316"/>
      <c r="BO21" s="2316"/>
      <c r="BP21" s="2316"/>
      <c r="BQ21" s="2316"/>
      <c r="BR21" s="2316"/>
      <c r="BS21" s="2316"/>
      <c r="BT21" s="2316"/>
      <c r="BU21" s="2316"/>
      <c r="BV21" s="2316"/>
      <c r="BW21" s="2316"/>
      <c r="BX21" s="2316"/>
      <c r="BY21" s="2355"/>
      <c r="BZ21" s="2320"/>
      <c r="CA21" s="2316"/>
      <c r="CB21" s="2320"/>
      <c r="CC21" s="2320"/>
      <c r="CD21" s="2320"/>
      <c r="CE21" s="2320"/>
      <c r="CF21" s="2353"/>
      <c r="CG21" s="2320"/>
      <c r="CH21" s="2320"/>
      <c r="CI21" s="2320"/>
      <c r="CJ21" s="2320"/>
      <c r="CK21" s="2320"/>
      <c r="CL21" s="2320"/>
      <c r="CM21" s="2320"/>
      <c r="CN21" s="2320"/>
      <c r="CO21" s="2320"/>
      <c r="CP21" s="2320"/>
      <c r="CQ21" s="2320"/>
      <c r="CR21" s="2320"/>
      <c r="CS21" s="2320"/>
      <c r="CT21" s="2320"/>
      <c r="CU21" s="2320"/>
      <c r="CV21" s="2320"/>
      <c r="CW21" s="2320"/>
      <c r="CX21" s="2320"/>
      <c r="CY21" s="2320"/>
      <c r="CZ21" s="2320"/>
      <c r="DA21" s="2320"/>
      <c r="DB21" s="2320"/>
      <c r="DC21" s="2353"/>
      <c r="DD21" s="2320"/>
      <c r="DE21" s="2355"/>
      <c r="DF21" s="2355"/>
      <c r="DG21" s="2355"/>
      <c r="DH21" s="2355"/>
      <c r="DI21" s="2355"/>
      <c r="DJ21" s="2355"/>
      <c r="DK21" s="2355"/>
      <c r="DL21" s="2355"/>
      <c r="DM21" s="2320"/>
      <c r="DN21" s="2320"/>
      <c r="DO21" s="2320"/>
      <c r="DP21" s="2320"/>
      <c r="DQ21" s="2153">
        <f t="shared" si="0"/>
        <v>0</v>
      </c>
      <c r="DR21" s="2188"/>
      <c r="DS21" s="2189"/>
      <c r="DT21" s="2190"/>
      <c r="DU21" s="2356"/>
      <c r="DV21" s="2189"/>
      <c r="DW21" s="2189"/>
      <c r="DX21" s="2189"/>
      <c r="DY21" s="2189"/>
      <c r="DZ21" s="2189"/>
      <c r="EA21" s="2189"/>
      <c r="EB21" s="2189"/>
      <c r="EC21" s="2189"/>
      <c r="ED21" s="2189"/>
      <c r="EE21" s="2357"/>
      <c r="EF21" s="2358"/>
      <c r="EG21" s="2358"/>
      <c r="EH21" s="2358"/>
      <c r="EI21" s="2358"/>
      <c r="EJ21" s="2358"/>
      <c r="EK21" s="2358"/>
      <c r="EL21" s="2358"/>
      <c r="EM21" s="2358"/>
      <c r="EN21" s="2359"/>
      <c r="EO21" s="2360"/>
      <c r="EP21" s="2359"/>
      <c r="EQ21" s="2358"/>
      <c r="ER21" s="2358"/>
      <c r="ES21" s="2358"/>
      <c r="ET21" s="2355"/>
      <c r="EU21" s="2358"/>
      <c r="EV21" s="2358"/>
      <c r="EW21" s="2358"/>
      <c r="EX21" s="2358"/>
      <c r="EY21" s="2358"/>
      <c r="EZ21" s="2358"/>
      <c r="FA21" s="2358"/>
      <c r="FB21" s="2358"/>
      <c r="FC21" s="2358"/>
      <c r="FD21" s="2358"/>
      <c r="FE21" s="2358"/>
      <c r="FF21" s="2358"/>
      <c r="FG21" s="2358"/>
      <c r="FH21" s="2358"/>
      <c r="FI21" s="2358"/>
      <c r="FJ21" s="2358"/>
      <c r="FK21" s="2358"/>
      <c r="FL21" s="2358"/>
      <c r="FM21" s="2358"/>
      <c r="FN21" s="2358"/>
      <c r="FO21" s="2358"/>
      <c r="FP21" s="2358"/>
      <c r="FQ21" s="2358"/>
      <c r="FR21" s="2358"/>
      <c r="FS21" s="2358"/>
      <c r="FT21" s="2358"/>
      <c r="FU21" s="2358"/>
      <c r="FV21" s="2358"/>
      <c r="FW21" s="2358"/>
      <c r="FX21" s="2191"/>
      <c r="FY21" s="2114"/>
      <c r="FZ21" s="2114"/>
      <c r="GA21" s="2159"/>
      <c r="GB21" s="2152"/>
    </row>
    <row r="22" spans="1:184" ht="23.25">
      <c r="A22" s="2195">
        <v>0.79166666666666663</v>
      </c>
      <c r="B22" s="2185"/>
      <c r="C22" s="2315"/>
      <c r="D22" s="2315"/>
      <c r="E22" s="2315"/>
      <c r="F22" s="2319"/>
      <c r="G22" s="2331"/>
      <c r="H22" s="2319"/>
      <c r="I22" s="2319"/>
      <c r="J22" s="2315"/>
      <c r="K22" s="2315"/>
      <c r="L22" s="2315"/>
      <c r="M22" s="2315"/>
      <c r="N22" s="2315"/>
      <c r="O22" s="2315"/>
      <c r="P22" s="2315"/>
      <c r="Q22" s="2315"/>
      <c r="R22" s="2315"/>
      <c r="S22" s="2315"/>
      <c r="T22" s="2315"/>
      <c r="U22" s="2315"/>
      <c r="V22" s="2315"/>
      <c r="W22" s="2315"/>
      <c r="X22" s="2315"/>
      <c r="Y22" s="2315"/>
      <c r="Z22" s="2315"/>
      <c r="AA22" s="2315"/>
      <c r="AB22" s="2319"/>
      <c r="AC22" s="2315"/>
      <c r="AD22" s="2315"/>
      <c r="AE22" s="2315"/>
      <c r="AF22" s="2315"/>
      <c r="AG22" s="2315"/>
      <c r="AH22" s="2315"/>
      <c r="AI22" s="2315"/>
      <c r="AJ22" s="2315"/>
      <c r="AK22" s="2315"/>
      <c r="AL22" s="2315"/>
      <c r="AM22" s="2315"/>
      <c r="AN22" s="2315"/>
      <c r="AO22" s="2315"/>
      <c r="AP22" s="2315"/>
      <c r="AQ22" s="2315"/>
      <c r="AR22" s="2315"/>
      <c r="AS22" s="2315"/>
      <c r="AT22" s="2315"/>
      <c r="AU22" s="2315"/>
      <c r="AV22" s="2315"/>
      <c r="AW22" s="2315"/>
      <c r="AX22" s="2315"/>
      <c r="AY22" s="2315"/>
      <c r="AZ22" s="2315"/>
      <c r="BA22" s="2315"/>
      <c r="BB22" s="2315"/>
      <c r="BC22" s="2315"/>
      <c r="BD22" s="2315"/>
      <c r="BE22" s="2315"/>
      <c r="BF22" s="2315"/>
      <c r="BG22" s="2315"/>
      <c r="BH22" s="2315"/>
      <c r="BI22" s="2315"/>
      <c r="BJ22" s="2315"/>
      <c r="BK22" s="2315"/>
      <c r="BL22" s="2332"/>
      <c r="BM22" s="2315"/>
      <c r="BN22" s="2315"/>
      <c r="BO22" s="2315"/>
      <c r="BP22" s="2315"/>
      <c r="BQ22" s="2315"/>
      <c r="BR22" s="2315"/>
      <c r="BS22" s="2315"/>
      <c r="BT22" s="2315"/>
      <c r="BU22" s="2315"/>
      <c r="BV22" s="2315"/>
      <c r="BW22" s="2315"/>
      <c r="BX22" s="2315"/>
      <c r="BY22" s="2333"/>
      <c r="BZ22" s="2319"/>
      <c r="CA22" s="2315"/>
      <c r="CB22" s="2319"/>
      <c r="CC22" s="2319"/>
      <c r="CD22" s="2319"/>
      <c r="CE22" s="2319"/>
      <c r="CF22" s="2331"/>
      <c r="CG22" s="2319"/>
      <c r="CH22" s="2319"/>
      <c r="CI22" s="2319"/>
      <c r="CJ22" s="2319"/>
      <c r="CK22" s="2319"/>
      <c r="CL22" s="2319"/>
      <c r="CM22" s="2319"/>
      <c r="CN22" s="2319"/>
      <c r="CO22" s="2319"/>
      <c r="CP22" s="2319"/>
      <c r="CQ22" s="2319"/>
      <c r="CR22" s="2319"/>
      <c r="CS22" s="2319"/>
      <c r="CT22" s="2319"/>
      <c r="CU22" s="2319"/>
      <c r="CV22" s="2319"/>
      <c r="CW22" s="2319"/>
      <c r="CX22" s="2319"/>
      <c r="CY22" s="2319"/>
      <c r="CZ22" s="2319"/>
      <c r="DA22" s="2319"/>
      <c r="DB22" s="2319"/>
      <c r="DC22" s="2331"/>
      <c r="DD22" s="2319"/>
      <c r="DE22" s="2333"/>
      <c r="DF22" s="2333"/>
      <c r="DG22" s="2333"/>
      <c r="DH22" s="2333"/>
      <c r="DI22" s="2333"/>
      <c r="DJ22" s="2333"/>
      <c r="DK22" s="2333"/>
      <c r="DL22" s="2333"/>
      <c r="DM22" s="2319"/>
      <c r="DN22" s="2319"/>
      <c r="DO22" s="2319"/>
      <c r="DP22" s="2319"/>
      <c r="DQ22" s="2153">
        <f t="shared" si="0"/>
        <v>0</v>
      </c>
      <c r="DR22" s="2161"/>
      <c r="DS22" s="2162"/>
      <c r="DT22" s="2164"/>
      <c r="DU22" s="2337"/>
      <c r="DV22" s="2162"/>
      <c r="DW22" s="2162"/>
      <c r="DX22" s="2162"/>
      <c r="DY22" s="2162"/>
      <c r="DZ22" s="2162"/>
      <c r="EA22" s="2162"/>
      <c r="EB22" s="2162"/>
      <c r="EC22" s="2162"/>
      <c r="ED22" s="2162"/>
      <c r="EE22" s="2108"/>
      <c r="EF22" s="2108"/>
      <c r="EG22" s="2108"/>
      <c r="EH22" s="2108"/>
      <c r="EI22" s="2108"/>
      <c r="EJ22" s="2108"/>
      <c r="EK22" s="2108"/>
      <c r="EL22" s="2108"/>
      <c r="EM22" s="2108"/>
      <c r="EN22" s="2334"/>
      <c r="EO22" s="2322"/>
      <c r="EP22" s="2108"/>
      <c r="EQ22" s="2108"/>
      <c r="ER22" s="2108"/>
      <c r="ES22" s="2108"/>
      <c r="ET22" s="2333"/>
      <c r="EU22" s="2108"/>
      <c r="EV22" s="2108"/>
      <c r="EW22" s="2108"/>
      <c r="EX22" s="2108"/>
      <c r="EY22" s="2108"/>
      <c r="EZ22" s="2108"/>
      <c r="FA22" s="2108"/>
      <c r="FB22" s="2108"/>
      <c r="FC22" s="2108"/>
      <c r="FD22" s="2108"/>
      <c r="FE22" s="2108"/>
      <c r="FF22" s="2108"/>
      <c r="FG22" s="2108"/>
      <c r="FH22" s="2108"/>
      <c r="FI22" s="2108"/>
      <c r="FJ22" s="2108"/>
      <c r="FK22" s="2108"/>
      <c r="FL22" s="2108"/>
      <c r="FM22" s="2108"/>
      <c r="FN22" s="2108"/>
      <c r="FO22" s="2108"/>
      <c r="FP22" s="2108"/>
      <c r="FQ22" s="2108"/>
      <c r="FR22" s="2108"/>
      <c r="FS22" s="2108"/>
      <c r="FT22" s="2108"/>
      <c r="FU22" s="2108"/>
      <c r="FV22" s="2108"/>
      <c r="FW22" s="2108"/>
      <c r="FX22" s="2163"/>
      <c r="FY22" s="2108"/>
      <c r="FZ22" s="2108">
        <f t="shared" ref="FZ22:FZ28" si="3">SUM(DY24:GF24)</f>
        <v>0</v>
      </c>
      <c r="GA22" s="2159">
        <f t="shared" ref="GA22:GA28" si="4">SUM(B24:DY24)+SUM(DW24:GF24)</f>
        <v>0</v>
      </c>
      <c r="GB22" s="2152"/>
    </row>
    <row r="23" spans="1:184" ht="23.25">
      <c r="A23" s="2195">
        <v>0.8125</v>
      </c>
      <c r="B23" s="2185"/>
      <c r="C23" s="2315"/>
      <c r="D23" s="2315"/>
      <c r="E23" s="2315"/>
      <c r="F23" s="2319"/>
      <c r="G23" s="2331"/>
      <c r="H23" s="2319"/>
      <c r="I23" s="2319"/>
      <c r="J23" s="2315"/>
      <c r="K23" s="2315"/>
      <c r="L23" s="2315"/>
      <c r="M23" s="2315"/>
      <c r="N23" s="2315"/>
      <c r="O23" s="2315"/>
      <c r="P23" s="2315"/>
      <c r="Q23" s="2315"/>
      <c r="R23" s="2315"/>
      <c r="S23" s="2315"/>
      <c r="T23" s="2315"/>
      <c r="U23" s="2315"/>
      <c r="V23" s="2315"/>
      <c r="W23" s="2315"/>
      <c r="X23" s="2315"/>
      <c r="Y23" s="2315"/>
      <c r="Z23" s="2315"/>
      <c r="AA23" s="2315"/>
      <c r="AB23" s="2319"/>
      <c r="AC23" s="2315"/>
      <c r="AD23" s="2315"/>
      <c r="AE23" s="2315"/>
      <c r="AF23" s="2315"/>
      <c r="AG23" s="2315"/>
      <c r="AH23" s="2315"/>
      <c r="AI23" s="2315"/>
      <c r="AJ23" s="2315"/>
      <c r="AK23" s="2315"/>
      <c r="AL23" s="2315"/>
      <c r="AM23" s="2315"/>
      <c r="AN23" s="2315"/>
      <c r="AO23" s="2315"/>
      <c r="AP23" s="2315"/>
      <c r="AQ23" s="2315"/>
      <c r="AR23" s="2315"/>
      <c r="AS23" s="2315"/>
      <c r="AT23" s="2315"/>
      <c r="AU23" s="2315"/>
      <c r="AV23" s="2315"/>
      <c r="AW23" s="2315"/>
      <c r="AX23" s="2315"/>
      <c r="AY23" s="2315"/>
      <c r="AZ23" s="2315"/>
      <c r="BA23" s="2315"/>
      <c r="BB23" s="2315"/>
      <c r="BC23" s="2315"/>
      <c r="BD23" s="2315"/>
      <c r="BE23" s="2315"/>
      <c r="BF23" s="2315"/>
      <c r="BG23" s="2315"/>
      <c r="BH23" s="2315"/>
      <c r="BI23" s="2315"/>
      <c r="BJ23" s="2315"/>
      <c r="BK23" s="2315"/>
      <c r="BL23" s="2332"/>
      <c r="BM23" s="2315"/>
      <c r="BN23" s="2315"/>
      <c r="BO23" s="2315"/>
      <c r="BP23" s="2315"/>
      <c r="BQ23" s="2315"/>
      <c r="BR23" s="2315"/>
      <c r="BS23" s="2315"/>
      <c r="BT23" s="2315"/>
      <c r="BU23" s="2315"/>
      <c r="BV23" s="2315"/>
      <c r="BW23" s="2315"/>
      <c r="BX23" s="2315"/>
      <c r="BY23" s="2333"/>
      <c r="BZ23" s="2319"/>
      <c r="CA23" s="2315"/>
      <c r="CB23" s="2319"/>
      <c r="CC23" s="2319"/>
      <c r="CD23" s="2319"/>
      <c r="CE23" s="2319"/>
      <c r="CF23" s="2331"/>
      <c r="CG23" s="2319"/>
      <c r="CH23" s="2319"/>
      <c r="CI23" s="2319"/>
      <c r="CJ23" s="2319"/>
      <c r="CK23" s="2319"/>
      <c r="CL23" s="2319"/>
      <c r="CM23" s="2319"/>
      <c r="CN23" s="2319"/>
      <c r="CO23" s="2319"/>
      <c r="CP23" s="2319"/>
      <c r="CQ23" s="2319"/>
      <c r="CR23" s="2319"/>
      <c r="CS23" s="2319"/>
      <c r="CT23" s="2319"/>
      <c r="CU23" s="2319"/>
      <c r="CV23" s="2319"/>
      <c r="CW23" s="2319"/>
      <c r="CX23" s="2319"/>
      <c r="CY23" s="2319"/>
      <c r="CZ23" s="2319"/>
      <c r="DA23" s="2319"/>
      <c r="DB23" s="2319"/>
      <c r="DC23" s="2331"/>
      <c r="DD23" s="2319"/>
      <c r="DE23" s="2333"/>
      <c r="DF23" s="2333"/>
      <c r="DG23" s="2333"/>
      <c r="DH23" s="2333"/>
      <c r="DI23" s="2333"/>
      <c r="DJ23" s="2333"/>
      <c r="DK23" s="2333"/>
      <c r="DL23" s="2333"/>
      <c r="DM23" s="2319"/>
      <c r="DN23" s="2319"/>
      <c r="DO23" s="2319"/>
      <c r="DP23" s="2319"/>
      <c r="DQ23" s="2153">
        <f t="shared" si="0"/>
        <v>0</v>
      </c>
      <c r="DR23" s="2161"/>
      <c r="DS23" s="2162"/>
      <c r="DT23" s="2164"/>
      <c r="DU23" s="2337"/>
      <c r="DV23" s="2162"/>
      <c r="DW23" s="2162"/>
      <c r="DX23" s="2162"/>
      <c r="DY23" s="2162"/>
      <c r="DZ23" s="2162"/>
      <c r="EA23" s="2162"/>
      <c r="EB23" s="2162"/>
      <c r="EC23" s="2162"/>
      <c r="ED23" s="2162"/>
      <c r="EE23" s="2108"/>
      <c r="EF23" s="2108"/>
      <c r="EG23" s="2108"/>
      <c r="EH23" s="2108"/>
      <c r="EI23" s="2108"/>
      <c r="EJ23" s="2108"/>
      <c r="EK23" s="2108"/>
      <c r="EL23" s="2108"/>
      <c r="EM23" s="2108"/>
      <c r="EN23" s="2334"/>
      <c r="EO23" s="2322"/>
      <c r="EP23" s="2108"/>
      <c r="EQ23" s="2108"/>
      <c r="ER23" s="2108"/>
      <c r="ES23" s="2108"/>
      <c r="ET23" s="2333"/>
      <c r="EU23" s="2108"/>
      <c r="EV23" s="2108"/>
      <c r="EW23" s="2108"/>
      <c r="EX23" s="2108"/>
      <c r="EY23" s="2108"/>
      <c r="EZ23" s="2108"/>
      <c r="FA23" s="2108"/>
      <c r="FB23" s="2108"/>
      <c r="FC23" s="2108"/>
      <c r="FD23" s="2108"/>
      <c r="FE23" s="2108"/>
      <c r="FF23" s="2108"/>
      <c r="FG23" s="2108"/>
      <c r="FH23" s="2108"/>
      <c r="FI23" s="2108"/>
      <c r="FJ23" s="2108"/>
      <c r="FK23" s="2108"/>
      <c r="FL23" s="2108"/>
      <c r="FM23" s="2108"/>
      <c r="FN23" s="2108"/>
      <c r="FO23" s="2108"/>
      <c r="FP23" s="2108"/>
      <c r="FQ23" s="2108"/>
      <c r="FR23" s="2108"/>
      <c r="FS23" s="2108"/>
      <c r="FT23" s="2108"/>
      <c r="FU23" s="2108"/>
      <c r="FV23" s="2108"/>
      <c r="FW23" s="2108"/>
      <c r="FX23" s="2163"/>
      <c r="FY23" s="2108"/>
      <c r="FZ23" s="2108">
        <f t="shared" si="3"/>
        <v>0</v>
      </c>
      <c r="GA23" s="2159">
        <f t="shared" si="4"/>
        <v>0</v>
      </c>
      <c r="GB23" s="2110"/>
    </row>
    <row r="24" spans="1:184" ht="23.25">
      <c r="A24" s="1143">
        <v>0.83333333333333337</v>
      </c>
      <c r="B24" s="2185"/>
      <c r="C24" s="2315"/>
      <c r="D24" s="2315"/>
      <c r="E24" s="2315"/>
      <c r="F24" s="2319"/>
      <c r="G24" s="2331"/>
      <c r="H24" s="2319"/>
      <c r="I24" s="2319"/>
      <c r="J24" s="2315"/>
      <c r="K24" s="2315"/>
      <c r="L24" s="2315"/>
      <c r="M24" s="2315"/>
      <c r="N24" s="2315"/>
      <c r="O24" s="2315"/>
      <c r="P24" s="2315"/>
      <c r="Q24" s="2315"/>
      <c r="R24" s="2315"/>
      <c r="S24" s="2315"/>
      <c r="T24" s="2315"/>
      <c r="U24" s="2315"/>
      <c r="V24" s="2315"/>
      <c r="W24" s="2315"/>
      <c r="X24" s="2315"/>
      <c r="Y24" s="2315"/>
      <c r="Z24" s="2315"/>
      <c r="AA24" s="2315"/>
      <c r="AB24" s="2319"/>
      <c r="AC24" s="2315"/>
      <c r="AD24" s="2315"/>
      <c r="AE24" s="2315"/>
      <c r="AF24" s="2315"/>
      <c r="AG24" s="2315"/>
      <c r="AH24" s="2315"/>
      <c r="AI24" s="2315"/>
      <c r="AJ24" s="2315"/>
      <c r="AK24" s="2315"/>
      <c r="AL24" s="2315"/>
      <c r="AM24" s="2315"/>
      <c r="AN24" s="2315"/>
      <c r="AO24" s="2315"/>
      <c r="AP24" s="2315"/>
      <c r="AQ24" s="2315"/>
      <c r="AR24" s="2315"/>
      <c r="AS24" s="2315"/>
      <c r="AT24" s="2315"/>
      <c r="AU24" s="2315"/>
      <c r="AV24" s="2315"/>
      <c r="AW24" s="2315"/>
      <c r="AX24" s="2315"/>
      <c r="AY24" s="2315"/>
      <c r="AZ24" s="2315"/>
      <c r="BA24" s="2315"/>
      <c r="BB24" s="2315"/>
      <c r="BC24" s="2315"/>
      <c r="BD24" s="2315"/>
      <c r="BE24" s="2315"/>
      <c r="BF24" s="2315"/>
      <c r="BG24" s="2315"/>
      <c r="BH24" s="2315"/>
      <c r="BI24" s="2315"/>
      <c r="BJ24" s="2315"/>
      <c r="BK24" s="2315"/>
      <c r="BL24" s="2332"/>
      <c r="BM24" s="2315"/>
      <c r="BN24" s="2315"/>
      <c r="BO24" s="2315"/>
      <c r="BP24" s="2315"/>
      <c r="BQ24" s="2315"/>
      <c r="BR24" s="2315"/>
      <c r="BS24" s="2315"/>
      <c r="BT24" s="2315"/>
      <c r="BU24" s="2315"/>
      <c r="BV24" s="2315"/>
      <c r="BW24" s="2315"/>
      <c r="BX24" s="2315"/>
      <c r="BY24" s="2333"/>
      <c r="BZ24" s="2319"/>
      <c r="CA24" s="2315"/>
      <c r="CB24" s="2319"/>
      <c r="CC24" s="2319"/>
      <c r="CD24" s="2319"/>
      <c r="CE24" s="2319"/>
      <c r="CF24" s="2331"/>
      <c r="CG24" s="2319"/>
      <c r="CH24" s="2319"/>
      <c r="CI24" s="2319"/>
      <c r="CJ24" s="2319"/>
      <c r="CK24" s="2319"/>
      <c r="CL24" s="2319"/>
      <c r="CM24" s="2319"/>
      <c r="CN24" s="2319"/>
      <c r="CO24" s="2319"/>
      <c r="CP24" s="2319"/>
      <c r="CQ24" s="2319"/>
      <c r="CR24" s="2319"/>
      <c r="CS24" s="2319"/>
      <c r="CT24" s="2319"/>
      <c r="CU24" s="2319"/>
      <c r="CV24" s="2319"/>
      <c r="CW24" s="2319"/>
      <c r="CX24" s="2319"/>
      <c r="CY24" s="2319"/>
      <c r="CZ24" s="2319"/>
      <c r="DA24" s="2319"/>
      <c r="DB24" s="2319"/>
      <c r="DC24" s="2331"/>
      <c r="DD24" s="2319"/>
      <c r="DE24" s="2333"/>
      <c r="DF24" s="2333"/>
      <c r="DG24" s="2333"/>
      <c r="DH24" s="2333"/>
      <c r="DI24" s="2333"/>
      <c r="DJ24" s="2333"/>
      <c r="DK24" s="2333"/>
      <c r="DL24" s="2333"/>
      <c r="DM24" s="2319"/>
      <c r="DN24" s="2319"/>
      <c r="DO24" s="2319"/>
      <c r="DP24" s="2319"/>
      <c r="DQ24" s="2153">
        <f t="shared" si="0"/>
        <v>0</v>
      </c>
      <c r="DR24" s="2197"/>
      <c r="DS24" s="2198"/>
      <c r="DT24" s="2199"/>
      <c r="DU24" s="2337"/>
      <c r="DV24" s="2198"/>
      <c r="DW24" s="2198"/>
      <c r="DX24" s="2198"/>
      <c r="DY24" s="2198"/>
      <c r="DZ24" s="2198"/>
      <c r="EA24" s="2198"/>
      <c r="EB24" s="2198"/>
      <c r="EC24" s="2198"/>
      <c r="ED24" s="2198"/>
      <c r="EE24" s="2108"/>
      <c r="EF24" s="2108"/>
      <c r="EG24" s="2108"/>
      <c r="EH24" s="2108"/>
      <c r="EI24" s="2108"/>
      <c r="EJ24" s="2108"/>
      <c r="EK24" s="2108"/>
      <c r="EL24" s="2108"/>
      <c r="EM24" s="2108"/>
      <c r="EN24" s="2334"/>
      <c r="EO24" s="2322"/>
      <c r="EP24" s="2108"/>
      <c r="EQ24" s="2108"/>
      <c r="ER24" s="2108"/>
      <c r="ES24" s="2108"/>
      <c r="ET24" s="2333"/>
      <c r="EU24" s="2108"/>
      <c r="EV24" s="2108"/>
      <c r="EW24" s="2108"/>
      <c r="EX24" s="2108"/>
      <c r="EY24" s="2108"/>
      <c r="EZ24" s="2108"/>
      <c r="FA24" s="2108"/>
      <c r="FB24" s="2108"/>
      <c r="FC24" s="2108"/>
      <c r="FD24" s="2108"/>
      <c r="FE24" s="2108"/>
      <c r="FF24" s="2108"/>
      <c r="FG24" s="2108"/>
      <c r="FH24" s="2108"/>
      <c r="FI24" s="2108"/>
      <c r="FJ24" s="2108"/>
      <c r="FK24" s="2108"/>
      <c r="FL24" s="2108"/>
      <c r="FM24" s="2108"/>
      <c r="FN24" s="2108"/>
      <c r="FO24" s="2108"/>
      <c r="FP24" s="2108"/>
      <c r="FQ24" s="2108"/>
      <c r="FR24" s="2108"/>
      <c r="FS24" s="2108"/>
      <c r="FT24" s="2108"/>
      <c r="FU24" s="2108"/>
      <c r="FV24" s="2108"/>
      <c r="FW24" s="2108"/>
      <c r="FX24" s="2200"/>
      <c r="FY24" s="2108"/>
      <c r="FZ24" s="2108">
        <f t="shared" si="3"/>
        <v>0</v>
      </c>
      <c r="GA24" s="2159">
        <f t="shared" si="4"/>
        <v>0</v>
      </c>
      <c r="GB24" s="2110"/>
    </row>
    <row r="25" spans="1:184" ht="23.25">
      <c r="A25" s="1143">
        <v>0.875</v>
      </c>
      <c r="B25" s="2185"/>
      <c r="C25" s="2315"/>
      <c r="D25" s="2315"/>
      <c r="E25" s="2315"/>
      <c r="F25" s="2319"/>
      <c r="G25" s="2331"/>
      <c r="H25" s="2319"/>
      <c r="I25" s="2319"/>
      <c r="J25" s="2315"/>
      <c r="K25" s="2315"/>
      <c r="L25" s="2315"/>
      <c r="M25" s="2315"/>
      <c r="N25" s="2315"/>
      <c r="O25" s="2315"/>
      <c r="P25" s="2315"/>
      <c r="Q25" s="2315"/>
      <c r="R25" s="2315"/>
      <c r="S25" s="2315"/>
      <c r="T25" s="2315"/>
      <c r="U25" s="2315"/>
      <c r="V25" s="2315"/>
      <c r="W25" s="2315"/>
      <c r="X25" s="2315"/>
      <c r="Y25" s="2315"/>
      <c r="Z25" s="2315"/>
      <c r="AA25" s="2315"/>
      <c r="AB25" s="2319"/>
      <c r="AC25" s="2315"/>
      <c r="AD25" s="2315"/>
      <c r="AE25" s="2315"/>
      <c r="AF25" s="2315"/>
      <c r="AG25" s="2315"/>
      <c r="AH25" s="2315"/>
      <c r="AI25" s="2315"/>
      <c r="AJ25" s="2315"/>
      <c r="AK25" s="2315"/>
      <c r="AL25" s="2315"/>
      <c r="AM25" s="2315"/>
      <c r="AN25" s="2315"/>
      <c r="AO25" s="2315"/>
      <c r="AP25" s="2315"/>
      <c r="AQ25" s="2315"/>
      <c r="AR25" s="2315"/>
      <c r="AS25" s="2315"/>
      <c r="AT25" s="2315"/>
      <c r="AU25" s="2315"/>
      <c r="AV25" s="2315"/>
      <c r="AW25" s="2315"/>
      <c r="AX25" s="2315"/>
      <c r="AY25" s="2315"/>
      <c r="AZ25" s="2315"/>
      <c r="BA25" s="2315"/>
      <c r="BB25" s="2315"/>
      <c r="BC25" s="2315"/>
      <c r="BD25" s="2315"/>
      <c r="BE25" s="2315"/>
      <c r="BF25" s="2315"/>
      <c r="BG25" s="2315"/>
      <c r="BH25" s="2315"/>
      <c r="BI25" s="2315"/>
      <c r="BJ25" s="2315"/>
      <c r="BK25" s="2315"/>
      <c r="BL25" s="2332"/>
      <c r="BM25" s="2315"/>
      <c r="BN25" s="2315"/>
      <c r="BO25" s="2315"/>
      <c r="BP25" s="2315"/>
      <c r="BQ25" s="2315"/>
      <c r="BR25" s="2315"/>
      <c r="BS25" s="2315"/>
      <c r="BT25" s="2315"/>
      <c r="BU25" s="2315"/>
      <c r="BV25" s="2315"/>
      <c r="BW25" s="2315"/>
      <c r="BX25" s="2315"/>
      <c r="BY25" s="2333"/>
      <c r="BZ25" s="2319"/>
      <c r="CA25" s="2315"/>
      <c r="CB25" s="2319"/>
      <c r="CC25" s="2319"/>
      <c r="CD25" s="2319"/>
      <c r="CE25" s="2319"/>
      <c r="CF25" s="2331"/>
      <c r="CG25" s="2319"/>
      <c r="CH25" s="2319"/>
      <c r="CI25" s="2319"/>
      <c r="CJ25" s="2319"/>
      <c r="CK25" s="2319"/>
      <c r="CL25" s="2319"/>
      <c r="CM25" s="2319"/>
      <c r="CN25" s="2319"/>
      <c r="CO25" s="2319"/>
      <c r="CP25" s="2319"/>
      <c r="CQ25" s="2319"/>
      <c r="CR25" s="2319"/>
      <c r="CS25" s="2319"/>
      <c r="CT25" s="2319"/>
      <c r="CU25" s="2319"/>
      <c r="CV25" s="2319"/>
      <c r="CW25" s="2319"/>
      <c r="CX25" s="2319"/>
      <c r="CY25" s="2319"/>
      <c r="CZ25" s="2319"/>
      <c r="DA25" s="2319"/>
      <c r="DB25" s="2319"/>
      <c r="DC25" s="2331"/>
      <c r="DD25" s="2319"/>
      <c r="DE25" s="2333"/>
      <c r="DF25" s="2333"/>
      <c r="DG25" s="2333"/>
      <c r="DH25" s="2333"/>
      <c r="DI25" s="2333"/>
      <c r="DJ25" s="2333"/>
      <c r="DK25" s="2333"/>
      <c r="DL25" s="2333"/>
      <c r="DM25" s="2319"/>
      <c r="DN25" s="2319"/>
      <c r="DO25" s="2319"/>
      <c r="DP25" s="2319"/>
      <c r="DQ25" s="2153">
        <f t="shared" si="0"/>
        <v>0</v>
      </c>
      <c r="DR25" s="2161"/>
      <c r="DS25" s="2162"/>
      <c r="DT25" s="2164"/>
      <c r="DU25" s="2337"/>
      <c r="DV25" s="2162"/>
      <c r="DW25" s="2162"/>
      <c r="DX25" s="2162"/>
      <c r="DY25" s="2162"/>
      <c r="DZ25" s="2162"/>
      <c r="EA25" s="2162"/>
      <c r="EB25" s="2162"/>
      <c r="EC25" s="2162"/>
      <c r="ED25" s="2162"/>
      <c r="EE25" s="2108"/>
      <c r="EF25" s="2108"/>
      <c r="EG25" s="2108"/>
      <c r="EH25" s="2108"/>
      <c r="EI25" s="2108"/>
      <c r="EJ25" s="2108"/>
      <c r="EK25" s="2108"/>
      <c r="EL25" s="2108"/>
      <c r="EM25" s="2108"/>
      <c r="EN25" s="2334"/>
      <c r="EO25" s="2322"/>
      <c r="EP25" s="2108"/>
      <c r="EQ25" s="2108"/>
      <c r="ER25" s="2108"/>
      <c r="ES25" s="2108"/>
      <c r="ET25" s="2108"/>
      <c r="EU25" s="2108"/>
      <c r="EV25" s="2108"/>
      <c r="EW25" s="2108"/>
      <c r="EX25" s="2108"/>
      <c r="EY25" s="2108"/>
      <c r="EZ25" s="2108"/>
      <c r="FA25" s="2108"/>
      <c r="FB25" s="2108"/>
      <c r="FC25" s="2108"/>
      <c r="FD25" s="2108"/>
      <c r="FE25" s="2108"/>
      <c r="FF25" s="2108"/>
      <c r="FG25" s="2108"/>
      <c r="FH25" s="2108"/>
      <c r="FI25" s="2108"/>
      <c r="FJ25" s="2108"/>
      <c r="FK25" s="2108"/>
      <c r="FL25" s="2108"/>
      <c r="FM25" s="2108"/>
      <c r="FN25" s="2108"/>
      <c r="FO25" s="2108"/>
      <c r="FP25" s="2108"/>
      <c r="FQ25" s="2108"/>
      <c r="FR25" s="2108"/>
      <c r="FS25" s="2108"/>
      <c r="FT25" s="2108"/>
      <c r="FU25" s="2108"/>
      <c r="FV25" s="2108"/>
      <c r="FW25" s="2108"/>
      <c r="FX25" s="2163"/>
      <c r="FY25" s="2108"/>
      <c r="FZ25" s="2108">
        <f t="shared" si="3"/>
        <v>0</v>
      </c>
      <c r="GA25" s="2159">
        <f t="shared" si="4"/>
        <v>0</v>
      </c>
      <c r="GB25" s="2110"/>
    </row>
    <row r="26" spans="1:184" ht="23.25">
      <c r="A26" s="1144">
        <v>0.91666666666666663</v>
      </c>
      <c r="B26" s="2340"/>
      <c r="C26" s="2341"/>
      <c r="D26" s="2341"/>
      <c r="E26" s="2341"/>
      <c r="F26" s="2342"/>
      <c r="G26" s="2343"/>
      <c r="H26" s="2342"/>
      <c r="I26" s="2342"/>
      <c r="J26" s="2341"/>
      <c r="K26" s="2341"/>
      <c r="L26" s="2341"/>
      <c r="M26" s="2341"/>
      <c r="N26" s="2341"/>
      <c r="O26" s="2341"/>
      <c r="P26" s="2341"/>
      <c r="Q26" s="2341"/>
      <c r="R26" s="2341"/>
      <c r="S26" s="2341"/>
      <c r="T26" s="2341"/>
      <c r="U26" s="2341"/>
      <c r="V26" s="2341"/>
      <c r="W26" s="2341"/>
      <c r="X26" s="2341"/>
      <c r="Y26" s="2341"/>
      <c r="Z26" s="2341"/>
      <c r="AA26" s="2341"/>
      <c r="AB26" s="2342"/>
      <c r="AC26" s="2341"/>
      <c r="AD26" s="2341"/>
      <c r="AE26" s="2341"/>
      <c r="AF26" s="2341"/>
      <c r="AG26" s="2341"/>
      <c r="AH26" s="2341"/>
      <c r="AI26" s="2341"/>
      <c r="AJ26" s="2341"/>
      <c r="AK26" s="2341"/>
      <c r="AL26" s="2341"/>
      <c r="AM26" s="2341"/>
      <c r="AN26" s="2341"/>
      <c r="AO26" s="2341"/>
      <c r="AP26" s="2341"/>
      <c r="AQ26" s="2341"/>
      <c r="AR26" s="2341"/>
      <c r="AS26" s="2341"/>
      <c r="AT26" s="2341"/>
      <c r="AU26" s="2341"/>
      <c r="AV26" s="2341"/>
      <c r="AW26" s="2341"/>
      <c r="AX26" s="2341"/>
      <c r="AY26" s="2341"/>
      <c r="AZ26" s="2341"/>
      <c r="BA26" s="2341"/>
      <c r="BB26" s="2341"/>
      <c r="BC26" s="2341"/>
      <c r="BD26" s="2341"/>
      <c r="BE26" s="2341"/>
      <c r="BF26" s="2341"/>
      <c r="BG26" s="2341"/>
      <c r="BH26" s="2341"/>
      <c r="BI26" s="2341"/>
      <c r="BJ26" s="2341"/>
      <c r="BK26" s="2341"/>
      <c r="BL26" s="2332"/>
      <c r="BM26" s="2341"/>
      <c r="BN26" s="2341"/>
      <c r="BO26" s="2341"/>
      <c r="BP26" s="2341"/>
      <c r="BQ26" s="2341"/>
      <c r="BR26" s="2341"/>
      <c r="BS26" s="2341"/>
      <c r="BT26" s="2341"/>
      <c r="BU26" s="2341"/>
      <c r="BV26" s="2341"/>
      <c r="BW26" s="2341"/>
      <c r="BX26" s="2341"/>
      <c r="BY26" s="2344"/>
      <c r="BZ26" s="2342"/>
      <c r="CA26" s="2341"/>
      <c r="CB26" s="2342"/>
      <c r="CC26" s="2342"/>
      <c r="CD26" s="2342"/>
      <c r="CE26" s="2342"/>
      <c r="CF26" s="2343"/>
      <c r="CG26" s="2342"/>
      <c r="CH26" s="2342"/>
      <c r="CI26" s="2342"/>
      <c r="CJ26" s="2342"/>
      <c r="CK26" s="2342"/>
      <c r="CL26" s="2342"/>
      <c r="CM26" s="2342"/>
      <c r="CN26" s="2342"/>
      <c r="CO26" s="2342"/>
      <c r="CP26" s="2342"/>
      <c r="CQ26" s="2342"/>
      <c r="CR26" s="2342"/>
      <c r="CS26" s="2342"/>
      <c r="CT26" s="2342"/>
      <c r="CU26" s="2342"/>
      <c r="CV26" s="2342"/>
      <c r="CW26" s="2342"/>
      <c r="CX26" s="2342"/>
      <c r="CY26" s="2342"/>
      <c r="CZ26" s="2342"/>
      <c r="DA26" s="2342"/>
      <c r="DB26" s="2342"/>
      <c r="DC26" s="2344"/>
      <c r="DD26" s="2344"/>
      <c r="DE26" s="2344"/>
      <c r="DF26" s="2344"/>
      <c r="DG26" s="2344"/>
      <c r="DH26" s="2344"/>
      <c r="DI26" s="2344"/>
      <c r="DJ26" s="2344"/>
      <c r="DK26" s="2344"/>
      <c r="DL26" s="2344"/>
      <c r="DM26" s="2342"/>
      <c r="DN26" s="2342"/>
      <c r="DO26" s="2342"/>
      <c r="DP26" s="2342"/>
      <c r="DQ26" s="2153">
        <f t="shared" si="0"/>
        <v>0</v>
      </c>
      <c r="DR26" s="2220"/>
      <c r="DS26" s="2221"/>
      <c r="DT26" s="2222"/>
      <c r="DU26" s="2345"/>
      <c r="DV26" s="2221"/>
      <c r="DW26" s="2221"/>
      <c r="DX26" s="2221"/>
      <c r="DY26" s="2221"/>
      <c r="DZ26" s="2221"/>
      <c r="EA26" s="2221"/>
      <c r="EB26" s="2221"/>
      <c r="EC26" s="2221"/>
      <c r="ED26" s="2221"/>
      <c r="EE26" s="2345"/>
      <c r="EF26" s="2346"/>
      <c r="EG26" s="2345"/>
      <c r="EH26" s="2345"/>
      <c r="EI26" s="2345"/>
      <c r="EJ26" s="2345"/>
      <c r="EK26" s="2345"/>
      <c r="EL26" s="2345"/>
      <c r="EM26" s="2345"/>
      <c r="EN26" s="2347"/>
      <c r="EO26" s="2322"/>
      <c r="EP26" s="2345"/>
      <c r="EQ26" s="2345"/>
      <c r="ER26" s="2345"/>
      <c r="ES26" s="2345"/>
      <c r="ET26" s="2345"/>
      <c r="EU26" s="2345"/>
      <c r="EV26" s="2345"/>
      <c r="EW26" s="2345"/>
      <c r="EX26" s="2345"/>
      <c r="EY26" s="2345"/>
      <c r="EZ26" s="2345"/>
      <c r="FA26" s="2345"/>
      <c r="FB26" s="2345"/>
      <c r="FC26" s="2345"/>
      <c r="FD26" s="2345"/>
      <c r="FE26" s="2345"/>
      <c r="FF26" s="2345"/>
      <c r="FG26" s="2345"/>
      <c r="FH26" s="2345"/>
      <c r="FI26" s="2345"/>
      <c r="FJ26" s="2345"/>
      <c r="FK26" s="2345"/>
      <c r="FL26" s="2345"/>
      <c r="FM26" s="2345"/>
      <c r="FN26" s="2345"/>
      <c r="FO26" s="2345"/>
      <c r="FP26" s="2345"/>
      <c r="FQ26" s="2345"/>
      <c r="FR26" s="2345"/>
      <c r="FS26" s="2345"/>
      <c r="FT26" s="2345"/>
      <c r="FU26" s="2345"/>
      <c r="FV26" s="2345"/>
      <c r="FW26" s="2345"/>
      <c r="FX26" s="2224"/>
      <c r="FY26" s="2221"/>
      <c r="FZ26" s="2221">
        <f t="shared" si="3"/>
        <v>0</v>
      </c>
      <c r="GA26" s="2159">
        <f t="shared" si="4"/>
        <v>0</v>
      </c>
      <c r="GB26" s="2226"/>
    </row>
    <row r="27" spans="1:184" ht="23.25">
      <c r="A27" s="1144">
        <v>0.95833333333333337</v>
      </c>
      <c r="B27" s="2340"/>
      <c r="C27" s="2341"/>
      <c r="D27" s="2341"/>
      <c r="E27" s="2341"/>
      <c r="F27" s="2342"/>
      <c r="G27" s="2343"/>
      <c r="H27" s="2342"/>
      <c r="I27" s="2342"/>
      <c r="J27" s="2341"/>
      <c r="K27" s="2341"/>
      <c r="L27" s="2341"/>
      <c r="M27" s="2341"/>
      <c r="N27" s="2341"/>
      <c r="O27" s="2341"/>
      <c r="P27" s="2341"/>
      <c r="Q27" s="2341"/>
      <c r="R27" s="2341"/>
      <c r="S27" s="2341"/>
      <c r="T27" s="2341"/>
      <c r="U27" s="2341"/>
      <c r="V27" s="2341"/>
      <c r="W27" s="2341"/>
      <c r="X27" s="2341"/>
      <c r="Y27" s="2341"/>
      <c r="Z27" s="2341"/>
      <c r="AA27" s="2341"/>
      <c r="AB27" s="2342"/>
      <c r="AC27" s="2341"/>
      <c r="AD27" s="2341"/>
      <c r="AE27" s="2341"/>
      <c r="AF27" s="2341"/>
      <c r="AG27" s="2341"/>
      <c r="AH27" s="2341"/>
      <c r="AI27" s="2341"/>
      <c r="AJ27" s="2341"/>
      <c r="AK27" s="2341"/>
      <c r="AL27" s="2341"/>
      <c r="AM27" s="2341"/>
      <c r="AN27" s="2341"/>
      <c r="AO27" s="2341"/>
      <c r="AP27" s="2341"/>
      <c r="AQ27" s="2341"/>
      <c r="AR27" s="2341"/>
      <c r="AS27" s="2341"/>
      <c r="AT27" s="2341"/>
      <c r="AU27" s="2341"/>
      <c r="AV27" s="2341"/>
      <c r="AW27" s="2341"/>
      <c r="AX27" s="2341"/>
      <c r="AY27" s="2341"/>
      <c r="AZ27" s="2341"/>
      <c r="BA27" s="2341"/>
      <c r="BB27" s="2341"/>
      <c r="BC27" s="2341"/>
      <c r="BD27" s="2341"/>
      <c r="BE27" s="2341"/>
      <c r="BF27" s="2341"/>
      <c r="BG27" s="2341"/>
      <c r="BH27" s="2341"/>
      <c r="BI27" s="2341"/>
      <c r="BJ27" s="2341"/>
      <c r="BK27" s="2341"/>
      <c r="BL27" s="2332"/>
      <c r="BM27" s="2341"/>
      <c r="BN27" s="2341"/>
      <c r="BO27" s="2341"/>
      <c r="BP27" s="2341"/>
      <c r="BQ27" s="2341"/>
      <c r="BR27" s="2341"/>
      <c r="BS27" s="2341"/>
      <c r="BT27" s="2341"/>
      <c r="BU27" s="2341"/>
      <c r="BV27" s="2341"/>
      <c r="BW27" s="2341"/>
      <c r="BX27" s="2341"/>
      <c r="BY27" s="2344"/>
      <c r="BZ27" s="2342"/>
      <c r="CA27" s="2341"/>
      <c r="CB27" s="2342"/>
      <c r="CC27" s="2342"/>
      <c r="CD27" s="2342"/>
      <c r="CE27" s="2342"/>
      <c r="CF27" s="2343"/>
      <c r="CG27" s="2342"/>
      <c r="CH27" s="2342"/>
      <c r="CI27" s="2342"/>
      <c r="CJ27" s="2342"/>
      <c r="CK27" s="2342"/>
      <c r="CL27" s="2342"/>
      <c r="CM27" s="2342"/>
      <c r="CN27" s="2342"/>
      <c r="CO27" s="2342"/>
      <c r="CP27" s="2342"/>
      <c r="CQ27" s="2342"/>
      <c r="CR27" s="2342"/>
      <c r="CS27" s="2342"/>
      <c r="CT27" s="2342"/>
      <c r="CU27" s="2342"/>
      <c r="CV27" s="2342"/>
      <c r="CW27" s="2342"/>
      <c r="CX27" s="2342"/>
      <c r="CY27" s="2342"/>
      <c r="CZ27" s="2342"/>
      <c r="DA27" s="2342"/>
      <c r="DB27" s="2342"/>
      <c r="DC27" s="2344"/>
      <c r="DD27" s="2344"/>
      <c r="DE27" s="2344"/>
      <c r="DF27" s="2344"/>
      <c r="DG27" s="2344"/>
      <c r="DH27" s="2344"/>
      <c r="DI27" s="2344"/>
      <c r="DJ27" s="2344"/>
      <c r="DK27" s="2344"/>
      <c r="DL27" s="2344"/>
      <c r="DM27" s="2342"/>
      <c r="DN27" s="2342"/>
      <c r="DO27" s="2342"/>
      <c r="DP27" s="2342"/>
      <c r="DQ27" s="2153">
        <f t="shared" si="0"/>
        <v>0</v>
      </c>
      <c r="DR27" s="2220"/>
      <c r="DS27" s="2221"/>
      <c r="DT27" s="2222"/>
      <c r="DU27" s="2345"/>
      <c r="DV27" s="2221"/>
      <c r="DW27" s="2221"/>
      <c r="DX27" s="2221"/>
      <c r="DY27" s="2221"/>
      <c r="DZ27" s="2221"/>
      <c r="EA27" s="2221"/>
      <c r="EB27" s="2221"/>
      <c r="EC27" s="2221"/>
      <c r="ED27" s="2221"/>
      <c r="EE27" s="2345"/>
      <c r="EF27" s="2346"/>
      <c r="EG27" s="2345"/>
      <c r="EH27" s="2345"/>
      <c r="EI27" s="2345"/>
      <c r="EJ27" s="2345"/>
      <c r="EK27" s="2345"/>
      <c r="EL27" s="2345"/>
      <c r="EM27" s="2345"/>
      <c r="EN27" s="2347"/>
      <c r="EO27" s="2322"/>
      <c r="EP27" s="2345"/>
      <c r="EQ27" s="2345"/>
      <c r="ER27" s="2345"/>
      <c r="ES27" s="2345"/>
      <c r="ET27" s="2345"/>
      <c r="EU27" s="2345"/>
      <c r="EV27" s="2345"/>
      <c r="EW27" s="2345"/>
      <c r="EX27" s="2345"/>
      <c r="EY27" s="2345"/>
      <c r="EZ27" s="2345"/>
      <c r="FA27" s="2345"/>
      <c r="FB27" s="2345"/>
      <c r="FC27" s="2345"/>
      <c r="FD27" s="2345"/>
      <c r="FE27" s="2345"/>
      <c r="FF27" s="2345"/>
      <c r="FG27" s="2345"/>
      <c r="FH27" s="2345"/>
      <c r="FI27" s="2345"/>
      <c r="FJ27" s="2345"/>
      <c r="FK27" s="2345"/>
      <c r="FL27" s="2345"/>
      <c r="FM27" s="2345"/>
      <c r="FN27" s="2345"/>
      <c r="FO27" s="2345"/>
      <c r="FP27" s="2345"/>
      <c r="FQ27" s="2345"/>
      <c r="FR27" s="2345"/>
      <c r="FS27" s="2345"/>
      <c r="FT27" s="2345"/>
      <c r="FU27" s="2345"/>
      <c r="FV27" s="2345"/>
      <c r="FW27" s="2345"/>
      <c r="FX27" s="2224"/>
      <c r="FY27" s="2221"/>
      <c r="FZ27" s="2221">
        <f t="shared" si="3"/>
        <v>0</v>
      </c>
      <c r="GA27" s="2159">
        <f t="shared" si="4"/>
        <v>0</v>
      </c>
      <c r="GB27" s="2226"/>
    </row>
    <row r="28" spans="1:184" ht="24" thickBot="1">
      <c r="A28" s="1145" t="s">
        <v>24</v>
      </c>
      <c r="B28" s="2348"/>
      <c r="C28" s="1587"/>
      <c r="D28" s="2341"/>
      <c r="E28" s="2341"/>
      <c r="F28" s="2342"/>
      <c r="G28" s="2343"/>
      <c r="H28" s="2342"/>
      <c r="I28" s="2342"/>
      <c r="J28" s="2341"/>
      <c r="K28" s="2341"/>
      <c r="L28" s="2341"/>
      <c r="M28" s="2341"/>
      <c r="N28" s="2341"/>
      <c r="O28" s="2341"/>
      <c r="P28" s="2341"/>
      <c r="Q28" s="2341"/>
      <c r="R28" s="2341"/>
      <c r="S28" s="2341"/>
      <c r="T28" s="2341"/>
      <c r="U28" s="2341"/>
      <c r="V28" s="2341"/>
      <c r="W28" s="2341"/>
      <c r="X28" s="2341"/>
      <c r="Y28" s="2341"/>
      <c r="Z28" s="2341"/>
      <c r="AA28" s="2341"/>
      <c r="AB28" s="2342"/>
      <c r="AC28" s="2341"/>
      <c r="AD28" s="2341"/>
      <c r="AE28" s="2341"/>
      <c r="AF28" s="2341"/>
      <c r="AG28" s="2341"/>
      <c r="AH28" s="2341"/>
      <c r="AI28" s="2341"/>
      <c r="AJ28" s="2341"/>
      <c r="AK28" s="2341"/>
      <c r="AL28" s="2341"/>
      <c r="AM28" s="2341"/>
      <c r="AN28" s="2341"/>
      <c r="AO28" s="2341"/>
      <c r="AP28" s="2341"/>
      <c r="AQ28" s="2341"/>
      <c r="AR28" s="2341"/>
      <c r="AS28" s="2341"/>
      <c r="AT28" s="2341"/>
      <c r="AU28" s="2341"/>
      <c r="AV28" s="2341"/>
      <c r="AW28" s="2341"/>
      <c r="AX28" s="2341"/>
      <c r="AY28" s="2341"/>
      <c r="AZ28" s="2341"/>
      <c r="BA28" s="2341"/>
      <c r="BB28" s="2341"/>
      <c r="BC28" s="2341"/>
      <c r="BD28" s="2341"/>
      <c r="BE28" s="2341"/>
      <c r="BF28" s="2341"/>
      <c r="BG28" s="2341"/>
      <c r="BH28" s="2341"/>
      <c r="BI28" s="2341"/>
      <c r="BJ28" s="2341"/>
      <c r="BK28" s="2341"/>
      <c r="BL28" s="2332"/>
      <c r="BM28" s="2341"/>
      <c r="BN28" s="2341"/>
      <c r="BO28" s="2341"/>
      <c r="BP28" s="2341"/>
      <c r="BQ28" s="2341"/>
      <c r="BR28" s="2341"/>
      <c r="BS28" s="2341"/>
      <c r="BT28" s="2341"/>
      <c r="BU28" s="2341"/>
      <c r="BV28" s="2341"/>
      <c r="BW28" s="2341"/>
      <c r="BX28" s="2341"/>
      <c r="BY28" s="2344"/>
      <c r="BZ28" s="2342"/>
      <c r="CA28" s="2341"/>
      <c r="CB28" s="2342"/>
      <c r="CC28" s="2342"/>
      <c r="CD28" s="2342"/>
      <c r="CE28" s="2342"/>
      <c r="CF28" s="2343"/>
      <c r="CG28" s="2342"/>
      <c r="CH28" s="2342"/>
      <c r="CI28" s="2342"/>
      <c r="CJ28" s="2342"/>
      <c r="CK28" s="2342"/>
      <c r="CL28" s="2342"/>
      <c r="CM28" s="2342"/>
      <c r="CN28" s="2342"/>
      <c r="CO28" s="2342"/>
      <c r="CP28" s="2342"/>
      <c r="CQ28" s="2342"/>
      <c r="CR28" s="2342"/>
      <c r="CS28" s="2342"/>
      <c r="CT28" s="2342"/>
      <c r="CU28" s="2342"/>
      <c r="CV28" s="2342"/>
      <c r="CW28" s="2342"/>
      <c r="CX28" s="2342"/>
      <c r="CY28" s="2342"/>
      <c r="CZ28" s="2342"/>
      <c r="DA28" s="2342"/>
      <c r="DB28" s="2342"/>
      <c r="DC28" s="2344"/>
      <c r="DD28" s="2344"/>
      <c r="DE28" s="2349"/>
      <c r="DF28" s="2349"/>
      <c r="DG28" s="2349"/>
      <c r="DH28" s="2349"/>
      <c r="DI28" s="2349"/>
      <c r="DJ28" s="2349"/>
      <c r="DK28" s="2349"/>
      <c r="DL28" s="2349"/>
      <c r="DM28" s="2317"/>
      <c r="DN28" s="2317"/>
      <c r="DO28" s="2317"/>
      <c r="DP28" s="2317"/>
      <c r="DQ28" s="2153">
        <f t="shared" si="0"/>
        <v>0</v>
      </c>
      <c r="DR28" s="2227"/>
      <c r="DS28" s="2221"/>
      <c r="DT28" s="2222"/>
      <c r="DU28" s="2345"/>
      <c r="DV28" s="2221"/>
      <c r="DW28" s="2221"/>
      <c r="DX28" s="2221"/>
      <c r="DY28" s="2221"/>
      <c r="DZ28" s="2221"/>
      <c r="EA28" s="2221"/>
      <c r="EB28" s="2221"/>
      <c r="EC28" s="2221"/>
      <c r="ED28" s="2221"/>
      <c r="EE28" s="2346"/>
      <c r="EF28" s="2345"/>
      <c r="EG28" s="2345"/>
      <c r="EH28" s="2345"/>
      <c r="EI28" s="2345"/>
      <c r="EJ28" s="2345"/>
      <c r="EK28" s="2345"/>
      <c r="EL28" s="2345"/>
      <c r="EM28" s="2345"/>
      <c r="EN28" s="2347"/>
      <c r="EO28" s="2322"/>
      <c r="EP28" s="2345"/>
      <c r="EQ28" s="2345"/>
      <c r="ER28" s="2345"/>
      <c r="ES28" s="2345"/>
      <c r="ET28" s="2345"/>
      <c r="EU28" s="2345"/>
      <c r="EV28" s="2345"/>
      <c r="EW28" s="2345"/>
      <c r="EX28" s="2345"/>
      <c r="EY28" s="2345"/>
      <c r="EZ28" s="2345"/>
      <c r="FA28" s="2345"/>
      <c r="FB28" s="2345"/>
      <c r="FC28" s="2345"/>
      <c r="FD28" s="2345"/>
      <c r="FE28" s="2345"/>
      <c r="FF28" s="2345"/>
      <c r="FG28" s="2345"/>
      <c r="FH28" s="2345"/>
      <c r="FI28" s="2345"/>
      <c r="FJ28" s="2345"/>
      <c r="FK28" s="2345"/>
      <c r="FL28" s="2345"/>
      <c r="FM28" s="2347"/>
      <c r="FN28" s="2347"/>
      <c r="FO28" s="2347"/>
      <c r="FP28" s="2347"/>
      <c r="FQ28" s="2347"/>
      <c r="FR28" s="2347"/>
      <c r="FS28" s="2347"/>
      <c r="FT28" s="2347"/>
      <c r="FU28" s="2347"/>
      <c r="FV28" s="2347"/>
      <c r="FW28" s="2347"/>
      <c r="FX28" s="2228"/>
      <c r="FY28" s="2223"/>
      <c r="FZ28" s="2223">
        <f t="shared" si="3"/>
        <v>0</v>
      </c>
      <c r="GA28" s="2159">
        <f t="shared" si="4"/>
        <v>0</v>
      </c>
      <c r="GB28" s="2226"/>
    </row>
    <row r="29" spans="1:184" ht="11.25" customHeight="1" thickBot="1">
      <c r="A29" s="1095"/>
      <c r="B29" s="2217"/>
      <c r="C29" s="2217"/>
      <c r="D29" s="2217"/>
      <c r="E29" s="2217"/>
      <c r="F29" s="2217"/>
      <c r="G29" s="2217"/>
      <c r="H29" s="2217"/>
      <c r="I29" s="2217"/>
      <c r="J29" s="2217"/>
      <c r="K29" s="2217"/>
      <c r="L29" s="2217"/>
      <c r="M29" s="2217"/>
      <c r="N29" s="2217"/>
      <c r="O29" s="2217"/>
      <c r="P29" s="2217"/>
      <c r="Q29" s="2217"/>
      <c r="R29" s="2217"/>
      <c r="S29" s="2217"/>
      <c r="T29" s="2217"/>
      <c r="U29" s="2217"/>
      <c r="V29" s="2217"/>
      <c r="W29" s="2217"/>
      <c r="X29" s="2217"/>
      <c r="Y29" s="2217"/>
      <c r="Z29" s="2217"/>
      <c r="AA29" s="2217"/>
      <c r="AB29" s="2217"/>
      <c r="AC29" s="2217"/>
      <c r="AD29" s="2217"/>
      <c r="AE29" s="2217"/>
      <c r="AF29" s="2217"/>
      <c r="AG29" s="2217"/>
      <c r="AH29" s="2217"/>
      <c r="AI29" s="2217"/>
      <c r="AJ29" s="2217"/>
      <c r="AK29" s="2217"/>
      <c r="AL29" s="2217"/>
      <c r="AM29" s="2217"/>
      <c r="AN29" s="2217"/>
      <c r="AO29" s="2217"/>
      <c r="AP29" s="2217"/>
      <c r="AQ29" s="2217"/>
      <c r="AR29" s="2217"/>
      <c r="AS29" s="2217"/>
      <c r="AT29" s="2217"/>
      <c r="AU29" s="2217"/>
      <c r="AV29" s="2217"/>
      <c r="AW29" s="2217"/>
      <c r="AX29" s="2217"/>
      <c r="AY29" s="2217"/>
      <c r="AZ29" s="2217"/>
      <c r="BA29" s="2217"/>
      <c r="BB29" s="2217"/>
      <c r="BC29" s="2217"/>
      <c r="BD29" s="2217"/>
      <c r="BE29" s="2217"/>
      <c r="BF29" s="2217"/>
      <c r="BG29" s="2217"/>
      <c r="BH29" s="2217"/>
      <c r="BI29" s="2217"/>
      <c r="BJ29" s="2217"/>
      <c r="BK29" s="2217"/>
      <c r="BL29" s="2218"/>
      <c r="BM29" s="2217"/>
      <c r="BN29" s="2217"/>
      <c r="BO29" s="2217"/>
      <c r="BP29" s="2217"/>
      <c r="BQ29" s="2217"/>
      <c r="BR29" s="2217"/>
      <c r="BS29" s="2217"/>
      <c r="BT29" s="2217"/>
      <c r="BU29" s="2217"/>
      <c r="BV29" s="2217"/>
      <c r="BW29" s="2217"/>
      <c r="BX29" s="2217"/>
      <c r="BY29" s="2217"/>
      <c r="BZ29" s="2217"/>
      <c r="CA29" s="2217"/>
      <c r="CB29" s="2217"/>
      <c r="CC29" s="2217"/>
      <c r="CD29" s="2217"/>
      <c r="CE29" s="2217"/>
      <c r="CF29" s="2217"/>
      <c r="CG29" s="2217"/>
      <c r="CH29" s="2217"/>
      <c r="CI29" s="2217"/>
      <c r="CJ29" s="2217"/>
      <c r="CK29" s="2217"/>
      <c r="CL29" s="2217"/>
      <c r="CM29" s="2217"/>
      <c r="CN29" s="2217"/>
      <c r="CO29" s="2217"/>
      <c r="CP29" s="2217"/>
      <c r="CQ29" s="2217"/>
      <c r="CR29" s="2217"/>
      <c r="CS29" s="2217"/>
      <c r="CT29" s="2217"/>
      <c r="CU29" s="2217"/>
      <c r="CV29" s="2217"/>
      <c r="CW29" s="2217"/>
      <c r="CX29" s="2217"/>
      <c r="CY29" s="2217"/>
      <c r="CZ29" s="2217"/>
      <c r="DA29" s="2237"/>
      <c r="DB29" s="2217"/>
      <c r="DC29" s="2217"/>
      <c r="DD29" s="2217"/>
      <c r="DE29" s="2217"/>
      <c r="DF29" s="2217"/>
      <c r="DG29" s="2217"/>
      <c r="DH29" s="2217"/>
      <c r="DI29" s="2217"/>
      <c r="DJ29" s="2217"/>
      <c r="DK29" s="2217"/>
      <c r="DL29" s="2217"/>
      <c r="DM29" s="2217"/>
      <c r="DN29" s="2219"/>
      <c r="DO29" s="2219"/>
      <c r="DP29" s="2219"/>
      <c r="DQ29" s="2179"/>
      <c r="DR29" s="2229"/>
      <c r="DS29" s="2230"/>
      <c r="DT29" s="2231"/>
      <c r="DU29" s="2231"/>
      <c r="DV29" s="2231"/>
      <c r="DW29" s="2231"/>
      <c r="DX29" s="2231"/>
      <c r="DY29" s="2231"/>
      <c r="DZ29" s="2231"/>
      <c r="EA29" s="2231"/>
      <c r="EB29" s="2231"/>
      <c r="EC29" s="2231"/>
      <c r="ED29" s="2231"/>
      <c r="EE29" s="2232"/>
      <c r="EF29" s="2231"/>
      <c r="EG29" s="2231"/>
      <c r="EH29" s="2231"/>
      <c r="EI29" s="2231"/>
      <c r="EJ29" s="2231"/>
      <c r="EK29" s="2231"/>
      <c r="EL29" s="2231"/>
      <c r="EM29" s="2231"/>
      <c r="EN29" s="2231"/>
      <c r="EO29" s="2180"/>
      <c r="EP29" s="2231"/>
      <c r="EQ29" s="2231"/>
      <c r="ER29" s="2231"/>
      <c r="ES29" s="2231"/>
      <c r="ET29" s="2231"/>
      <c r="EU29" s="2231"/>
      <c r="EV29" s="2231"/>
      <c r="EW29" s="2231"/>
      <c r="EX29" s="2231"/>
      <c r="EY29" s="2231"/>
      <c r="EZ29" s="2231"/>
      <c r="FA29" s="2231"/>
      <c r="FB29" s="2231"/>
      <c r="FC29" s="2231"/>
      <c r="FD29" s="2231"/>
      <c r="FE29" s="2231"/>
      <c r="FF29" s="2231"/>
      <c r="FG29" s="2231"/>
      <c r="FH29" s="2231"/>
      <c r="FI29" s="2231"/>
      <c r="FJ29" s="2231"/>
      <c r="FK29" s="2231"/>
      <c r="FL29" s="2221"/>
      <c r="FM29" s="2231"/>
      <c r="FN29" s="2231"/>
      <c r="FO29" s="2231"/>
      <c r="FP29" s="2231"/>
      <c r="FQ29" s="2231"/>
      <c r="FR29" s="2231"/>
      <c r="FS29" s="2231"/>
      <c r="FT29" s="2231"/>
      <c r="FU29" s="2231"/>
      <c r="FV29" s="2231"/>
      <c r="FW29" s="2231"/>
      <c r="FX29" s="2233"/>
      <c r="FY29" s="2234"/>
      <c r="FZ29" s="2234"/>
      <c r="GA29" s="2225">
        <f>SUM(DR29:FZ29)</f>
        <v>0</v>
      </c>
      <c r="GB29" s="2226">
        <f>DQ29+GA29</f>
        <v>0</v>
      </c>
    </row>
  </sheetData>
  <customSheetViews>
    <customSheetView guid="{751D391F-C74F-4B53-B5B5-25E01AC12EA4}" topLeftCell="E1">
      <pane ySplit="1" topLeftCell="A2" activePane="bottomLeft" state="frozen"/>
      <selection pane="bottomLeft" activeCell="L22" sqref="L22"/>
      <pageMargins left="0.7" right="0.7" top="0.75" bottom="0.75" header="0.3" footer="0.3"/>
      <pageSetup orientation="portrait" r:id="rId1"/>
    </customSheetView>
    <customSheetView guid="{5A803268-F6C5-4035-B3E1-A94CB9AA8994}">
      <pane ySplit="2" topLeftCell="A3" activePane="bottomLeft" state="frozen"/>
      <selection pane="bottomLeft" activeCell="DP1" sqref="DP1:DP1048576"/>
      <pageMargins left="0.7" right="0.7" top="0.75" bottom="0.75" header="0.3" footer="0.3"/>
      <pageSetup orientation="portrait" verticalDpi="0" r:id="rId2"/>
    </customSheetView>
    <customSheetView guid="{7C71EF2A-5ADA-494C-8F58-DDA71753DD90}" scale="93" showPageBreaks="1">
      <pane ySplit="2" topLeftCell="A3" activePane="bottomLeft" state="frozen"/>
      <selection pane="bottomLeft" activeCell="B23" sqref="B23"/>
      <pageMargins left="0.7" right="0.7" top="0.75" bottom="0.75" header="0.3" footer="0.3"/>
      <pageSetup orientation="portrait" r:id="rId3"/>
    </customSheetView>
    <customSheetView guid="{4DB6C640-CE65-4513-9E5A-F6CDD1F4B8AF}">
      <pane ySplit="1" topLeftCell="A2" activePane="bottomLeft" state="frozen"/>
      <selection pane="bottomLeft" activeCell="A27" sqref="A27"/>
      <pageMargins left="0.7" right="0.7" top="0.75" bottom="0.75" header="0.3" footer="0.3"/>
      <pageSetup orientation="portrait" r:id="rId4"/>
    </customSheetView>
    <customSheetView guid="{D1D1E152-95AB-45D3-AC07-4EC0834D3E0C}" topLeftCell="E1">
      <pane ySplit="1" topLeftCell="A5" activePane="bottomLeft" state="frozen"/>
      <selection pane="bottomLeft" activeCell="E27" sqref="E27"/>
      <pageMargins left="0.7" right="0.7" top="0.75" bottom="0.75" header="0.3" footer="0.3"/>
      <pageSetup orientation="portrait" r:id="rId5"/>
    </customSheetView>
    <customSheetView guid="{C3348F62-02F2-4500-9BF2-19F2DEA57A8D}" showPageBreaks="1" topLeftCell="E1">
      <pane ySplit="1" topLeftCell="A2" activePane="bottomLeft" state="frozen"/>
      <selection pane="bottomLeft" activeCell="F27" sqref="F27"/>
      <pageMargins left="0.7" right="0.7" top="0.75" bottom="0.75" header="0.3" footer="0.3"/>
      <pageSetup orientation="portrait" r:id="rId6"/>
    </customSheetView>
  </customSheetViews>
  <pageMargins left="0.7" right="0.7" top="0.75" bottom="0.75" header="0.3" footer="0.3"/>
  <pageSetup orientation="portrait"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MD266"/>
  <sheetViews>
    <sheetView topLeftCell="A133" zoomScalePageLayoutView="80" workbookViewId="0">
      <selection activeCell="E9" sqref="E9"/>
    </sheetView>
  </sheetViews>
  <sheetFormatPr defaultColWidth="9.140625" defaultRowHeight="14.25"/>
  <cols>
    <col min="1" max="1" width="6.7109375" style="175" customWidth="1"/>
    <col min="2" max="2" width="4.42578125" style="175" customWidth="1"/>
    <col min="3" max="3" width="12.28515625" style="175" customWidth="1"/>
    <col min="4" max="4" width="25.85546875" style="175" customWidth="1"/>
    <col min="5" max="5" width="11.28515625" style="175" customWidth="1"/>
    <col min="6" max="6" width="12.28515625" style="175" customWidth="1"/>
    <col min="7" max="7" width="18.42578125" style="175" customWidth="1"/>
    <col min="8" max="8" width="13.7109375" style="175" customWidth="1"/>
    <col min="9" max="9" width="14.42578125" style="175" customWidth="1"/>
    <col min="10" max="10" width="14.28515625" style="175" customWidth="1"/>
    <col min="11" max="11" width="18" style="175" customWidth="1"/>
    <col min="12" max="12" width="15.5703125" style="175" customWidth="1"/>
    <col min="13" max="13" width="13" style="175" customWidth="1"/>
    <col min="14" max="14" width="10.85546875" style="175" customWidth="1"/>
    <col min="15" max="15" width="14.140625" style="175" customWidth="1"/>
    <col min="16" max="16" width="10.7109375" style="175" customWidth="1"/>
    <col min="17" max="17" width="12" style="175" customWidth="1"/>
    <col min="18" max="18" width="11.42578125" style="585" customWidth="1"/>
    <col min="19" max="19" width="22.28515625" style="175" customWidth="1"/>
    <col min="20" max="20" width="13.7109375" style="175" customWidth="1"/>
    <col min="21" max="21" width="23.5703125" style="175" customWidth="1"/>
    <col min="22" max="22" width="16.140625" style="175" customWidth="1"/>
    <col min="23" max="23" width="17.42578125" style="175" customWidth="1"/>
    <col min="24" max="24" width="15" style="175" customWidth="1"/>
    <col min="25" max="25" width="18" style="175" customWidth="1"/>
    <col min="26" max="26" width="15.28515625" style="175" customWidth="1"/>
    <col min="27" max="27" width="17.140625" style="175" bestFit="1" customWidth="1"/>
    <col min="28" max="28" width="20" style="175" bestFit="1" customWidth="1"/>
    <col min="29" max="29" width="5.140625" style="175" customWidth="1"/>
    <col min="30" max="30" width="22.7109375" style="175" bestFit="1" customWidth="1"/>
    <col min="31" max="32" width="9.140625" style="175"/>
    <col min="33" max="33" width="11.42578125" style="175" customWidth="1"/>
    <col min="34" max="52" width="9.140625" style="175"/>
    <col min="53" max="53" width="11.140625" style="175" customWidth="1"/>
    <col min="54" max="16384" width="9.140625" style="175"/>
  </cols>
  <sheetData>
    <row r="1" spans="1:54" ht="32.25" customHeight="1">
      <c r="A1" s="175">
        <v>8</v>
      </c>
      <c r="B1" s="185"/>
      <c r="C1" s="185"/>
      <c r="D1" s="185"/>
      <c r="E1" s="185"/>
      <c r="F1" s="186"/>
      <c r="G1" s="187" t="s">
        <v>269</v>
      </c>
      <c r="H1" s="185"/>
      <c r="I1" s="185"/>
      <c r="J1" s="185"/>
      <c r="K1" s="185"/>
      <c r="L1" s="185"/>
      <c r="M1" s="185"/>
      <c r="N1" s="185"/>
      <c r="O1" s="185"/>
      <c r="P1" s="185"/>
      <c r="Q1" s="188"/>
      <c r="R1" s="189" t="s">
        <v>270</v>
      </c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</row>
    <row r="2" spans="1:54" ht="36" customHeight="1">
      <c r="B2" s="185"/>
      <c r="C2" s="185"/>
      <c r="D2" s="185"/>
      <c r="E2" s="1467" t="s">
        <v>1037</v>
      </c>
      <c r="F2" s="191"/>
      <c r="G2" s="191"/>
      <c r="H2" s="191"/>
      <c r="I2" s="191"/>
      <c r="J2" s="191"/>
      <c r="K2" s="191"/>
      <c r="L2" s="1468">
        <f>E3</f>
        <v>43318</v>
      </c>
      <c r="M2" s="192" t="str">
        <f>G3</f>
        <v>Sunday</v>
      </c>
      <c r="N2" s="193"/>
      <c r="O2" s="4831"/>
      <c r="P2" s="185"/>
      <c r="Q2" s="188"/>
      <c r="R2" s="188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</row>
    <row r="3" spans="1:54" ht="15" customHeight="1" thickBot="1">
      <c r="A3" s="1466"/>
      <c r="B3" s="194"/>
      <c r="C3" s="195" t="s">
        <v>168</v>
      </c>
      <c r="D3" s="196" t="s">
        <v>271</v>
      </c>
      <c r="E3" s="197">
        <v>43318</v>
      </c>
      <c r="F3" s="197"/>
      <c r="G3" s="656" t="str">
        <f>AG190</f>
        <v>Sunday</v>
      </c>
      <c r="H3" s="198"/>
      <c r="I3" s="199"/>
      <c r="J3" s="199"/>
      <c r="K3" s="194"/>
      <c r="L3" s="200"/>
      <c r="M3" s="201"/>
      <c r="N3" s="199"/>
      <c r="O3" s="202"/>
      <c r="P3" s="203"/>
      <c r="Q3" s="204"/>
      <c r="R3" s="194"/>
      <c r="S3" s="205"/>
      <c r="T3" s="190"/>
      <c r="U3" s="190"/>
      <c r="V3" s="190"/>
      <c r="W3" s="190"/>
      <c r="X3" s="190"/>
      <c r="Y3" s="190"/>
      <c r="Z3" s="190"/>
      <c r="AA3" s="190"/>
      <c r="AB3" s="190"/>
      <c r="AC3" s="190"/>
      <c r="BA3" s="1305" t="s">
        <v>816</v>
      </c>
      <c r="BB3" s="1305">
        <v>226</v>
      </c>
    </row>
    <row r="4" spans="1:54" ht="20.25" customHeight="1" thickBot="1">
      <c r="B4" s="3595"/>
      <c r="C4" s="3596" t="s">
        <v>272</v>
      </c>
      <c r="D4" s="3596"/>
      <c r="E4" s="3596" t="s">
        <v>273</v>
      </c>
      <c r="F4" s="3596"/>
      <c r="G4" s="3597" t="s">
        <v>274</v>
      </c>
      <c r="H4" s="3598">
        <f>L183</f>
        <v>11729.6</v>
      </c>
      <c r="I4" s="3598" t="s">
        <v>36</v>
      </c>
      <c r="J4" s="3596"/>
      <c r="K4" s="3599"/>
      <c r="L4" s="3596" t="s">
        <v>275</v>
      </c>
      <c r="M4" s="3596"/>
      <c r="N4" s="3598">
        <f>M183</f>
        <v>13539</v>
      </c>
      <c r="O4" s="3596" t="s">
        <v>36</v>
      </c>
      <c r="P4" s="3596"/>
      <c r="Q4" s="3596"/>
      <c r="R4" s="3600"/>
      <c r="S4" s="206"/>
      <c r="T4" s="190"/>
      <c r="U4" s="190"/>
      <c r="V4" s="190"/>
      <c r="W4" s="190"/>
      <c r="X4" s="190"/>
      <c r="Y4" s="190"/>
      <c r="Z4" s="190"/>
      <c r="AA4" s="190"/>
      <c r="AB4" s="190"/>
      <c r="AC4" s="190"/>
    </row>
    <row r="5" spans="1:54" ht="20.25" customHeight="1" thickBot="1">
      <c r="B5" s="3601" t="s">
        <v>760</v>
      </c>
      <c r="C5" s="3602"/>
      <c r="D5" s="3603"/>
      <c r="E5" s="3604"/>
      <c r="F5" s="3604"/>
      <c r="G5" s="3605"/>
      <c r="H5" s="3603"/>
      <c r="I5" s="3601" t="s">
        <v>763</v>
      </c>
      <c r="J5" s="3606" t="s">
        <v>280</v>
      </c>
      <c r="K5" s="3607"/>
      <c r="L5" s="3608" t="s">
        <v>281</v>
      </c>
      <c r="M5" s="3609"/>
      <c r="N5" s="3610" t="s">
        <v>282</v>
      </c>
      <c r="O5" s="3610"/>
      <c r="P5" s="3605" t="s">
        <v>283</v>
      </c>
      <c r="Q5" s="3603"/>
      <c r="R5" s="3604" t="s">
        <v>284</v>
      </c>
      <c r="S5" s="208"/>
      <c r="T5" s="190"/>
      <c r="U5" s="190"/>
      <c r="V5" s="190"/>
      <c r="W5" s="190"/>
      <c r="X5" s="190"/>
      <c r="Y5" s="190"/>
      <c r="Z5" s="190"/>
      <c r="AA5" s="190"/>
      <c r="AB5" s="190"/>
      <c r="AC5" s="190"/>
    </row>
    <row r="6" spans="1:54" ht="17.25" customHeight="1" thickBot="1">
      <c r="B6" s="3611" t="s">
        <v>762</v>
      </c>
      <c r="C6" s="3611" t="s">
        <v>761</v>
      </c>
      <c r="D6" s="3612"/>
      <c r="E6" s="3613" t="s">
        <v>32</v>
      </c>
      <c r="F6" s="3613" t="s">
        <v>278</v>
      </c>
      <c r="G6" s="3614" t="s">
        <v>279</v>
      </c>
      <c r="H6" s="3612"/>
      <c r="I6" s="3614" t="s">
        <v>764</v>
      </c>
      <c r="J6" s="3615" t="s">
        <v>287</v>
      </c>
      <c r="K6" s="3616">
        <f>YesterdayGen!A2</f>
        <v>43318</v>
      </c>
      <c r="L6" s="3617">
        <f>E3</f>
        <v>43318</v>
      </c>
      <c r="M6" s="3618" t="s">
        <v>288</v>
      </c>
      <c r="N6" s="3614" t="s">
        <v>289</v>
      </c>
      <c r="O6" s="3613" t="s">
        <v>290</v>
      </c>
      <c r="P6" s="3611" t="s">
        <v>291</v>
      </c>
      <c r="Q6" s="3612"/>
      <c r="R6" s="3619" t="s">
        <v>292</v>
      </c>
      <c r="S6" s="208"/>
      <c r="T6" s="190"/>
      <c r="U6" s="190"/>
      <c r="V6" s="190"/>
      <c r="W6" s="190"/>
      <c r="X6" s="190"/>
      <c r="Y6" s="190"/>
      <c r="Z6" s="190"/>
      <c r="AA6" s="190"/>
      <c r="AB6" s="190"/>
      <c r="AC6" s="190"/>
    </row>
    <row r="7" spans="1:54" ht="18.75" customHeight="1" thickBot="1">
      <c r="B7" s="3620"/>
      <c r="C7" s="3621"/>
      <c r="D7" s="3622"/>
      <c r="E7" s="3623"/>
      <c r="F7" s="3620"/>
      <c r="G7" s="3621"/>
      <c r="H7" s="3622"/>
      <c r="I7" s="3620"/>
      <c r="J7" s="3624" t="s">
        <v>119</v>
      </c>
      <c r="K7" s="3614" t="s">
        <v>285</v>
      </c>
      <c r="L7" s="3614" t="s">
        <v>286</v>
      </c>
      <c r="M7" s="3625" t="s">
        <v>285</v>
      </c>
      <c r="N7" s="3614" t="s">
        <v>293</v>
      </c>
      <c r="O7" s="3613" t="s">
        <v>294</v>
      </c>
      <c r="P7" s="3626" t="s">
        <v>295</v>
      </c>
      <c r="Q7" s="3622"/>
      <c r="R7" s="3619" t="s">
        <v>19</v>
      </c>
      <c r="S7" s="207"/>
      <c r="T7" s="190"/>
      <c r="U7" s="190"/>
      <c r="V7" s="190"/>
      <c r="W7" s="190"/>
      <c r="X7" s="190"/>
      <c r="Y7" s="190"/>
      <c r="Z7" s="190"/>
      <c r="AA7" s="190"/>
      <c r="AB7" s="190"/>
      <c r="AC7" s="190"/>
    </row>
    <row r="8" spans="1:54" ht="14.25" customHeight="1" thickBot="1">
      <c r="B8" s="3627"/>
      <c r="C8" s="3628"/>
      <c r="D8" s="3628"/>
      <c r="E8" s="3610"/>
      <c r="F8" s="3629"/>
      <c r="G8" s="3630" t="s">
        <v>688</v>
      </c>
      <c r="H8" s="3631" t="s">
        <v>36</v>
      </c>
      <c r="I8" s="3627" t="s">
        <v>36</v>
      </c>
      <c r="J8" s="3632" t="s">
        <v>36</v>
      </c>
      <c r="K8" s="3615" t="s">
        <v>36</v>
      </c>
      <c r="L8" s="3615" t="s">
        <v>36</v>
      </c>
      <c r="M8" s="3633" t="s">
        <v>36</v>
      </c>
      <c r="N8" s="3615" t="s">
        <v>36</v>
      </c>
      <c r="O8" s="3627" t="str">
        <f>K8</f>
        <v>MW</v>
      </c>
      <c r="P8" s="3634"/>
      <c r="Q8" s="3635"/>
      <c r="R8" s="3610"/>
      <c r="S8" s="207"/>
      <c r="T8" s="190"/>
      <c r="U8" s="190"/>
      <c r="V8" s="190"/>
      <c r="W8" s="190"/>
      <c r="X8" s="190"/>
      <c r="Y8" s="190"/>
      <c r="Z8" s="190"/>
      <c r="AA8" s="190"/>
      <c r="AB8" s="190"/>
      <c r="AC8" s="190"/>
    </row>
    <row r="9" spans="1:54" ht="16.5" customHeight="1">
      <c r="B9" s="3636">
        <v>1</v>
      </c>
      <c r="C9" s="3637" t="str">
        <f>Master!C3</f>
        <v>Ghorasal Repowered CCPP:Unit-3 (GT</v>
      </c>
      <c r="D9" s="3638"/>
      <c r="E9" s="3639" t="str">
        <f>Master!C5</f>
        <v>Gas</v>
      </c>
      <c r="F9" s="3640" t="str">
        <f>Master!C4</f>
        <v>PDB</v>
      </c>
      <c r="G9" s="3641" t="str">
        <f>Master!C6</f>
        <v>1*260</v>
      </c>
      <c r="H9" s="3636">
        <f>Master!C7</f>
        <v>260</v>
      </c>
      <c r="I9" s="3642">
        <f>Master!C8</f>
        <v>260</v>
      </c>
      <c r="J9" s="3643">
        <f>YesterdayGen!C33</f>
        <v>0</v>
      </c>
      <c r="K9" s="3644">
        <f>YesterdayGen!C34</f>
        <v>0</v>
      </c>
      <c r="L9" s="3643">
        <f>YesterdayGen!C36</f>
        <v>0</v>
      </c>
      <c r="M9" s="3644">
        <f>YesterdayGen!C35</f>
        <v>0</v>
      </c>
      <c r="N9" s="3644"/>
      <c r="O9" s="3645">
        <f>I9-M9</f>
        <v>260</v>
      </c>
      <c r="P9" s="3646" t="s">
        <v>117</v>
      </c>
      <c r="Q9" s="3647"/>
      <c r="R9" s="3648"/>
      <c r="S9" s="211"/>
      <c r="T9" s="190"/>
      <c r="U9" s="190"/>
      <c r="V9" s="190"/>
      <c r="W9" s="190"/>
      <c r="X9" s="190"/>
      <c r="Y9" s="190"/>
      <c r="Z9" s="190"/>
      <c r="AA9" s="190"/>
      <c r="AB9" s="190"/>
      <c r="AC9" s="190"/>
    </row>
    <row r="10" spans="1:54" ht="16.5" customHeight="1">
      <c r="B10" s="3649">
        <v>2</v>
      </c>
      <c r="C10" s="3637" t="str">
        <f>Master!D3</f>
        <v>Ghorasal Repowered CCPP Unit-4</v>
      </c>
      <c r="D10" s="3638"/>
      <c r="E10" s="3650" t="str">
        <f>Master!D5</f>
        <v>Gas</v>
      </c>
      <c r="F10" s="3636" t="str">
        <f>Master!D4</f>
        <v>PDB</v>
      </c>
      <c r="G10" s="3641" t="str">
        <f>Master!D6</f>
        <v>1*210</v>
      </c>
      <c r="H10" s="3636">
        <f>Master!D7</f>
        <v>210</v>
      </c>
      <c r="I10" s="3642">
        <f>Master!D8</f>
        <v>180</v>
      </c>
      <c r="J10" s="3643">
        <f>YesterdayGen!D33</f>
        <v>0</v>
      </c>
      <c r="K10" s="3644">
        <f>YesterdayGen!D34</f>
        <v>0</v>
      </c>
      <c r="L10" s="3643">
        <f>YesterdayGen!D36</f>
        <v>0</v>
      </c>
      <c r="M10" s="3644">
        <f>YesterdayGen!D35</f>
        <v>0</v>
      </c>
      <c r="N10" s="3644"/>
      <c r="O10" s="3645">
        <v>180</v>
      </c>
      <c r="P10" s="3646" t="s">
        <v>117</v>
      </c>
      <c r="Q10" s="3647"/>
      <c r="R10" s="3651"/>
      <c r="S10" s="212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</row>
    <row r="11" spans="1:54" ht="16.5" customHeight="1">
      <c r="B11" s="3652"/>
      <c r="C11" s="3637" t="str">
        <f>Master!E3</f>
        <v>Ghorasal TPP Unit-5</v>
      </c>
      <c r="D11" s="3638"/>
      <c r="E11" s="3650" t="str">
        <f>Master!E5</f>
        <v>Gas</v>
      </c>
      <c r="F11" s="3636" t="str">
        <f>Master!E4</f>
        <v>PDB</v>
      </c>
      <c r="G11" s="3641" t="str">
        <f>Master!E6</f>
        <v>1*210</v>
      </c>
      <c r="H11" s="3636">
        <f>Master!E7</f>
        <v>210</v>
      </c>
      <c r="I11" s="3642">
        <f>Master!E8</f>
        <v>190</v>
      </c>
      <c r="J11" s="3643">
        <f>YesterdayGen!E33</f>
        <v>180</v>
      </c>
      <c r="K11" s="3644">
        <f>YesterdayGen!E34</f>
        <v>180</v>
      </c>
      <c r="L11" s="3643">
        <f>YesterdayGen!E36</f>
        <v>180</v>
      </c>
      <c r="M11" s="3644">
        <f>YesterdayGen!E35</f>
        <v>180</v>
      </c>
      <c r="N11" s="3644"/>
      <c r="O11" s="3645"/>
      <c r="P11" s="3646"/>
      <c r="Q11" s="3647"/>
      <c r="R11" s="3653"/>
      <c r="S11" s="211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</row>
    <row r="12" spans="1:54" ht="16.5" customHeight="1">
      <c r="B12" s="3636">
        <v>3</v>
      </c>
      <c r="C12" s="3637" t="str">
        <f>Master!F3</f>
        <v>Ghorasal 365 MW CCPP Unit-7</v>
      </c>
      <c r="D12" s="3638"/>
      <c r="E12" s="3650" t="str">
        <f>Master!F5</f>
        <v>Gas</v>
      </c>
      <c r="F12" s="3636" t="str">
        <f>Master!F4</f>
        <v>PDB</v>
      </c>
      <c r="G12" s="3641" t="str">
        <f>Master!F6</f>
        <v>1*243+1*122</v>
      </c>
      <c r="H12" s="3636">
        <f>Master!F7</f>
        <v>365</v>
      </c>
      <c r="I12" s="3642">
        <f>Master!F8</f>
        <v>365</v>
      </c>
      <c r="J12" s="3643">
        <f>YesterdayGen!F33</f>
        <v>0</v>
      </c>
      <c r="K12" s="3644">
        <f>YesterdayGen!F34</f>
        <v>200</v>
      </c>
      <c r="L12" s="3643">
        <f>YesterdayGen!F36</f>
        <v>200</v>
      </c>
      <c r="M12" s="3644">
        <f>YesterdayGen!F35</f>
        <v>200</v>
      </c>
      <c r="N12" s="3644"/>
      <c r="O12" s="3645">
        <f>I12-M12</f>
        <v>165</v>
      </c>
      <c r="P12" s="3646"/>
      <c r="Q12" s="3647"/>
      <c r="R12" s="3653"/>
      <c r="S12" s="211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</row>
    <row r="13" spans="1:54" ht="16.5" customHeight="1">
      <c r="B13" s="3654"/>
      <c r="C13" s="3655" t="str">
        <f>Master!H3</f>
        <v>Ghorashal 78.5 MW PP(MAX)</v>
      </c>
      <c r="D13" s="3656"/>
      <c r="E13" s="3657" t="str">
        <f>Master!H5</f>
        <v>Gas</v>
      </c>
      <c r="F13" s="3654" t="str">
        <f>Master!H4</f>
        <v>QRPP</v>
      </c>
      <c r="G13" s="3658" t="str">
        <f>Master!H6</f>
        <v>2*40</v>
      </c>
      <c r="H13" s="3654">
        <f>Master!H7</f>
        <v>0</v>
      </c>
      <c r="I13" s="3659">
        <f>Master!H8</f>
        <v>0</v>
      </c>
      <c r="J13" s="3660">
        <f>YesterdayGen!H33</f>
        <v>0</v>
      </c>
      <c r="K13" s="3661">
        <f>YesterdayGen!H34</f>
        <v>0</v>
      </c>
      <c r="L13" s="3662">
        <f>YesterdayGen!H36</f>
        <v>0</v>
      </c>
      <c r="M13" s="3663">
        <f>YesterdayGen!H35</f>
        <v>0</v>
      </c>
      <c r="N13" s="3661"/>
      <c r="O13" s="3664"/>
      <c r="P13" s="3665" t="s">
        <v>847</v>
      </c>
      <c r="Q13" s="3666"/>
      <c r="R13" s="3667"/>
      <c r="S13" s="1127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</row>
    <row r="14" spans="1:54" ht="16.5" customHeight="1">
      <c r="B14" s="3636">
        <v>4</v>
      </c>
      <c r="C14" s="3637" t="str">
        <f>Master!G3</f>
        <v>Ghorashal 108MW PP (Regent)</v>
      </c>
      <c r="D14" s="3638"/>
      <c r="E14" s="3650" t="str">
        <f>Master!G5</f>
        <v>Gas</v>
      </c>
      <c r="F14" s="3636" t="str">
        <f>Master!G4</f>
        <v>IPP</v>
      </c>
      <c r="G14" s="3668" t="str">
        <f>Master!G6</f>
        <v>34*3.35</v>
      </c>
      <c r="H14" s="3636">
        <f>Master!G7</f>
        <v>108</v>
      </c>
      <c r="I14" s="3642">
        <f>Master!G8</f>
        <v>108</v>
      </c>
      <c r="J14" s="3643">
        <f>YesterdayGen!G33</f>
        <v>86</v>
      </c>
      <c r="K14" s="3644">
        <f>YesterdayGen!G34</f>
        <v>81</v>
      </c>
      <c r="L14" s="3669">
        <f>YesterdayGen!G36</f>
        <v>90</v>
      </c>
      <c r="M14" s="3670">
        <f>YesterdayGen!G35</f>
        <v>93</v>
      </c>
      <c r="N14" s="3644"/>
      <c r="O14" s="3671">
        <f>I14-M14</f>
        <v>15</v>
      </c>
      <c r="P14" s="3646" t="s">
        <v>126</v>
      </c>
      <c r="Q14" s="3647"/>
      <c r="R14" s="3651"/>
      <c r="S14" s="1127"/>
      <c r="T14" s="190"/>
      <c r="U14" s="190"/>
      <c r="V14" s="190"/>
      <c r="W14" s="190"/>
      <c r="X14" s="190"/>
      <c r="Y14" s="190"/>
      <c r="Z14" s="190"/>
      <c r="AA14" s="190"/>
      <c r="AB14" s="190"/>
      <c r="AC14" s="190"/>
    </row>
    <row r="15" spans="1:54" ht="16.5" customHeight="1">
      <c r="B15" s="3636">
        <v>5</v>
      </c>
      <c r="C15" s="3672" t="str">
        <f>Master!L3</f>
        <v>Haripur GTPP</v>
      </c>
      <c r="D15" s="3673"/>
      <c r="E15" s="3650" t="str">
        <f>Master!L5</f>
        <v>Gas</v>
      </c>
      <c r="F15" s="3636" t="str">
        <f>Master!L4</f>
        <v>SBU, PDB</v>
      </c>
      <c r="G15" s="3668" t="str">
        <f>Master!L6</f>
        <v>2*32</v>
      </c>
      <c r="H15" s="3636">
        <f>Master!L7</f>
        <v>32</v>
      </c>
      <c r="I15" s="3642">
        <f>Master!L8</f>
        <v>20</v>
      </c>
      <c r="J15" s="3643">
        <f>YesterdayGen!L33</f>
        <v>0</v>
      </c>
      <c r="K15" s="3644">
        <f>YesterdayGen!L34</f>
        <v>0</v>
      </c>
      <c r="L15" s="3669">
        <f>YesterdayGen!L36</f>
        <v>0</v>
      </c>
      <c r="M15" s="3670">
        <f>YesterdayGen!L35</f>
        <v>0</v>
      </c>
      <c r="N15" s="3644"/>
      <c r="O15" s="3671">
        <f>I15-M15</f>
        <v>20</v>
      </c>
      <c r="P15" s="3674" t="s">
        <v>117</v>
      </c>
      <c r="Q15" s="3647"/>
      <c r="R15" s="3651"/>
      <c r="S15" s="1127"/>
      <c r="T15" s="190"/>
      <c r="U15" s="190"/>
      <c r="V15" s="190"/>
      <c r="W15" s="190"/>
      <c r="X15" s="190"/>
      <c r="Y15" s="190"/>
      <c r="Z15" s="190"/>
      <c r="AA15" s="190"/>
      <c r="AB15" s="190"/>
      <c r="AC15" s="190"/>
    </row>
    <row r="16" spans="1:54" ht="16.5" customHeight="1">
      <c r="B16" s="3636">
        <v>6</v>
      </c>
      <c r="C16" s="3637" t="str">
        <f>Master!I3</f>
        <v>Haripur  412 MW CCPP</v>
      </c>
      <c r="D16" s="3638"/>
      <c r="E16" s="3650" t="str">
        <f>Master!I5</f>
        <v>Gas</v>
      </c>
      <c r="F16" s="3636" t="str">
        <f>Master!I4</f>
        <v>EGCB</v>
      </c>
      <c r="G16" s="3641" t="str">
        <f>Master!I6</f>
        <v>1*273+1*139</v>
      </c>
      <c r="H16" s="3636">
        <f>Master!I7</f>
        <v>412</v>
      </c>
      <c r="I16" s="3642">
        <f>Master!I8</f>
        <v>412</v>
      </c>
      <c r="J16" s="3643">
        <f>YesterdayGen!I33</f>
        <v>402</v>
      </c>
      <c r="K16" s="3644">
        <f>YesterdayGen!I34</f>
        <v>397</v>
      </c>
      <c r="L16" s="3675">
        <f>YesterdayGen!I36</f>
        <v>412</v>
      </c>
      <c r="M16" s="3670">
        <f>YesterdayGen!I35</f>
        <v>412</v>
      </c>
      <c r="N16" s="3644"/>
      <c r="O16" s="3671"/>
      <c r="P16" s="3674"/>
      <c r="Q16" s="3647"/>
      <c r="R16" s="3676"/>
      <c r="S16" s="1127" t="s">
        <v>296</v>
      </c>
      <c r="T16" s="190"/>
      <c r="U16" s="190"/>
      <c r="V16" s="190"/>
      <c r="W16" s="190"/>
      <c r="X16" s="190"/>
      <c r="Y16" s="190"/>
      <c r="Z16" s="190"/>
      <c r="AA16" s="190"/>
      <c r="AB16" s="190"/>
      <c r="AC16" s="190"/>
    </row>
    <row r="17" spans="1:342" ht="16.5" customHeight="1">
      <c r="B17" s="3636">
        <v>7</v>
      </c>
      <c r="C17" s="3637" t="str">
        <f>Master!J3</f>
        <v>Haripur 360MW CCPP(HPL)</v>
      </c>
      <c r="D17" s="3638"/>
      <c r="E17" s="3650" t="str">
        <f>Master!J5</f>
        <v>Gas</v>
      </c>
      <c r="F17" s="3636" t="str">
        <f>Master!J4</f>
        <v>IPP</v>
      </c>
      <c r="G17" s="3668" t="str">
        <f>Master!J6</f>
        <v>1*235+1*125</v>
      </c>
      <c r="H17" s="3636">
        <f>Master!J7</f>
        <v>360</v>
      </c>
      <c r="I17" s="3642">
        <f>Master!J8</f>
        <v>360</v>
      </c>
      <c r="J17" s="3643">
        <f>YesterdayGen!J33</f>
        <v>321</v>
      </c>
      <c r="K17" s="3644">
        <f>YesterdayGen!J34</f>
        <v>257</v>
      </c>
      <c r="L17" s="3675">
        <f>YesterdayGen!J36</f>
        <v>320</v>
      </c>
      <c r="M17" s="3677">
        <f>YesterdayGen!J35</f>
        <v>330</v>
      </c>
      <c r="N17" s="3644">
        <f>I17-M17</f>
        <v>30</v>
      </c>
      <c r="O17" s="3671"/>
      <c r="P17" s="3674" t="s">
        <v>173</v>
      </c>
      <c r="Q17" s="3678"/>
      <c r="R17" s="3651"/>
      <c r="S17" s="211" t="s">
        <v>298</v>
      </c>
      <c r="T17" s="190"/>
      <c r="U17" s="190"/>
      <c r="V17" s="190"/>
      <c r="W17" s="190"/>
      <c r="X17" s="190"/>
      <c r="Y17" s="190"/>
      <c r="Z17" s="190"/>
      <c r="AA17" s="190"/>
      <c r="AB17" s="190"/>
      <c r="AC17" s="190"/>
    </row>
    <row r="18" spans="1:342" s="176" customFormat="1" ht="16.5" customHeight="1">
      <c r="B18" s="3636">
        <v>8</v>
      </c>
      <c r="C18" s="3679" t="str">
        <f>Master!M3</f>
        <v>Meghnaghat 450 MW CCPP(MPL)</v>
      </c>
      <c r="D18" s="3680"/>
      <c r="E18" s="3650" t="str">
        <f>Master!M5</f>
        <v>Gas</v>
      </c>
      <c r="F18" s="3636" t="str">
        <f>Master!M4</f>
        <v>IPP</v>
      </c>
      <c r="G18" s="3641" t="str">
        <f>Master!M6</f>
        <v>2*150+1*150</v>
      </c>
      <c r="H18" s="3681">
        <f>Master!M7</f>
        <v>450</v>
      </c>
      <c r="I18" s="3682">
        <f>Master!M8</f>
        <v>450</v>
      </c>
      <c r="J18" s="3643">
        <f>YesterdayGen!M33</f>
        <v>225</v>
      </c>
      <c r="K18" s="3644">
        <f>YesterdayGen!M34</f>
        <v>225</v>
      </c>
      <c r="L18" s="3683">
        <f>YesterdayGen!M36</f>
        <v>225</v>
      </c>
      <c r="M18" s="3684">
        <f>YesterdayGen!M35</f>
        <v>225</v>
      </c>
      <c r="N18" s="3644">
        <v>225</v>
      </c>
      <c r="O18" s="3671"/>
      <c r="P18" s="3674" t="s">
        <v>1899</v>
      </c>
      <c r="Q18" s="3647"/>
      <c r="R18" s="3653"/>
      <c r="S18" s="211" t="s">
        <v>299</v>
      </c>
      <c r="T18" s="214"/>
      <c r="U18" s="214"/>
      <c r="V18" s="214"/>
      <c r="W18" s="214"/>
      <c r="X18" s="214"/>
      <c r="Y18" s="214"/>
      <c r="Z18" s="214"/>
      <c r="AA18" s="214"/>
      <c r="AB18" s="214"/>
      <c r="AC18" s="214"/>
    </row>
    <row r="19" spans="1:342" ht="16.5" customHeight="1">
      <c r="B19" s="3685">
        <v>9</v>
      </c>
      <c r="C19" s="3686" t="str">
        <f>Master!O3</f>
        <v>Meghnaghat 100 MW(IEL)</v>
      </c>
      <c r="D19" s="3687"/>
      <c r="E19" s="3688" t="str">
        <f>Master!O5</f>
        <v>HFO</v>
      </c>
      <c r="F19" s="3685" t="str">
        <f>Master!O4</f>
        <v>NENP</v>
      </c>
      <c r="G19" s="3689" t="str">
        <f>Master!O6</f>
        <v>12*8.9</v>
      </c>
      <c r="H19" s="3690">
        <f>Master!O7</f>
        <v>100</v>
      </c>
      <c r="I19" s="3691">
        <f>Master!O8</f>
        <v>100</v>
      </c>
      <c r="J19" s="3692">
        <f>YesterdayGen!O33</f>
        <v>7</v>
      </c>
      <c r="K19" s="3693">
        <f>YesterdayGen!O34</f>
        <v>48</v>
      </c>
      <c r="L19" s="3694">
        <f>YesterdayGen!O36</f>
        <v>8</v>
      </c>
      <c r="M19" s="3695">
        <f>YesterdayGen!O35</f>
        <v>48</v>
      </c>
      <c r="N19" s="3693">
        <f>I19-M19</f>
        <v>52</v>
      </c>
      <c r="O19" s="3696"/>
      <c r="P19" s="3674" t="s">
        <v>1347</v>
      </c>
      <c r="Q19" s="3697"/>
      <c r="R19" s="3698"/>
      <c r="S19" s="211"/>
      <c r="T19" s="190"/>
      <c r="U19" s="190"/>
      <c r="V19" s="190"/>
      <c r="W19" s="190"/>
      <c r="X19" s="190"/>
      <c r="Y19" s="190"/>
      <c r="Z19" s="190"/>
      <c r="AA19" s="190"/>
      <c r="AB19" s="190"/>
      <c r="AC19" s="190"/>
      <c r="FE19" s="175">
        <v>0</v>
      </c>
    </row>
    <row r="20" spans="1:342" ht="16.5" customHeight="1">
      <c r="B20" s="3636">
        <v>10</v>
      </c>
      <c r="C20" s="3679" t="str">
        <f>Master!N3</f>
        <v>Meghnaghat CCPP(Summit)</v>
      </c>
      <c r="D20" s="3680"/>
      <c r="E20" s="3650" t="str">
        <f>Master!N5</f>
        <v>Gas</v>
      </c>
      <c r="F20" s="3636" t="str">
        <f>Master!N4</f>
        <v>IPP</v>
      </c>
      <c r="G20" s="3699" t="str">
        <f>Master!N6</f>
        <v>2*110+1*110</v>
      </c>
      <c r="H20" s="3681">
        <f>Master!N7</f>
        <v>335</v>
      </c>
      <c r="I20" s="3682">
        <f>Master!N8</f>
        <v>335</v>
      </c>
      <c r="J20" s="3643">
        <f>YesterdayGen!N33</f>
        <v>0</v>
      </c>
      <c r="K20" s="3644">
        <f>YesterdayGen!N34</f>
        <v>0</v>
      </c>
      <c r="L20" s="3683">
        <f>YesterdayGen!N36</f>
        <v>0</v>
      </c>
      <c r="M20" s="3695">
        <f>YesterdayGen!N35</f>
        <v>0</v>
      </c>
      <c r="N20" s="3644">
        <f>I20-M20</f>
        <v>335</v>
      </c>
      <c r="O20" s="3645"/>
      <c r="P20" s="3674" t="s">
        <v>173</v>
      </c>
      <c r="Q20" s="3647"/>
      <c r="R20" s="3651"/>
      <c r="S20" s="211">
        <v>299634</v>
      </c>
      <c r="T20" s="190"/>
      <c r="U20" s="190"/>
      <c r="V20" s="190"/>
      <c r="W20" s="190"/>
      <c r="X20" s="190"/>
      <c r="Y20" s="190"/>
      <c r="Z20" s="190"/>
      <c r="AA20" s="190"/>
      <c r="AB20" s="190"/>
      <c r="AC20" s="190"/>
    </row>
    <row r="21" spans="1:342" s="2908" customFormat="1" ht="16.5" customHeight="1">
      <c r="A21" s="140"/>
      <c r="B21" s="3685">
        <v>11</v>
      </c>
      <c r="C21" s="3686" t="str">
        <f>Master!P3</f>
        <v>Madanganj 102 PP(Summit)</v>
      </c>
      <c r="D21" s="3687"/>
      <c r="E21" s="3688" t="str">
        <f>Master!P5</f>
        <v>HFO</v>
      </c>
      <c r="F21" s="3685" t="str">
        <f>Master!P4</f>
        <v>NENP</v>
      </c>
      <c r="G21" s="3689" t="str">
        <f>Master!P6</f>
        <v>6*17</v>
      </c>
      <c r="H21" s="3690">
        <f>Master!P7</f>
        <v>102</v>
      </c>
      <c r="I21" s="3691">
        <f>Master!P8</f>
        <v>102</v>
      </c>
      <c r="J21" s="3692">
        <f>YesterdayGen!P33</f>
        <v>0</v>
      </c>
      <c r="K21" s="3693">
        <f>YesterdayGen!P34</f>
        <v>0</v>
      </c>
      <c r="L21" s="3694">
        <f>YesterdayGen!P36</f>
        <v>0</v>
      </c>
      <c r="M21" s="3695">
        <f>YesterdayGen!P35</f>
        <v>0</v>
      </c>
      <c r="N21" s="3693"/>
      <c r="O21" s="3696">
        <v>102</v>
      </c>
      <c r="P21" s="3674" t="s">
        <v>1107</v>
      </c>
      <c r="Q21" s="3697"/>
      <c r="R21" s="3698"/>
      <c r="S21" s="2909">
        <v>299624</v>
      </c>
      <c r="T21" s="2910"/>
      <c r="U21" s="2910"/>
      <c r="V21" s="2910"/>
      <c r="W21" s="2910"/>
      <c r="X21" s="2910"/>
      <c r="Y21" s="2910"/>
      <c r="Z21" s="2910"/>
      <c r="AA21" s="2910"/>
      <c r="AB21" s="2910"/>
      <c r="AC21" s="2910"/>
    </row>
    <row r="22" spans="1:342" ht="16.5" customHeight="1">
      <c r="B22" s="3636">
        <v>12</v>
      </c>
      <c r="C22" s="3700" t="str">
        <f>Master!Q3</f>
        <v>Madanganj-55 MW PP(Summit)</v>
      </c>
      <c r="D22" s="3680"/>
      <c r="E22" s="3650" t="str">
        <f>Master!Q5</f>
        <v>HFO</v>
      </c>
      <c r="F22" s="3636" t="str">
        <f>Master!Q4</f>
        <v>IPP</v>
      </c>
      <c r="G22" s="3641" t="str">
        <f>Master!Q6</f>
        <v>3*17.08+1*11.3</v>
      </c>
      <c r="H22" s="3681">
        <f>Master!Q7</f>
        <v>55</v>
      </c>
      <c r="I22" s="3682">
        <f>Master!Q8</f>
        <v>55</v>
      </c>
      <c r="J22" s="3643">
        <f>YesterdayGen!Q33</f>
        <v>30</v>
      </c>
      <c r="K22" s="3644">
        <f>YesterdayGen!Q34</f>
        <v>30</v>
      </c>
      <c r="L22" s="3683">
        <f>YesterdayGen!Q36</f>
        <v>30</v>
      </c>
      <c r="M22" s="3684">
        <f>YesterdayGen!Q35</f>
        <v>30</v>
      </c>
      <c r="N22" s="3644"/>
      <c r="O22" s="3645">
        <f>I22-M22</f>
        <v>25</v>
      </c>
      <c r="P22" s="3701" t="s">
        <v>126</v>
      </c>
      <c r="Q22" s="3647"/>
      <c r="R22" s="3651"/>
      <c r="S22" s="211">
        <v>299625</v>
      </c>
      <c r="T22" s="190"/>
      <c r="U22" s="190"/>
      <c r="V22" s="190"/>
      <c r="W22" s="190"/>
      <c r="X22" s="190"/>
      <c r="Y22" s="190"/>
      <c r="Z22" s="190"/>
      <c r="AA22" s="190"/>
      <c r="AB22" s="190"/>
      <c r="AC22" s="190"/>
    </row>
    <row r="23" spans="1:342" ht="16.5" customHeight="1">
      <c r="B23" s="3702">
        <v>13</v>
      </c>
      <c r="C23" s="3703" t="str">
        <f>Master!X3</f>
        <v>Keraniganj 100 MW PP (Powerpac)</v>
      </c>
      <c r="D23" s="3704"/>
      <c r="E23" s="3705" t="str">
        <f>Master!X5</f>
        <v>HFO</v>
      </c>
      <c r="F23" s="3702" t="str">
        <f>Master!X4</f>
        <v>QRPP</v>
      </c>
      <c r="G23" s="3706" t="str">
        <f>Master!X6</f>
        <v>8*13.45</v>
      </c>
      <c r="H23" s="3707">
        <f>Master!X7</f>
        <v>100</v>
      </c>
      <c r="I23" s="3708">
        <f>Master!X8</f>
        <v>0</v>
      </c>
      <c r="J23" s="3709">
        <f>YesterdayGen!X33</f>
        <v>0</v>
      </c>
      <c r="K23" s="3710">
        <f>YesterdayGen!X34</f>
        <v>0</v>
      </c>
      <c r="L23" s="3711">
        <f>YesterdayGen!X36</f>
        <v>0</v>
      </c>
      <c r="M23" s="3712">
        <f>YesterdayGen!X35</f>
        <v>0</v>
      </c>
      <c r="N23" s="3710"/>
      <c r="O23" s="3713"/>
      <c r="P23" s="3714" t="s">
        <v>847</v>
      </c>
      <c r="Q23" s="3715"/>
      <c r="R23" s="3651"/>
      <c r="S23" s="211"/>
      <c r="T23" s="190"/>
      <c r="U23" s="190"/>
      <c r="V23" s="190"/>
      <c r="W23" s="190"/>
      <c r="X23" s="190"/>
      <c r="Y23" s="190"/>
      <c r="Z23" s="190"/>
      <c r="AA23" s="190"/>
      <c r="AB23" s="190"/>
      <c r="AC23" s="190"/>
    </row>
    <row r="24" spans="1:342" ht="16.5" customHeight="1">
      <c r="B24" s="3636">
        <v>14</v>
      </c>
      <c r="C24" s="3637" t="str">
        <f>Master!AE3</f>
        <v>Narshingdi 22 MW PP  (Doreen)</v>
      </c>
      <c r="D24" s="3638"/>
      <c r="E24" s="3650" t="str">
        <f>Master!AE5</f>
        <v>Gas</v>
      </c>
      <c r="F24" s="3716" t="str">
        <f>Master!AE4</f>
        <v>SIPP, REB</v>
      </c>
      <c r="G24" s="3717" t="str">
        <f>Master!AE6</f>
        <v>8*2.90</v>
      </c>
      <c r="H24" s="3636">
        <f>Master!AE7</f>
        <v>22</v>
      </c>
      <c r="I24" s="3642">
        <f>Master!AE8</f>
        <v>22</v>
      </c>
      <c r="J24" s="3643">
        <f>YesterdayGen!AE33</f>
        <v>19</v>
      </c>
      <c r="K24" s="3644">
        <f>YesterdayGen!AE34</f>
        <v>22</v>
      </c>
      <c r="L24" s="3675">
        <f>YesterdayGen!AE36</f>
        <v>19</v>
      </c>
      <c r="M24" s="3670">
        <f>YesterdayGen!AE35</f>
        <v>19</v>
      </c>
      <c r="N24" s="3644"/>
      <c r="O24" s="3645"/>
      <c r="P24" s="3718" t="s">
        <v>126</v>
      </c>
      <c r="Q24" s="3647"/>
      <c r="R24" s="3651"/>
      <c r="S24" s="211"/>
      <c r="T24" s="190"/>
      <c r="U24" s="190"/>
      <c r="V24" s="190"/>
      <c r="W24" s="190"/>
      <c r="X24" s="190"/>
      <c r="Y24" s="190"/>
      <c r="Z24" s="190"/>
      <c r="AA24" s="190"/>
      <c r="AB24" s="190"/>
      <c r="AC24" s="190"/>
    </row>
    <row r="25" spans="1:342" s="215" customFormat="1" ht="16.5" customHeight="1">
      <c r="A25" s="176"/>
      <c r="B25" s="3636">
        <v>15</v>
      </c>
      <c r="C25" s="3637" t="str">
        <f>Master!S3</f>
        <v>210 MW Siddhirgonj TPP</v>
      </c>
      <c r="D25" s="3638"/>
      <c r="E25" s="3650" t="str">
        <f>Master!S5</f>
        <v>Gas</v>
      </c>
      <c r="F25" s="3636" t="str">
        <f>Master!S4</f>
        <v>PDB</v>
      </c>
      <c r="G25" s="3668" t="str">
        <f>Master!S6</f>
        <v xml:space="preserve"> 1*210</v>
      </c>
      <c r="H25" s="3636">
        <f>Master!S7</f>
        <v>210</v>
      </c>
      <c r="I25" s="3642">
        <f>Master!S8</f>
        <v>115</v>
      </c>
      <c r="J25" s="3643">
        <f>YesterdayGen!S33</f>
        <v>0</v>
      </c>
      <c r="K25" s="3644">
        <f>YesterdayGen!S34</f>
        <v>0</v>
      </c>
      <c r="L25" s="3643">
        <f>YesterdayGen!S36</f>
        <v>0</v>
      </c>
      <c r="M25" s="3693">
        <f>YesterdayGen!S35</f>
        <v>0</v>
      </c>
      <c r="N25" s="3644"/>
      <c r="O25" s="3671">
        <f>I25-M25</f>
        <v>115</v>
      </c>
      <c r="P25" s="3719" t="s">
        <v>117</v>
      </c>
      <c r="Q25" s="3720"/>
      <c r="R25" s="3651"/>
      <c r="S25" s="211" t="s">
        <v>300</v>
      </c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176"/>
      <c r="AE25" s="176"/>
      <c r="AF25" s="176"/>
      <c r="AG25" s="176"/>
      <c r="AH25" s="176"/>
      <c r="AI25" s="176"/>
      <c r="AJ25" s="176"/>
      <c r="AK25" s="176"/>
      <c r="AL25" s="176"/>
      <c r="AM25" s="176"/>
      <c r="AN25" s="176"/>
      <c r="AO25" s="176"/>
      <c r="AP25" s="176"/>
      <c r="AQ25" s="176"/>
      <c r="AR25" s="176"/>
      <c r="AS25" s="176"/>
      <c r="AT25" s="176"/>
      <c r="AU25" s="176"/>
      <c r="AV25" s="176"/>
      <c r="AW25" s="176"/>
      <c r="AX25" s="176"/>
      <c r="AY25" s="176"/>
      <c r="AZ25" s="176"/>
      <c r="BA25" s="176"/>
      <c r="BB25" s="176"/>
      <c r="BC25" s="176"/>
      <c r="BD25" s="176"/>
      <c r="BE25" s="176"/>
      <c r="BF25" s="176"/>
      <c r="BG25" s="176"/>
      <c r="BH25" s="176"/>
      <c r="BI25" s="176"/>
      <c r="BJ25" s="176"/>
      <c r="BK25" s="176"/>
      <c r="BL25" s="176"/>
      <c r="BM25" s="176"/>
      <c r="BN25" s="176"/>
      <c r="BO25" s="176"/>
      <c r="BP25" s="176"/>
      <c r="BQ25" s="176"/>
      <c r="BR25" s="176"/>
      <c r="BS25" s="176"/>
      <c r="BT25" s="176"/>
      <c r="BU25" s="176"/>
      <c r="BV25" s="176"/>
      <c r="BW25" s="176"/>
      <c r="BX25" s="176"/>
      <c r="BY25" s="176"/>
      <c r="BZ25" s="176"/>
      <c r="CA25" s="176"/>
      <c r="CB25" s="176"/>
      <c r="CC25" s="176"/>
      <c r="CD25" s="176"/>
      <c r="CE25" s="176"/>
      <c r="CF25" s="176"/>
      <c r="CG25" s="176"/>
      <c r="CH25" s="176"/>
      <c r="CI25" s="176"/>
      <c r="CJ25" s="176"/>
      <c r="CK25" s="176"/>
      <c r="CL25" s="176"/>
      <c r="CM25" s="176"/>
      <c r="CN25" s="176"/>
      <c r="CO25" s="176"/>
      <c r="CP25" s="176"/>
      <c r="CQ25" s="176"/>
      <c r="CR25" s="176"/>
      <c r="CS25" s="176"/>
      <c r="CT25" s="176"/>
      <c r="CU25" s="176"/>
      <c r="CV25" s="176"/>
      <c r="CW25" s="176"/>
      <c r="CX25" s="176"/>
      <c r="CY25" s="176"/>
      <c r="CZ25" s="176"/>
      <c r="DA25" s="176"/>
      <c r="DB25" s="176"/>
      <c r="DC25" s="176"/>
      <c r="DD25" s="176"/>
      <c r="DE25" s="176"/>
      <c r="DF25" s="176"/>
      <c r="DG25" s="176"/>
      <c r="DH25" s="176"/>
      <c r="DI25" s="176"/>
      <c r="DJ25" s="176"/>
      <c r="DK25" s="176"/>
      <c r="DL25" s="176"/>
      <c r="DM25" s="176"/>
      <c r="DN25" s="176"/>
      <c r="DO25" s="176"/>
      <c r="DP25" s="176"/>
      <c r="DQ25" s="176"/>
      <c r="DR25" s="176"/>
      <c r="DS25" s="176"/>
      <c r="DT25" s="176"/>
      <c r="DU25" s="176"/>
      <c r="DV25" s="176"/>
      <c r="DW25" s="176"/>
      <c r="DX25" s="176"/>
      <c r="DY25" s="176"/>
      <c r="DZ25" s="176"/>
      <c r="EA25" s="176"/>
      <c r="EB25" s="176"/>
      <c r="EC25" s="176"/>
      <c r="ED25" s="176"/>
      <c r="EE25" s="176"/>
      <c r="EF25" s="176"/>
      <c r="EG25" s="176"/>
      <c r="EH25" s="176"/>
      <c r="EI25" s="176"/>
      <c r="EJ25" s="176"/>
      <c r="EK25" s="176"/>
      <c r="EL25" s="176"/>
      <c r="EM25" s="176"/>
      <c r="EN25" s="176"/>
      <c r="EO25" s="176"/>
      <c r="EP25" s="176"/>
      <c r="EQ25" s="176"/>
      <c r="ER25" s="176"/>
      <c r="ES25" s="176"/>
      <c r="ET25" s="176"/>
      <c r="EU25" s="176"/>
      <c r="EV25" s="176"/>
      <c r="EW25" s="176"/>
      <c r="EX25" s="176"/>
      <c r="EY25" s="176"/>
      <c r="EZ25" s="176"/>
      <c r="FA25" s="176"/>
      <c r="FB25" s="176"/>
      <c r="FC25" s="176"/>
      <c r="FD25" s="176"/>
      <c r="FE25" s="176"/>
      <c r="FF25" s="176"/>
      <c r="FG25" s="176"/>
      <c r="FH25" s="176"/>
      <c r="FI25" s="176"/>
      <c r="FJ25" s="176"/>
      <c r="FK25" s="176"/>
      <c r="FL25" s="176"/>
      <c r="FM25" s="176"/>
      <c r="FN25" s="176"/>
      <c r="FO25" s="176"/>
      <c r="FP25" s="176"/>
      <c r="FQ25" s="176"/>
      <c r="FR25" s="176"/>
      <c r="FS25" s="176"/>
      <c r="FT25" s="176"/>
      <c r="FU25" s="176"/>
      <c r="FV25" s="176"/>
      <c r="FW25" s="176"/>
      <c r="FX25" s="176"/>
      <c r="FY25" s="176"/>
      <c r="FZ25" s="176"/>
      <c r="GA25" s="176"/>
      <c r="GB25" s="176"/>
      <c r="GC25" s="176"/>
      <c r="GD25" s="176"/>
      <c r="GE25" s="176"/>
      <c r="GF25" s="176"/>
      <c r="GG25" s="176"/>
      <c r="GH25" s="176"/>
      <c r="GI25" s="176"/>
      <c r="GJ25" s="176"/>
      <c r="GK25" s="176"/>
      <c r="GL25" s="176"/>
      <c r="GM25" s="176"/>
      <c r="GN25" s="176"/>
      <c r="GO25" s="176"/>
      <c r="GP25" s="176"/>
      <c r="GQ25" s="176"/>
      <c r="GR25" s="176"/>
      <c r="GS25" s="176"/>
      <c r="GT25" s="176"/>
      <c r="GU25" s="176"/>
      <c r="GV25" s="176"/>
      <c r="GW25" s="176"/>
      <c r="GX25" s="176"/>
      <c r="GY25" s="176"/>
      <c r="GZ25" s="176"/>
      <c r="HA25" s="176"/>
      <c r="HB25" s="176"/>
      <c r="HC25" s="176"/>
      <c r="HD25" s="176"/>
      <c r="HE25" s="176"/>
      <c r="HF25" s="176"/>
      <c r="HG25" s="176"/>
      <c r="HH25" s="176"/>
      <c r="HI25" s="176"/>
      <c r="HJ25" s="176"/>
      <c r="HK25" s="176"/>
      <c r="HL25" s="176"/>
      <c r="HM25" s="176"/>
      <c r="HN25" s="176"/>
      <c r="HO25" s="176"/>
      <c r="HP25" s="176"/>
      <c r="HQ25" s="176"/>
      <c r="HR25" s="176"/>
      <c r="HS25" s="176"/>
      <c r="HT25" s="176"/>
      <c r="HU25" s="176"/>
      <c r="HV25" s="176"/>
      <c r="HW25" s="176"/>
      <c r="HX25" s="176"/>
      <c r="HY25" s="176"/>
      <c r="HZ25" s="176"/>
      <c r="IA25" s="176"/>
      <c r="IB25" s="176"/>
      <c r="IC25" s="176"/>
      <c r="ID25" s="176"/>
      <c r="IE25" s="176"/>
      <c r="IF25" s="176"/>
      <c r="IG25" s="176"/>
      <c r="IH25" s="176"/>
      <c r="II25" s="176"/>
      <c r="IJ25" s="176"/>
      <c r="IK25" s="176"/>
      <c r="IL25" s="176"/>
      <c r="IM25" s="176"/>
      <c r="IN25" s="176"/>
      <c r="IO25" s="176"/>
      <c r="IP25" s="176"/>
      <c r="IQ25" s="176"/>
      <c r="IR25" s="176"/>
      <c r="IS25" s="176"/>
      <c r="IT25" s="176"/>
      <c r="IU25" s="176"/>
      <c r="IV25" s="176"/>
      <c r="IW25" s="176"/>
      <c r="IX25" s="176"/>
      <c r="IY25" s="176"/>
      <c r="IZ25" s="176"/>
      <c r="JA25" s="176"/>
      <c r="JB25" s="176"/>
      <c r="JC25" s="176"/>
      <c r="JD25" s="176"/>
      <c r="JE25" s="176"/>
      <c r="JF25" s="176"/>
      <c r="JG25" s="176"/>
      <c r="JH25" s="176"/>
      <c r="JI25" s="176"/>
      <c r="JJ25" s="176"/>
      <c r="JK25" s="176"/>
      <c r="JL25" s="176"/>
      <c r="JM25" s="176"/>
      <c r="JN25" s="176"/>
      <c r="JO25" s="176"/>
      <c r="JP25" s="176"/>
      <c r="JQ25" s="176"/>
      <c r="JR25" s="176"/>
      <c r="JS25" s="176"/>
      <c r="JT25" s="176"/>
      <c r="JU25" s="176"/>
      <c r="JV25" s="176"/>
      <c r="JW25" s="176"/>
      <c r="JX25" s="176"/>
      <c r="JY25" s="176"/>
      <c r="JZ25" s="176"/>
      <c r="KA25" s="176"/>
      <c r="KB25" s="176"/>
      <c r="KC25" s="176"/>
      <c r="KD25" s="176"/>
      <c r="KE25" s="176"/>
      <c r="KF25" s="176"/>
      <c r="KG25" s="176"/>
      <c r="KH25" s="176"/>
      <c r="KI25" s="176"/>
      <c r="KJ25" s="176"/>
      <c r="KK25" s="176"/>
      <c r="KL25" s="176"/>
      <c r="KM25" s="176"/>
      <c r="KN25" s="176"/>
      <c r="KO25" s="176"/>
      <c r="KP25" s="176"/>
      <c r="KQ25" s="176"/>
      <c r="KR25" s="176"/>
      <c r="KS25" s="176"/>
      <c r="KT25" s="176"/>
      <c r="KU25" s="176"/>
      <c r="KV25" s="176"/>
      <c r="KW25" s="176"/>
      <c r="KX25" s="176"/>
      <c r="KY25" s="176"/>
      <c r="KZ25" s="176"/>
      <c r="LA25" s="176"/>
      <c r="LB25" s="176"/>
      <c r="LC25" s="176"/>
      <c r="LD25" s="176"/>
      <c r="LE25" s="176"/>
      <c r="LF25" s="176"/>
      <c r="LG25" s="176"/>
      <c r="LH25" s="176"/>
      <c r="LI25" s="176"/>
      <c r="LJ25" s="176"/>
      <c r="LK25" s="176"/>
      <c r="LL25" s="176"/>
      <c r="LM25" s="176"/>
      <c r="LN25" s="176"/>
      <c r="LO25" s="176"/>
      <c r="LP25" s="176"/>
      <c r="LQ25" s="176"/>
      <c r="LR25" s="176"/>
      <c r="LS25" s="176"/>
      <c r="LT25" s="176"/>
      <c r="LU25" s="176"/>
      <c r="LV25" s="176"/>
      <c r="LW25" s="176"/>
      <c r="LX25" s="176"/>
      <c r="LY25" s="176"/>
      <c r="LZ25" s="176"/>
      <c r="MA25" s="176"/>
      <c r="MB25" s="176"/>
      <c r="MC25" s="176"/>
      <c r="MD25" s="176"/>
    </row>
    <row r="26" spans="1:342" ht="16.5" customHeight="1">
      <c r="B26" s="3636">
        <v>16</v>
      </c>
      <c r="C26" s="3637" t="str">
        <f>Master!T3</f>
        <v xml:space="preserve">Siddhirgonj 2*120 MW GTPP </v>
      </c>
      <c r="D26" s="3638"/>
      <c r="E26" s="3650" t="str">
        <f>Master!T5</f>
        <v>Gas</v>
      </c>
      <c r="F26" s="3636" t="str">
        <f>Master!T4</f>
        <v>EGCB</v>
      </c>
      <c r="G26" s="3668" t="str">
        <f>Master!T6</f>
        <v xml:space="preserve"> 2*105</v>
      </c>
      <c r="H26" s="3636">
        <f>Master!T7</f>
        <v>210</v>
      </c>
      <c r="I26" s="3642">
        <f>Master!T8</f>
        <v>210</v>
      </c>
      <c r="J26" s="3643">
        <f>YesterdayGen!T33</f>
        <v>0</v>
      </c>
      <c r="K26" s="3644">
        <f>YesterdayGen!T34</f>
        <v>0</v>
      </c>
      <c r="L26" s="3675">
        <f>YesterdayGen!T36</f>
        <v>0</v>
      </c>
      <c r="M26" s="3721">
        <f>YesterdayGen!T35</f>
        <v>0</v>
      </c>
      <c r="N26" s="3644">
        <f>I26-M26</f>
        <v>210</v>
      </c>
      <c r="O26" s="3645"/>
      <c r="P26" s="3722" t="s">
        <v>173</v>
      </c>
      <c r="Q26" s="3720"/>
      <c r="R26" s="3651"/>
      <c r="S26" s="211"/>
      <c r="T26" s="190"/>
      <c r="U26" s="190"/>
      <c r="V26" s="190"/>
      <c r="W26" s="190"/>
      <c r="X26" s="190"/>
      <c r="Y26" s="190"/>
      <c r="Z26" s="190"/>
      <c r="AA26" s="190"/>
      <c r="AB26" s="190"/>
      <c r="AC26" s="190"/>
    </row>
    <row r="27" spans="1:342" s="2908" customFormat="1" ht="16.5" customHeight="1">
      <c r="A27" s="140"/>
      <c r="B27" s="3685">
        <v>17</v>
      </c>
      <c r="C27" s="3723" t="str">
        <f>Master!U3</f>
        <v>Siddhirganj 100 PP(Dutch Bangla)</v>
      </c>
      <c r="D27" s="3724"/>
      <c r="E27" s="3688" t="str">
        <f>Master!U5</f>
        <v>HFO</v>
      </c>
      <c r="F27" s="3685" t="str">
        <f>Master!U4</f>
        <v>NENP</v>
      </c>
      <c r="G27" s="3725" t="str">
        <f>Master!U6</f>
        <v>12*8.9</v>
      </c>
      <c r="H27" s="3726">
        <f>Master!U7</f>
        <v>100</v>
      </c>
      <c r="I27" s="3727">
        <f>Master!U8</f>
        <v>100</v>
      </c>
      <c r="J27" s="3692">
        <f>YesterdayGen!U33</f>
        <v>8</v>
      </c>
      <c r="K27" s="3693">
        <f>YesterdayGen!U34</f>
        <v>48</v>
      </c>
      <c r="L27" s="3728">
        <f>YesterdayGen!U36</f>
        <v>8</v>
      </c>
      <c r="M27" s="3729">
        <f>YesterdayGen!U35</f>
        <v>50</v>
      </c>
      <c r="N27" s="3693">
        <f>I27-M27</f>
        <v>50</v>
      </c>
      <c r="O27" s="3696"/>
      <c r="P27" s="3674" t="s">
        <v>1347</v>
      </c>
      <c r="Q27" s="3730"/>
      <c r="R27" s="3698"/>
      <c r="S27" s="2909" t="s">
        <v>1243</v>
      </c>
      <c r="T27" s="2910"/>
      <c r="U27" s="2910"/>
      <c r="V27" s="2910"/>
      <c r="W27" s="2910"/>
      <c r="X27" s="2910"/>
      <c r="Y27" s="2910"/>
      <c r="Z27" s="2910"/>
      <c r="AA27" s="2910"/>
      <c r="AB27" s="2910"/>
      <c r="AC27" s="2910"/>
    </row>
    <row r="28" spans="1:342" ht="16.5" customHeight="1">
      <c r="B28" s="3636">
        <v>18</v>
      </c>
      <c r="C28" s="3731" t="str">
        <f>Master!R3</f>
        <v>Siddhirganj 335 MW CCPP</v>
      </c>
      <c r="D28" s="3732"/>
      <c r="E28" s="3650" t="str">
        <f>Master!R5</f>
        <v>Gas</v>
      </c>
      <c r="F28" s="3636" t="str">
        <f>Master!R4</f>
        <v>EGCB</v>
      </c>
      <c r="G28" s="3717" t="str">
        <f>Master!R6</f>
        <v>1*217+118</v>
      </c>
      <c r="H28" s="3716">
        <f>Master!R7</f>
        <v>335</v>
      </c>
      <c r="I28" s="3733">
        <f>Master!R8</f>
        <v>335</v>
      </c>
      <c r="J28" s="3643">
        <f>YesterdayGen!R33</f>
        <v>0</v>
      </c>
      <c r="K28" s="3644">
        <f>YesterdayGen!R34</f>
        <v>0</v>
      </c>
      <c r="L28" s="3734">
        <f>YesterdayGen!R36</f>
        <v>0</v>
      </c>
      <c r="M28" s="3735">
        <f>YesterdayGen!R35</f>
        <v>0</v>
      </c>
      <c r="N28" s="3644">
        <f>I28-M28</f>
        <v>335</v>
      </c>
      <c r="O28" s="3671"/>
      <c r="P28" s="3674" t="s">
        <v>173</v>
      </c>
      <c r="Q28" s="3720"/>
      <c r="R28" s="3651"/>
      <c r="S28" s="211"/>
      <c r="T28" s="190"/>
      <c r="U28" s="190"/>
      <c r="V28" s="190"/>
      <c r="W28" s="190"/>
      <c r="X28" s="190"/>
      <c r="Y28" s="190"/>
      <c r="Z28" s="190"/>
      <c r="AA28" s="190"/>
      <c r="AB28" s="190"/>
      <c r="AC28" s="190"/>
    </row>
    <row r="29" spans="1:342" ht="16.5" customHeight="1">
      <c r="B29" s="3636">
        <v>19</v>
      </c>
      <c r="C29" s="3637" t="str">
        <f>Master!V3</f>
        <v>Gagnagar 102 MW PP (Digital Power)</v>
      </c>
      <c r="D29" s="3638"/>
      <c r="E29" s="3650" t="str">
        <f>Master!V5</f>
        <v>HFO</v>
      </c>
      <c r="F29" s="3636" t="str">
        <f>Master!V4</f>
        <v>IPP</v>
      </c>
      <c r="G29" s="3668" t="str">
        <f>Master!V6</f>
        <v>12*8.924</v>
      </c>
      <c r="H29" s="3636">
        <f>Master!V7</f>
        <v>102</v>
      </c>
      <c r="I29" s="3642">
        <f>Master!V8</f>
        <v>102</v>
      </c>
      <c r="J29" s="3643">
        <f>YesterdayGen!V33</f>
        <v>8</v>
      </c>
      <c r="K29" s="3644">
        <f>YesterdayGen!V34</f>
        <v>50</v>
      </c>
      <c r="L29" s="3675">
        <f>YesterdayGen!V36</f>
        <v>8</v>
      </c>
      <c r="M29" s="3677">
        <f>YesterdayGen!V35</f>
        <v>30</v>
      </c>
      <c r="N29" s="3644">
        <f>I29-M29</f>
        <v>72</v>
      </c>
      <c r="O29" s="3645"/>
      <c r="P29" s="3674" t="s">
        <v>1347</v>
      </c>
      <c r="Q29" s="3647"/>
      <c r="R29" s="3651"/>
      <c r="S29" s="211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</row>
    <row r="30" spans="1:342" ht="16.5" customHeight="1">
      <c r="B30" s="3636">
        <v>20</v>
      </c>
      <c r="C30" s="3637" t="str">
        <f>Master!AA3</f>
        <v>Katpotti 52 MW PP (Sinha)</v>
      </c>
      <c r="D30" s="3638"/>
      <c r="E30" s="3650" t="str">
        <f>Master!AA5</f>
        <v>HFO</v>
      </c>
      <c r="F30" s="3636" t="str">
        <f>Master!AA4</f>
        <v>IPP</v>
      </c>
      <c r="G30" s="3668" t="str">
        <f>Master!AA6</f>
        <v>7*7.9</v>
      </c>
      <c r="H30" s="3636">
        <f>Master!AA7</f>
        <v>51</v>
      </c>
      <c r="I30" s="3642">
        <f>Master!AA8</f>
        <v>0</v>
      </c>
      <c r="J30" s="3643">
        <f>YesterdayGen!AA33</f>
        <v>0</v>
      </c>
      <c r="K30" s="3644">
        <f>YesterdayGen!AA34</f>
        <v>0</v>
      </c>
      <c r="L30" s="3675">
        <f>YesterdayGen!AA36</f>
        <v>0</v>
      </c>
      <c r="M30" s="3670">
        <f>YesterdayGen!AA35</f>
        <v>0</v>
      </c>
      <c r="N30" s="3644">
        <v>51</v>
      </c>
      <c r="O30" s="3645"/>
      <c r="P30" s="3736" t="s">
        <v>1347</v>
      </c>
      <c r="Q30" s="3647"/>
      <c r="R30" s="3651"/>
      <c r="S30" s="211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</row>
    <row r="31" spans="1:342" ht="16.5" customHeight="1">
      <c r="B31" s="3636">
        <v>21</v>
      </c>
      <c r="C31" s="3637" t="str">
        <f>Master!AB3</f>
        <v>Kamalaghat 54 MW PP(Banco Energy)</v>
      </c>
      <c r="D31" s="3638"/>
      <c r="E31" s="3650" t="str">
        <f>Master!AB5</f>
        <v>HFO</v>
      </c>
      <c r="F31" s="3636" t="str">
        <f>Master!AB4</f>
        <v>IPP</v>
      </c>
      <c r="G31" s="3668" t="str">
        <f>Master!AB6</f>
        <v>3*18</v>
      </c>
      <c r="H31" s="3636">
        <f>Master!AB7</f>
        <v>54</v>
      </c>
      <c r="I31" s="3642">
        <f>Master!AB8</f>
        <v>54</v>
      </c>
      <c r="J31" s="3643">
        <f>YesterdayGen!AB33</f>
        <v>35</v>
      </c>
      <c r="K31" s="3644">
        <f>YesterdayGen!AB34</f>
        <v>54</v>
      </c>
      <c r="L31" s="3675">
        <f>YesterdayGen!AB36</f>
        <v>35</v>
      </c>
      <c r="M31" s="3670">
        <f>YesterdayGen!AB35</f>
        <v>54</v>
      </c>
      <c r="N31" s="3644"/>
      <c r="O31" s="3645"/>
      <c r="P31" s="3737"/>
      <c r="Q31" s="3647"/>
      <c r="R31" s="3738"/>
      <c r="S31" s="211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</row>
    <row r="32" spans="1:342" ht="16.5" customHeight="1">
      <c r="B32" s="3636">
        <v>22</v>
      </c>
      <c r="C32" s="3637" t="str">
        <f>Master!W3</f>
        <v>Kodda 150MW PP</v>
      </c>
      <c r="D32" s="3638"/>
      <c r="E32" s="3650" t="str">
        <f>Master!W5</f>
        <v>HFO</v>
      </c>
      <c r="F32" s="3636" t="str">
        <f>Master!W4</f>
        <v>BPDB-RPCL</v>
      </c>
      <c r="G32" s="3668" t="str">
        <f>Master!W6</f>
        <v>9*17.06</v>
      </c>
      <c r="H32" s="3636">
        <f>Master!W7</f>
        <v>149</v>
      </c>
      <c r="I32" s="3642">
        <f>Master!W8</f>
        <v>149</v>
      </c>
      <c r="J32" s="3643">
        <f>YesterdayGen!W33</f>
        <v>50</v>
      </c>
      <c r="K32" s="3644">
        <f>YesterdayGen!W34</f>
        <v>128</v>
      </c>
      <c r="L32" s="3675">
        <f>YesterdayGen!W36</f>
        <v>50</v>
      </c>
      <c r="M32" s="3670">
        <f>YesterdayGen!W35</f>
        <v>132</v>
      </c>
      <c r="N32" s="3644"/>
      <c r="O32" s="3645">
        <f>I32-M32</f>
        <v>17</v>
      </c>
      <c r="P32" s="3674" t="s">
        <v>126</v>
      </c>
      <c r="Q32" s="3647"/>
      <c r="R32" s="3738"/>
      <c r="S32" s="211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</row>
    <row r="33" spans="2:29" ht="16.5" customHeight="1">
      <c r="B33" s="3636">
        <v>23</v>
      </c>
      <c r="C33" s="3637" t="str">
        <f>Master!AC3</f>
        <v>Manikganj 55 MW PP (Northern)</v>
      </c>
      <c r="D33" s="3638"/>
      <c r="E33" s="3650" t="str">
        <f>Master!AC5</f>
        <v>HFO</v>
      </c>
      <c r="F33" s="3636" t="str">
        <f>Master!AC4</f>
        <v>IPP</v>
      </c>
      <c r="G33" s="3668" t="str">
        <f>Master!AC6</f>
        <v>3*19.3</v>
      </c>
      <c r="H33" s="3636">
        <f>Master!AC7</f>
        <v>55</v>
      </c>
      <c r="I33" s="3642">
        <f>Master!AC8</f>
        <v>55</v>
      </c>
      <c r="J33" s="3643">
        <f>YesterdayGen!AC33</f>
        <v>55</v>
      </c>
      <c r="K33" s="3644">
        <f>YesterdayGen!AC34</f>
        <v>55</v>
      </c>
      <c r="L33" s="3675">
        <f>YesterdayGen!AC36</f>
        <v>55</v>
      </c>
      <c r="M33" s="3739">
        <f>YesterdayGen!AC35</f>
        <v>55</v>
      </c>
      <c r="N33" s="3644"/>
      <c r="O33" s="4211"/>
      <c r="P33" s="3674"/>
      <c r="Q33" s="3647"/>
      <c r="R33" s="3738"/>
      <c r="S33" s="211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</row>
    <row r="34" spans="2:29" ht="16.5" customHeight="1">
      <c r="B34" s="3636">
        <v>24</v>
      </c>
      <c r="C34" s="3637" t="str">
        <f>Master!AD3</f>
        <v>Nababganj 55 MW PP (Southern power )</v>
      </c>
      <c r="D34" s="3638"/>
      <c r="E34" s="3650" t="str">
        <f>Master!AD5</f>
        <v>HFO</v>
      </c>
      <c r="F34" s="3636" t="str">
        <f>Master!AD4</f>
        <v>IPP</v>
      </c>
      <c r="G34" s="3668" t="str">
        <f>Master!AD6</f>
        <v>3*19.3</v>
      </c>
      <c r="H34" s="3636">
        <f>Master!AD7</f>
        <v>55</v>
      </c>
      <c r="I34" s="3642">
        <f>Master!AD8</f>
        <v>55</v>
      </c>
      <c r="J34" s="3643">
        <f>YesterdayGen!AD33</f>
        <v>17</v>
      </c>
      <c r="K34" s="3644">
        <f>YesterdayGen!AD34</f>
        <v>55</v>
      </c>
      <c r="L34" s="3675">
        <f>YesterdayGen!AD36</f>
        <v>35</v>
      </c>
      <c r="M34" s="3670">
        <f>YesterdayGen!AD35</f>
        <v>55</v>
      </c>
      <c r="N34" s="3644"/>
      <c r="O34" s="3671"/>
      <c r="P34" s="3674"/>
      <c r="Q34" s="3647"/>
      <c r="R34" s="3738"/>
      <c r="S34" s="211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</row>
    <row r="35" spans="2:29" ht="16.5" customHeight="1">
      <c r="B35" s="3636">
        <v>25</v>
      </c>
      <c r="C35" s="3740" t="str">
        <f>Master!Y3</f>
        <v>Bosila 108MW PP(CLC)</v>
      </c>
      <c r="D35" s="3741"/>
      <c r="E35" s="3705" t="str">
        <f>Master!Y5</f>
        <v>HFO</v>
      </c>
      <c r="F35" s="3702" t="str">
        <f>Master!Y4</f>
        <v>IPP</v>
      </c>
      <c r="G35" s="3742" t="str">
        <f>Master!Y6</f>
        <v>12*8.775+1*3.5</v>
      </c>
      <c r="H35" s="3702">
        <f>Master!Y7</f>
        <v>108</v>
      </c>
      <c r="I35" s="3743">
        <f>Master!Y8</f>
        <v>0</v>
      </c>
      <c r="J35" s="3709">
        <f>YesterdayGen!Y33</f>
        <v>0</v>
      </c>
      <c r="K35" s="3710">
        <f>YesterdayGen!Y34</f>
        <v>0</v>
      </c>
      <c r="L35" s="3744">
        <f>YesterdayGen!Y36</f>
        <v>0</v>
      </c>
      <c r="M35" s="3745">
        <f>YesterdayGen!Y35</f>
        <v>0</v>
      </c>
      <c r="N35" s="3710"/>
      <c r="O35" s="3713"/>
      <c r="P35" s="3746"/>
      <c r="Q35" s="3715"/>
      <c r="R35" s="3747"/>
      <c r="S35" s="211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</row>
    <row r="36" spans="2:29" ht="16.5" customHeight="1">
      <c r="B36" s="3636">
        <v>26</v>
      </c>
      <c r="C36" s="3637" t="s">
        <v>154</v>
      </c>
      <c r="D36" s="3638"/>
      <c r="E36" s="3650" t="str">
        <f>Master!AF5</f>
        <v>Gas</v>
      </c>
      <c r="F36" s="3716" t="str">
        <f>Master!AF4</f>
        <v>SIPP,REB</v>
      </c>
      <c r="G36" s="3668" t="str">
        <f>Master!AF6</f>
        <v>3*3.67+4*8.73</v>
      </c>
      <c r="H36" s="3636">
        <f>Master!AF7+Master!AG7</f>
        <v>80</v>
      </c>
      <c r="I36" s="3642">
        <f>Master!AF8+Master!AG8</f>
        <v>80</v>
      </c>
      <c r="J36" s="3748">
        <f>YesterdayGen!AF33+YesterdayGen!AG33</f>
        <v>45</v>
      </c>
      <c r="K36" s="3644">
        <f>YesterdayGen!AF34+YesterdayGen!AG34</f>
        <v>52</v>
      </c>
      <c r="L36" s="3675">
        <f>YesterdayGen!AF36+YesterdayGen!AG36</f>
        <v>50</v>
      </c>
      <c r="M36" s="3670">
        <f>YesterdayGen!AF35+YesterdayGen!AG35</f>
        <v>50</v>
      </c>
      <c r="N36" s="3644"/>
      <c r="O36" s="3671">
        <f>I36-M36</f>
        <v>30</v>
      </c>
      <c r="P36" s="3674" t="s">
        <v>126</v>
      </c>
      <c r="Q36" s="3647"/>
      <c r="R36" s="3738"/>
      <c r="S36" s="211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</row>
    <row r="37" spans="2:29" ht="16.5" customHeight="1">
      <c r="B37" s="3636">
        <v>27</v>
      </c>
      <c r="C37" s="3637" t="str">
        <f>Master!AH3</f>
        <v>Maona 33 MW PP(Summit)</v>
      </c>
      <c r="D37" s="3638"/>
      <c r="E37" s="3650" t="str">
        <f>Master!AH5</f>
        <v>Gas</v>
      </c>
      <c r="F37" s="3716" t="str">
        <f>Master!AH4</f>
        <v>SIPP,REB</v>
      </c>
      <c r="G37" s="3668" t="str">
        <f>Master!AH6</f>
        <v>4*8.73</v>
      </c>
      <c r="H37" s="3636">
        <f>Master!AH7</f>
        <v>33</v>
      </c>
      <c r="I37" s="3642">
        <f>Master!AH8</f>
        <v>33</v>
      </c>
      <c r="J37" s="3748">
        <f>YesterdayGen!AH33</f>
        <v>25</v>
      </c>
      <c r="K37" s="3644">
        <f>YesterdayGen!AH34</f>
        <v>33</v>
      </c>
      <c r="L37" s="3675">
        <f>YesterdayGen!AH36</f>
        <v>33</v>
      </c>
      <c r="M37" s="3670">
        <f>YesterdayGen!AH35</f>
        <v>33</v>
      </c>
      <c r="N37" s="3644"/>
      <c r="O37" s="3671"/>
      <c r="P37" s="3674"/>
      <c r="Q37" s="3647"/>
      <c r="R37" s="3738"/>
      <c r="S37" s="211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</row>
    <row r="38" spans="2:29" ht="16.5" customHeight="1">
      <c r="B38" s="3636">
        <v>28</v>
      </c>
      <c r="C38" s="3637" t="str">
        <f>Master!AI3</f>
        <v xml:space="preserve">Rupganj 33 MW PP(Summit) </v>
      </c>
      <c r="D38" s="3638"/>
      <c r="E38" s="3650" t="str">
        <f>Master!AI5</f>
        <v>Gas</v>
      </c>
      <c r="F38" s="3749" t="str">
        <f>Master!AI4</f>
        <v>SIPP,REB</v>
      </c>
      <c r="G38" s="3717" t="str">
        <f>Master!AI6</f>
        <v>4*8.73</v>
      </c>
      <c r="H38" s="3636">
        <f>Master!AI7</f>
        <v>33</v>
      </c>
      <c r="I38" s="3642">
        <f>Master!AI8</f>
        <v>33</v>
      </c>
      <c r="J38" s="3748">
        <f>YesterdayGen!AI33</f>
        <v>16</v>
      </c>
      <c r="K38" s="3644">
        <f>YesterdayGen!AI34</f>
        <v>30</v>
      </c>
      <c r="L38" s="3675">
        <f>YesterdayGen!AI36</f>
        <v>33</v>
      </c>
      <c r="M38" s="3670">
        <f>YesterdayGen!AI35</f>
        <v>33</v>
      </c>
      <c r="N38" s="3644"/>
      <c r="O38" s="3671"/>
      <c r="P38" s="3750"/>
      <c r="Q38" s="3647"/>
      <c r="R38" s="3738"/>
      <c r="S38" s="211"/>
      <c r="T38" s="190"/>
      <c r="U38" s="190"/>
      <c r="V38" s="190"/>
      <c r="W38" s="190"/>
      <c r="X38" s="190"/>
      <c r="Y38" s="190"/>
      <c r="Z38" s="190"/>
      <c r="AA38" s="190"/>
      <c r="AB38" s="190"/>
      <c r="AC38" s="190"/>
    </row>
    <row r="39" spans="2:29" ht="16.5" customHeight="1">
      <c r="B39" s="3636">
        <v>29</v>
      </c>
      <c r="C39" s="3751" t="str">
        <f>Master!AJ3</f>
        <v>Gazipur 52 MW PP</v>
      </c>
      <c r="D39" s="3638"/>
      <c r="E39" s="3636" t="str">
        <f>Master!AJ5</f>
        <v>HFO</v>
      </c>
      <c r="F39" s="3717" t="str">
        <f>Master!AJ4</f>
        <v>RPCL</v>
      </c>
      <c r="G39" s="3752" t="str">
        <f>Master!AJ6</f>
        <v>6*8.9</v>
      </c>
      <c r="H39" s="3636">
        <f>Master!AJ7</f>
        <v>52</v>
      </c>
      <c r="I39" s="3642">
        <f>Master!AJ8</f>
        <v>52</v>
      </c>
      <c r="J39" s="3643">
        <f>YesterdayGen!AJ33</f>
        <v>42</v>
      </c>
      <c r="K39" s="3644">
        <f>YesterdayGen!AJ34</f>
        <v>49</v>
      </c>
      <c r="L39" s="3675">
        <f>YesterdayGen!AJ36</f>
        <v>51</v>
      </c>
      <c r="M39" s="3670">
        <f>YesterdayGen!AJ35</f>
        <v>51</v>
      </c>
      <c r="N39" s="3644"/>
      <c r="O39" s="3671"/>
      <c r="P39" s="3674"/>
      <c r="Q39" s="3647"/>
      <c r="R39" s="3651"/>
      <c r="S39" s="211"/>
      <c r="T39" s="190"/>
      <c r="U39" s="190"/>
      <c r="V39" s="190"/>
      <c r="W39" s="190"/>
      <c r="X39" s="190"/>
      <c r="Y39" s="190"/>
      <c r="Z39" s="190"/>
      <c r="AA39" s="190"/>
      <c r="AB39" s="190"/>
      <c r="AC39" s="190"/>
    </row>
    <row r="40" spans="2:29" ht="16.5" customHeight="1">
      <c r="B40" s="3753">
        <v>30</v>
      </c>
      <c r="C40" s="3754" t="str">
        <f>Master!AK3</f>
        <v>Tongi 80 MW GTPP</v>
      </c>
      <c r="D40" s="3755"/>
      <c r="E40" s="3636" t="str">
        <f>Master!AK5</f>
        <v>Gas</v>
      </c>
      <c r="F40" s="3668" t="str">
        <f>Master!AK4</f>
        <v>PDB</v>
      </c>
      <c r="G40" s="3650" t="str">
        <f>Master!AK6</f>
        <v>1* 105</v>
      </c>
      <c r="H40" s="3636">
        <f>Master!AK7</f>
        <v>105</v>
      </c>
      <c r="I40" s="3642">
        <f>Master!AK8</f>
        <v>105</v>
      </c>
      <c r="J40" s="3643">
        <f>YesterdayGen!AK33</f>
        <v>0</v>
      </c>
      <c r="K40" s="3644">
        <f>YesterdayGen!AK34</f>
        <v>0</v>
      </c>
      <c r="L40" s="3675">
        <f>YesterdayGen!AK36</f>
        <v>0</v>
      </c>
      <c r="M40" s="3670">
        <f>YesterdayGen!AK35</f>
        <v>0</v>
      </c>
      <c r="N40" s="3644"/>
      <c r="O40" s="3645">
        <v>105</v>
      </c>
      <c r="P40" s="3674" t="s">
        <v>117</v>
      </c>
      <c r="Q40" s="3647"/>
      <c r="R40" s="3651"/>
      <c r="S40" s="211"/>
      <c r="T40" s="190"/>
      <c r="U40" s="190"/>
      <c r="V40" s="190"/>
      <c r="W40" s="190"/>
      <c r="X40" s="190"/>
      <c r="Y40" s="190"/>
      <c r="Z40" s="190"/>
      <c r="AA40" s="190"/>
      <c r="AB40" s="190"/>
      <c r="AC40" s="190"/>
    </row>
    <row r="41" spans="2:29" ht="16.5" customHeight="1">
      <c r="B41" s="3756">
        <v>31</v>
      </c>
      <c r="C41" s="3757" t="str">
        <f>Master!CS3</f>
        <v xml:space="preserve">Kodda 300 MW PP Unit-2 (Summit) </v>
      </c>
      <c r="D41" s="3758"/>
      <c r="E41" s="3756" t="str">
        <f>Master!CS5</f>
        <v>HFO</v>
      </c>
      <c r="F41" s="3756" t="str">
        <f>Master!CS4</f>
        <v>IPP</v>
      </c>
      <c r="G41" s="3759" t="str">
        <f>Master!CS6</f>
        <v>18*17.076</v>
      </c>
      <c r="H41" s="3756">
        <f>Master!CS7</f>
        <v>300</v>
      </c>
      <c r="I41" s="3760">
        <f>Master!CS8</f>
        <v>300</v>
      </c>
      <c r="J41" s="3761">
        <f>YesterdayGen!CS33</f>
        <v>195</v>
      </c>
      <c r="K41" s="3762">
        <f>YesterdayGen!CS34</f>
        <v>242</v>
      </c>
      <c r="L41" s="3763">
        <f>YesterdayGen!CS36</f>
        <v>110</v>
      </c>
      <c r="M41" s="3764">
        <f>YesterdayGen!CS35</f>
        <v>275</v>
      </c>
      <c r="N41" s="3644"/>
      <c r="O41" s="3765">
        <f>I41-M41</f>
        <v>25</v>
      </c>
      <c r="P41" s="3674" t="s">
        <v>126</v>
      </c>
      <c r="Q41" s="3647"/>
      <c r="R41" s="3766"/>
      <c r="S41" s="211"/>
      <c r="T41" s="190"/>
      <c r="U41" s="190"/>
      <c r="V41" s="190"/>
      <c r="W41" s="190"/>
      <c r="X41" s="190"/>
      <c r="Y41" s="190"/>
      <c r="Z41" s="190"/>
      <c r="AA41" s="190"/>
      <c r="AB41" s="190"/>
      <c r="AC41" s="190"/>
    </row>
    <row r="42" spans="2:29" ht="16.5" customHeight="1">
      <c r="B42" s="3767">
        <v>32</v>
      </c>
      <c r="C42" s="3768" t="str">
        <f>Master!CT3</f>
        <v xml:space="preserve"> Keranigonj 300 MW PP (APR)</v>
      </c>
      <c r="D42" s="3769"/>
      <c r="E42" s="3756" t="str">
        <f>Master!CT5</f>
        <v>HSD</v>
      </c>
      <c r="F42" s="3770" t="str">
        <f>Master!CT4</f>
        <v>IPP</v>
      </c>
      <c r="G42" s="3759" t="str">
        <f>Master!CT6</f>
        <v>256*1.4</v>
      </c>
      <c r="H42" s="3771">
        <v>300</v>
      </c>
      <c r="I42" s="3760">
        <v>300</v>
      </c>
      <c r="J42" s="3761">
        <f>YesterdayGen!CT33</f>
        <v>0</v>
      </c>
      <c r="K42" s="3762">
        <f>YesterdayGen!CT34</f>
        <v>284</v>
      </c>
      <c r="L42" s="3763">
        <f>YesterdayGen!CT36</f>
        <v>250</v>
      </c>
      <c r="M42" s="3764">
        <f>YesterdayGen!CT35</f>
        <v>284</v>
      </c>
      <c r="N42" s="3644">
        <f>I42-M42</f>
        <v>16</v>
      </c>
      <c r="O42" s="3772"/>
      <c r="P42" s="4940"/>
      <c r="Q42" s="4609"/>
      <c r="R42" s="3773"/>
      <c r="S42" s="211"/>
      <c r="T42" s="190"/>
      <c r="U42" s="190"/>
      <c r="V42" s="190"/>
      <c r="W42" s="190"/>
      <c r="X42" s="190"/>
      <c r="Y42" s="190"/>
      <c r="Z42" s="190"/>
      <c r="AA42" s="190"/>
      <c r="AB42" s="190"/>
      <c r="AC42" s="190"/>
    </row>
    <row r="43" spans="2:29" ht="16.5" customHeight="1">
      <c r="B43" s="3774">
        <v>33</v>
      </c>
      <c r="C43" s="3775" t="str">
        <f>Master!CU3</f>
        <v xml:space="preserve"> Bramhangoan 100 MW PP (Aggreko)</v>
      </c>
      <c r="D43" s="3732"/>
      <c r="E43" s="3636" t="str">
        <f>Master!CU5</f>
        <v>HSD</v>
      </c>
      <c r="F43" s="3717" t="str">
        <f>Master!CU4</f>
        <v>IPP</v>
      </c>
      <c r="G43" s="3752" t="str">
        <f>Master!CU6</f>
        <v>114*0.959</v>
      </c>
      <c r="H43" s="3636">
        <f>Master!CU7</f>
        <v>100</v>
      </c>
      <c r="I43" s="3642">
        <f>Master!CU8</f>
        <v>100</v>
      </c>
      <c r="J43" s="3643">
        <f>YesterdayGen!CU33</f>
        <v>0</v>
      </c>
      <c r="K43" s="3644">
        <f>YesterdayGen!CU34</f>
        <v>96</v>
      </c>
      <c r="L43" s="3675">
        <f>YesterdayGen!CU36</f>
        <v>97</v>
      </c>
      <c r="M43" s="3670">
        <f>YesterdayGen!CU35</f>
        <v>96</v>
      </c>
      <c r="N43" s="3644">
        <f>I43-M43</f>
        <v>4</v>
      </c>
      <c r="O43" s="3772"/>
      <c r="P43" s="4608"/>
      <c r="Q43" s="4609"/>
      <c r="R43" s="3651"/>
      <c r="S43" s="211"/>
      <c r="T43" s="190"/>
      <c r="U43" s="190"/>
      <c r="V43" s="190"/>
      <c r="W43" s="190"/>
      <c r="X43" s="190"/>
      <c r="Y43" s="190"/>
      <c r="Z43" s="190"/>
      <c r="AA43" s="190"/>
      <c r="AB43" s="190"/>
      <c r="AC43" s="190"/>
    </row>
    <row r="44" spans="2:29" ht="16.5" customHeight="1">
      <c r="B44" s="3756">
        <v>34</v>
      </c>
      <c r="C44" s="3776" t="str">
        <f>Master!CW3</f>
        <v>Aurahati 100MW PP (Aggreko)</v>
      </c>
      <c r="D44" s="3777"/>
      <c r="E44" s="3756" t="str">
        <f>Master!CW5</f>
        <v>HSD</v>
      </c>
      <c r="F44" s="219" t="str">
        <f>Master!CW4</f>
        <v>IPP</v>
      </c>
      <c r="G44" s="3778" t="str">
        <f>Master!CW6</f>
        <v>0.85*23+0.95*91</v>
      </c>
      <c r="H44" s="3779">
        <f>Master!CW7</f>
        <v>100</v>
      </c>
      <c r="I44" s="3780">
        <f>Master!CW8</f>
        <v>100</v>
      </c>
      <c r="J44" s="3761">
        <f>YesterdayGen!CW33</f>
        <v>0</v>
      </c>
      <c r="K44" s="3762">
        <f>YesterdayGen!CW34</f>
        <v>100</v>
      </c>
      <c r="L44" s="3763">
        <f>YesterdayGen!CW36</f>
        <v>93</v>
      </c>
      <c r="M44" s="3764">
        <f>YesterdayGen!CW35</f>
        <v>100</v>
      </c>
      <c r="N44" s="3644">
        <f>I44-M44</f>
        <v>0</v>
      </c>
      <c r="O44" s="3772"/>
      <c r="P44" s="4940"/>
      <c r="Q44" s="4611"/>
      <c r="R44" s="3766"/>
      <c r="S44" s="211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</row>
    <row r="45" spans="2:29" ht="16.5" customHeight="1">
      <c r="B45" s="3756">
        <v>35</v>
      </c>
      <c r="C45" s="3781" t="str">
        <f>Master!CX3</f>
        <v xml:space="preserve">Kodda 149 MW PP Unit-1 (Summit) </v>
      </c>
      <c r="D45" s="3782"/>
      <c r="E45" s="3783" t="str">
        <f>Master!CX5</f>
        <v>HFO</v>
      </c>
      <c r="F45" s="3784" t="str">
        <f>Master!CX4</f>
        <v>IPP</v>
      </c>
      <c r="G45" s="3785" t="str">
        <f>Master!CX6</f>
        <v>8*18.45+8.97</v>
      </c>
      <c r="H45" s="3786">
        <f>Master!CX7</f>
        <v>149</v>
      </c>
      <c r="I45" s="3787">
        <f>Master!CX8</f>
        <v>149</v>
      </c>
      <c r="J45" s="3788">
        <f>YesterdayGen!CX33</f>
        <v>97</v>
      </c>
      <c r="K45" s="3789">
        <f>YesterdayGen!CX34</f>
        <v>149</v>
      </c>
      <c r="L45" s="3790">
        <f>YesterdayGen!CX36</f>
        <v>90</v>
      </c>
      <c r="M45" s="3791">
        <f>YesterdayGen!CX35</f>
        <v>149</v>
      </c>
      <c r="N45" s="3789"/>
      <c r="O45" s="3792"/>
      <c r="P45" s="4608"/>
      <c r="Q45" s="4611"/>
      <c r="R45" s="3793"/>
      <c r="S45" s="211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</row>
    <row r="46" spans="2:29" ht="16.5" customHeight="1">
      <c r="B46" s="3794">
        <v>36</v>
      </c>
      <c r="C46" s="3795" t="str">
        <f>Master!DE3</f>
        <v>Gazipur 100 MW PP</v>
      </c>
      <c r="D46" s="3796"/>
      <c r="E46" s="3794" t="str">
        <f>Master!DE5</f>
        <v>HFO</v>
      </c>
      <c r="F46" s="3797" t="str">
        <f>Master!DE4</f>
        <v>RPCL</v>
      </c>
      <c r="G46" s="3797" t="str">
        <f>Master!DE6</f>
        <v>6*17.5</v>
      </c>
      <c r="H46" s="3798">
        <f>Master!DE7</f>
        <v>105</v>
      </c>
      <c r="I46" s="3794">
        <f>Master!DE8</f>
        <v>105</v>
      </c>
      <c r="J46" s="3799">
        <f>YesterdayGen!DE33</f>
        <v>88</v>
      </c>
      <c r="K46" s="3799">
        <f>YesterdayGen!DE34</f>
        <v>105</v>
      </c>
      <c r="L46" s="3800">
        <f>YesterdayGen!DE36</f>
        <v>105</v>
      </c>
      <c r="M46" s="3800">
        <f>YesterdayGen!DE35</f>
        <v>105</v>
      </c>
      <c r="N46" s="3799"/>
      <c r="O46" s="3792">
        <f>I46-M46</f>
        <v>0</v>
      </c>
      <c r="P46" s="4608"/>
      <c r="Q46" s="4611"/>
      <c r="R46" s="3802"/>
      <c r="S46" s="211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</row>
    <row r="47" spans="2:29" ht="16.5" customHeight="1">
      <c r="B47" s="3803">
        <v>37</v>
      </c>
      <c r="C47" s="3795" t="str">
        <f>Master!DO3</f>
        <v>Meghnaghat 104 MW PP (OPCL)</v>
      </c>
      <c r="D47" s="3796"/>
      <c r="E47" s="3794" t="str">
        <f>Master!DO5</f>
        <v>HFO</v>
      </c>
      <c r="F47" s="3797" t="str">
        <f>Master!DO4</f>
        <v>IPP</v>
      </c>
      <c r="G47" s="3804" t="str">
        <f>Master!DO6</f>
        <v>18.5*6</v>
      </c>
      <c r="H47" s="3798">
        <f>Master!DO7</f>
        <v>104</v>
      </c>
      <c r="I47" s="3805">
        <f>Master!DO8</f>
        <v>104</v>
      </c>
      <c r="J47" s="3799">
        <f>YesterdayGen!DO33</f>
        <v>17</v>
      </c>
      <c r="K47" s="3799">
        <f>YesterdayGen!DO34</f>
        <v>52</v>
      </c>
      <c r="L47" s="3806">
        <f>YesterdayGen!DO36</f>
        <v>17</v>
      </c>
      <c r="M47" s="3800">
        <f>YesterdayGen!DO35</f>
        <v>104</v>
      </c>
      <c r="N47" s="3799"/>
      <c r="O47" s="3801"/>
      <c r="P47" s="4608" t="s">
        <v>1347</v>
      </c>
      <c r="Q47" s="4611"/>
      <c r="R47" s="3802"/>
      <c r="S47" s="211"/>
      <c r="T47" s="190"/>
      <c r="U47" s="190"/>
      <c r="V47" s="190"/>
      <c r="W47" s="190"/>
      <c r="X47" s="190"/>
      <c r="Y47" s="190"/>
      <c r="Z47" s="190"/>
      <c r="AA47" s="190"/>
      <c r="AB47" s="190"/>
      <c r="AC47" s="190"/>
    </row>
    <row r="48" spans="2:29" ht="16.5" customHeight="1">
      <c r="B48" s="3807">
        <v>38</v>
      </c>
      <c r="C48" s="3808" t="str">
        <f>Master!DQ3</f>
        <v>Manikgonj 162MW PP(MPGL)</v>
      </c>
      <c r="D48" s="3809"/>
      <c r="E48" s="3807" t="str">
        <f>Master!DQ5</f>
        <v>HFO</v>
      </c>
      <c r="F48" s="3810" t="str">
        <f>Master!DQ4</f>
        <v>IPP</v>
      </c>
      <c r="G48" s="3810" t="str">
        <f>Master!DQ6</f>
        <v>9*18</v>
      </c>
      <c r="H48" s="3811">
        <f>Master!DQ7</f>
        <v>162</v>
      </c>
      <c r="I48" s="3807">
        <f>Master!DQ8</f>
        <v>162</v>
      </c>
      <c r="J48" s="3812">
        <f>YesterdayGen!DQ33</f>
        <v>54</v>
      </c>
      <c r="K48" s="3812">
        <f>YesterdayGen!DQ34</f>
        <v>162</v>
      </c>
      <c r="L48" s="3813">
        <f>YesterdayGen!DQ36</f>
        <v>70</v>
      </c>
      <c r="M48" s="3813">
        <f>YesterdayGen!DQ35</f>
        <v>162</v>
      </c>
      <c r="N48" s="3812"/>
      <c r="O48" s="3801"/>
      <c r="P48" s="4608"/>
      <c r="Q48" s="4611"/>
      <c r="R48" s="3815"/>
      <c r="S48" s="211"/>
      <c r="T48" s="190"/>
      <c r="U48" s="190"/>
      <c r="V48" s="190"/>
      <c r="W48" s="190"/>
      <c r="X48" s="190"/>
      <c r="Y48" s="190"/>
      <c r="Z48" s="190"/>
      <c r="AA48" s="190"/>
      <c r="AB48" s="190"/>
      <c r="AC48" s="190"/>
    </row>
    <row r="49" spans="2:29" ht="16.5" customHeight="1">
      <c r="B49" s="3816">
        <v>39</v>
      </c>
      <c r="C49" s="3817" t="str">
        <f>Master!DU3</f>
        <v>Spectra Solar Plant Ltd.</v>
      </c>
      <c r="D49" s="3818"/>
      <c r="E49" s="3816" t="str">
        <f>Master!DU5</f>
        <v>Solar</v>
      </c>
      <c r="F49" s="3819" t="str">
        <f>Master!DU4</f>
        <v>IPP</v>
      </c>
      <c r="G49" s="3820">
        <f>Master!DU6</f>
        <v>35</v>
      </c>
      <c r="H49" s="3821">
        <f>Master!DU7</f>
        <v>35</v>
      </c>
      <c r="I49" s="3822">
        <f>Master!DU8</f>
        <v>35</v>
      </c>
      <c r="J49" s="3823">
        <f>YesterdayGen!DU33</f>
        <v>20</v>
      </c>
      <c r="K49" s="3823">
        <f>YesterdayGen!DU34</f>
        <v>0</v>
      </c>
      <c r="L49" s="3824">
        <f>YesterdayGen!DU36</f>
        <v>30</v>
      </c>
      <c r="M49" s="3825">
        <f>YesterdayGen!DU35</f>
        <v>0</v>
      </c>
      <c r="N49" s="3823"/>
      <c r="O49" s="3826"/>
      <c r="P49" s="4610"/>
      <c r="Q49" s="4611"/>
      <c r="R49" s="3828"/>
      <c r="S49" s="211"/>
      <c r="T49" s="190"/>
      <c r="U49" s="190"/>
      <c r="V49" s="190"/>
      <c r="W49" s="190"/>
      <c r="X49" s="190"/>
      <c r="Y49" s="190"/>
      <c r="Z49" s="190"/>
      <c r="AA49" s="190"/>
      <c r="AB49" s="190"/>
      <c r="AC49" s="190"/>
    </row>
    <row r="50" spans="2:29" ht="16.5" customHeight="1" thickBot="1">
      <c r="B50" s="3829">
        <v>40</v>
      </c>
      <c r="C50" s="3830" t="str">
        <f>Master!DW3</f>
        <v>Kanchan Purbachal Power Generation  Ltd.</v>
      </c>
      <c r="D50" s="3831"/>
      <c r="E50" s="3816" t="str">
        <f>Master!DW5</f>
        <v>HFO</v>
      </c>
      <c r="F50" s="3819" t="str">
        <f>Master!DW4</f>
        <v>IPP</v>
      </c>
      <c r="G50" s="3819" t="str">
        <f>Master!DW6</f>
        <v>18.4*3</v>
      </c>
      <c r="H50" s="3821">
        <f>Master!DW7</f>
        <v>55</v>
      </c>
      <c r="I50" s="3816">
        <f>Master!DW8</f>
        <v>55</v>
      </c>
      <c r="J50" s="3823">
        <f>YesterdayGen!DW33</f>
        <v>55</v>
      </c>
      <c r="K50" s="3823">
        <f>YesterdayGen!DW34</f>
        <v>55</v>
      </c>
      <c r="L50" s="3825">
        <f>YesterdayGen!DW36</f>
        <v>55</v>
      </c>
      <c r="M50" s="3825">
        <f>YesterdayGen!DW35</f>
        <v>55</v>
      </c>
      <c r="N50" s="3823"/>
      <c r="O50" s="3832"/>
      <c r="P50" s="3833"/>
      <c r="Q50" s="3834"/>
      <c r="R50" s="3835"/>
      <c r="S50" s="211"/>
      <c r="T50" s="190"/>
      <c r="U50" s="190"/>
      <c r="V50" s="190"/>
      <c r="W50" s="190"/>
      <c r="X50" s="190"/>
      <c r="Y50" s="190"/>
      <c r="Z50" s="190"/>
      <c r="AA50" s="190"/>
      <c r="AB50" s="190"/>
      <c r="AC50" s="190"/>
    </row>
    <row r="51" spans="2:29" s="218" customFormat="1" ht="16.5" customHeight="1" thickBot="1">
      <c r="B51" s="2273"/>
      <c r="C51" s="2274" t="s">
        <v>700</v>
      </c>
      <c r="D51" s="2274"/>
      <c r="E51" s="3836"/>
      <c r="F51" s="3836"/>
      <c r="G51" s="2273"/>
      <c r="H51" s="2276">
        <f t="shared" ref="H51:O51" si="0">SUM(H9:H50)</f>
        <v>6263</v>
      </c>
      <c r="I51" s="3837">
        <f t="shared" si="0"/>
        <v>5847</v>
      </c>
      <c r="J51" s="2276">
        <f t="shared" si="0"/>
        <v>2097</v>
      </c>
      <c r="K51" s="2276">
        <f t="shared" si="0"/>
        <v>3239</v>
      </c>
      <c r="L51" s="3837">
        <f t="shared" si="0"/>
        <v>2759</v>
      </c>
      <c r="M51" s="2276">
        <f t="shared" si="0"/>
        <v>3410</v>
      </c>
      <c r="N51" s="2276">
        <f t="shared" si="0"/>
        <v>1380</v>
      </c>
      <c r="O51" s="3838">
        <f t="shared" si="0"/>
        <v>1059</v>
      </c>
      <c r="P51" s="3839"/>
      <c r="Q51" s="3840"/>
      <c r="R51" s="3841"/>
      <c r="S51" s="208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</row>
    <row r="52" spans="2:29" ht="16.5" customHeight="1">
      <c r="B52" s="3842">
        <v>41</v>
      </c>
      <c r="C52" s="3843" t="str">
        <f>Master!AN3</f>
        <v xml:space="preserve">Chattogram TPP-1 </v>
      </c>
      <c r="D52" s="3844"/>
      <c r="E52" s="3640" t="str">
        <f>Master!AN5</f>
        <v>Gas</v>
      </c>
      <c r="F52" s="3845" t="str">
        <f>Master!AN4</f>
        <v>PDB</v>
      </c>
      <c r="G52" s="3639" t="str">
        <f>Master!AN6</f>
        <v>1*210</v>
      </c>
      <c r="H52" s="3640">
        <f>Master!AN7</f>
        <v>210</v>
      </c>
      <c r="I52" s="3846">
        <f>Master!AN8</f>
        <v>180</v>
      </c>
      <c r="J52" s="3847">
        <f>YesterdayGen!AN33</f>
        <v>100</v>
      </c>
      <c r="K52" s="3848">
        <f>YesterdayGen!AN34</f>
        <v>100</v>
      </c>
      <c r="L52" s="3847">
        <f>YesterdayGen!AN36</f>
        <v>100</v>
      </c>
      <c r="M52" s="3848">
        <f>YesterdayGen!AN35</f>
        <v>100</v>
      </c>
      <c r="N52" s="3848">
        <f>I52-M52</f>
        <v>80</v>
      </c>
      <c r="O52" s="3671"/>
      <c r="P52" s="3674" t="s">
        <v>173</v>
      </c>
      <c r="Q52" s="3678"/>
      <c r="R52" s="3849"/>
      <c r="S52" s="208"/>
      <c r="T52" s="190"/>
      <c r="U52" s="190"/>
      <c r="V52" s="190"/>
      <c r="W52" s="190"/>
      <c r="X52" s="190"/>
      <c r="Y52" s="190"/>
      <c r="Z52" s="190"/>
      <c r="AA52" s="190"/>
      <c r="AB52" s="190"/>
      <c r="AC52" s="190"/>
    </row>
    <row r="53" spans="2:29" ht="16.5" customHeight="1">
      <c r="B53" s="3636"/>
      <c r="C53" s="3850" t="str">
        <f>Master!AO3</f>
        <v>Chattogram TPP-2</v>
      </c>
      <c r="D53" s="3844"/>
      <c r="E53" s="3640" t="str">
        <f>Master!AO5</f>
        <v>Gas</v>
      </c>
      <c r="F53" s="3845" t="str">
        <f>Master!AO4</f>
        <v>PDB</v>
      </c>
      <c r="G53" s="3639" t="str">
        <f>Master!AO6</f>
        <v>1*210</v>
      </c>
      <c r="H53" s="3640">
        <f>Master!AO7</f>
        <v>210</v>
      </c>
      <c r="I53" s="3846">
        <f>Master!AO8</f>
        <v>180</v>
      </c>
      <c r="J53" s="3847">
        <f>YesterdayGen!AO33</f>
        <v>0</v>
      </c>
      <c r="K53" s="3848">
        <f>YesterdayGen!AO34</f>
        <v>0</v>
      </c>
      <c r="L53" s="3847">
        <f>YesterdayGen!AO36</f>
        <v>0</v>
      </c>
      <c r="M53" s="3848">
        <f>YesterdayGen!AO35</f>
        <v>0</v>
      </c>
      <c r="N53" s="3848">
        <f>I53-M53</f>
        <v>180</v>
      </c>
      <c r="O53" s="3645"/>
      <c r="P53" s="3851" t="s">
        <v>173</v>
      </c>
      <c r="Q53" s="3720"/>
      <c r="R53" s="3651"/>
      <c r="S53" s="208"/>
      <c r="T53" s="190"/>
      <c r="U53" s="190"/>
      <c r="V53" s="190"/>
      <c r="W53" s="190"/>
      <c r="X53" s="190"/>
      <c r="Y53" s="190"/>
      <c r="Z53" s="190"/>
      <c r="AA53" s="190"/>
      <c r="AB53" s="190"/>
      <c r="AC53" s="190"/>
    </row>
    <row r="54" spans="2:29" ht="16.5" customHeight="1">
      <c r="B54" s="3636">
        <v>42</v>
      </c>
      <c r="C54" s="3751" t="str">
        <f>Master!AP3</f>
        <v>Raozan 25 MW PP</v>
      </c>
      <c r="D54" s="3844"/>
      <c r="E54" s="3640" t="str">
        <f>Master!AP5</f>
        <v>HFO</v>
      </c>
      <c r="F54" s="3845" t="str">
        <f>Master!AP4</f>
        <v>RPCL</v>
      </c>
      <c r="G54" s="3639" t="str">
        <f>Master!AP6</f>
        <v>3*8.9</v>
      </c>
      <c r="H54" s="3640">
        <f>Master!AP7</f>
        <v>25</v>
      </c>
      <c r="I54" s="3846">
        <f>Master!AP8</f>
        <v>25</v>
      </c>
      <c r="J54" s="3847">
        <f>YesterdayGen!AP33</f>
        <v>16</v>
      </c>
      <c r="K54" s="3848">
        <f>YesterdayGen!AP34</f>
        <v>25</v>
      </c>
      <c r="L54" s="3847">
        <f>YesterdayGen!AP36</f>
        <v>25</v>
      </c>
      <c r="M54" s="3848">
        <f>YesterdayGen!AP35</f>
        <v>25</v>
      </c>
      <c r="N54" s="3848"/>
      <c r="O54" s="3645"/>
      <c r="P54" s="3851"/>
      <c r="Q54" s="3720"/>
      <c r="R54" s="3852"/>
      <c r="S54" s="208"/>
      <c r="T54" s="190"/>
      <c r="U54" s="190"/>
      <c r="V54" s="190"/>
      <c r="W54" s="190"/>
      <c r="X54" s="190"/>
      <c r="Y54" s="190"/>
      <c r="Z54" s="190"/>
      <c r="AA54" s="190"/>
      <c r="AB54" s="190"/>
      <c r="AC54" s="190"/>
    </row>
    <row r="55" spans="2:29" ht="16.5" customHeight="1">
      <c r="B55" s="3636">
        <v>43</v>
      </c>
      <c r="C55" s="3751" t="str">
        <f>Master!CY3</f>
        <v>Teknaf  20MW PP (Solartech)</v>
      </c>
      <c r="D55" s="3844"/>
      <c r="E55" s="3640" t="str">
        <f>Master!CY5</f>
        <v>Solar</v>
      </c>
      <c r="F55" s="3845" t="str">
        <f>Master!CY4</f>
        <v>IPP</v>
      </c>
      <c r="G55" s="3639">
        <f>Master!CY6</f>
        <v>20</v>
      </c>
      <c r="H55" s="3640">
        <f>Master!CY7</f>
        <v>20</v>
      </c>
      <c r="I55" s="3846">
        <f>Master!CY8</f>
        <v>20</v>
      </c>
      <c r="J55" s="3847">
        <f>YesterdayGen!CY33</f>
        <v>13</v>
      </c>
      <c r="K55" s="3848">
        <f>YesterdayGen!CY34</f>
        <v>0</v>
      </c>
      <c r="L55" s="3847">
        <f>YesterdayGen!CY36</f>
        <v>20</v>
      </c>
      <c r="M55" s="3848">
        <f>YesterdayGen!CY35</f>
        <v>0</v>
      </c>
      <c r="N55" s="3848"/>
      <c r="O55" s="3645"/>
      <c r="P55" s="3851"/>
      <c r="Q55" s="3720"/>
      <c r="R55" s="3852"/>
      <c r="S55" s="208"/>
      <c r="T55" s="190"/>
      <c r="U55" s="190"/>
      <c r="V55" s="190"/>
      <c r="W55" s="190"/>
      <c r="X55" s="190"/>
      <c r="Y55" s="190"/>
      <c r="Z55" s="190"/>
      <c r="AA55" s="190"/>
      <c r="AB55" s="190"/>
      <c r="AC55" s="190"/>
    </row>
    <row r="56" spans="2:29" ht="16.5" customHeight="1">
      <c r="B56" s="3636">
        <v>44</v>
      </c>
      <c r="C56" s="3751" t="str">
        <f>Master!BA3</f>
        <v>Patenga 50MW PP (Baraka)</v>
      </c>
      <c r="D56" s="3844"/>
      <c r="E56" s="3640" t="str">
        <f>Master!BA5</f>
        <v>HFO</v>
      </c>
      <c r="F56" s="3845" t="str">
        <f>Master!BA4</f>
        <v>IPP</v>
      </c>
      <c r="G56" s="3639" t="str">
        <f>Master!BA6</f>
        <v>8*6.98</v>
      </c>
      <c r="H56" s="3640">
        <f>Master!BA7</f>
        <v>50</v>
      </c>
      <c r="I56" s="3846">
        <f>Master!BA8</f>
        <v>50</v>
      </c>
      <c r="J56" s="3847">
        <f>YesterdayGen!BA33</f>
        <v>25</v>
      </c>
      <c r="K56" s="3848">
        <f>YesterdayGen!BA34</f>
        <v>25</v>
      </c>
      <c r="L56" s="3847">
        <f>YesterdayGen!BA36</f>
        <v>25</v>
      </c>
      <c r="M56" s="3848">
        <f>YesterdayGen!BA35</f>
        <v>32</v>
      </c>
      <c r="N56" s="3848"/>
      <c r="O56" s="3645">
        <f>I56-M56</f>
        <v>18</v>
      </c>
      <c r="P56" s="3851" t="s">
        <v>126</v>
      </c>
      <c r="Q56" s="3720"/>
      <c r="R56" s="3651"/>
      <c r="S56" s="208"/>
      <c r="T56" s="190"/>
      <c r="U56" s="190"/>
      <c r="V56" s="190"/>
      <c r="W56" s="190"/>
      <c r="X56" s="190"/>
      <c r="Y56" s="190"/>
      <c r="Z56" s="190"/>
      <c r="AA56" s="190"/>
      <c r="AB56" s="190"/>
      <c r="AC56" s="190"/>
    </row>
    <row r="57" spans="2:29" ht="16.5" customHeight="1">
      <c r="B57" s="3636">
        <v>45</v>
      </c>
      <c r="C57" s="3751" t="s">
        <v>909</v>
      </c>
      <c r="D57" s="3638"/>
      <c r="E57" s="3636" t="str">
        <f>Master!AL5</f>
        <v>Hydro</v>
      </c>
      <c r="F57" s="3650" t="str">
        <f>Master!AL4</f>
        <v>PDB</v>
      </c>
      <c r="G57" s="3650" t="s">
        <v>687</v>
      </c>
      <c r="H57" s="3636">
        <f>Master!AL8+Master!AM8</f>
        <v>230</v>
      </c>
      <c r="I57" s="3642">
        <f>Master!AL8+Master!AM8</f>
        <v>230</v>
      </c>
      <c r="J57" s="3643">
        <f>YesterdayGen!AL33+YesterdayGen!AM33</f>
        <v>111</v>
      </c>
      <c r="K57" s="3644">
        <f>YesterdayGen!AL34+YesterdayGen!AM34</f>
        <v>116</v>
      </c>
      <c r="L57" s="3643">
        <f>YesterdayGen!AL36+YesterdayGen!AM36</f>
        <v>118</v>
      </c>
      <c r="M57" s="3644">
        <f>YesterdayGen!AL35+YesterdayGen!AM35</f>
        <v>118</v>
      </c>
      <c r="N57" s="3644"/>
      <c r="O57" s="3645">
        <f>I57-M57</f>
        <v>112</v>
      </c>
      <c r="P57" s="4603" t="s">
        <v>1369</v>
      </c>
      <c r="Q57" s="3720"/>
      <c r="R57" s="3852"/>
      <c r="S57" s="208">
        <v>32506</v>
      </c>
      <c r="T57" s="190"/>
      <c r="U57" s="190"/>
      <c r="V57" s="190"/>
      <c r="W57" s="190"/>
      <c r="X57" s="190"/>
      <c r="Y57" s="190"/>
      <c r="Z57" s="190"/>
      <c r="AA57" s="190"/>
      <c r="AB57" s="190"/>
      <c r="AC57" s="190"/>
    </row>
    <row r="58" spans="2:29" ht="16.5" customHeight="1">
      <c r="B58" s="3636">
        <v>46</v>
      </c>
      <c r="C58" s="3853" t="s">
        <v>1024</v>
      </c>
      <c r="D58" s="3854"/>
      <c r="E58" s="3636" t="s">
        <v>682</v>
      </c>
      <c r="F58" s="3668" t="str">
        <f>Master!AQ4</f>
        <v>PDB</v>
      </c>
      <c r="G58" s="3650" t="str">
        <f>Master!AQ6</f>
        <v>1*150+1*175</v>
      </c>
      <c r="H58" s="3636">
        <f>Master!AQ7</f>
        <v>225</v>
      </c>
      <c r="I58" s="3642">
        <f>Master!AQ8</f>
        <v>225</v>
      </c>
      <c r="J58" s="3643">
        <f>YesterdayGen!AQ33+YesterdayGen!AR33</f>
        <v>0</v>
      </c>
      <c r="K58" s="3644">
        <f>YesterdayGen!AQ34+YesterdayGen!AR34</f>
        <v>0</v>
      </c>
      <c r="L58" s="3643">
        <f>YesterdayGen!AQ36+YesterdayGen!AR36</f>
        <v>0</v>
      </c>
      <c r="M58" s="3644">
        <f>YesterdayGen!AQ35+YesterdayGen!AR35</f>
        <v>0</v>
      </c>
      <c r="N58" s="3693"/>
      <c r="O58" s="3645">
        <v>225</v>
      </c>
      <c r="P58" s="4607" t="s">
        <v>1792</v>
      </c>
      <c r="Q58" s="3720"/>
      <c r="R58" s="3651"/>
      <c r="S58" s="208"/>
      <c r="T58" s="190"/>
      <c r="U58" s="190"/>
      <c r="V58" s="190"/>
      <c r="W58" s="190"/>
      <c r="X58" s="190"/>
      <c r="Y58" s="190"/>
      <c r="Z58" s="190"/>
      <c r="AA58" s="190"/>
      <c r="AB58" s="190"/>
      <c r="AC58" s="190"/>
    </row>
    <row r="59" spans="2:29" ht="16.5" customHeight="1">
      <c r="B59" s="3636">
        <v>47</v>
      </c>
      <c r="C59" s="3853" t="s">
        <v>115</v>
      </c>
      <c r="D59" s="3732"/>
      <c r="E59" s="3636" t="s">
        <v>682</v>
      </c>
      <c r="F59" s="3668" t="str">
        <f>Master!AS4</f>
        <v>PDB</v>
      </c>
      <c r="G59" s="3650" t="str">
        <f>Master!AS6</f>
        <v xml:space="preserve">1*150 </v>
      </c>
      <c r="H59" s="3636">
        <f>Master!AS7</f>
        <v>150</v>
      </c>
      <c r="I59" s="3642">
        <f>Master!AS8</f>
        <v>150</v>
      </c>
      <c r="J59" s="3643">
        <f>YesterdayGen!AS33+YesterdayGen!AT33</f>
        <v>0</v>
      </c>
      <c r="K59" s="3644">
        <f>YesterdayGen!AS34+YesterdayGen!AT34</f>
        <v>0</v>
      </c>
      <c r="L59" s="3643">
        <f>YesterdayGen!AS36+YesterdayGen!AT36</f>
        <v>0</v>
      </c>
      <c r="M59" s="3644">
        <f>YesterdayGen!AS35+YesterdayGen!AT35</f>
        <v>0</v>
      </c>
      <c r="N59" s="3644"/>
      <c r="O59" s="3645">
        <f>I59-M59</f>
        <v>150</v>
      </c>
      <c r="P59" s="3851" t="s">
        <v>1863</v>
      </c>
      <c r="Q59" s="3720"/>
      <c r="R59" s="3676"/>
      <c r="S59" s="208"/>
      <c r="T59" s="190"/>
      <c r="U59" s="190"/>
      <c r="V59" s="190"/>
      <c r="W59" s="190"/>
      <c r="X59" s="190"/>
      <c r="Y59" s="190"/>
      <c r="Z59" s="190"/>
      <c r="AA59" s="190"/>
      <c r="AB59" s="190"/>
      <c r="AC59" s="190"/>
    </row>
    <row r="60" spans="2:29" ht="16.5" customHeight="1">
      <c r="B60" s="3636">
        <v>48</v>
      </c>
      <c r="C60" s="3855" t="str">
        <f>Master!DF3</f>
        <v>Sikalbaha 105 MW PP (Baraka Sikalbaha)</v>
      </c>
      <c r="D60" s="3856"/>
      <c r="E60" s="3857" t="str">
        <f>Master!DF5</f>
        <v>HFO</v>
      </c>
      <c r="F60" s="3858" t="str">
        <f>Master!DF4</f>
        <v>IPP</v>
      </c>
      <c r="G60" s="3859" t="str">
        <f>Master!DF6</f>
        <v>6*17.5</v>
      </c>
      <c r="H60" s="3860">
        <f>Master!DF7</f>
        <v>105</v>
      </c>
      <c r="I60" s="3861">
        <f>Master!DF8</f>
        <v>105</v>
      </c>
      <c r="J60" s="3862">
        <f>YesterdayGen!DF33</f>
        <v>87</v>
      </c>
      <c r="K60" s="3863">
        <f>YesterdayGen!DF34</f>
        <v>105</v>
      </c>
      <c r="L60" s="3864">
        <f>YesterdayGen!DF36</f>
        <v>68</v>
      </c>
      <c r="M60" s="3865">
        <f>YesterdayGen!DF35</f>
        <v>90</v>
      </c>
      <c r="N60" s="3863"/>
      <c r="O60" s="3645"/>
      <c r="P60" s="3866"/>
      <c r="Q60" s="3867"/>
      <c r="R60" s="3868"/>
      <c r="S60" s="208"/>
      <c r="T60" s="190"/>
      <c r="U60" s="190"/>
      <c r="V60" s="190"/>
      <c r="W60" s="190"/>
      <c r="X60" s="190"/>
      <c r="Y60" s="190"/>
      <c r="Z60" s="190"/>
      <c r="AA60" s="190"/>
      <c r="AB60" s="190"/>
      <c r="AC60" s="190"/>
    </row>
    <row r="61" spans="2:29" ht="17.25" customHeight="1">
      <c r="B61" s="3636">
        <v>49</v>
      </c>
      <c r="C61" s="3853" t="str">
        <f>Master!AW3</f>
        <v>Hathazari 100 MW peaking PP</v>
      </c>
      <c r="D61" s="3732"/>
      <c r="E61" s="3636" t="str">
        <f>Master!AW5</f>
        <v>HFO</v>
      </c>
      <c r="F61" s="3668" t="str">
        <f>Master!AW4</f>
        <v>PDB</v>
      </c>
      <c r="G61" s="3752" t="str">
        <f>Master!AW6</f>
        <v>11*8.9</v>
      </c>
      <c r="H61" s="3636">
        <f>Master!AW7</f>
        <v>98</v>
      </c>
      <c r="I61" s="3642">
        <f>Master!AW8</f>
        <v>98</v>
      </c>
      <c r="J61" s="3643">
        <f>YesterdayGen!AW33</f>
        <v>26</v>
      </c>
      <c r="K61" s="3644">
        <f>YesterdayGen!AW34</f>
        <v>34</v>
      </c>
      <c r="L61" s="3643">
        <f>YesterdayGen!AW36</f>
        <v>26</v>
      </c>
      <c r="M61" s="3644">
        <f>YesterdayGen!AW35</f>
        <v>26</v>
      </c>
      <c r="N61" s="3644">
        <f>I61-M61</f>
        <v>72</v>
      </c>
      <c r="O61" s="3645"/>
      <c r="P61" s="3869" t="s">
        <v>1347</v>
      </c>
      <c r="Q61" s="3647"/>
      <c r="R61" s="3651"/>
      <c r="S61" s="3284"/>
      <c r="T61" s="190"/>
      <c r="U61" s="190"/>
      <c r="V61" s="190"/>
      <c r="W61" s="190"/>
      <c r="X61" s="190"/>
      <c r="Y61" s="190"/>
      <c r="Z61" s="190"/>
      <c r="AA61" s="190"/>
      <c r="AB61" s="190"/>
      <c r="AC61" s="190"/>
    </row>
    <row r="62" spans="2:29" ht="16.5" customHeight="1">
      <c r="B62" s="3636">
        <v>50</v>
      </c>
      <c r="C62" s="3853" t="str">
        <f>Master!AX3</f>
        <v>Dohazari -Kalaish 100 MW Peaking</v>
      </c>
      <c r="D62" s="3732"/>
      <c r="E62" s="3636" t="str">
        <f>Master!AX5</f>
        <v>HFO</v>
      </c>
      <c r="F62" s="3668" t="str">
        <f>Master!AX4</f>
        <v>PDB</v>
      </c>
      <c r="G62" s="3752" t="str">
        <f>Master!AX6</f>
        <v>6*17</v>
      </c>
      <c r="H62" s="3636">
        <f>Master!AX7</f>
        <v>102</v>
      </c>
      <c r="I62" s="3642">
        <f>Master!AX8</f>
        <v>102</v>
      </c>
      <c r="J62" s="3643">
        <f>YesterdayGen!AX33</f>
        <v>17</v>
      </c>
      <c r="K62" s="3644">
        <f>YesterdayGen!AX34</f>
        <v>51</v>
      </c>
      <c r="L62" s="3643">
        <f>YesterdayGen!AX36</f>
        <v>17</v>
      </c>
      <c r="M62" s="3644">
        <f>YesterdayGen!AX35</f>
        <v>51</v>
      </c>
      <c r="N62" s="3644">
        <f>I62-M62</f>
        <v>51</v>
      </c>
      <c r="O62" s="3645"/>
      <c r="P62" s="3866" t="s">
        <v>1347</v>
      </c>
      <c r="Q62" s="3647"/>
      <c r="R62" s="3651"/>
      <c r="S62" s="208"/>
      <c r="T62" s="208"/>
      <c r="U62" s="190"/>
      <c r="V62" s="190"/>
      <c r="W62" s="190"/>
      <c r="X62" s="190"/>
      <c r="Y62" s="190"/>
      <c r="Z62" s="190"/>
      <c r="AA62" s="190"/>
      <c r="AB62" s="190"/>
      <c r="AC62" s="190"/>
    </row>
    <row r="63" spans="2:29" ht="16.5" customHeight="1">
      <c r="B63" s="3636">
        <v>51</v>
      </c>
      <c r="C63" s="3853" t="str">
        <f>Master!AY3</f>
        <v>Juldah 100 MW Unit-1 (Acorn)</v>
      </c>
      <c r="D63" s="3732"/>
      <c r="E63" s="3636" t="str">
        <f>Master!AY5</f>
        <v>HFO</v>
      </c>
      <c r="F63" s="3668" t="str">
        <f>Master!AY4</f>
        <v>NENP</v>
      </c>
      <c r="G63" s="3752" t="str">
        <f>Master!AY6</f>
        <v>8*13.45</v>
      </c>
      <c r="H63" s="3636">
        <f>Master!AY7</f>
        <v>100</v>
      </c>
      <c r="I63" s="3642">
        <f>Master!AY8</f>
        <v>100</v>
      </c>
      <c r="J63" s="3643">
        <f>YesterdayGen!AY33</f>
        <v>56</v>
      </c>
      <c r="K63" s="3644">
        <f>YesterdayGen!AY34</f>
        <v>33</v>
      </c>
      <c r="L63" s="3643">
        <f>YesterdayGen!AY36</f>
        <v>56</v>
      </c>
      <c r="M63" s="3644">
        <f>YesterdayGen!AY35</f>
        <v>56</v>
      </c>
      <c r="N63" s="3644">
        <f>I63-M63</f>
        <v>44</v>
      </c>
      <c r="O63" s="3645"/>
      <c r="P63" s="3866" t="s">
        <v>1347</v>
      </c>
      <c r="Q63" s="3647"/>
      <c r="R63" s="3651"/>
      <c r="S63" s="208">
        <v>399587</v>
      </c>
      <c r="T63" s="190"/>
      <c r="U63" s="190"/>
      <c r="V63" s="190"/>
      <c r="W63" s="190"/>
      <c r="X63" s="190"/>
      <c r="Y63" s="190"/>
      <c r="Z63" s="190"/>
      <c r="AA63" s="190"/>
      <c r="AB63" s="190"/>
      <c r="AC63" s="190"/>
    </row>
    <row r="64" spans="2:29" ht="16.5" customHeight="1">
      <c r="B64" s="3636">
        <v>52</v>
      </c>
      <c r="C64" s="3853" t="str">
        <f>Master!CZ3</f>
        <v>Juldah 100 MW PP Unit-3 (Acorn)</v>
      </c>
      <c r="D64" s="3732"/>
      <c r="E64" s="3636" t="str">
        <f>Master!CZ5</f>
        <v>HFO</v>
      </c>
      <c r="F64" s="3770" t="str">
        <f>Master!CZ4</f>
        <v>IPP</v>
      </c>
      <c r="G64" s="3870" t="str">
        <f>Master!CZ6</f>
        <v>8*13.5</v>
      </c>
      <c r="H64" s="3756">
        <f>Master!CZ7</f>
        <v>100</v>
      </c>
      <c r="I64" s="3760">
        <f>Master!CZ8</f>
        <v>100</v>
      </c>
      <c r="J64" s="3643">
        <f>YesterdayGen!CZ33</f>
        <v>21</v>
      </c>
      <c r="K64" s="3644">
        <f>YesterdayGen!CZ34</f>
        <v>90</v>
      </c>
      <c r="L64" s="3643">
        <f>YesterdayGen!CZ36</f>
        <v>21</v>
      </c>
      <c r="M64" s="3644">
        <f>YesterdayGen!CZ35</f>
        <v>90</v>
      </c>
      <c r="N64" s="3644"/>
      <c r="O64" s="3645">
        <f>I64-M64</f>
        <v>10</v>
      </c>
      <c r="P64" s="3866" t="s">
        <v>126</v>
      </c>
      <c r="Q64" s="3647"/>
      <c r="R64" s="3651"/>
      <c r="S64" s="208"/>
      <c r="T64" s="190"/>
      <c r="U64" s="190"/>
      <c r="V64" s="190"/>
      <c r="W64" s="190"/>
      <c r="X64" s="190"/>
      <c r="Y64" s="190"/>
      <c r="Z64" s="190"/>
      <c r="AA64" s="190"/>
      <c r="AB64" s="190"/>
      <c r="AC64" s="190"/>
    </row>
    <row r="65" spans="2:29" ht="16.5" customHeight="1">
      <c r="B65" s="3636">
        <v>53</v>
      </c>
      <c r="C65" s="3853" t="str">
        <f>Master!BB3</f>
        <v>Barabkunda  22 MW PP (Regent)</v>
      </c>
      <c r="D65" s="3732"/>
      <c r="E65" s="3636" t="str">
        <f>Master!BB5</f>
        <v>Gas</v>
      </c>
      <c r="F65" s="3871" t="str">
        <f>Master!BB4</f>
        <v>SIPP, PDB</v>
      </c>
      <c r="G65" s="3870" t="str">
        <f>Master!BB6</f>
        <v>8*2.90</v>
      </c>
      <c r="H65" s="3756">
        <f>Master!BB7</f>
        <v>22</v>
      </c>
      <c r="I65" s="3760">
        <f>Master!BB8</f>
        <v>22</v>
      </c>
      <c r="J65" s="3643">
        <f>YesterdayGen!BB33</f>
        <v>15</v>
      </c>
      <c r="K65" s="3644">
        <f>YesterdayGen!BB34</f>
        <v>15</v>
      </c>
      <c r="L65" s="3675">
        <f>YesterdayGen!BB36</f>
        <v>17</v>
      </c>
      <c r="M65" s="3670">
        <f>YesterdayGen!BB35</f>
        <v>17</v>
      </c>
      <c r="N65" s="3644"/>
      <c r="O65" s="3671">
        <f>I65-M65</f>
        <v>5</v>
      </c>
      <c r="P65" s="3866" t="s">
        <v>126</v>
      </c>
      <c r="Q65" s="3647"/>
      <c r="R65" s="3651"/>
      <c r="S65" s="208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</row>
    <row r="66" spans="2:29" ht="16.5" customHeight="1">
      <c r="B66" s="3636" t="s">
        <v>143</v>
      </c>
      <c r="C66" s="3775" t="str">
        <f>Master!BC3</f>
        <v>Malancha, Ctg. EPZ (United)</v>
      </c>
      <c r="D66" s="3732"/>
      <c r="E66" s="3636" t="str">
        <f>Master!BC5</f>
        <v>Gas</v>
      </c>
      <c r="F66" s="3717"/>
      <c r="G66" s="3752" t="str">
        <f>Master!BC6</f>
        <v>5*8.73+3*9.34</v>
      </c>
      <c r="H66" s="3636"/>
      <c r="I66" s="3642">
        <f>Master!BC8</f>
        <v>0</v>
      </c>
      <c r="J66" s="3643">
        <f>YesterdayGen!BC33</f>
        <v>2</v>
      </c>
      <c r="K66" s="3644">
        <f>YesterdayGen!BC34</f>
        <v>30</v>
      </c>
      <c r="L66" s="3675">
        <f>YesterdayGen!BC36</f>
        <v>10</v>
      </c>
      <c r="M66" s="3670">
        <f>YesterdayGen!BC35</f>
        <v>10</v>
      </c>
      <c r="N66" s="3644"/>
      <c r="O66" s="3645"/>
      <c r="P66" s="3872"/>
      <c r="Q66" s="3647"/>
      <c r="R66" s="3651"/>
      <c r="S66" s="208"/>
      <c r="T66" s="190"/>
      <c r="U66" s="190"/>
      <c r="V66" s="190"/>
      <c r="W66" s="190"/>
      <c r="X66" s="190"/>
      <c r="Y66" s="190"/>
      <c r="Z66" s="190"/>
      <c r="AA66" s="190"/>
      <c r="AB66" s="190"/>
      <c r="AC66" s="190"/>
    </row>
    <row r="67" spans="2:29" ht="16.5" customHeight="1">
      <c r="B67" s="3873">
        <v>54</v>
      </c>
      <c r="C67" s="3776" t="str">
        <f>Master!AZ3</f>
        <v>Chattogram 108 MW PP (ECPV)</v>
      </c>
      <c r="D67" s="3777"/>
      <c r="E67" s="3756" t="str">
        <f>Master!AZ5</f>
        <v>HFO</v>
      </c>
      <c r="F67" s="219" t="str">
        <f>Master!AZ4</f>
        <v>IPP</v>
      </c>
      <c r="G67" s="3778" t="str">
        <f>Master!AZ6</f>
        <v>16*7</v>
      </c>
      <c r="H67" s="3779">
        <f>Master!AZ7</f>
        <v>108</v>
      </c>
      <c r="I67" s="3780">
        <f>Master!AZ8</f>
        <v>108</v>
      </c>
      <c r="J67" s="3761">
        <f>YesterdayGen!AZ33</f>
        <v>12</v>
      </c>
      <c r="K67" s="3762">
        <f>YesterdayGen!AZ34</f>
        <v>80</v>
      </c>
      <c r="L67" s="3763">
        <f>YesterdayGen!AZ36</f>
        <v>90</v>
      </c>
      <c r="M67" s="3764">
        <f>YesterdayGen!AZ35</f>
        <v>95</v>
      </c>
      <c r="N67" s="3762"/>
      <c r="O67" s="3874">
        <f>I67-M67</f>
        <v>13</v>
      </c>
      <c r="P67" s="3866" t="s">
        <v>126</v>
      </c>
      <c r="Q67" s="3647"/>
      <c r="R67" s="3766"/>
      <c r="S67" s="208"/>
      <c r="T67" s="190"/>
      <c r="U67" s="190"/>
      <c r="V67" s="190"/>
      <c r="W67" s="190"/>
      <c r="X67" s="190"/>
      <c r="Y67" s="190"/>
      <c r="Z67" s="190"/>
      <c r="AA67" s="190"/>
      <c r="AB67" s="190"/>
      <c r="AC67" s="190"/>
    </row>
    <row r="68" spans="2:29" ht="16.5" customHeight="1">
      <c r="B68" s="3875">
        <v>55</v>
      </c>
      <c r="C68" s="585" t="str">
        <f>Master!DG3</f>
        <v>Kaptai 7 MW  Solar PP</v>
      </c>
      <c r="D68" s="3876"/>
      <c r="E68" s="3877" t="str">
        <f>Master!DG5</f>
        <v>Solar</v>
      </c>
      <c r="F68" s="3878" t="str">
        <f>Master!DG4</f>
        <v>PDB</v>
      </c>
      <c r="G68" s="3879" t="str">
        <f>Master!DG6</f>
        <v>7.4 MW</v>
      </c>
      <c r="H68" s="3880">
        <f>Master!DG7</f>
        <v>7</v>
      </c>
      <c r="I68" s="3881">
        <f>Master!DG8</f>
        <v>7</v>
      </c>
      <c r="J68" s="3882">
        <f>YesterdayGen!DG33</f>
        <v>4</v>
      </c>
      <c r="K68" s="3883">
        <f>YesterdayGen!DG34</f>
        <v>0</v>
      </c>
      <c r="L68" s="3884">
        <f>YesterdayGen!DG36</f>
        <v>5</v>
      </c>
      <c r="M68" s="3885">
        <f>YesterdayGen!DG35</f>
        <v>0</v>
      </c>
      <c r="N68" s="3883"/>
      <c r="O68" s="3874"/>
      <c r="P68" s="3886"/>
      <c r="Q68" s="3647"/>
      <c r="R68" s="3887"/>
      <c r="S68" s="208"/>
      <c r="T68" s="190"/>
      <c r="U68" s="190"/>
      <c r="V68" s="190"/>
      <c r="W68" s="190"/>
      <c r="X68" s="190"/>
      <c r="Y68" s="190"/>
      <c r="Z68" s="190"/>
      <c r="AA68" s="190"/>
      <c r="AB68" s="190"/>
      <c r="AC68" s="190"/>
    </row>
    <row r="69" spans="2:29" ht="16.5" customHeight="1">
      <c r="B69" s="3888">
        <v>56</v>
      </c>
      <c r="C69" s="3889" t="str">
        <f>Master!DH3</f>
        <v>Anwara 300 MW PP (United)</v>
      </c>
      <c r="D69" s="3890"/>
      <c r="E69" s="3888" t="str">
        <f>Master!DH5</f>
        <v>HFO</v>
      </c>
      <c r="F69" s="3891" t="str">
        <f>Master!DH4</f>
        <v>IPP</v>
      </c>
      <c r="G69" s="3892" t="str">
        <f>Master!DH6</f>
        <v>17*17+24</v>
      </c>
      <c r="H69" s="3893">
        <f>Master!DH7</f>
        <v>300</v>
      </c>
      <c r="I69" s="3894">
        <f>Master!DH8</f>
        <v>300</v>
      </c>
      <c r="J69" s="3895">
        <f>YesterdayGen!DH33</f>
        <v>50</v>
      </c>
      <c r="K69" s="3896">
        <f>YesterdayGen!DH34</f>
        <v>214</v>
      </c>
      <c r="L69" s="3897">
        <f>YesterdayGen!DH36</f>
        <v>50</v>
      </c>
      <c r="M69" s="3898">
        <f>YesterdayGen!DH35</f>
        <v>214</v>
      </c>
      <c r="N69" s="3883">
        <f>I69-M69</f>
        <v>86</v>
      </c>
      <c r="O69" s="3899"/>
      <c r="P69" s="3900"/>
      <c r="Q69" s="3901"/>
      <c r="R69" s="3902"/>
      <c r="S69" s="208"/>
      <c r="T69" s="190"/>
      <c r="U69" s="190"/>
      <c r="V69" s="190"/>
      <c r="W69" s="190"/>
      <c r="X69" s="190"/>
      <c r="Y69" s="190"/>
      <c r="Z69" s="190"/>
      <c r="AA69" s="190"/>
      <c r="AB69" s="190"/>
      <c r="AC69" s="190"/>
    </row>
    <row r="70" spans="2:29" ht="16.5" customHeight="1">
      <c r="B70" s="3903">
        <v>57</v>
      </c>
      <c r="C70" s="3904" t="str">
        <f>Master!DI3</f>
        <v>Jodiac Power</v>
      </c>
      <c r="D70" s="3905"/>
      <c r="E70" s="3903" t="str">
        <f>Master!DI5</f>
        <v>HFO</v>
      </c>
      <c r="F70" s="3906" t="str">
        <f>Master!DI4</f>
        <v>IPP</v>
      </c>
      <c r="G70" s="3906" t="str">
        <f>Master!DI6</f>
        <v>3*18.55+1*3.6</v>
      </c>
      <c r="H70" s="3907">
        <f>Master!DI7</f>
        <v>54</v>
      </c>
      <c r="I70" s="3903">
        <f>Master!DI8</f>
        <v>54</v>
      </c>
      <c r="J70" s="3908">
        <f>YesterdayGen!DI33</f>
        <v>36</v>
      </c>
      <c r="K70" s="3908">
        <f>YesterdayGen!DI34</f>
        <v>36</v>
      </c>
      <c r="L70" s="3909">
        <f>YesterdayGen!DI36</f>
        <v>36</v>
      </c>
      <c r="M70" s="3909">
        <f>YesterdayGen!DI35</f>
        <v>36</v>
      </c>
      <c r="N70" s="3908"/>
      <c r="O70" s="3899">
        <f>I70-M70</f>
        <v>18</v>
      </c>
      <c r="P70" s="3833" t="s">
        <v>126</v>
      </c>
      <c r="Q70" s="3910"/>
      <c r="R70" s="3911"/>
      <c r="S70" s="208"/>
      <c r="T70" s="190"/>
      <c r="U70" s="190"/>
      <c r="V70" s="190"/>
      <c r="W70" s="190"/>
      <c r="X70" s="190"/>
      <c r="Y70" s="190"/>
      <c r="Z70" s="190"/>
      <c r="AA70" s="190"/>
      <c r="AB70" s="190"/>
      <c r="AC70" s="190"/>
    </row>
    <row r="71" spans="2:29" ht="16.5" customHeight="1">
      <c r="B71" s="3912">
        <v>58</v>
      </c>
      <c r="C71" s="3913" t="str">
        <f>Master!DJ3</f>
        <v>Karnaphuli Power Ltd.</v>
      </c>
      <c r="D71" s="3914"/>
      <c r="E71" s="3912" t="str">
        <f>Master!DJ5</f>
        <v>HFO</v>
      </c>
      <c r="F71" s="3915" t="str">
        <f>Master!DJ4</f>
        <v>IPP</v>
      </c>
      <c r="G71" s="3915" t="str">
        <f>Master!DJ6</f>
        <v>18.415*6+6.5</v>
      </c>
      <c r="H71" s="3916">
        <f>Master!DJ7</f>
        <v>110</v>
      </c>
      <c r="I71" s="3912">
        <f>Master!DJ8</f>
        <v>110</v>
      </c>
      <c r="J71" s="3917">
        <f>YesterdayGen!DJ33</f>
        <v>55</v>
      </c>
      <c r="K71" s="3917">
        <f>YesterdayGen!DJ34</f>
        <v>73</v>
      </c>
      <c r="L71" s="3918">
        <f>YesterdayGen!DJ36</f>
        <v>55</v>
      </c>
      <c r="M71" s="3918">
        <f>YesterdayGen!DJ35</f>
        <v>55</v>
      </c>
      <c r="N71" s="3917">
        <f>I71-M71</f>
        <v>55</v>
      </c>
      <c r="O71" s="3899"/>
      <c r="P71" s="3919" t="s">
        <v>1347</v>
      </c>
      <c r="Q71" s="3920"/>
      <c r="R71" s="3921"/>
      <c r="S71" s="208"/>
      <c r="T71" s="190"/>
      <c r="U71" s="190"/>
      <c r="V71" s="190"/>
      <c r="W71" s="190"/>
      <c r="X71" s="190"/>
      <c r="Y71" s="190"/>
      <c r="Z71" s="190"/>
      <c r="AA71" s="190"/>
      <c r="AB71" s="190"/>
      <c r="AC71" s="190"/>
    </row>
    <row r="72" spans="2:29" ht="16.5" customHeight="1">
      <c r="B72" s="3803">
        <v>59</v>
      </c>
      <c r="C72" s="3922" t="str">
        <f>Master!DM3</f>
        <v>Juldah unit-2 (Acorn)</v>
      </c>
      <c r="D72" s="3923"/>
      <c r="E72" s="3924" t="str">
        <f>Master!DM5</f>
        <v>HFO</v>
      </c>
      <c r="F72" s="3925" t="str">
        <f>Master!DM4</f>
        <v>IPP</v>
      </c>
      <c r="G72" s="3926" t="str">
        <f>Master!DM6</f>
        <v>8*13.6</v>
      </c>
      <c r="H72" s="3927">
        <f>Master!DM7</f>
        <v>100</v>
      </c>
      <c r="I72" s="3928">
        <f>Master!DM8</f>
        <v>100</v>
      </c>
      <c r="J72" s="3929">
        <f>YesterdayGen!DM33</f>
        <v>20</v>
      </c>
      <c r="K72" s="3929">
        <f>YesterdayGen!DM34</f>
        <v>100</v>
      </c>
      <c r="L72" s="3930">
        <f>YesterdayGen!DM36</f>
        <v>20</v>
      </c>
      <c r="M72" s="3931">
        <f>YesterdayGen!DM35</f>
        <v>100</v>
      </c>
      <c r="N72" s="3929"/>
      <c r="O72" s="3932"/>
      <c r="P72" s="4602"/>
      <c r="Q72" s="3933"/>
      <c r="R72" s="3934"/>
      <c r="S72" s="208"/>
      <c r="T72" s="190"/>
      <c r="U72" s="190"/>
      <c r="V72" s="190"/>
      <c r="W72" s="190"/>
      <c r="X72" s="190"/>
      <c r="Y72" s="190"/>
      <c r="Z72" s="190"/>
      <c r="AA72" s="190"/>
      <c r="AB72" s="190"/>
      <c r="AC72" s="190"/>
    </row>
    <row r="73" spans="2:29" ht="16.5" customHeight="1" thickBot="1">
      <c r="B73" s="3935">
        <v>60</v>
      </c>
      <c r="C73" s="3936" t="str">
        <f>Master!DR3</f>
        <v>Anlima Energy Ltd.</v>
      </c>
      <c r="D73" s="3937"/>
      <c r="E73" s="3938" t="str">
        <f>Master!DR5</f>
        <v>HFO</v>
      </c>
      <c r="F73" s="3939" t="str">
        <f>Master!DR4</f>
        <v>IPP</v>
      </c>
      <c r="G73" s="3939" t="str">
        <f>Master!DR6</f>
        <v>6*21.2</v>
      </c>
      <c r="H73" s="3940">
        <f>Master!DR7</f>
        <v>116</v>
      </c>
      <c r="I73" s="3938">
        <f>Master!DR8</f>
        <v>116</v>
      </c>
      <c r="J73" s="3941">
        <f>YesterdayGen!DR33</f>
        <v>108</v>
      </c>
      <c r="K73" s="3941">
        <f>YesterdayGen!DR34</f>
        <v>108</v>
      </c>
      <c r="L73" s="3942">
        <f>YesterdayGen!DR36</f>
        <v>108</v>
      </c>
      <c r="M73" s="3942">
        <f>YesterdayGen!DR35</f>
        <v>108</v>
      </c>
      <c r="N73" s="3941"/>
      <c r="O73" s="3943">
        <v>8</v>
      </c>
      <c r="P73" s="3674" t="s">
        <v>126</v>
      </c>
      <c r="Q73" s="3944"/>
      <c r="R73" s="3945"/>
      <c r="S73" s="208"/>
      <c r="T73" s="190"/>
      <c r="U73" s="190"/>
      <c r="V73" s="190"/>
      <c r="W73" s="190"/>
      <c r="X73" s="190"/>
      <c r="Y73" s="190"/>
      <c r="Z73" s="190"/>
      <c r="AA73" s="190"/>
      <c r="AB73" s="190"/>
      <c r="AC73" s="190"/>
    </row>
    <row r="74" spans="2:29" ht="16.5" customHeight="1" thickBot="1">
      <c r="B74" s="2273"/>
      <c r="C74" s="2274" t="s">
        <v>861</v>
      </c>
      <c r="D74" s="2274"/>
      <c r="E74" s="3836"/>
      <c r="F74" s="3836"/>
      <c r="G74" s="2273"/>
      <c r="H74" s="2276">
        <f t="shared" ref="H74:O74" si="1">SUM(H52:H73)</f>
        <v>2442</v>
      </c>
      <c r="I74" s="3837">
        <f t="shared" si="1"/>
        <v>2382</v>
      </c>
      <c r="J74" s="2276">
        <f t="shared" si="1"/>
        <v>774</v>
      </c>
      <c r="K74" s="2276">
        <f t="shared" si="1"/>
        <v>1235</v>
      </c>
      <c r="L74" s="3837">
        <f t="shared" si="1"/>
        <v>867</v>
      </c>
      <c r="M74" s="2276">
        <f t="shared" si="1"/>
        <v>1223</v>
      </c>
      <c r="N74" s="2276">
        <f t="shared" si="1"/>
        <v>568</v>
      </c>
      <c r="O74" s="3838">
        <f t="shared" si="1"/>
        <v>559</v>
      </c>
      <c r="P74" s="3839"/>
      <c r="Q74" s="3840"/>
      <c r="R74" s="3841"/>
      <c r="S74" s="211"/>
      <c r="T74" s="190"/>
      <c r="U74" s="190"/>
      <c r="V74" s="190"/>
      <c r="W74" s="190"/>
      <c r="X74" s="190"/>
      <c r="Y74" s="190"/>
      <c r="Z74" s="190"/>
      <c r="AA74" s="190"/>
      <c r="AB74" s="190"/>
      <c r="AC74" s="190"/>
    </row>
    <row r="75" spans="2:29" ht="16.5" customHeight="1">
      <c r="B75" s="3946">
        <v>61</v>
      </c>
      <c r="C75" s="3947" t="str">
        <f>Master!BD3</f>
        <v>Ashuganj TPP Unit- 3</v>
      </c>
      <c r="D75" s="3948"/>
      <c r="E75" s="3949" t="str">
        <f>Master!BD5</f>
        <v>Gas</v>
      </c>
      <c r="F75" s="3950" t="str">
        <f>Master!BD4</f>
        <v>APSCL</v>
      </c>
      <c r="G75" s="3951" t="str">
        <f>Master!BD6</f>
        <v>1*150</v>
      </c>
      <c r="H75" s="3949">
        <f>Master!BD7</f>
        <v>0</v>
      </c>
      <c r="I75" s="3952">
        <f>Master!BD8</f>
        <v>0</v>
      </c>
      <c r="J75" s="3953">
        <f>YesterdayGen!BD33</f>
        <v>0</v>
      </c>
      <c r="K75" s="3954">
        <f>YesterdayGen!BD34</f>
        <v>0</v>
      </c>
      <c r="L75" s="3953">
        <f>YesterdayGen!BD36</f>
        <v>0</v>
      </c>
      <c r="M75" s="3954">
        <f>YesterdayGen!BD35</f>
        <v>0</v>
      </c>
      <c r="N75" s="3955"/>
      <c r="O75" s="3956"/>
      <c r="P75" s="3957" t="s">
        <v>847</v>
      </c>
      <c r="Q75" s="3958"/>
      <c r="R75" s="3959"/>
      <c r="S75" s="211"/>
      <c r="T75" s="190"/>
      <c r="U75" s="190"/>
      <c r="V75" s="190"/>
      <c r="W75" s="190"/>
      <c r="X75" s="190"/>
      <c r="Y75" s="190"/>
      <c r="Z75" s="190"/>
      <c r="AA75" s="190"/>
      <c r="AB75" s="190"/>
      <c r="AC75" s="190"/>
    </row>
    <row r="76" spans="2:29" ht="16.5" customHeight="1">
      <c r="B76" s="4618"/>
      <c r="C76" s="3947" t="str">
        <f>Master!BE3</f>
        <v>Ashuganj TPP Unit- 4</v>
      </c>
      <c r="D76" s="3948"/>
      <c r="E76" s="3949" t="str">
        <f>Master!BE5</f>
        <v>Gas</v>
      </c>
      <c r="F76" s="3950" t="str">
        <f>Master!BE4</f>
        <v>APSCL</v>
      </c>
      <c r="G76" s="3951" t="str">
        <f>Master!BE6</f>
        <v>1*150</v>
      </c>
      <c r="H76" s="3949">
        <f>Master!BE7</f>
        <v>0</v>
      </c>
      <c r="I76" s="3952">
        <f>Master!BE8</f>
        <v>0</v>
      </c>
      <c r="J76" s="3953">
        <f>YesterdayGen!BE33</f>
        <v>0</v>
      </c>
      <c r="K76" s="3954">
        <f>YesterdayGen!BE34</f>
        <v>0</v>
      </c>
      <c r="L76" s="3953">
        <f>YesterdayGen!BE36</f>
        <v>0</v>
      </c>
      <c r="M76" s="3954">
        <f>YesterdayGen!BE35</f>
        <v>0</v>
      </c>
      <c r="N76" s="3955"/>
      <c r="O76" s="3956"/>
      <c r="P76" s="4619" t="s">
        <v>847</v>
      </c>
      <c r="Q76" s="3958"/>
      <c r="R76" s="3676"/>
      <c r="S76" s="211"/>
      <c r="T76" s="190"/>
      <c r="U76" s="190"/>
      <c r="V76" s="190"/>
      <c r="W76" s="190"/>
      <c r="X76" s="190"/>
      <c r="Y76" s="190"/>
      <c r="Z76" s="190"/>
      <c r="AA76" s="190"/>
      <c r="AB76" s="190"/>
      <c r="AC76" s="190"/>
    </row>
    <row r="77" spans="2:29" ht="16.5" customHeight="1">
      <c r="B77" s="3960"/>
      <c r="C77" s="3751" t="str">
        <f>Master!BF3</f>
        <v>Ashuganj TPP Unit- 5</v>
      </c>
      <c r="D77" s="3638"/>
      <c r="E77" s="3640" t="str">
        <f>Master!BF5</f>
        <v>Gas</v>
      </c>
      <c r="F77" s="3845" t="str">
        <f>Master!BF4</f>
        <v>APSCL</v>
      </c>
      <c r="G77" s="3639" t="str">
        <f>Master!BF6</f>
        <v>1*150</v>
      </c>
      <c r="H77" s="3636">
        <f>Master!BF7</f>
        <v>150</v>
      </c>
      <c r="I77" s="3642">
        <f>Master!BF8</f>
        <v>134</v>
      </c>
      <c r="J77" s="3643">
        <f>YesterdayGen!BF33</f>
        <v>0</v>
      </c>
      <c r="K77" s="3644">
        <f>YesterdayGen!BF34</f>
        <v>0</v>
      </c>
      <c r="L77" s="3643">
        <f>YesterdayGen!BF36</f>
        <v>0</v>
      </c>
      <c r="M77" s="3644">
        <f>YesterdayGen!BF35</f>
        <v>0</v>
      </c>
      <c r="N77" s="3848">
        <f>I77-M77</f>
        <v>134</v>
      </c>
      <c r="O77" s="3645"/>
      <c r="P77" s="3961" t="s">
        <v>173</v>
      </c>
      <c r="Q77" s="3962"/>
      <c r="R77" s="3648"/>
      <c r="S77" s="211">
        <v>299271</v>
      </c>
      <c r="T77" s="190"/>
      <c r="U77" s="190"/>
      <c r="V77" s="190"/>
      <c r="W77" s="190"/>
      <c r="X77" s="190"/>
      <c r="Y77" s="190"/>
      <c r="Z77" s="190"/>
      <c r="AA77" s="190"/>
      <c r="AB77" s="190"/>
      <c r="AC77" s="190"/>
    </row>
    <row r="78" spans="2:29" ht="16.5" customHeight="1">
      <c r="B78" s="3963">
        <v>62</v>
      </c>
      <c r="C78" s="3751" t="str">
        <f>Master!BI3</f>
        <v xml:space="preserve">Ashuganj 225 MW  CCPP </v>
      </c>
      <c r="D78" s="3638"/>
      <c r="E78" s="3640" t="str">
        <f>Master!BI5</f>
        <v>Gas</v>
      </c>
      <c r="F78" s="3845" t="str">
        <f>Master!BI4</f>
        <v>APSCL</v>
      </c>
      <c r="G78" s="3639" t="str">
        <f>Master!BI6</f>
        <v>1*142+1*75</v>
      </c>
      <c r="H78" s="3636">
        <f>Master!BI7</f>
        <v>221</v>
      </c>
      <c r="I78" s="3642">
        <f>Master!BI8</f>
        <v>221</v>
      </c>
      <c r="J78" s="3643">
        <f>YesterdayGen!BI33</f>
        <v>166</v>
      </c>
      <c r="K78" s="3644">
        <f>YesterdayGen!BI34</f>
        <v>208</v>
      </c>
      <c r="L78" s="3675">
        <f>YesterdayGen!BI36</f>
        <v>210</v>
      </c>
      <c r="M78" s="3670">
        <f>YesterdayGen!BI35</f>
        <v>210</v>
      </c>
      <c r="N78" s="3644"/>
      <c r="O78" s="3645"/>
      <c r="P78" s="3961"/>
      <c r="Q78" s="3962"/>
      <c r="R78" s="3648"/>
      <c r="S78" s="211"/>
      <c r="T78" s="190"/>
      <c r="U78" s="190"/>
      <c r="V78" s="190"/>
      <c r="W78" s="190"/>
      <c r="X78" s="190"/>
      <c r="Y78" s="190"/>
      <c r="Z78" s="190"/>
      <c r="AA78" s="190"/>
      <c r="AB78" s="190"/>
      <c r="AC78" s="190"/>
    </row>
    <row r="79" spans="2:29" ht="16.5" customHeight="1">
      <c r="B79" s="3636">
        <v>63</v>
      </c>
      <c r="C79" s="3751" t="str">
        <f>Master!BG3</f>
        <v>Ashuganj 450 MW CCPP(North)</v>
      </c>
      <c r="D79" s="3638"/>
      <c r="E79" s="3640" t="str">
        <f>Master!BG5</f>
        <v>Gas</v>
      </c>
      <c r="F79" s="3845" t="str">
        <f>Master!BG4</f>
        <v>APSCL</v>
      </c>
      <c r="G79" s="3639" t="str">
        <f>Master!BG6</f>
        <v>1*360</v>
      </c>
      <c r="H79" s="3636">
        <f>Master!BG7</f>
        <v>360</v>
      </c>
      <c r="I79" s="3642">
        <f>Master!BG8</f>
        <v>360</v>
      </c>
      <c r="J79" s="3643">
        <f>YesterdayGen!BG33</f>
        <v>320</v>
      </c>
      <c r="K79" s="3644">
        <f>YesterdayGen!BG34</f>
        <v>320</v>
      </c>
      <c r="L79" s="3643">
        <f>YesterdayGen!BG36</f>
        <v>310</v>
      </c>
      <c r="M79" s="3644">
        <f>YesterdayGen!BG35</f>
        <v>330</v>
      </c>
      <c r="N79" s="3644">
        <f>I79-M79</f>
        <v>30</v>
      </c>
      <c r="O79" s="3671"/>
      <c r="P79" s="3961" t="s">
        <v>173</v>
      </c>
      <c r="Q79" s="3964"/>
      <c r="R79" s="3965"/>
      <c r="S79" s="211">
        <v>299667</v>
      </c>
      <c r="T79" s="190"/>
      <c r="U79" s="190"/>
      <c r="V79" s="190"/>
      <c r="W79" s="190"/>
      <c r="X79" s="190"/>
      <c r="Y79" s="190"/>
      <c r="Z79" s="190"/>
      <c r="AA79" s="190"/>
      <c r="AB79" s="190"/>
      <c r="AC79" s="190"/>
    </row>
    <row r="80" spans="2:29" ht="16.5" customHeight="1">
      <c r="B80" s="3963">
        <v>64</v>
      </c>
      <c r="C80" s="3751" t="str">
        <f>Master!BH3</f>
        <v>Ashuganj 450 MW CCPP(South)</v>
      </c>
      <c r="D80" s="3638"/>
      <c r="E80" s="3640" t="str">
        <f>Master!BH5</f>
        <v>Gas</v>
      </c>
      <c r="F80" s="3845" t="str">
        <f>Master!BH4</f>
        <v>APSCL</v>
      </c>
      <c r="G80" s="3639" t="str">
        <f>Master!BH6</f>
        <v>1*360</v>
      </c>
      <c r="H80" s="3644">
        <f>Master!BH7</f>
        <v>360</v>
      </c>
      <c r="I80" s="3642">
        <f>Master!BH8</f>
        <v>360</v>
      </c>
      <c r="J80" s="3643">
        <f>YesterdayGen!BH33</f>
        <v>330</v>
      </c>
      <c r="K80" s="3644">
        <f>YesterdayGen!BH34</f>
        <v>305</v>
      </c>
      <c r="L80" s="3643">
        <f>YesterdayGen!BH36</f>
        <v>305</v>
      </c>
      <c r="M80" s="3644">
        <f>YesterdayGen!BH35</f>
        <v>320</v>
      </c>
      <c r="N80" s="3644">
        <f>I80-M80</f>
        <v>40</v>
      </c>
      <c r="O80" s="3645"/>
      <c r="P80" s="3961" t="s">
        <v>173</v>
      </c>
      <c r="Q80" s="3964"/>
      <c r="R80" s="3966"/>
      <c r="S80" s="211">
        <v>299280</v>
      </c>
      <c r="T80" s="190"/>
      <c r="U80" s="190"/>
      <c r="V80" s="190"/>
      <c r="W80" s="190"/>
      <c r="X80" s="190"/>
      <c r="Y80" s="190"/>
      <c r="Z80" s="190"/>
      <c r="AA80" s="190"/>
      <c r="AB80" s="190"/>
      <c r="AC80" s="190"/>
    </row>
    <row r="81" spans="2:29" ht="16.5" customHeight="1">
      <c r="B81" s="4686"/>
      <c r="C81" s="4687" t="str">
        <f>Master!DX3</f>
        <v>Ashuganj 420 MW CCPP(East)</v>
      </c>
      <c r="D81" s="4688"/>
      <c r="E81" s="4689" t="str">
        <f>Master!DX5</f>
        <v>Gas</v>
      </c>
      <c r="F81" s="4690" t="str">
        <f>Master!DX4</f>
        <v>APSCL</v>
      </c>
      <c r="G81" s="4691" t="str">
        <f>Master!DX6</f>
        <v>284*1+136*1</v>
      </c>
      <c r="H81" s="4692">
        <f>Master!DX7</f>
        <v>284</v>
      </c>
      <c r="I81" s="4693">
        <f>Master!DX8</f>
        <v>284</v>
      </c>
      <c r="J81" s="4694">
        <f>YesterdayGen!DX33</f>
        <v>0</v>
      </c>
      <c r="K81" s="4692">
        <f>YesterdayGen!DX34</f>
        <v>0</v>
      </c>
      <c r="L81" s="4694">
        <f>YesterdayGen!DX36</f>
        <v>0</v>
      </c>
      <c r="M81" s="4692">
        <f>YesterdayGen!DX35</f>
        <v>0</v>
      </c>
      <c r="N81" s="4692"/>
      <c r="O81" s="3995"/>
      <c r="P81" s="3961" t="s">
        <v>1810</v>
      </c>
      <c r="Q81" s="4695"/>
      <c r="R81" s="4696"/>
      <c r="S81" s="211"/>
      <c r="T81" s="190"/>
      <c r="U81" s="190"/>
      <c r="V81" s="190"/>
      <c r="W81" s="190"/>
      <c r="X81" s="190"/>
      <c r="Y81" s="190"/>
      <c r="Z81" s="190"/>
      <c r="AA81" s="190"/>
      <c r="AB81" s="190"/>
      <c r="AC81" s="190"/>
    </row>
    <row r="82" spans="2:29" ht="16.5" customHeight="1">
      <c r="B82" s="3636">
        <v>65</v>
      </c>
      <c r="C82" s="3751" t="str">
        <f>Master!BL3</f>
        <v xml:space="preserve">Ashuganj 50 MW PP </v>
      </c>
      <c r="D82" s="3638"/>
      <c r="E82" s="3640" t="str">
        <f>Master!BL5</f>
        <v>Gas</v>
      </c>
      <c r="F82" s="3845" t="str">
        <f>Master!BL4</f>
        <v>APSCL</v>
      </c>
      <c r="G82" s="3639" t="str">
        <f>Master!BL6</f>
        <v>14*3.968</v>
      </c>
      <c r="H82" s="3644">
        <f>Master!BL7</f>
        <v>53</v>
      </c>
      <c r="I82" s="3642">
        <f>Master!BL8</f>
        <v>45</v>
      </c>
      <c r="J82" s="3643">
        <f>YesterdayGen!BL33</f>
        <v>31</v>
      </c>
      <c r="K82" s="3644">
        <f>YesterdayGen!BL34</f>
        <v>41</v>
      </c>
      <c r="L82" s="3643">
        <f>YesterdayGen!BL36</f>
        <v>39</v>
      </c>
      <c r="M82" s="3644">
        <f>YesterdayGen!BL35</f>
        <v>39</v>
      </c>
      <c r="N82" s="3644"/>
      <c r="O82" s="3645">
        <f>I82-M82</f>
        <v>6</v>
      </c>
      <c r="P82" s="3961" t="s">
        <v>126</v>
      </c>
      <c r="Q82" s="3964"/>
      <c r="R82" s="3967"/>
      <c r="S82" s="1128"/>
      <c r="T82" s="190"/>
      <c r="U82" s="190"/>
      <c r="V82" s="190"/>
      <c r="W82" s="190"/>
      <c r="X82" s="190"/>
      <c r="Y82" s="190"/>
      <c r="Z82" s="190"/>
      <c r="AA82" s="190"/>
      <c r="AB82" s="190"/>
      <c r="AC82" s="190"/>
    </row>
    <row r="83" spans="2:29" ht="16.5" customHeight="1">
      <c r="B83" s="3963">
        <v>66</v>
      </c>
      <c r="C83" s="3751" t="str">
        <f>Master!BM3</f>
        <v xml:space="preserve">Ashuganj 55 MW PP  (Precision) </v>
      </c>
      <c r="D83" s="3638"/>
      <c r="E83" s="3636" t="str">
        <f>Master!BM5</f>
        <v>Gas</v>
      </c>
      <c r="F83" s="3668" t="str">
        <f>Master!BM4</f>
        <v>QRPP</v>
      </c>
      <c r="G83" s="3650" t="str">
        <f>Master!BM6</f>
        <v>15*4</v>
      </c>
      <c r="H83" s="3636">
        <f>Master!BM7</f>
        <v>55</v>
      </c>
      <c r="I83" s="3642">
        <f>Master!BM8</f>
        <v>55</v>
      </c>
      <c r="J83" s="3643">
        <f>YesterdayGen!BM33</f>
        <v>40</v>
      </c>
      <c r="K83" s="3644">
        <f>YesterdayGen!BM34</f>
        <v>40</v>
      </c>
      <c r="L83" s="3675">
        <f>YesterdayGen!BM36</f>
        <v>55</v>
      </c>
      <c r="M83" s="3670">
        <f>YesterdayGen!BM35</f>
        <v>55</v>
      </c>
      <c r="N83" s="3644"/>
      <c r="O83" s="3645"/>
      <c r="P83" s="3961"/>
      <c r="Q83" s="3962"/>
      <c r="R83" s="3967"/>
      <c r="S83" s="211"/>
      <c r="T83" s="190"/>
      <c r="U83" s="190"/>
      <c r="V83" s="190"/>
      <c r="W83" s="190"/>
      <c r="X83" s="190"/>
      <c r="Y83" s="190"/>
      <c r="Z83" s="190"/>
      <c r="AA83" s="190"/>
      <c r="AB83" s="190"/>
      <c r="AC83" s="190"/>
    </row>
    <row r="84" spans="2:29" ht="16.5" customHeight="1">
      <c r="B84" s="3963">
        <v>67</v>
      </c>
      <c r="C84" s="3751" t="str">
        <f>Master!BJ3</f>
        <v xml:space="preserve">Ashuganj 195MW PP (APSCL-United) </v>
      </c>
      <c r="D84" s="3638"/>
      <c r="E84" s="3636" t="str">
        <f>Master!BJ5</f>
        <v>Gas</v>
      </c>
      <c r="F84" s="3668" t="str">
        <f>Master!BJ4</f>
        <v>IPP</v>
      </c>
      <c r="G84" s="3650" t="str">
        <f>Master!BJ6</f>
        <v>20*9.73+1*16</v>
      </c>
      <c r="H84" s="3681">
        <f>Master!BJ7</f>
        <v>195</v>
      </c>
      <c r="I84" s="3682">
        <f>Master!BJ8</f>
        <v>195</v>
      </c>
      <c r="J84" s="3643">
        <f>YesterdayGen!BJ33</f>
        <v>8</v>
      </c>
      <c r="K84" s="3644">
        <f>YesterdayGen!BJ34</f>
        <v>8</v>
      </c>
      <c r="L84" s="3675">
        <f>YesterdayGen!BJ36</f>
        <v>8</v>
      </c>
      <c r="M84" s="3670">
        <f>YesterdayGen!BJ35</f>
        <v>8</v>
      </c>
      <c r="N84" s="3644">
        <f>I84-M84</f>
        <v>187</v>
      </c>
      <c r="O84" s="3642"/>
      <c r="P84" s="3851" t="s">
        <v>173</v>
      </c>
      <c r="Q84" s="3720"/>
      <c r="R84" s="3648"/>
      <c r="S84" s="211"/>
      <c r="T84" s="190"/>
      <c r="U84" s="190"/>
      <c r="V84" s="190"/>
      <c r="W84" s="190"/>
      <c r="X84" s="190"/>
      <c r="Y84" s="190"/>
      <c r="Z84" s="190"/>
      <c r="AA84" s="190"/>
      <c r="AB84" s="190"/>
      <c r="AC84" s="190"/>
    </row>
    <row r="85" spans="2:29" ht="16.5" customHeight="1">
      <c r="B85" s="3636">
        <v>68</v>
      </c>
      <c r="C85" s="3751" t="str">
        <f>Master!BO3</f>
        <v>Ashuganj  51 MW PP (Midland)</v>
      </c>
      <c r="D85" s="3638"/>
      <c r="E85" s="3636" t="str">
        <f>Master!BO5</f>
        <v>Gas</v>
      </c>
      <c r="F85" s="3668" t="str">
        <f>Master!BO4</f>
        <v>IPP</v>
      </c>
      <c r="G85" s="3650" t="str">
        <f>Master!BO6</f>
        <v>6*9.34</v>
      </c>
      <c r="H85" s="3681">
        <f>Master!BO7</f>
        <v>51</v>
      </c>
      <c r="I85" s="3682">
        <f>Master!BO8</f>
        <v>51</v>
      </c>
      <c r="J85" s="3643">
        <f>YesterdayGen!BO33</f>
        <v>51</v>
      </c>
      <c r="K85" s="3644">
        <f>YesterdayGen!BO34</f>
        <v>51</v>
      </c>
      <c r="L85" s="3675">
        <f>YesterdayGen!BO36</f>
        <v>51</v>
      </c>
      <c r="M85" s="3670">
        <f>YesterdayGen!BO35</f>
        <v>51</v>
      </c>
      <c r="N85" s="3644"/>
      <c r="O85" s="3645"/>
      <c r="P85" s="3851"/>
      <c r="Q85" s="3720"/>
      <c r="R85" s="3968"/>
      <c r="S85" s="211"/>
      <c r="T85" s="190"/>
      <c r="U85" s="1167"/>
      <c r="V85" s="190"/>
      <c r="W85" s="190"/>
      <c r="X85" s="190"/>
      <c r="Y85" s="190"/>
      <c r="Z85" s="190"/>
      <c r="AA85" s="190"/>
      <c r="AB85" s="190"/>
      <c r="AC85" s="190"/>
    </row>
    <row r="86" spans="2:29" ht="16.5" customHeight="1">
      <c r="B86" s="3963">
        <v>69</v>
      </c>
      <c r="C86" s="3969" t="str">
        <f>Master!DB3</f>
        <v>Ashuganj 150MW PP (Midland)</v>
      </c>
      <c r="D86" s="3970"/>
      <c r="E86" s="3971" t="str">
        <f>Master!DB5</f>
        <v>HFO</v>
      </c>
      <c r="F86" s="3972" t="str">
        <f>Master!DB4</f>
        <v>IPP</v>
      </c>
      <c r="G86" s="3973" t="str">
        <f>Master!DB6</f>
        <v>23*7.015</v>
      </c>
      <c r="H86" s="3974">
        <f>Master!DB7</f>
        <v>150</v>
      </c>
      <c r="I86" s="3975">
        <f>Master!DB8</f>
        <v>150</v>
      </c>
      <c r="J86" s="3976">
        <f>YesterdayGen!DB33</f>
        <v>122</v>
      </c>
      <c r="K86" s="3977">
        <f>YesterdayGen!DB34</f>
        <v>122</v>
      </c>
      <c r="L86" s="3978">
        <f>YesterdayGen!DB36</f>
        <v>128</v>
      </c>
      <c r="M86" s="3979">
        <f>YesterdayGen!DB35</f>
        <v>132</v>
      </c>
      <c r="N86" s="3977"/>
      <c r="O86" s="3645">
        <f>I86-M86</f>
        <v>18</v>
      </c>
      <c r="P86" s="3851" t="s">
        <v>126</v>
      </c>
      <c r="Q86" s="3980"/>
      <c r="R86" s="3981"/>
      <c r="S86" s="211"/>
      <c r="T86" s="190"/>
      <c r="U86" s="190"/>
      <c r="V86" s="190"/>
      <c r="W86" s="190"/>
      <c r="X86" s="190"/>
      <c r="Y86" s="190"/>
      <c r="Z86" s="190"/>
      <c r="AA86" s="190"/>
      <c r="AB86" s="190"/>
      <c r="AC86" s="190"/>
    </row>
    <row r="87" spans="2:29" ht="16.5" customHeight="1">
      <c r="B87" s="3963">
        <v>70</v>
      </c>
      <c r="C87" s="3751" t="str">
        <f>Master!BQ3</f>
        <v>Titas 50 MW Peaking PP</v>
      </c>
      <c r="D87" s="3638"/>
      <c r="E87" s="3636" t="str">
        <f>Master!BQ5</f>
        <v>HFO</v>
      </c>
      <c r="F87" s="3668" t="str">
        <f>Master!BQ4</f>
        <v>PDB</v>
      </c>
      <c r="G87" s="3650" t="str">
        <f>Master!BQ6</f>
        <v>6*8.92</v>
      </c>
      <c r="H87" s="3636">
        <f>Master!BQ7</f>
        <v>52</v>
      </c>
      <c r="I87" s="3642">
        <f>Master!BQ8</f>
        <v>52</v>
      </c>
      <c r="J87" s="3643">
        <f>YesterdayGen!BQ33</f>
        <v>24</v>
      </c>
      <c r="K87" s="3644">
        <f>YesterdayGen!BQ34</f>
        <v>38</v>
      </c>
      <c r="L87" s="3675">
        <f>YesterdayGen!BQ36</f>
        <v>32</v>
      </c>
      <c r="M87" s="3982">
        <f>YesterdayGen!BQ35</f>
        <v>40</v>
      </c>
      <c r="N87" s="3644"/>
      <c r="O87" s="3645">
        <f>I87-M87</f>
        <v>12</v>
      </c>
      <c r="P87" s="3983" t="s">
        <v>126</v>
      </c>
      <c r="Q87" s="3720"/>
      <c r="R87" s="3648"/>
      <c r="S87" s="211"/>
      <c r="T87" s="190"/>
      <c r="U87" s="190"/>
      <c r="V87" s="190"/>
      <c r="W87" s="190"/>
      <c r="X87" s="190"/>
      <c r="Y87" s="190"/>
      <c r="Z87" s="190"/>
      <c r="AA87" s="190"/>
      <c r="AB87" s="190"/>
      <c r="AC87" s="190"/>
    </row>
    <row r="88" spans="2:29" ht="16.5" customHeight="1">
      <c r="B88" s="3984">
        <v>71</v>
      </c>
      <c r="C88" s="3751" t="str">
        <f>Master!BK3</f>
        <v>Chandpur 150 MW CCPP</v>
      </c>
      <c r="D88" s="3638"/>
      <c r="E88" s="3636" t="str">
        <f>Master!BK5</f>
        <v>Gas</v>
      </c>
      <c r="F88" s="3668" t="str">
        <f>Master!BK4</f>
        <v>PDB</v>
      </c>
      <c r="G88" s="3650" t="str">
        <f>Master!BK6</f>
        <v>1*106+1*57</v>
      </c>
      <c r="H88" s="3636">
        <f>Master!BK7</f>
        <v>163</v>
      </c>
      <c r="I88" s="3642">
        <f>Master!BK8</f>
        <v>163</v>
      </c>
      <c r="J88" s="3643">
        <f>YesterdayGen!BK33</f>
        <v>137</v>
      </c>
      <c r="K88" s="3644">
        <f>YesterdayGen!BK34</f>
        <v>129</v>
      </c>
      <c r="L88" s="3675">
        <f>YesterdayGen!BK36</f>
        <v>142</v>
      </c>
      <c r="M88" s="3670">
        <f>YesterdayGen!BK35</f>
        <v>142</v>
      </c>
      <c r="N88" s="3644"/>
      <c r="O88" s="3671">
        <f>I88-M88</f>
        <v>21</v>
      </c>
      <c r="P88" s="3851" t="s">
        <v>126</v>
      </c>
      <c r="Q88" s="3720"/>
      <c r="R88" s="3648"/>
      <c r="S88" s="1129">
        <v>399329</v>
      </c>
      <c r="T88" s="190"/>
      <c r="U88" s="190"/>
      <c r="V88" s="190"/>
      <c r="W88" s="190"/>
      <c r="X88" s="190"/>
      <c r="Y88" s="190"/>
      <c r="Z88" s="190"/>
      <c r="AA88" s="190"/>
      <c r="AB88" s="190"/>
      <c r="AC88" s="190"/>
    </row>
    <row r="89" spans="2:29" ht="16.5" customHeight="1">
      <c r="B89" s="3963">
        <v>72</v>
      </c>
      <c r="C89" s="3751" t="str">
        <f>Master!DA3</f>
        <v>Chandpur 200MW (Desh energy)</v>
      </c>
      <c r="D89" s="3638"/>
      <c r="E89" s="3636" t="str">
        <f>Master!DA5</f>
        <v>HFO</v>
      </c>
      <c r="F89" s="3668" t="str">
        <f>Master!DA4</f>
        <v>IPP</v>
      </c>
      <c r="G89" s="3650" t="str">
        <f>Master!DA6</f>
        <v>12*18.4</v>
      </c>
      <c r="H89" s="3636">
        <f>Master!DA7</f>
        <v>200</v>
      </c>
      <c r="I89" s="3642">
        <f>Master!DA8</f>
        <v>200</v>
      </c>
      <c r="J89" s="3643">
        <f>YesterdayGen!DA33</f>
        <v>34</v>
      </c>
      <c r="K89" s="3644">
        <f>YesterdayGen!DA34</f>
        <v>34</v>
      </c>
      <c r="L89" s="3675">
        <f>YesterdayGen!DA36</f>
        <v>34</v>
      </c>
      <c r="M89" s="3670">
        <f>YesterdayGen!DA35</f>
        <v>34</v>
      </c>
      <c r="N89" s="3644"/>
      <c r="O89" s="3671"/>
      <c r="P89" s="3985"/>
      <c r="Q89" s="3720"/>
      <c r="R89" s="3648"/>
      <c r="S89" s="1131"/>
      <c r="T89" s="190"/>
      <c r="U89" s="190"/>
      <c r="V89" s="190"/>
      <c r="W89" s="190"/>
      <c r="X89" s="190"/>
      <c r="Y89" s="190"/>
      <c r="Z89" s="190"/>
      <c r="AA89" s="190"/>
      <c r="AB89" s="190"/>
      <c r="AC89" s="190"/>
    </row>
    <row r="90" spans="2:29" ht="16.5" customHeight="1">
      <c r="B90" s="3984">
        <v>73</v>
      </c>
      <c r="C90" s="3751" t="str">
        <f>Master!BS3</f>
        <v>Feni  22MW PP (Doreen)</v>
      </c>
      <c r="D90" s="3638"/>
      <c r="E90" s="3636" t="str">
        <f>Master!BS5</f>
        <v>Gas</v>
      </c>
      <c r="F90" s="3668" t="str">
        <f>Master!BS4</f>
        <v>SIPP, PDB</v>
      </c>
      <c r="G90" s="3650" t="str">
        <f>Master!BS6</f>
        <v>8*2.90</v>
      </c>
      <c r="H90" s="3636">
        <f>Master!BS7</f>
        <v>22</v>
      </c>
      <c r="I90" s="3642">
        <f>Master!BS8</f>
        <v>22</v>
      </c>
      <c r="J90" s="3643">
        <f>YesterdayGen!BS33</f>
        <v>0</v>
      </c>
      <c r="K90" s="3644">
        <f>YesterdayGen!BS34</f>
        <v>19</v>
      </c>
      <c r="L90" s="3675">
        <f>YesterdayGen!BS36</f>
        <v>22</v>
      </c>
      <c r="M90" s="3670">
        <f>YesterdayGen!BS35</f>
        <v>22</v>
      </c>
      <c r="N90" s="3644"/>
      <c r="O90" s="3645"/>
      <c r="P90" s="3986"/>
      <c r="Q90" s="3720"/>
      <c r="R90" s="3676"/>
      <c r="S90" s="211"/>
      <c r="T90" s="190"/>
      <c r="U90" s="190"/>
      <c r="V90" s="190"/>
      <c r="W90" s="190"/>
      <c r="X90" s="190"/>
      <c r="Y90" s="190"/>
      <c r="Z90" s="190"/>
      <c r="AA90" s="190"/>
      <c r="AB90" s="190"/>
      <c r="AC90" s="190"/>
    </row>
    <row r="91" spans="2:29" ht="16.5" customHeight="1">
      <c r="B91" s="3963">
        <v>74</v>
      </c>
      <c r="C91" s="3751" t="str">
        <f>Master!BT3</f>
        <v>Feni 11 MW PP  (Doreen)</v>
      </c>
      <c r="D91" s="3638"/>
      <c r="E91" s="3636" t="str">
        <f>Master!BT5</f>
        <v>Gas</v>
      </c>
      <c r="F91" s="3717" t="str">
        <f>Master!BT4</f>
        <v>SIPP, REB</v>
      </c>
      <c r="G91" s="3752" t="str">
        <f>Master!BT6</f>
        <v>4*2.90</v>
      </c>
      <c r="H91" s="3636">
        <f>Master!BT7</f>
        <v>11</v>
      </c>
      <c r="I91" s="3642">
        <f>Master!BT8</f>
        <v>11</v>
      </c>
      <c r="J91" s="3643">
        <f>YesterdayGen!BT33</f>
        <v>10</v>
      </c>
      <c r="K91" s="3644">
        <f>YesterdayGen!BT34</f>
        <v>10</v>
      </c>
      <c r="L91" s="3675">
        <f>YesterdayGen!BT36</f>
        <v>10</v>
      </c>
      <c r="M91" s="3670">
        <f>YesterdayGen!BT35</f>
        <v>10</v>
      </c>
      <c r="N91" s="3644"/>
      <c r="O91" s="3645"/>
      <c r="P91" s="3987"/>
      <c r="Q91" s="3720"/>
      <c r="R91" s="3651"/>
      <c r="S91" s="211"/>
      <c r="T91" s="190"/>
      <c r="U91" s="190"/>
      <c r="V91" s="190"/>
      <c r="W91" s="190"/>
      <c r="X91" s="190"/>
      <c r="Y91" s="190"/>
      <c r="Z91" s="190"/>
      <c r="AA91" s="190"/>
      <c r="AB91" s="190"/>
      <c r="AC91" s="190"/>
    </row>
    <row r="92" spans="2:29" ht="16.5" customHeight="1">
      <c r="B92" s="3988" t="s">
        <v>142</v>
      </c>
      <c r="C92" s="3989" t="str">
        <f>Master!BW3</f>
        <v>Impoprt (Tripura)</v>
      </c>
      <c r="D92" s="3638"/>
      <c r="E92" s="3636"/>
      <c r="F92" s="3717" t="str">
        <f>Master!BW4</f>
        <v>Imported power</v>
      </c>
      <c r="G92" s="3752">
        <f>Master!BW6</f>
        <v>0</v>
      </c>
      <c r="H92" s="3636">
        <f>Master!BW7</f>
        <v>160</v>
      </c>
      <c r="I92" s="3642">
        <f>Master!BW8</f>
        <v>160</v>
      </c>
      <c r="J92" s="3643">
        <f>YesterdayGen!BW33</f>
        <v>150</v>
      </c>
      <c r="K92" s="3644">
        <f>YesterdayGen!BW34</f>
        <v>160</v>
      </c>
      <c r="L92" s="3675">
        <f>YesterdayGen!BW36</f>
        <v>143</v>
      </c>
      <c r="M92" s="3670">
        <f>YesterdayGen!BW35</f>
        <v>166</v>
      </c>
      <c r="N92" s="3644"/>
      <c r="O92" s="3645"/>
      <c r="P92" s="3990" t="s">
        <v>18</v>
      </c>
      <c r="Q92" s="3720"/>
      <c r="R92" s="3651"/>
      <c r="S92" s="211"/>
      <c r="T92" s="190"/>
      <c r="U92" s="190"/>
      <c r="V92" s="190"/>
      <c r="W92" s="190"/>
      <c r="X92" s="190"/>
      <c r="Y92" s="190"/>
      <c r="Z92" s="190"/>
      <c r="AA92" s="190"/>
      <c r="AB92" s="190"/>
      <c r="AC92" s="190"/>
    </row>
    <row r="93" spans="2:29" ht="16.5" customHeight="1">
      <c r="B93" s="3636">
        <v>75</v>
      </c>
      <c r="C93" s="3853" t="str">
        <f>Master!BU3</f>
        <v xml:space="preserve">Jangalia 33MW PP (Summit) </v>
      </c>
      <c r="D93" s="3638"/>
      <c r="E93" s="3636" t="str">
        <f>Master!BU5</f>
        <v>Gas</v>
      </c>
      <c r="F93" s="3668" t="str">
        <f>Master!BU4</f>
        <v>SIPP, PDB</v>
      </c>
      <c r="G93" s="3752" t="str">
        <f>Master!BU6</f>
        <v>4*8.73</v>
      </c>
      <c r="H93" s="3636">
        <f>Master!BU7</f>
        <v>33</v>
      </c>
      <c r="I93" s="3642">
        <f>Master!BU8</f>
        <v>33</v>
      </c>
      <c r="J93" s="3643">
        <f>YesterdayGen!BU33</f>
        <v>21</v>
      </c>
      <c r="K93" s="3644">
        <f>YesterdayGen!BU34</f>
        <v>33</v>
      </c>
      <c r="L93" s="3675">
        <f>YesterdayGen!BU36</f>
        <v>33</v>
      </c>
      <c r="M93" s="3670">
        <f>YesterdayGen!BU35</f>
        <v>33</v>
      </c>
      <c r="N93" s="3644"/>
      <c r="O93" s="3645"/>
      <c r="P93" s="3991"/>
      <c r="Q93" s="3720"/>
      <c r="R93" s="3651"/>
      <c r="S93" s="211"/>
      <c r="T93" s="190"/>
      <c r="U93" s="190"/>
      <c r="V93" s="190"/>
      <c r="W93" s="190"/>
      <c r="X93" s="190"/>
      <c r="Y93" s="190"/>
      <c r="Z93" s="190"/>
      <c r="AA93" s="190"/>
      <c r="AB93" s="190"/>
      <c r="AC93" s="190"/>
    </row>
    <row r="94" spans="2:29" ht="16.5" customHeight="1">
      <c r="B94" s="3636">
        <v>76</v>
      </c>
      <c r="C94" s="3853" t="str">
        <f>Master!BR3</f>
        <v>Jangalia 52 MW PP (Lakdanavi)</v>
      </c>
      <c r="D94" s="3992"/>
      <c r="E94" s="3636" t="str">
        <f>Master!BR5</f>
        <v>HFO</v>
      </c>
      <c r="F94" s="3717" t="str">
        <f>Master!BR4</f>
        <v>IPP</v>
      </c>
      <c r="G94" s="3752" t="str">
        <f>Master!BR6</f>
        <v>6*8.92</v>
      </c>
      <c r="H94" s="3636">
        <f>Master!BR7</f>
        <v>52</v>
      </c>
      <c r="I94" s="3642">
        <f>Master!BR8</f>
        <v>52</v>
      </c>
      <c r="J94" s="3643">
        <f>YesterdayGen!BR33</f>
        <v>16</v>
      </c>
      <c r="K94" s="3644">
        <f>YesterdayGen!BR34</f>
        <v>43</v>
      </c>
      <c r="L94" s="3675">
        <f>YesterdayGen!BR36</f>
        <v>8</v>
      </c>
      <c r="M94" s="3670">
        <f>YesterdayGen!BR35</f>
        <v>43</v>
      </c>
      <c r="N94" s="3644">
        <f>I94-M94</f>
        <v>9</v>
      </c>
      <c r="O94" s="3645"/>
      <c r="P94" s="3993" t="s">
        <v>1347</v>
      </c>
      <c r="Q94" s="3720"/>
      <c r="R94" s="3651"/>
      <c r="S94" s="211"/>
      <c r="T94" s="190"/>
      <c r="U94" s="190"/>
      <c r="V94" s="190"/>
      <c r="W94" s="190"/>
      <c r="X94" s="190"/>
      <c r="Y94" s="190"/>
      <c r="Z94" s="190"/>
      <c r="AA94" s="190"/>
      <c r="AB94" s="190"/>
      <c r="AC94" s="190"/>
    </row>
    <row r="95" spans="2:29" ht="16.5" customHeight="1">
      <c r="B95" s="3636">
        <v>77</v>
      </c>
      <c r="C95" s="3768" t="str">
        <f>Master!BV3</f>
        <v>Cumilla 25 MW PP (Summit)</v>
      </c>
      <c r="D95" s="3994"/>
      <c r="E95" s="3756" t="str">
        <f>Master!BV5</f>
        <v>Gas</v>
      </c>
      <c r="F95" s="3756" t="str">
        <f>Master!BV4</f>
        <v>SIPP, REB</v>
      </c>
      <c r="G95" s="3870" t="str">
        <f>Master!BV6</f>
        <v>3*3.67+2*6.97</v>
      </c>
      <c r="H95" s="3756">
        <f>Master!BV7</f>
        <v>25</v>
      </c>
      <c r="I95" s="3760">
        <f>Master!BV8</f>
        <v>25</v>
      </c>
      <c r="J95" s="3761">
        <f>YesterdayGen!BV33</f>
        <v>20</v>
      </c>
      <c r="K95" s="3762">
        <f>YesterdayGen!BV34</f>
        <v>20</v>
      </c>
      <c r="L95" s="3763">
        <f>YesterdayGen!BV36</f>
        <v>20</v>
      </c>
      <c r="M95" s="3764">
        <f>YesterdayGen!BV35</f>
        <v>20</v>
      </c>
      <c r="N95" s="3762"/>
      <c r="O95" s="3995">
        <f>I95-M95</f>
        <v>5</v>
      </c>
      <c r="P95" s="3993" t="s">
        <v>126</v>
      </c>
      <c r="Q95" s="3996"/>
      <c r="R95" s="3766"/>
      <c r="S95" s="211">
        <v>399261</v>
      </c>
      <c r="T95" s="190"/>
      <c r="U95" s="190"/>
      <c r="V95" s="190"/>
      <c r="W95" s="190"/>
      <c r="X95" s="190"/>
      <c r="Y95" s="190"/>
      <c r="Z95" s="190"/>
      <c r="AA95" s="190"/>
      <c r="AB95" s="190"/>
      <c r="AC95" s="190"/>
    </row>
    <row r="96" spans="2:29" ht="16.5" customHeight="1">
      <c r="B96" s="3997">
        <v>78</v>
      </c>
      <c r="C96" s="3768" t="str">
        <f>Master!CR3</f>
        <v>Daudkandi 200 MW PP (B.Trac)</v>
      </c>
      <c r="D96" s="3998"/>
      <c r="E96" s="3756" t="str">
        <f>Master!CR5</f>
        <v>HSD</v>
      </c>
      <c r="F96" s="3749" t="str">
        <f>Master!CR4</f>
        <v>IPP</v>
      </c>
      <c r="G96" s="3870" t="str">
        <f>Master!CR6</f>
        <v>154*1.4</v>
      </c>
      <c r="H96" s="3756">
        <f>Master!CR7</f>
        <v>200</v>
      </c>
      <c r="I96" s="3760">
        <f>Master!CR8</f>
        <v>200</v>
      </c>
      <c r="J96" s="3761">
        <f>YesterdayGen!CR33</f>
        <v>0</v>
      </c>
      <c r="K96" s="3762">
        <f>YesterdayGen!CR34</f>
        <v>195</v>
      </c>
      <c r="L96" s="3763">
        <f>YesterdayGen!CR36</f>
        <v>195</v>
      </c>
      <c r="M96" s="3764">
        <f>YesterdayGen!CR35</f>
        <v>195</v>
      </c>
      <c r="N96" s="3762">
        <f>I96-M96</f>
        <v>5</v>
      </c>
      <c r="O96" s="3772"/>
      <c r="P96" s="4937" t="s">
        <v>1862</v>
      </c>
      <c r="Q96" s="3720"/>
      <c r="R96" s="3766"/>
      <c r="S96" s="211"/>
      <c r="T96" s="190"/>
      <c r="U96" s="190"/>
      <c r="V96" s="190"/>
      <c r="W96" s="190"/>
      <c r="X96" s="190"/>
      <c r="Y96" s="190"/>
      <c r="Z96" s="190"/>
      <c r="AA96" s="190"/>
      <c r="AB96" s="190"/>
      <c r="AC96" s="190"/>
    </row>
    <row r="97" spans="2:29" ht="16.5" customHeight="1">
      <c r="B97" s="3848">
        <v>79</v>
      </c>
      <c r="C97" s="3768" t="str">
        <f>Master!DK3</f>
        <v>Feni Lanka Power</v>
      </c>
      <c r="D97" s="3999"/>
      <c r="E97" s="3756" t="str">
        <f>Master!DK5</f>
        <v>HFO</v>
      </c>
      <c r="F97" s="3871" t="str">
        <f>Master!DK4</f>
        <v>IPP</v>
      </c>
      <c r="G97" s="3870" t="str">
        <f>Master!DK6</f>
        <v>7*18.415+1*9.78</v>
      </c>
      <c r="H97" s="3756">
        <f>Master!DK7</f>
        <v>114</v>
      </c>
      <c r="I97" s="3760">
        <f>Master!DK8</f>
        <v>114</v>
      </c>
      <c r="J97" s="3761">
        <f>YesterdayGen!DK33</f>
        <v>17</v>
      </c>
      <c r="K97" s="3762">
        <f>YesterdayGen!DK34</f>
        <v>114</v>
      </c>
      <c r="L97" s="3763">
        <f>YesterdayGen!DK36</f>
        <v>17</v>
      </c>
      <c r="M97" s="3764">
        <f>YesterdayGen!DK35</f>
        <v>114</v>
      </c>
      <c r="N97" s="3762"/>
      <c r="O97" s="4000"/>
      <c r="P97" s="4886"/>
      <c r="Q97" s="3720"/>
      <c r="R97" s="3773"/>
      <c r="S97" s="211"/>
      <c r="T97" s="190"/>
      <c r="U97" s="190"/>
      <c r="V97" s="190"/>
      <c r="W97" s="190"/>
      <c r="X97" s="190"/>
      <c r="Y97" s="190"/>
      <c r="Z97" s="190"/>
      <c r="AA97" s="190"/>
      <c r="AB97" s="190"/>
      <c r="AC97" s="190"/>
    </row>
    <row r="98" spans="2:29" ht="16.5" customHeight="1">
      <c r="B98" s="3812">
        <v>80</v>
      </c>
      <c r="C98" s="4001" t="str">
        <f>Master!DL3</f>
        <v>Chowmuhani 113 MW</v>
      </c>
      <c r="D98" s="4002"/>
      <c r="E98" s="4003" t="str">
        <f>Master!DL5</f>
        <v>HFO</v>
      </c>
      <c r="F98" s="4004" t="str">
        <f>Master!DL4</f>
        <v>IPP</v>
      </c>
      <c r="G98" s="4004" t="str">
        <f>Master!DL6</f>
        <v>12*9.78+2*3.1</v>
      </c>
      <c r="H98" s="4003">
        <f>Master!DL7</f>
        <v>113</v>
      </c>
      <c r="I98" s="4003">
        <f>Master!DL8</f>
        <v>113</v>
      </c>
      <c r="J98" s="4005">
        <f>YesterdayGen!DL33</f>
        <v>38</v>
      </c>
      <c r="K98" s="4005">
        <f>YesterdayGen!DL34</f>
        <v>115</v>
      </c>
      <c r="L98" s="4006">
        <f>YesterdayGen!DL36</f>
        <v>78</v>
      </c>
      <c r="M98" s="4006">
        <f>YesterdayGen!DL35</f>
        <v>113</v>
      </c>
      <c r="N98" s="4005"/>
      <c r="O98" s="4007"/>
      <c r="P98" s="4886"/>
      <c r="Q98" s="3814"/>
      <c r="R98" s="4009"/>
      <c r="S98" s="211"/>
      <c r="T98" s="190"/>
      <c r="U98" s="190"/>
      <c r="V98" s="190"/>
      <c r="W98" s="190"/>
      <c r="X98" s="190"/>
      <c r="Y98" s="190"/>
      <c r="Z98" s="190"/>
      <c r="AA98" s="190"/>
      <c r="AB98" s="190"/>
      <c r="AC98" s="190"/>
    </row>
    <row r="99" spans="2:29" ht="16.5" customHeight="1">
      <c r="B99" s="3823">
        <v>81</v>
      </c>
      <c r="C99" s="4010" t="str">
        <f>Master!DT3</f>
        <v>Bhairob 54.5 MW</v>
      </c>
      <c r="D99" s="4011"/>
      <c r="E99" s="3816" t="str">
        <f>Master!DT5</f>
        <v>HFO</v>
      </c>
      <c r="F99" s="3819" t="str">
        <f>Master!DT4</f>
        <v>IPP</v>
      </c>
      <c r="G99" s="3819" t="str">
        <f>Master!DT6</f>
        <v>3*18.2</v>
      </c>
      <c r="H99" s="3816">
        <f>Master!DT7</f>
        <v>54</v>
      </c>
      <c r="I99" s="3816">
        <f>Master!DT8</f>
        <v>54</v>
      </c>
      <c r="J99" s="3823">
        <f>YesterdayGen!DT33</f>
        <v>35</v>
      </c>
      <c r="K99" s="3823">
        <f>YesterdayGen!DT34</f>
        <v>6</v>
      </c>
      <c r="L99" s="3825">
        <f>YesterdayGen!DT36</f>
        <v>35</v>
      </c>
      <c r="M99" s="3825">
        <f>YesterdayGen!DT35</f>
        <v>35</v>
      </c>
      <c r="N99" s="3823"/>
      <c r="O99" s="3832">
        <f>I99-M99</f>
        <v>19</v>
      </c>
      <c r="P99" s="4722" t="s">
        <v>1227</v>
      </c>
      <c r="Q99" s="3827"/>
      <c r="R99" s="3835"/>
      <c r="S99" s="211"/>
      <c r="T99" s="190"/>
      <c r="U99" s="190"/>
      <c r="V99" s="190"/>
      <c r="W99" s="190"/>
      <c r="X99" s="190"/>
      <c r="Y99" s="190"/>
      <c r="Z99" s="190"/>
      <c r="AA99" s="190"/>
      <c r="AB99" s="190"/>
      <c r="AC99" s="190"/>
    </row>
    <row r="100" spans="2:29" ht="16.5" customHeight="1" thickBot="1">
      <c r="B100" s="4012">
        <v>82</v>
      </c>
      <c r="C100" s="4013" t="str">
        <f>Master!DV3</f>
        <v xml:space="preserve">Chandpur 115(Doreen) </v>
      </c>
      <c r="D100" s="4014"/>
      <c r="E100" s="4015" t="str">
        <f>Master!DV5</f>
        <v>HFO</v>
      </c>
      <c r="F100" s="4016" t="str">
        <f>Master!DV4</f>
        <v>IPP</v>
      </c>
      <c r="G100" s="4016" t="str">
        <f>Master!DV6</f>
        <v>4*18.5+2*22.5</v>
      </c>
      <c r="H100" s="4015">
        <f>Master!DV7</f>
        <v>115</v>
      </c>
      <c r="I100" s="4015">
        <f>Master!DV8</f>
        <v>115</v>
      </c>
      <c r="J100" s="4017">
        <f>YesterdayGen!DV33</f>
        <v>75</v>
      </c>
      <c r="K100" s="4017">
        <f>YesterdayGen!DV34</f>
        <v>75</v>
      </c>
      <c r="L100" s="4018">
        <f>YesterdayGen!DV36</f>
        <v>71</v>
      </c>
      <c r="M100" s="4018">
        <f>YesterdayGen!DV35</f>
        <v>71</v>
      </c>
      <c r="N100" s="4017">
        <f>I100-M100</f>
        <v>44</v>
      </c>
      <c r="O100" s="4019"/>
      <c r="P100" s="4020" t="s">
        <v>1347</v>
      </c>
      <c r="Q100" s="4021"/>
      <c r="R100" s="4022"/>
      <c r="S100" s="211"/>
      <c r="T100" s="190"/>
      <c r="U100" s="190"/>
      <c r="V100" s="190"/>
      <c r="W100" s="190"/>
      <c r="X100" s="190"/>
      <c r="Y100" s="190"/>
      <c r="Z100" s="190"/>
      <c r="AA100" s="190"/>
      <c r="AB100" s="190"/>
      <c r="AC100" s="190"/>
    </row>
    <row r="101" spans="2:29" ht="16.5" customHeight="1" thickBot="1">
      <c r="B101" s="2273"/>
      <c r="C101" s="2274" t="s">
        <v>860</v>
      </c>
      <c r="D101" s="2274"/>
      <c r="E101" s="2275"/>
      <c r="F101" s="2275"/>
      <c r="G101" s="2275"/>
      <c r="H101" s="2276">
        <f t="shared" ref="H101:N101" si="2">SUM(H75:H100)</f>
        <v>3193</v>
      </c>
      <c r="I101" s="3837">
        <f t="shared" si="2"/>
        <v>3169</v>
      </c>
      <c r="J101" s="2277">
        <f t="shared" si="2"/>
        <v>1645</v>
      </c>
      <c r="K101" s="2276">
        <f t="shared" si="2"/>
        <v>2086</v>
      </c>
      <c r="L101" s="3837">
        <f t="shared" si="2"/>
        <v>1946</v>
      </c>
      <c r="M101" s="2276">
        <f t="shared" si="2"/>
        <v>2183</v>
      </c>
      <c r="N101" s="2276">
        <f t="shared" si="2"/>
        <v>449</v>
      </c>
      <c r="O101" s="3838">
        <f>SUM(O75:O100)</f>
        <v>81</v>
      </c>
      <c r="P101" s="3839"/>
      <c r="Q101" s="3840"/>
      <c r="R101" s="3841"/>
      <c r="S101" s="211"/>
      <c r="T101" s="190"/>
      <c r="U101" s="190"/>
      <c r="V101" s="190"/>
      <c r="W101" s="190"/>
      <c r="X101" s="190"/>
      <c r="Y101" s="190"/>
      <c r="Z101" s="190"/>
      <c r="AA101" s="190"/>
      <c r="AB101" s="190"/>
      <c r="AC101" s="190"/>
    </row>
    <row r="102" spans="2:29" ht="16.5" customHeight="1">
      <c r="B102" s="3997">
        <v>83</v>
      </c>
      <c r="C102" s="3843" t="str">
        <f>Master!BX3</f>
        <v>RPCL 210MW CCPP</v>
      </c>
      <c r="D102" s="3844"/>
      <c r="E102" s="3640" t="str">
        <f>Master!BX5</f>
        <v>Gas</v>
      </c>
      <c r="F102" s="3845" t="str">
        <f>Master!BX4</f>
        <v>IPP</v>
      </c>
      <c r="G102" s="3639" t="str">
        <f>Master!BX6</f>
        <v>4*35+1*70</v>
      </c>
      <c r="H102" s="3640">
        <f>Master!BX7</f>
        <v>210</v>
      </c>
      <c r="I102" s="3846">
        <f>Master!BX8</f>
        <v>202</v>
      </c>
      <c r="J102" s="3847">
        <f>YesterdayGen!BX33</f>
        <v>81</v>
      </c>
      <c r="K102" s="3848">
        <f>YesterdayGen!BX34</f>
        <v>100</v>
      </c>
      <c r="L102" s="4023">
        <f>YesterdayGen!BX36</f>
        <v>102</v>
      </c>
      <c r="M102" s="4024">
        <f>YesterdayGen!BX35</f>
        <v>102</v>
      </c>
      <c r="N102" s="3848">
        <f>I102-M102</f>
        <v>100</v>
      </c>
      <c r="O102" s="3645"/>
      <c r="P102" s="4918" t="s">
        <v>173</v>
      </c>
      <c r="Q102" s="3720"/>
      <c r="R102" s="4025"/>
      <c r="S102" s="211"/>
      <c r="T102" s="190"/>
      <c r="U102" s="190"/>
      <c r="V102" s="190"/>
      <c r="W102" s="190"/>
      <c r="X102" s="190"/>
      <c r="Y102" s="190"/>
      <c r="Z102" s="190"/>
      <c r="AA102" s="190"/>
      <c r="AB102" s="190"/>
      <c r="AC102" s="190"/>
    </row>
    <row r="103" spans="2:29" ht="16.5" customHeight="1">
      <c r="B103" s="3848">
        <v>84</v>
      </c>
      <c r="C103" s="3853" t="str">
        <f>Master!BZ3</f>
        <v>Tangail  22 MW PP (Doreen)</v>
      </c>
      <c r="D103" s="3999"/>
      <c r="E103" s="3756" t="str">
        <f>Master!BZ5</f>
        <v>Gas</v>
      </c>
      <c r="F103" s="3871" t="str">
        <f>Master!BZ4</f>
        <v>SIPP, PDB</v>
      </c>
      <c r="G103" s="3870" t="str">
        <f>Master!BZ6</f>
        <v>8*2.90</v>
      </c>
      <c r="H103" s="3756">
        <f>Master!BZ7</f>
        <v>22</v>
      </c>
      <c r="I103" s="3760">
        <f>Master!BZ8</f>
        <v>22</v>
      </c>
      <c r="J103" s="3761">
        <f>YesterdayGen!BZ33</f>
        <v>22</v>
      </c>
      <c r="K103" s="3762">
        <f>YesterdayGen!BZ34</f>
        <v>20</v>
      </c>
      <c r="L103" s="3763">
        <f>YesterdayGen!BZ36</f>
        <v>20</v>
      </c>
      <c r="M103" s="3764">
        <f>YesterdayGen!BZ35</f>
        <v>20</v>
      </c>
      <c r="N103" s="3762"/>
      <c r="O103" s="4026"/>
      <c r="P103" s="4638"/>
      <c r="Q103" s="3720"/>
      <c r="R103" s="4027"/>
      <c r="S103" s="211"/>
      <c r="T103" s="190"/>
      <c r="U103" s="190"/>
      <c r="V103" s="190"/>
      <c r="W103" s="190"/>
      <c r="X103" s="190"/>
      <c r="Y103" s="190"/>
      <c r="Z103" s="190"/>
      <c r="AA103" s="190"/>
      <c r="AB103" s="190"/>
      <c r="AC103" s="190"/>
    </row>
    <row r="104" spans="2:29" ht="16.5" customHeight="1">
      <c r="B104" s="3997">
        <v>85</v>
      </c>
      <c r="C104" s="3751" t="str">
        <f>Master!BY3</f>
        <v>Jamalpur 95 MW PP(Powerpac)</v>
      </c>
      <c r="D104" s="3999"/>
      <c r="E104" s="3756" t="str">
        <f>Master!BY5</f>
        <v>HFO</v>
      </c>
      <c r="F104" s="4028" t="str">
        <f>Master!BY4</f>
        <v>IPP</v>
      </c>
      <c r="G104" s="3870" t="str">
        <f>Master!BY6</f>
        <v>12*8.924</v>
      </c>
      <c r="H104" s="3756">
        <f>Master!BY7</f>
        <v>95</v>
      </c>
      <c r="I104" s="3760">
        <f>Master!BY8</f>
        <v>0</v>
      </c>
      <c r="J104" s="3761">
        <f>YesterdayGen!BY33</f>
        <v>0</v>
      </c>
      <c r="K104" s="3762">
        <f>YesterdayGen!BY34</f>
        <v>0</v>
      </c>
      <c r="L104" s="3763">
        <f>YesterdayGen!BY36</f>
        <v>0</v>
      </c>
      <c r="M104" s="3764">
        <f>YesterdayGen!BY35</f>
        <v>0</v>
      </c>
      <c r="N104" s="3762"/>
      <c r="O104" s="4026">
        <v>8</v>
      </c>
      <c r="P104" s="4638" t="s">
        <v>117</v>
      </c>
      <c r="Q104" s="3720"/>
      <c r="R104" s="4027"/>
      <c r="S104" s="211"/>
      <c r="T104" s="190"/>
      <c r="U104" s="190"/>
      <c r="V104" s="190"/>
      <c r="W104" s="190"/>
      <c r="X104" s="190"/>
      <c r="Y104" s="190"/>
      <c r="Z104" s="190"/>
      <c r="AA104" s="190"/>
      <c r="AB104" s="190"/>
      <c r="AC104" s="190"/>
    </row>
    <row r="105" spans="2:29" ht="16.5" customHeight="1">
      <c r="B105" s="3848">
        <v>86</v>
      </c>
      <c r="C105" s="3768" t="str">
        <f>Master!CA3</f>
        <v>Sarishabari 3 MW Solar Plant</v>
      </c>
      <c r="D105" s="3998"/>
      <c r="E105" s="3756" t="str">
        <f>Master!CA5</f>
        <v>Solar</v>
      </c>
      <c r="F105" s="3749" t="str">
        <f>Master!CA4</f>
        <v>IPP</v>
      </c>
      <c r="G105" s="3870" t="str">
        <f>Master!CA6</f>
        <v>1*3</v>
      </c>
      <c r="H105" s="3756">
        <f>Master!CA7</f>
        <v>3</v>
      </c>
      <c r="I105" s="3760">
        <f>Master!CA8</f>
        <v>3</v>
      </c>
      <c r="J105" s="3761">
        <f>YesterdayGen!CA33</f>
        <v>2</v>
      </c>
      <c r="K105" s="3762">
        <f>YesterdayGen!CA34</f>
        <v>0</v>
      </c>
      <c r="L105" s="3763">
        <f>YesterdayGen!CA36</f>
        <v>1.6</v>
      </c>
      <c r="M105" s="3764">
        <f>YesterdayGen!CA35</f>
        <v>0</v>
      </c>
      <c r="N105" s="3762"/>
      <c r="O105" s="3772"/>
      <c r="P105" s="4638"/>
      <c r="Q105" s="3720"/>
      <c r="R105" s="4027"/>
      <c r="S105" s="211"/>
      <c r="T105" s="190"/>
      <c r="U105" s="190"/>
      <c r="V105" s="190"/>
      <c r="W105" s="190"/>
      <c r="X105" s="190"/>
      <c r="Y105" s="190"/>
      <c r="Z105" s="190"/>
      <c r="AA105" s="190"/>
      <c r="AB105" s="190"/>
      <c r="AC105" s="190"/>
    </row>
    <row r="106" spans="2:29" ht="16.5" customHeight="1">
      <c r="B106" s="3779">
        <v>87</v>
      </c>
      <c r="C106" s="3768" t="str">
        <f>Master!CV3</f>
        <v xml:space="preserve"> Mymensingh 200 MW PP (United)</v>
      </c>
      <c r="D106" s="3999"/>
      <c r="E106" s="3756" t="str">
        <f>Master!CV5</f>
        <v>HFO</v>
      </c>
      <c r="F106" s="3871" t="str">
        <f>Master!CV4</f>
        <v>IPP</v>
      </c>
      <c r="G106" s="3870" t="str">
        <f>Master!CV6</f>
        <v>9.78*21</v>
      </c>
      <c r="H106" s="3756">
        <f>Master!CV7</f>
        <v>200</v>
      </c>
      <c r="I106" s="3760">
        <f>Master!CV8</f>
        <v>200</v>
      </c>
      <c r="J106" s="3761">
        <f>YesterdayGen!CV33</f>
        <v>48</v>
      </c>
      <c r="K106" s="3762">
        <f>YesterdayGen!CV34</f>
        <v>154</v>
      </c>
      <c r="L106" s="3763">
        <f>YesterdayGen!CV36</f>
        <v>48</v>
      </c>
      <c r="M106" s="3764">
        <f>YesterdayGen!CV35</f>
        <v>180</v>
      </c>
      <c r="N106" s="3762"/>
      <c r="O106" s="4000">
        <f>I106-M106</f>
        <v>20</v>
      </c>
      <c r="P106" s="4029" t="s">
        <v>126</v>
      </c>
      <c r="Q106" s="3720"/>
      <c r="R106" s="4030"/>
      <c r="S106" s="211"/>
      <c r="T106" s="190"/>
      <c r="U106" s="190"/>
      <c r="V106" s="190"/>
      <c r="W106" s="190"/>
      <c r="X106" s="190"/>
      <c r="Y106" s="190"/>
      <c r="Z106" s="190"/>
      <c r="AA106" s="190"/>
      <c r="AB106" s="190"/>
      <c r="AC106" s="190"/>
    </row>
    <row r="107" spans="2:29" ht="16.5" customHeight="1">
      <c r="B107" s="4031">
        <v>88</v>
      </c>
      <c r="C107" s="4032" t="str">
        <f>Master!DD3</f>
        <v>Jamalpur 115 MW PP (United)</v>
      </c>
      <c r="D107" s="4033"/>
      <c r="E107" s="4034" t="str">
        <f>Master!DD5</f>
        <v>HFO</v>
      </c>
      <c r="F107" s="4035" t="str">
        <f>Master!DD4</f>
        <v>IPP</v>
      </c>
      <c r="G107" s="4035" t="str">
        <f>Master!DD6</f>
        <v>9.78*12</v>
      </c>
      <c r="H107" s="4034">
        <f>Master!DD7</f>
        <v>115</v>
      </c>
      <c r="I107" s="4034">
        <f>Master!DD8</f>
        <v>115</v>
      </c>
      <c r="J107" s="4036">
        <f>YesterdayGen!DD33</f>
        <v>48</v>
      </c>
      <c r="K107" s="4036">
        <f>YesterdayGen!DD34</f>
        <v>106</v>
      </c>
      <c r="L107" s="4037">
        <f>YesterdayGen!DD36</f>
        <v>49</v>
      </c>
      <c r="M107" s="4037">
        <f>YesterdayGen!DD35</f>
        <v>79</v>
      </c>
      <c r="N107" s="4036"/>
      <c r="O107" s="4038">
        <f>I107-M107</f>
        <v>36</v>
      </c>
      <c r="P107" s="4029" t="s">
        <v>126</v>
      </c>
      <c r="Q107" s="4039"/>
      <c r="R107" s="4040"/>
      <c r="S107" s="211"/>
      <c r="T107" s="190"/>
      <c r="U107" s="190"/>
      <c r="V107" s="190"/>
      <c r="W107" s="190"/>
      <c r="X107" s="190"/>
      <c r="Y107" s="190"/>
      <c r="Z107" s="190"/>
      <c r="AA107" s="190"/>
      <c r="AB107" s="190"/>
      <c r="AC107" s="190"/>
    </row>
    <row r="108" spans="2:29" ht="16.5" customHeight="1" thickBot="1">
      <c r="B108" s="4041">
        <v>89</v>
      </c>
      <c r="C108" s="4042" t="str">
        <f>Master!DP3</f>
        <v>Sutiakhali 50 MW Solar PP</v>
      </c>
      <c r="D108" s="4043"/>
      <c r="E108" s="3803" t="str">
        <f>Master!DP5</f>
        <v>Solar</v>
      </c>
      <c r="F108" s="4044" t="str">
        <f>Master!DP4</f>
        <v>IPP</v>
      </c>
      <c r="G108" s="4044">
        <f>Master!DP6</f>
        <v>50</v>
      </c>
      <c r="H108" s="3803">
        <f>Master!DP7</f>
        <v>50</v>
      </c>
      <c r="I108" s="3803">
        <f>Master!DP8</f>
        <v>50</v>
      </c>
      <c r="J108" s="4031">
        <f>YesterdayGen!DP33</f>
        <v>41</v>
      </c>
      <c r="K108" s="4031">
        <f>YesterdayGen!DP34</f>
        <v>0</v>
      </c>
      <c r="L108" s="4045">
        <f>YesterdayGen!DP36</f>
        <v>50</v>
      </c>
      <c r="M108" s="4045">
        <f>YesterdayGen!DP35</f>
        <v>0</v>
      </c>
      <c r="N108" s="4031"/>
      <c r="O108" s="4046"/>
      <c r="P108" s="4008"/>
      <c r="Q108" s="4047"/>
      <c r="R108" s="4048"/>
      <c r="S108" s="211"/>
      <c r="T108" s="190"/>
      <c r="U108" s="190"/>
      <c r="V108" s="190"/>
      <c r="W108" s="190"/>
      <c r="X108" s="190"/>
      <c r="Y108" s="190"/>
      <c r="Z108" s="190"/>
      <c r="AA108" s="190"/>
      <c r="AB108" s="190"/>
      <c r="AC108" s="190"/>
    </row>
    <row r="109" spans="2:29" ht="16.5" customHeight="1" thickBot="1">
      <c r="B109" s="4041">
        <v>90</v>
      </c>
      <c r="C109" s="4049" t="str">
        <f>Master!AV3</f>
        <v>Tangail Palli Power Gen 22 MW</v>
      </c>
      <c r="D109" s="4050"/>
      <c r="E109" s="3935" t="str">
        <f>Master!AV5</f>
        <v>HFO</v>
      </c>
      <c r="F109" s="4051" t="str">
        <f>Master!AV4</f>
        <v>IPP</v>
      </c>
      <c r="G109" s="4051" t="str">
        <f>Master!AV6</f>
        <v>4*6.7</v>
      </c>
      <c r="H109" s="3935">
        <f>Master!AV7</f>
        <v>22</v>
      </c>
      <c r="I109" s="3935">
        <f>Master!AV8</f>
        <v>22</v>
      </c>
      <c r="J109" s="4041">
        <f>YesterdayGen!AV33</f>
        <v>0</v>
      </c>
      <c r="K109" s="4041">
        <f>YesterdayGen!AV34</f>
        <v>6</v>
      </c>
      <c r="L109" s="4052">
        <f>YesterdayGen!AV36</f>
        <v>11</v>
      </c>
      <c r="M109" s="4052">
        <f>YesterdayGen!AV35</f>
        <v>11</v>
      </c>
      <c r="N109" s="4041"/>
      <c r="O109" s="4053">
        <f>I109-M109</f>
        <v>11</v>
      </c>
      <c r="P109" s="4054" t="s">
        <v>126</v>
      </c>
      <c r="Q109" s="4055"/>
      <c r="R109" s="4056"/>
      <c r="S109" s="211"/>
      <c r="T109" s="190"/>
      <c r="U109" s="190"/>
      <c r="V109" s="190"/>
      <c r="W109" s="190"/>
      <c r="X109" s="190"/>
      <c r="Y109" s="190"/>
      <c r="Z109" s="190"/>
      <c r="AA109" s="190"/>
      <c r="AB109" s="190"/>
      <c r="AC109" s="190"/>
    </row>
    <row r="110" spans="2:29" ht="16.5" customHeight="1" thickBot="1">
      <c r="B110" s="2273"/>
      <c r="C110" s="2274" t="s">
        <v>122</v>
      </c>
      <c r="D110" s="2274"/>
      <c r="E110" s="2275"/>
      <c r="F110" s="2275"/>
      <c r="G110" s="2275"/>
      <c r="H110" s="2276">
        <f t="shared" ref="H110:M110" si="3">SUM(H102:H109)</f>
        <v>717</v>
      </c>
      <c r="I110" s="3837">
        <f t="shared" si="3"/>
        <v>614</v>
      </c>
      <c r="J110" s="2277">
        <f t="shared" si="3"/>
        <v>242</v>
      </c>
      <c r="K110" s="2276">
        <f t="shared" si="3"/>
        <v>386</v>
      </c>
      <c r="L110" s="3837">
        <f t="shared" si="3"/>
        <v>281.60000000000002</v>
      </c>
      <c r="M110" s="2276">
        <f t="shared" si="3"/>
        <v>392</v>
      </c>
      <c r="N110" s="3836">
        <f>SUM(N102:N104)</f>
        <v>100</v>
      </c>
      <c r="O110" s="3838">
        <f>SUM(O102:O109)</f>
        <v>75</v>
      </c>
      <c r="P110" s="3839"/>
      <c r="Q110" s="3840"/>
      <c r="R110" s="3841"/>
      <c r="S110" s="211"/>
      <c r="T110" s="190"/>
      <c r="U110" s="190"/>
      <c r="V110" s="190"/>
      <c r="W110" s="190"/>
      <c r="X110" s="190"/>
      <c r="Y110" s="190"/>
      <c r="Z110" s="190"/>
      <c r="AA110" s="190"/>
      <c r="AB110" s="190"/>
      <c r="AC110" s="190"/>
    </row>
    <row r="111" spans="2:29" ht="16.5" customHeight="1">
      <c r="B111" s="3636">
        <v>91</v>
      </c>
      <c r="C111" s="3843" t="str">
        <f>Master!CB3</f>
        <v>Fenchugonj CCPP Phase-1</v>
      </c>
      <c r="D111" s="3844"/>
      <c r="E111" s="3640" t="str">
        <f>Master!CB5</f>
        <v>Gas</v>
      </c>
      <c r="F111" s="3845" t="str">
        <f>Master!CB4</f>
        <v>PDB</v>
      </c>
      <c r="G111" s="4057" t="str">
        <f>Master!CB6</f>
        <v>2*32+1*33</v>
      </c>
      <c r="H111" s="3640">
        <f>Master!CB7</f>
        <v>97</v>
      </c>
      <c r="I111" s="3846">
        <f>Master!CB8</f>
        <v>70</v>
      </c>
      <c r="J111" s="3847">
        <f>YesterdayGen!CB33</f>
        <v>43</v>
      </c>
      <c r="K111" s="3848">
        <f>YesterdayGen!CB34</f>
        <v>44</v>
      </c>
      <c r="L111" s="4023">
        <f>YesterdayGen!CB36</f>
        <v>43</v>
      </c>
      <c r="M111" s="4024">
        <f>YesterdayGen!CB35</f>
        <v>43</v>
      </c>
      <c r="N111" s="3848"/>
      <c r="O111" s="3645">
        <f>I111-M111</f>
        <v>27</v>
      </c>
      <c r="P111" s="4058" t="s">
        <v>1222</v>
      </c>
      <c r="Q111" s="3720"/>
      <c r="R111" s="4025"/>
      <c r="S111" s="211"/>
      <c r="T111" s="190"/>
      <c r="U111" s="190"/>
      <c r="V111" s="190"/>
      <c r="W111" s="190"/>
      <c r="X111" s="190"/>
      <c r="Y111" s="190"/>
      <c r="Z111" s="190"/>
      <c r="AA111" s="190"/>
      <c r="AB111" s="190"/>
      <c r="AC111" s="190"/>
    </row>
    <row r="112" spans="2:29" ht="15.75" customHeight="1">
      <c r="B112" s="3636">
        <v>92</v>
      </c>
      <c r="C112" s="3751" t="str">
        <f>Master!CC3</f>
        <v>Fenchugonj CCPP Phase-2</v>
      </c>
      <c r="D112" s="3638"/>
      <c r="E112" s="3636" t="str">
        <f>Master!CC5</f>
        <v>Gas</v>
      </c>
      <c r="F112" s="3668" t="str">
        <f>Master!CC4</f>
        <v>PDB</v>
      </c>
      <c r="G112" s="4057" t="str">
        <f>Master!CC6</f>
        <v>2*35+1*35</v>
      </c>
      <c r="H112" s="3636">
        <f>Master!CC7</f>
        <v>104</v>
      </c>
      <c r="I112" s="3642">
        <f>Master!CC8</f>
        <v>90</v>
      </c>
      <c r="J112" s="3847">
        <f>YesterdayGen!CC33</f>
        <v>41</v>
      </c>
      <c r="K112" s="3848">
        <f>YesterdayGen!CC34</f>
        <v>41</v>
      </c>
      <c r="L112" s="3675">
        <f>YesterdayGen!CC36</f>
        <v>41</v>
      </c>
      <c r="M112" s="3670">
        <f>YesterdayGen!CC35</f>
        <v>41</v>
      </c>
      <c r="N112" s="3644"/>
      <c r="O112" s="3645">
        <f>I112-M112</f>
        <v>49</v>
      </c>
      <c r="P112" s="4058" t="s">
        <v>1207</v>
      </c>
      <c r="Q112" s="3720"/>
      <c r="R112" s="3648"/>
      <c r="S112" s="211"/>
      <c r="T112" s="190"/>
      <c r="U112" s="190"/>
      <c r="V112" s="190"/>
      <c r="W112" s="190"/>
      <c r="X112" s="190"/>
      <c r="Y112" s="190"/>
      <c r="Z112" s="190"/>
      <c r="AA112" s="190"/>
      <c r="AB112" s="190"/>
      <c r="AC112" s="190"/>
    </row>
    <row r="113" spans="2:29" ht="15.75" customHeight="1">
      <c r="B113" s="3636">
        <v>93</v>
      </c>
      <c r="C113" s="3751" t="str">
        <f>Master!CF3</f>
        <v>Kushiara 163 MW CCPP (KP)</v>
      </c>
      <c r="D113" s="3638"/>
      <c r="E113" s="3636" t="str">
        <f>Master!CF5</f>
        <v>Gas</v>
      </c>
      <c r="F113" s="3668" t="str">
        <f>Master!CF4</f>
        <v>IPP</v>
      </c>
      <c r="G113" s="3650" t="str">
        <f>Master!CF6</f>
        <v>1*109+1*54</v>
      </c>
      <c r="H113" s="3636">
        <f>Master!CF7</f>
        <v>163</v>
      </c>
      <c r="I113" s="3642">
        <f>Master!CF8</f>
        <v>163</v>
      </c>
      <c r="J113" s="3847">
        <f>YesterdayGen!CF33</f>
        <v>110</v>
      </c>
      <c r="K113" s="3848">
        <f>YesterdayGen!CF34</f>
        <v>110</v>
      </c>
      <c r="L113" s="3675">
        <f>YesterdayGen!CF36</f>
        <v>110</v>
      </c>
      <c r="M113" s="3670">
        <f>YesterdayGen!CF35</f>
        <v>110</v>
      </c>
      <c r="N113" s="3644"/>
      <c r="O113" s="3645">
        <f>I113-M113</f>
        <v>53</v>
      </c>
      <c r="P113" s="4058" t="s">
        <v>1900</v>
      </c>
      <c r="Q113" s="3720"/>
      <c r="R113" s="3648"/>
      <c r="S113" s="211"/>
      <c r="T113" s="190"/>
      <c r="U113" s="190"/>
      <c r="V113" s="190"/>
      <c r="W113" s="190"/>
      <c r="X113" s="190"/>
      <c r="Y113" s="190"/>
      <c r="Z113" s="190"/>
      <c r="AA113" s="190"/>
      <c r="AB113" s="190"/>
      <c r="AC113" s="190"/>
    </row>
    <row r="114" spans="2:29" ht="15.75" customHeight="1">
      <c r="B114" s="3636">
        <v>94</v>
      </c>
      <c r="C114" s="3751" t="str">
        <f>Master!CG3</f>
        <v>Shajibazar 330 MW CCPP</v>
      </c>
      <c r="D114" s="3638"/>
      <c r="E114" s="3636" t="str">
        <f>Master!CG5</f>
        <v>Gas</v>
      </c>
      <c r="F114" s="3668" t="str">
        <f>Master!CG4</f>
        <v>PDB</v>
      </c>
      <c r="G114" s="3650" t="str">
        <f>Master!CG6</f>
        <v>3*110</v>
      </c>
      <c r="H114" s="3636">
        <f>Master!CG7</f>
        <v>330</v>
      </c>
      <c r="I114" s="3642">
        <f>Master!CG8</f>
        <v>330</v>
      </c>
      <c r="J114" s="3847">
        <f>YesterdayGen!CG33</f>
        <v>0</v>
      </c>
      <c r="K114" s="3848">
        <f>YesterdayGen!CG34</f>
        <v>0</v>
      </c>
      <c r="L114" s="3675">
        <f>YesterdayGen!CG36</f>
        <v>0</v>
      </c>
      <c r="M114" s="3677">
        <f>YesterdayGen!CG35</f>
        <v>0</v>
      </c>
      <c r="N114" s="3644"/>
      <c r="O114" s="3645">
        <f>I114-M114</f>
        <v>330</v>
      </c>
      <c r="P114" s="4612" t="s">
        <v>117</v>
      </c>
      <c r="Q114" s="3720"/>
      <c r="R114" s="3676"/>
      <c r="S114" s="211"/>
      <c r="T114" s="190"/>
      <c r="U114" s="190"/>
      <c r="V114" s="190"/>
      <c r="W114" s="190"/>
      <c r="X114" s="190"/>
      <c r="Y114" s="190"/>
      <c r="Z114" s="190"/>
      <c r="AA114" s="190"/>
      <c r="AB114" s="190"/>
      <c r="AC114" s="190"/>
    </row>
    <row r="115" spans="2:29" ht="16.5" customHeight="1">
      <c r="B115" s="3636">
        <v>95</v>
      </c>
      <c r="C115" s="3853" t="str">
        <f>Master!CD3</f>
        <v xml:space="preserve">Fenchugonj 51 MW PP  (Barakatullah) </v>
      </c>
      <c r="D115" s="3732"/>
      <c r="E115" s="3636" t="str">
        <f>Master!CD5</f>
        <v>Gas</v>
      </c>
      <c r="F115" s="3668" t="str">
        <f>Master!CD4</f>
        <v xml:space="preserve">RPP </v>
      </c>
      <c r="G115" s="3752" t="str">
        <f>Master!CD6</f>
        <v>19*2.90</v>
      </c>
      <c r="H115" s="3636">
        <f>Master!CD7</f>
        <v>51</v>
      </c>
      <c r="I115" s="3642">
        <f>Master!CD8</f>
        <v>51</v>
      </c>
      <c r="J115" s="3643">
        <f>YesterdayGen!CD33</f>
        <v>33</v>
      </c>
      <c r="K115" s="3644">
        <f>YesterdayGen!CD34</f>
        <v>53</v>
      </c>
      <c r="L115" s="3675">
        <f>YesterdayGen!CD36</f>
        <v>33</v>
      </c>
      <c r="M115" s="3670">
        <f>YesterdayGen!CD35</f>
        <v>53</v>
      </c>
      <c r="N115" s="3644"/>
      <c r="O115" s="3645"/>
      <c r="P115" s="4613"/>
      <c r="Q115" s="3720"/>
      <c r="R115" s="3648"/>
      <c r="S115" s="211"/>
      <c r="T115" s="190"/>
      <c r="U115" s="190"/>
      <c r="V115" s="190"/>
      <c r="W115" s="190"/>
      <c r="X115" s="190"/>
      <c r="Y115" s="190"/>
      <c r="Z115" s="190"/>
      <c r="AA115" s="190"/>
      <c r="AB115" s="190"/>
      <c r="AC115" s="190"/>
    </row>
    <row r="116" spans="2:29" ht="16.5" customHeight="1">
      <c r="B116" s="3685">
        <v>96</v>
      </c>
      <c r="C116" s="3775" t="str">
        <f>Master!CE3</f>
        <v>Fenchuganj  44MW (Energyprima)</v>
      </c>
      <c r="D116" s="3724"/>
      <c r="E116" s="3685" t="str">
        <f>Master!CE5</f>
        <v>Gas</v>
      </c>
      <c r="F116" s="4059" t="str">
        <f>Master!CE4</f>
        <v>NENP</v>
      </c>
      <c r="G116" s="4060" t="str">
        <f>Master!CE6</f>
        <v>12*3.3+5*2</v>
      </c>
      <c r="H116" s="3685">
        <f>Master!CE7</f>
        <v>50</v>
      </c>
      <c r="I116" s="4061">
        <f>Master!CE8</f>
        <v>50</v>
      </c>
      <c r="J116" s="3692">
        <f>YesterdayGen!CE33</f>
        <v>30</v>
      </c>
      <c r="K116" s="3693">
        <f>YesterdayGen!CE34</f>
        <v>48</v>
      </c>
      <c r="L116" s="4062">
        <f>YesterdayGen!CE36</f>
        <v>30</v>
      </c>
      <c r="M116" s="3677">
        <f>YesterdayGen!CE35</f>
        <v>49</v>
      </c>
      <c r="N116" s="3644"/>
      <c r="O116" s="3696"/>
      <c r="P116" s="4613"/>
      <c r="Q116" s="3730"/>
      <c r="R116" s="4063"/>
      <c r="S116" s="211"/>
      <c r="T116" s="190"/>
      <c r="U116" s="190"/>
      <c r="V116" s="190"/>
      <c r="W116" s="190"/>
      <c r="X116" s="190"/>
      <c r="Y116" s="190"/>
      <c r="Z116" s="190"/>
      <c r="AA116" s="190"/>
      <c r="AB116" s="190"/>
      <c r="AC116" s="190"/>
    </row>
    <row r="117" spans="2:29" ht="16.5" customHeight="1">
      <c r="B117" s="3636">
        <v>97</v>
      </c>
      <c r="C117" s="3853" t="str">
        <f>Master!CQ3</f>
        <v>Hobiganj  11MW PP Cofidence-E</v>
      </c>
      <c r="D117" s="3732"/>
      <c r="E117" s="3636" t="str">
        <f>Master!CQ5</f>
        <v>Gas</v>
      </c>
      <c r="F117" s="3717" t="str">
        <f>Master!CQ4</f>
        <v>SIPP, REB</v>
      </c>
      <c r="G117" s="3752" t="str">
        <f>Master!CQ6</f>
        <v>4*2.90</v>
      </c>
      <c r="H117" s="3636">
        <f>Master!CQ7</f>
        <v>11</v>
      </c>
      <c r="I117" s="3642">
        <f>Master!CQ8</f>
        <v>11</v>
      </c>
      <c r="J117" s="3643">
        <f>YesterdayGen!CQ33</f>
        <v>0</v>
      </c>
      <c r="K117" s="3644">
        <f>YesterdayGen!CQ34</f>
        <v>0</v>
      </c>
      <c r="L117" s="3675">
        <f>YesterdayGen!CQ36</f>
        <v>11</v>
      </c>
      <c r="M117" s="3670">
        <f>YesterdayGen!CQ35</f>
        <v>11</v>
      </c>
      <c r="N117" s="3644"/>
      <c r="O117" s="4064"/>
      <c r="P117" s="4065"/>
      <c r="Q117" s="3720"/>
      <c r="R117" s="3676"/>
      <c r="S117" s="211"/>
      <c r="T117" s="190"/>
      <c r="U117" s="190"/>
      <c r="V117" s="190"/>
      <c r="W117" s="190"/>
      <c r="X117" s="190"/>
      <c r="Y117" s="190"/>
      <c r="Z117" s="190"/>
      <c r="AA117" s="190"/>
      <c r="AB117" s="190"/>
      <c r="AC117" s="190"/>
    </row>
    <row r="118" spans="2:29" ht="16.5" customHeight="1">
      <c r="B118" s="3636">
        <v>98</v>
      </c>
      <c r="C118" s="3751" t="str">
        <f>Master!CH3</f>
        <v xml:space="preserve">Shahjibazar GTPP Unit- 8 &amp; 9 </v>
      </c>
      <c r="D118" s="3638"/>
      <c r="E118" s="3636" t="str">
        <f>Master!CH5</f>
        <v>Gas</v>
      </c>
      <c r="F118" s="3668" t="str">
        <f>Master!CH4</f>
        <v>PDB</v>
      </c>
      <c r="G118" s="3650" t="str">
        <f>Master!CH6</f>
        <v>2*35</v>
      </c>
      <c r="H118" s="3681">
        <f>Master!CH7</f>
        <v>70</v>
      </c>
      <c r="I118" s="3682">
        <f>Master!CH8</f>
        <v>66</v>
      </c>
      <c r="J118" s="3643">
        <f>YesterdayGen!CH33</f>
        <v>60</v>
      </c>
      <c r="K118" s="3644">
        <f>YesterdayGen!CH34</f>
        <v>56</v>
      </c>
      <c r="L118" s="3643">
        <f>YesterdayGen!CH36</f>
        <v>61</v>
      </c>
      <c r="M118" s="3644">
        <f>YesterdayGen!CH35</f>
        <v>61</v>
      </c>
      <c r="N118" s="3644"/>
      <c r="O118" s="4064"/>
      <c r="P118" s="4066"/>
      <c r="Q118" s="3720"/>
      <c r="R118" s="3676"/>
      <c r="S118" s="211"/>
      <c r="T118" s="190"/>
      <c r="U118" s="190"/>
      <c r="V118" s="190"/>
      <c r="W118" s="190"/>
      <c r="X118" s="190"/>
      <c r="Y118" s="190"/>
      <c r="Z118" s="190"/>
      <c r="AA118" s="190"/>
      <c r="AB118" s="190"/>
      <c r="AC118" s="190"/>
    </row>
    <row r="119" spans="2:29" ht="16.5" customHeight="1">
      <c r="B119" s="4067">
        <v>99</v>
      </c>
      <c r="C119" s="3751" t="str">
        <f>Master!CI3</f>
        <v>Shahjibazar 86MW PP (Shahjibazar)</v>
      </c>
      <c r="D119" s="3638"/>
      <c r="E119" s="3636" t="str">
        <f>Master!CI5</f>
        <v>Gas</v>
      </c>
      <c r="F119" s="3668" t="str">
        <f>Master!CI4</f>
        <v xml:space="preserve">RPP </v>
      </c>
      <c r="G119" s="3650" t="str">
        <f>Master!CI6</f>
        <v>32*2.90</v>
      </c>
      <c r="H119" s="3681">
        <f>Master!CI7</f>
        <v>86</v>
      </c>
      <c r="I119" s="3682">
        <f>Master!CI8</f>
        <v>86</v>
      </c>
      <c r="J119" s="3643">
        <f>YesterdayGen!CI33</f>
        <v>10</v>
      </c>
      <c r="K119" s="3644">
        <f>YesterdayGen!CI34</f>
        <v>81</v>
      </c>
      <c r="L119" s="3675">
        <f>YesterdayGen!CI36</f>
        <v>10</v>
      </c>
      <c r="M119" s="3670">
        <f>YesterdayGen!CI35</f>
        <v>81</v>
      </c>
      <c r="N119" s="3644"/>
      <c r="O119" s="3645"/>
      <c r="P119" s="4613"/>
      <c r="Q119" s="3720"/>
      <c r="R119" s="3676"/>
      <c r="S119" s="211"/>
      <c r="T119" s="190"/>
      <c r="U119" s="190"/>
      <c r="V119" s="190"/>
      <c r="W119" s="190"/>
      <c r="X119" s="190"/>
      <c r="Y119" s="190"/>
      <c r="Z119" s="190"/>
      <c r="AA119" s="190"/>
      <c r="AB119" s="190"/>
      <c r="AC119" s="190"/>
    </row>
    <row r="120" spans="2:29" ht="16.5" customHeight="1">
      <c r="B120" s="3636">
        <v>100</v>
      </c>
      <c r="C120" s="4068" t="str">
        <f>Master!DS3</f>
        <v>Shahjibazar 100 MW GTPP</v>
      </c>
      <c r="D120" s="4069"/>
      <c r="E120" s="4070" t="str">
        <f>Master!DS5</f>
        <v>Gas</v>
      </c>
      <c r="F120" s="4071" t="str">
        <f>Master!DS4</f>
        <v>PDB</v>
      </c>
      <c r="G120" s="4072" t="str">
        <f>Master!DS6</f>
        <v>1*100</v>
      </c>
      <c r="H120" s="4073">
        <f>Master!DS7</f>
        <v>100</v>
      </c>
      <c r="I120" s="4074">
        <f>Master!DS8</f>
        <v>100</v>
      </c>
      <c r="J120" s="4075">
        <f>YesterdayGen!DS33</f>
        <v>0</v>
      </c>
      <c r="K120" s="4076">
        <f>YesterdayGen!DS34</f>
        <v>0</v>
      </c>
      <c r="L120" s="4077">
        <f>YesterdayGen!DS36</f>
        <v>0</v>
      </c>
      <c r="M120" s="4078">
        <f>YesterdayGen!DS35</f>
        <v>0</v>
      </c>
      <c r="N120" s="4076"/>
      <c r="O120" s="4079">
        <f>I120-M120</f>
        <v>100</v>
      </c>
      <c r="P120" s="4612" t="s">
        <v>117</v>
      </c>
      <c r="Q120" s="4080"/>
      <c r="R120" s="4081"/>
      <c r="S120" s="211"/>
      <c r="T120" s="190"/>
      <c r="U120" s="190"/>
      <c r="V120" s="190"/>
      <c r="W120" s="190"/>
      <c r="X120" s="190"/>
      <c r="Y120" s="190"/>
      <c r="Z120" s="190"/>
      <c r="AA120" s="190"/>
      <c r="AB120" s="190"/>
      <c r="AC120" s="190"/>
    </row>
    <row r="121" spans="2:29" ht="16.5" customHeight="1">
      <c r="B121" s="3636">
        <v>101</v>
      </c>
      <c r="C121" s="3853" t="str">
        <f>Master!CK3</f>
        <v>Sylhet 225 MW CCPP</v>
      </c>
      <c r="D121" s="3732"/>
      <c r="E121" s="3636" t="str">
        <f>Master!CK5</f>
        <v>Gas</v>
      </c>
      <c r="F121" s="3668" t="str">
        <f>Master!CK4</f>
        <v>PDB</v>
      </c>
      <c r="G121" s="3752" t="str">
        <f>Master!CK6</f>
        <v>1*142+1*89</v>
      </c>
      <c r="H121" s="3636">
        <f>Master!CK7</f>
        <v>231</v>
      </c>
      <c r="I121" s="3642">
        <f>Master!CK8</f>
        <v>231</v>
      </c>
      <c r="J121" s="3643">
        <f>YesterdayGen!CK33</f>
        <v>220</v>
      </c>
      <c r="K121" s="3644">
        <f>YesterdayGen!CK34</f>
        <v>221</v>
      </c>
      <c r="L121" s="3675">
        <f>YesterdayGen!CK36</f>
        <v>220</v>
      </c>
      <c r="M121" s="3670">
        <f>YesterdayGen!CK35</f>
        <v>220</v>
      </c>
      <c r="N121" s="3644"/>
      <c r="O121" s="4082"/>
      <c r="P121" s="4058"/>
      <c r="Q121" s="3720"/>
      <c r="R121" s="3676"/>
      <c r="S121" s="211">
        <v>299798</v>
      </c>
      <c r="T121" s="190"/>
      <c r="U121" s="190"/>
      <c r="V121" s="190"/>
      <c r="W121" s="190"/>
      <c r="X121" s="190"/>
      <c r="Y121" s="190"/>
      <c r="Z121" s="190"/>
      <c r="AA121" s="190"/>
      <c r="AB121" s="190"/>
      <c r="AC121" s="190"/>
    </row>
    <row r="122" spans="2:29" ht="16.5" customHeight="1">
      <c r="B122" s="3636">
        <v>102</v>
      </c>
      <c r="C122" s="3751" t="str">
        <f>Master!CL3</f>
        <v>Sylhet  20 MW GTPP</v>
      </c>
      <c r="D122" s="3638"/>
      <c r="E122" s="3636" t="str">
        <f>Master!CL5</f>
        <v>Gas</v>
      </c>
      <c r="F122" s="3668" t="str">
        <f>Master!CL4</f>
        <v>PDB</v>
      </c>
      <c r="G122" s="3650" t="str">
        <f>Master!CL6</f>
        <v>1*20</v>
      </c>
      <c r="H122" s="3636">
        <f>Master!CL7</f>
        <v>20</v>
      </c>
      <c r="I122" s="3642">
        <f>Master!CL8</f>
        <v>20</v>
      </c>
      <c r="J122" s="3643">
        <f>YesterdayGen!CL33</f>
        <v>0</v>
      </c>
      <c r="K122" s="3644">
        <f>YesterdayGen!CL34</f>
        <v>0</v>
      </c>
      <c r="L122" s="3683">
        <f>YesterdayGen!CL36</f>
        <v>0</v>
      </c>
      <c r="M122" s="3684">
        <f>YesterdayGen!CL35</f>
        <v>0</v>
      </c>
      <c r="N122" s="3644">
        <v>20</v>
      </c>
      <c r="O122" s="4083"/>
      <c r="P122" s="4612" t="s">
        <v>173</v>
      </c>
      <c r="Q122" s="3720"/>
      <c r="R122" s="3676"/>
      <c r="S122" s="211"/>
      <c r="T122" s="190"/>
      <c r="U122" s="190"/>
      <c r="V122" s="190"/>
      <c r="W122" s="190"/>
      <c r="X122" s="190"/>
      <c r="Y122" s="190"/>
      <c r="Z122" s="190"/>
      <c r="AA122" s="190"/>
      <c r="AB122" s="190"/>
      <c r="AC122" s="190"/>
    </row>
    <row r="123" spans="2:29" s="176" customFormat="1" ht="16.5" customHeight="1">
      <c r="B123" s="3685">
        <v>103</v>
      </c>
      <c r="C123" s="4084" t="str">
        <f>Master!CM3</f>
        <v>Sylhet  50MW PP (EPL)</v>
      </c>
      <c r="D123" s="3854"/>
      <c r="E123" s="3685" t="str">
        <f>Master!CM5</f>
        <v>Gas</v>
      </c>
      <c r="F123" s="4059" t="str">
        <f>Master!CM4</f>
        <v>NENP</v>
      </c>
      <c r="G123" s="3688" t="str">
        <f>Master!CM6</f>
        <v>27*2</v>
      </c>
      <c r="H123" s="3685">
        <f>Master!CM7</f>
        <v>50</v>
      </c>
      <c r="I123" s="4061">
        <f>Master!CM8</f>
        <v>50</v>
      </c>
      <c r="J123" s="3692">
        <f>YesterdayGen!CM33</f>
        <v>31</v>
      </c>
      <c r="K123" s="3693">
        <f>YesterdayGen!CM34</f>
        <v>31</v>
      </c>
      <c r="L123" s="4062">
        <f>YesterdayGen!CM36</f>
        <v>31</v>
      </c>
      <c r="M123" s="3677">
        <f>YesterdayGen!CM35</f>
        <v>32</v>
      </c>
      <c r="N123" s="3644">
        <f>I123-M123</f>
        <v>18</v>
      </c>
      <c r="O123" s="3696"/>
      <c r="P123" s="4919" t="s">
        <v>173</v>
      </c>
      <c r="Q123" s="3720"/>
      <c r="R123" s="4063"/>
      <c r="S123" s="211"/>
      <c r="T123" s="214"/>
      <c r="U123" s="214"/>
      <c r="V123" s="214"/>
      <c r="W123" s="214"/>
      <c r="X123" s="214"/>
      <c r="Y123" s="214"/>
      <c r="Z123" s="214"/>
      <c r="AA123" s="214"/>
      <c r="AB123" s="214"/>
      <c r="AC123" s="214"/>
    </row>
    <row r="124" spans="2:29" ht="16.5" customHeight="1">
      <c r="B124" s="3636">
        <v>104</v>
      </c>
      <c r="C124" s="3751" t="str">
        <f>Master!CP3</f>
        <v>Shahjahanulla 25 MW PP</v>
      </c>
      <c r="D124" s="3638"/>
      <c r="E124" s="3756" t="str">
        <f>Master!CP5</f>
        <v>Gas</v>
      </c>
      <c r="F124" s="3770" t="str">
        <f>Master!CP4</f>
        <v>SIPP, REB</v>
      </c>
      <c r="G124" s="3752" t="str">
        <f>Master!CP6</f>
        <v>3*9.34</v>
      </c>
      <c r="H124" s="3756">
        <f>Master!CP7</f>
        <v>25</v>
      </c>
      <c r="I124" s="3760">
        <f>Master!CP8</f>
        <v>25</v>
      </c>
      <c r="J124" s="3761">
        <f>YesterdayGen!CP33</f>
        <v>8</v>
      </c>
      <c r="K124" s="3762">
        <f>YesterdayGen!CP34</f>
        <v>16</v>
      </c>
      <c r="L124" s="3763">
        <f>YesterdayGen!CP36</f>
        <v>8</v>
      </c>
      <c r="M124" s="3764">
        <f>YesterdayGen!CP35</f>
        <v>16</v>
      </c>
      <c r="N124" s="3644">
        <f>I124-M124</f>
        <v>9</v>
      </c>
      <c r="O124" s="3645"/>
      <c r="P124" s="4919" t="s">
        <v>173</v>
      </c>
      <c r="Q124" s="3720"/>
      <c r="R124" s="3676"/>
      <c r="S124" s="211"/>
      <c r="T124" s="190"/>
      <c r="U124" s="190"/>
      <c r="V124" s="190"/>
      <c r="W124" s="190"/>
      <c r="X124" s="190"/>
      <c r="Y124" s="190"/>
      <c r="Z124" s="190"/>
      <c r="AA124" s="190"/>
      <c r="AB124" s="190"/>
      <c r="AC124" s="190"/>
    </row>
    <row r="125" spans="2:29" ht="16.5" customHeight="1">
      <c r="B125" s="3636">
        <v>105</v>
      </c>
      <c r="C125" s="3751" t="str">
        <f>Master!CO3</f>
        <v>Bibiana-II 341 MW CCPP (Summit)</v>
      </c>
      <c r="D125" s="3999"/>
      <c r="E125" s="3636" t="str">
        <f>Master!CO5</f>
        <v>Gas</v>
      </c>
      <c r="F125" s="3770" t="str">
        <f>Master!CO4</f>
        <v>IPP</v>
      </c>
      <c r="G125" s="3870" t="str">
        <f>Master!CO6</f>
        <v>1*222+1*119</v>
      </c>
      <c r="H125" s="3756">
        <f>Master!CO7</f>
        <v>341</v>
      </c>
      <c r="I125" s="3760">
        <f>Master!CO8</f>
        <v>341</v>
      </c>
      <c r="J125" s="3761">
        <f>YesterdayGen!CO33</f>
        <v>330</v>
      </c>
      <c r="K125" s="3762">
        <f>YesterdayGen!CO34</f>
        <v>275</v>
      </c>
      <c r="L125" s="3763">
        <f>YesterdayGen!CO36</f>
        <v>290</v>
      </c>
      <c r="M125" s="3764">
        <f>YesterdayGen!CO35</f>
        <v>290</v>
      </c>
      <c r="N125" s="3762"/>
      <c r="O125" s="3645"/>
      <c r="P125" s="4833" t="s">
        <v>171</v>
      </c>
      <c r="Q125" s="4085"/>
      <c r="R125" s="3676"/>
      <c r="S125" s="211"/>
      <c r="T125" s="190"/>
      <c r="U125" s="190"/>
      <c r="V125" s="190"/>
      <c r="W125" s="190"/>
      <c r="X125" s="190"/>
      <c r="Y125" s="190"/>
      <c r="Z125" s="190"/>
      <c r="AA125" s="190"/>
      <c r="AB125" s="190"/>
      <c r="AC125" s="190"/>
    </row>
    <row r="126" spans="2:29" ht="16.5" customHeight="1">
      <c r="B126" s="3636">
        <v>106</v>
      </c>
      <c r="C126" s="4086" t="str">
        <f>Master!DC3</f>
        <v>Bibiyana-III     400 MW CCPP</v>
      </c>
      <c r="D126" s="4087"/>
      <c r="E126" s="4088" t="str">
        <f>Master!DC5</f>
        <v>Gas</v>
      </c>
      <c r="F126" s="4089" t="str">
        <f>Master!DC4</f>
        <v>PDB</v>
      </c>
      <c r="G126" s="4090" t="str">
        <f>Master!DC6</f>
        <v>400 MW</v>
      </c>
      <c r="H126" s="4088">
        <f>Master!DC7</f>
        <v>400</v>
      </c>
      <c r="I126" s="4091">
        <f>Master!DC8</f>
        <v>400</v>
      </c>
      <c r="J126" s="4092">
        <f>YesterdayGen!DC33</f>
        <v>380</v>
      </c>
      <c r="K126" s="4093">
        <f>YesterdayGen!DC34</f>
        <v>402</v>
      </c>
      <c r="L126" s="4094">
        <f>YesterdayGen!DC36</f>
        <v>400</v>
      </c>
      <c r="M126" s="4095">
        <f>YesterdayGen!DC35</f>
        <v>400</v>
      </c>
      <c r="N126" s="4093"/>
      <c r="O126" s="4079"/>
      <c r="P126" s="4833"/>
      <c r="Q126" s="4096"/>
      <c r="R126" s="4097"/>
      <c r="S126" s="211"/>
      <c r="T126" s="190"/>
      <c r="U126" s="190"/>
      <c r="V126" s="190"/>
      <c r="W126" s="190"/>
      <c r="X126" s="190"/>
      <c r="Y126" s="190"/>
      <c r="Z126" s="190"/>
      <c r="AA126" s="190"/>
      <c r="AB126" s="190"/>
      <c r="AC126" s="190"/>
    </row>
    <row r="127" spans="2:29" ht="16.5" customHeight="1">
      <c r="B127" s="3636">
        <v>107</v>
      </c>
      <c r="C127" s="3768" t="str">
        <f>Master!CN3</f>
        <v xml:space="preserve">Sylhet 10MW PP (Desh)  </v>
      </c>
      <c r="D127" s="3999"/>
      <c r="E127" s="3756" t="str">
        <f>Master!CN5</f>
        <v>Gas</v>
      </c>
      <c r="F127" s="3770" t="str">
        <f>Master!CN4</f>
        <v xml:space="preserve">RPP </v>
      </c>
      <c r="G127" s="3759" t="str">
        <f>Master!CN6</f>
        <v>6*1.95</v>
      </c>
      <c r="H127" s="3756">
        <f>Master!CN7</f>
        <v>10</v>
      </c>
      <c r="I127" s="3760">
        <f>Master!CN8</f>
        <v>10</v>
      </c>
      <c r="J127" s="3761">
        <f>YesterdayGen!CN33</f>
        <v>10</v>
      </c>
      <c r="K127" s="3762">
        <f>YesterdayGen!CN34</f>
        <v>9</v>
      </c>
      <c r="L127" s="3763">
        <f>YesterdayGen!CN36</f>
        <v>10</v>
      </c>
      <c r="M127" s="3764">
        <f>YesterdayGen!CN35</f>
        <v>10</v>
      </c>
      <c r="N127" s="3762"/>
      <c r="O127" s="4098"/>
      <c r="P127" s="4099"/>
      <c r="Q127" s="3996"/>
      <c r="R127" s="4030"/>
      <c r="S127" s="211"/>
      <c r="T127" s="190"/>
      <c r="U127" s="190"/>
      <c r="V127" s="190"/>
      <c r="W127" s="190"/>
      <c r="X127" s="190"/>
      <c r="Y127" s="190"/>
      <c r="Z127" s="190"/>
      <c r="AA127" s="190"/>
      <c r="AB127" s="190"/>
      <c r="AC127" s="190"/>
    </row>
    <row r="128" spans="2:29" ht="16.5" customHeight="1" thickBot="1">
      <c r="B128" s="3636">
        <v>108</v>
      </c>
      <c r="C128" s="4100" t="str">
        <f>Master!DN3</f>
        <v>Bibiyana South 400 MW</v>
      </c>
      <c r="D128" s="4101"/>
      <c r="E128" s="3794" t="str">
        <f>Master!DN5</f>
        <v>Gas</v>
      </c>
      <c r="F128" s="3794" t="str">
        <f>Master!DN4</f>
        <v>PDB</v>
      </c>
      <c r="G128" s="3794" t="str">
        <f>Master!DN6</f>
        <v>400 MW</v>
      </c>
      <c r="H128" s="3794">
        <f>Master!DN7</f>
        <v>383</v>
      </c>
      <c r="I128" s="3794">
        <f>Master!DN8</f>
        <v>383</v>
      </c>
      <c r="J128" s="3799">
        <f>YesterdayGen!DN33</f>
        <v>0</v>
      </c>
      <c r="K128" s="3799">
        <f>YesterdayGen!DN34</f>
        <v>0</v>
      </c>
      <c r="L128" s="3800">
        <f>YesterdayGen!DN36</f>
        <v>0</v>
      </c>
      <c r="M128" s="3800">
        <f>YesterdayGen!DN35</f>
        <v>0</v>
      </c>
      <c r="N128" s="3799"/>
      <c r="O128" s="4019">
        <v>383</v>
      </c>
      <c r="P128" s="4833" t="s">
        <v>117</v>
      </c>
      <c r="Q128" s="4102"/>
      <c r="R128" s="4103"/>
      <c r="S128" s="211"/>
      <c r="T128" s="190"/>
      <c r="U128" s="190"/>
      <c r="V128" s="190"/>
      <c r="W128" s="190"/>
      <c r="X128" s="190"/>
      <c r="Y128" s="190"/>
      <c r="Z128" s="190"/>
      <c r="AA128" s="190"/>
      <c r="AB128" s="190"/>
      <c r="AC128" s="190"/>
    </row>
    <row r="129" spans="1:29" ht="16.5" customHeight="1" thickBot="1">
      <c r="B129" s="2273"/>
      <c r="C129" s="2274" t="s">
        <v>41</v>
      </c>
      <c r="D129" s="2274"/>
      <c r="E129" s="2275"/>
      <c r="F129" s="2275"/>
      <c r="G129" s="2275"/>
      <c r="H129" s="2276">
        <f t="shared" ref="H129:O129" si="4">SUM(H111:H128)</f>
        <v>2522</v>
      </c>
      <c r="I129" s="3837">
        <f>SUM(I111:I128)</f>
        <v>2477</v>
      </c>
      <c r="J129" s="2276">
        <f t="shared" si="4"/>
        <v>1306</v>
      </c>
      <c r="K129" s="2276">
        <f t="shared" si="4"/>
        <v>1387</v>
      </c>
      <c r="L129" s="3837">
        <f t="shared" si="4"/>
        <v>1298</v>
      </c>
      <c r="M129" s="2276">
        <f t="shared" si="4"/>
        <v>1417</v>
      </c>
      <c r="N129" s="2276">
        <f t="shared" si="4"/>
        <v>47</v>
      </c>
      <c r="O129" s="3838">
        <f t="shared" si="4"/>
        <v>942</v>
      </c>
      <c r="P129" s="3839"/>
      <c r="Q129" s="3840"/>
      <c r="R129" s="3841"/>
      <c r="S129" s="211"/>
      <c r="T129" s="1167"/>
      <c r="U129" s="190"/>
      <c r="V129" s="190"/>
      <c r="W129" s="190"/>
      <c r="X129" s="190"/>
      <c r="Y129" s="190"/>
      <c r="Z129" s="190"/>
      <c r="AA129" s="190"/>
      <c r="AB129" s="190"/>
      <c r="AC129" s="190"/>
    </row>
    <row r="130" spans="1:29" ht="16.5" customHeight="1">
      <c r="B130" s="3640">
        <v>109</v>
      </c>
      <c r="C130" s="3843" t="str">
        <f>Master!EA3</f>
        <v>Bheramara GTPP Unit-3</v>
      </c>
      <c r="D130" s="3844"/>
      <c r="E130" s="3640" t="str">
        <f>Master!EA5</f>
        <v>HSD</v>
      </c>
      <c r="F130" s="3845" t="str">
        <f>Master!EA4</f>
        <v>PDB</v>
      </c>
      <c r="G130" s="3639" t="str">
        <f>Master!EA6</f>
        <v>1*20</v>
      </c>
      <c r="H130" s="3640">
        <f>Master!EA7</f>
        <v>20</v>
      </c>
      <c r="I130" s="3846">
        <f>Master!EA8</f>
        <v>16</v>
      </c>
      <c r="J130" s="4104">
        <f>YesterdayGen!EA33</f>
        <v>0</v>
      </c>
      <c r="K130" s="3848">
        <f>YesterdayGen!EA34</f>
        <v>0</v>
      </c>
      <c r="L130" s="4023">
        <f>YesterdayGen!EA36</f>
        <v>0</v>
      </c>
      <c r="M130" s="4024">
        <f>YesterdayGen!EA35</f>
        <v>0</v>
      </c>
      <c r="N130" s="3848">
        <f>I130-M130</f>
        <v>16</v>
      </c>
      <c r="O130" s="3645"/>
      <c r="P130" s="4937" t="s">
        <v>1862</v>
      </c>
      <c r="Q130" s="4105"/>
      <c r="R130" s="3738"/>
      <c r="S130" s="211"/>
      <c r="T130" s="190"/>
      <c r="U130" s="190"/>
      <c r="V130" s="190"/>
      <c r="W130" s="190"/>
      <c r="X130" s="190"/>
      <c r="Y130" s="190"/>
      <c r="Z130" s="190"/>
      <c r="AA130" s="190"/>
      <c r="AB130" s="190"/>
      <c r="AC130" s="190"/>
    </row>
    <row r="131" spans="1:29" ht="16.5" customHeight="1">
      <c r="B131" s="3636" t="s">
        <v>142</v>
      </c>
      <c r="C131" s="4106" t="str">
        <f>Master!DZ3</f>
        <v>Bheramara (HVDC )</v>
      </c>
      <c r="D131" s="3638"/>
      <c r="E131" s="3636">
        <f>Master!DZ5</f>
        <v>0</v>
      </c>
      <c r="F131" s="3668" t="str">
        <f>Master!DZ4</f>
        <v>Imported power</v>
      </c>
      <c r="G131" s="3650" t="str">
        <f>Master!DZ6</f>
        <v>2*500</v>
      </c>
      <c r="H131" s="3636">
        <f>Master!DZ7</f>
        <v>1000</v>
      </c>
      <c r="I131" s="3642">
        <f>Master!DZ8</f>
        <v>1000</v>
      </c>
      <c r="J131" s="4104">
        <f>YesterdayGen!DZ33</f>
        <v>914</v>
      </c>
      <c r="K131" s="3848">
        <f>YesterdayGen!DZ34</f>
        <v>909</v>
      </c>
      <c r="L131" s="3675">
        <f>YesterdayGen!DZ36</f>
        <v>931</v>
      </c>
      <c r="M131" s="3670">
        <f>YesterdayGen!DZ35</f>
        <v>931</v>
      </c>
      <c r="N131" s="3644"/>
      <c r="O131" s="3645"/>
      <c r="P131" s="3983"/>
      <c r="Q131" s="3720"/>
      <c r="R131" s="3651"/>
      <c r="S131" s="211"/>
      <c r="T131" s="190"/>
      <c r="U131" s="190"/>
      <c r="V131" s="190"/>
      <c r="W131" s="190"/>
      <c r="X131" s="190"/>
      <c r="Y131" s="190"/>
      <c r="Z131" s="190"/>
      <c r="AA131" s="190"/>
      <c r="AB131" s="190"/>
      <c r="AC131" s="190"/>
    </row>
    <row r="132" spans="1:29" s="3028" customFormat="1" ht="16.5" customHeight="1">
      <c r="A132" s="140"/>
      <c r="B132" s="3685">
        <v>110</v>
      </c>
      <c r="C132" s="4084" t="str">
        <f>Master!ED3</f>
        <v>Khulna 115 PP MW (KPCL-2)</v>
      </c>
      <c r="D132" s="4107"/>
      <c r="E132" s="3685" t="str">
        <f>Master!ED5</f>
        <v>HFO</v>
      </c>
      <c r="F132" s="4059" t="str">
        <f>Master!ED4</f>
        <v>NENP</v>
      </c>
      <c r="G132" s="3688" t="str">
        <f>Master!ED6</f>
        <v>7*17</v>
      </c>
      <c r="H132" s="3685">
        <f>Master!ED7</f>
        <v>115</v>
      </c>
      <c r="I132" s="4061">
        <f>Master!ED8</f>
        <v>115</v>
      </c>
      <c r="J132" s="4108">
        <f>YesterdayGen!ED33</f>
        <v>16</v>
      </c>
      <c r="K132" s="3693">
        <f>YesterdayGen!ED34</f>
        <v>32</v>
      </c>
      <c r="L132" s="4062">
        <f>YesterdayGen!ED36</f>
        <v>16</v>
      </c>
      <c r="M132" s="3677">
        <f>YesterdayGen!ED35</f>
        <v>16</v>
      </c>
      <c r="N132" s="3693">
        <f>I132-M132</f>
        <v>99</v>
      </c>
      <c r="O132" s="3645"/>
      <c r="P132" s="4110" t="s">
        <v>1347</v>
      </c>
      <c r="Q132" s="3730"/>
      <c r="R132" s="3698"/>
      <c r="S132" s="3026"/>
      <c r="T132" s="3027"/>
      <c r="U132" s="3027"/>
      <c r="V132" s="3027"/>
      <c r="W132" s="3027"/>
      <c r="X132" s="3027"/>
      <c r="Y132" s="3027"/>
      <c r="Z132" s="3027"/>
      <c r="AA132" s="3027"/>
      <c r="AB132" s="3027"/>
      <c r="AC132" s="3027"/>
    </row>
    <row r="133" spans="1:29" ht="16.5" customHeight="1">
      <c r="B133" s="3636">
        <v>111</v>
      </c>
      <c r="C133" s="3751" t="str">
        <f>Master!EH3</f>
        <v>Faridpur 50 MW Peaking PP</v>
      </c>
      <c r="D133" s="3638"/>
      <c r="E133" s="3636" t="str">
        <f>Master!EH5</f>
        <v>HFO</v>
      </c>
      <c r="F133" s="3668" t="str">
        <f>Master!EH4</f>
        <v>PDB</v>
      </c>
      <c r="G133" s="3650" t="str">
        <f>Master!EH6</f>
        <v>8*6.89</v>
      </c>
      <c r="H133" s="3636">
        <f>Master!EH7</f>
        <v>54</v>
      </c>
      <c r="I133" s="3642">
        <f>Master!EH8</f>
        <v>54</v>
      </c>
      <c r="J133" s="4109">
        <f>YesterdayGen!EH33</f>
        <v>0</v>
      </c>
      <c r="K133" s="3644">
        <f>YesterdayGen!EH34</f>
        <v>38</v>
      </c>
      <c r="L133" s="3675">
        <f>YesterdayGen!EH36</f>
        <v>15</v>
      </c>
      <c r="M133" s="3670">
        <f>YesterdayGen!EH35</f>
        <v>32</v>
      </c>
      <c r="N133" s="3644"/>
      <c r="O133" s="3645">
        <f>I133-M133</f>
        <v>22</v>
      </c>
      <c r="P133" s="4110" t="s">
        <v>126</v>
      </c>
      <c r="Q133" s="3720"/>
      <c r="R133" s="3651"/>
      <c r="S133" s="211"/>
      <c r="T133" s="1167"/>
      <c r="U133" s="190"/>
      <c r="V133" s="190"/>
      <c r="W133" s="190"/>
      <c r="X133" s="190"/>
      <c r="Y133" s="190"/>
      <c r="Z133" s="190"/>
      <c r="AA133" s="190"/>
      <c r="AB133" s="190"/>
      <c r="AC133" s="190"/>
    </row>
    <row r="134" spans="1:29" ht="16.5" customHeight="1">
      <c r="B134" s="3636">
        <v>112</v>
      </c>
      <c r="C134" s="3751" t="str">
        <f>Master!EE3</f>
        <v>Khulna  225 MW CCPP</v>
      </c>
      <c r="D134" s="3638"/>
      <c r="E134" s="3636" t="str">
        <f>Master!EE5</f>
        <v>HSD</v>
      </c>
      <c r="F134" s="3668" t="str">
        <f>Master!EE4</f>
        <v>NWPGCL</v>
      </c>
      <c r="G134" s="3650" t="str">
        <f>Master!EE6</f>
        <v>1*150+1*75</v>
      </c>
      <c r="H134" s="3681">
        <f>Master!EE7</f>
        <v>230</v>
      </c>
      <c r="I134" s="3682">
        <f>Master!EE8</f>
        <v>230</v>
      </c>
      <c r="J134" s="4109">
        <f>YesterdayGen!EE33</f>
        <v>221</v>
      </c>
      <c r="K134" s="3644">
        <f>YesterdayGen!EE34</f>
        <v>228</v>
      </c>
      <c r="L134" s="3675">
        <f>YesterdayGen!EE36</f>
        <v>225</v>
      </c>
      <c r="M134" s="3670">
        <f>YesterdayGen!EE35</f>
        <v>225</v>
      </c>
      <c r="N134" s="3644">
        <f>I134-M134</f>
        <v>5</v>
      </c>
      <c r="O134" s="3645"/>
      <c r="P134" s="4939" t="s">
        <v>1862</v>
      </c>
      <c r="Q134" s="3720"/>
      <c r="R134" s="3651"/>
      <c r="S134" s="211"/>
      <c r="T134" s="190"/>
      <c r="U134" s="190"/>
      <c r="V134" s="190"/>
      <c r="W134" s="190"/>
      <c r="X134" s="190"/>
      <c r="Y134" s="190"/>
      <c r="Z134" s="190"/>
      <c r="AA134" s="190"/>
      <c r="AB134" s="190"/>
      <c r="AC134" s="190"/>
    </row>
    <row r="135" spans="1:29" ht="16.5" customHeight="1">
      <c r="B135" s="3636">
        <v>113</v>
      </c>
      <c r="C135" s="3751" t="str">
        <f>Master!EI3</f>
        <v>Gopalganj 100 MW Peaking PP</v>
      </c>
      <c r="D135" s="3638"/>
      <c r="E135" s="3636" t="str">
        <f>Master!EI5</f>
        <v>HFO</v>
      </c>
      <c r="F135" s="3668" t="str">
        <f>Master!EI4</f>
        <v>PDB</v>
      </c>
      <c r="G135" s="3650" t="str">
        <f>Master!EI6</f>
        <v>16*6.98</v>
      </c>
      <c r="H135" s="3681">
        <f>Master!EI7</f>
        <v>109</v>
      </c>
      <c r="I135" s="4111">
        <f>Master!EI8</f>
        <v>109</v>
      </c>
      <c r="J135" s="4109">
        <f>YesterdayGen!EI33</f>
        <v>0</v>
      </c>
      <c r="K135" s="3644">
        <f>YesterdayGen!EI34</f>
        <v>72</v>
      </c>
      <c r="L135" s="3675">
        <f>YesterdayGen!EI36</f>
        <v>60</v>
      </c>
      <c r="M135" s="3670">
        <f>YesterdayGen!EI35</f>
        <v>70</v>
      </c>
      <c r="N135" s="3644"/>
      <c r="O135" s="3645">
        <f>I135-M135</f>
        <v>39</v>
      </c>
      <c r="P135" s="4112" t="s">
        <v>126</v>
      </c>
      <c r="Q135" s="3720"/>
      <c r="R135" s="4113"/>
      <c r="S135" s="211"/>
      <c r="T135" s="190"/>
      <c r="U135" s="190"/>
      <c r="V135" s="190"/>
      <c r="W135" s="190"/>
      <c r="X135" s="190"/>
      <c r="Y135" s="190"/>
      <c r="Z135" s="190"/>
      <c r="AA135" s="190"/>
      <c r="AB135" s="190"/>
      <c r="AC135" s="190"/>
    </row>
    <row r="136" spans="1:29" ht="16.5" customHeight="1">
      <c r="B136" s="3636">
        <v>114</v>
      </c>
      <c r="C136" s="4084" t="str">
        <f>Master!EB3</f>
        <v>Bheramara 410 MW CCPP</v>
      </c>
      <c r="D136" s="3638"/>
      <c r="E136" s="3636" t="str">
        <f>Master!EB5</f>
        <v>Gas</v>
      </c>
      <c r="F136" s="3668" t="str">
        <f>Master!EB4</f>
        <v>NWPGCL</v>
      </c>
      <c r="G136" s="3650" t="str">
        <f>Master!EB6</f>
        <v>1*278+1*132</v>
      </c>
      <c r="H136" s="3681">
        <f>Master!EB7</f>
        <v>410</v>
      </c>
      <c r="I136" s="3682">
        <f>Master!EB8</f>
        <v>410</v>
      </c>
      <c r="J136" s="4109">
        <f>YesterdayGen!EB33</f>
        <v>150</v>
      </c>
      <c r="K136" s="3644">
        <f>YesterdayGen!EB34</f>
        <v>150</v>
      </c>
      <c r="L136" s="3675">
        <f>YesterdayGen!EB36</f>
        <v>160</v>
      </c>
      <c r="M136" s="3670">
        <f>YesterdayGen!EB35</f>
        <v>185</v>
      </c>
      <c r="N136" s="3644">
        <f>I136-M136</f>
        <v>225</v>
      </c>
      <c r="O136" s="3645"/>
      <c r="P136" s="4114" t="s">
        <v>173</v>
      </c>
      <c r="Q136" s="3720"/>
      <c r="R136" s="3651"/>
      <c r="S136" s="211"/>
      <c r="T136" s="190"/>
      <c r="U136" s="190"/>
      <c r="V136" s="190"/>
      <c r="W136" s="190"/>
      <c r="X136" s="190"/>
      <c r="Y136" s="190"/>
      <c r="Z136" s="190"/>
      <c r="AA136" s="190"/>
      <c r="AB136" s="190"/>
      <c r="AC136" s="190"/>
    </row>
    <row r="137" spans="1:29" ht="16.5" customHeight="1">
      <c r="B137" s="3685">
        <v>115</v>
      </c>
      <c r="C137" s="4115" t="str">
        <f>Master!EJ3</f>
        <v>Noapara 40 MW PP (Khanjahan Ali)</v>
      </c>
      <c r="D137" s="4116"/>
      <c r="E137" s="4117" t="str">
        <f>Master!EJ5</f>
        <v>HFO</v>
      </c>
      <c r="F137" s="4118" t="str">
        <f>Master!EJ4</f>
        <v>NENP</v>
      </c>
      <c r="G137" s="4119" t="str">
        <f>Master!EJ6</f>
        <v>5*8.5</v>
      </c>
      <c r="H137" s="3690">
        <f>Master!EJ7</f>
        <v>40</v>
      </c>
      <c r="I137" s="3691">
        <f>Master!EJ8</f>
        <v>40</v>
      </c>
      <c r="J137" s="4120">
        <f>YesterdayGen!EJ33</f>
        <v>0</v>
      </c>
      <c r="K137" s="3693">
        <f>YesterdayGen!EJ34</f>
        <v>8</v>
      </c>
      <c r="L137" s="4121">
        <f>YesterdayGen!EJ36</f>
        <v>0</v>
      </c>
      <c r="M137" s="4122">
        <f>YesterdayGen!EJ35</f>
        <v>8</v>
      </c>
      <c r="N137" s="3693">
        <f>I137-M137</f>
        <v>32</v>
      </c>
      <c r="O137" s="4123"/>
      <c r="P137" s="3987" t="s">
        <v>1347</v>
      </c>
      <c r="Q137" s="4124"/>
      <c r="R137" s="4125"/>
      <c r="S137" s="211"/>
      <c r="T137" s="190"/>
      <c r="U137" s="190"/>
      <c r="V137" s="190"/>
      <c r="W137" s="190"/>
      <c r="X137" s="190"/>
      <c r="Y137" s="190"/>
      <c r="Z137" s="190"/>
      <c r="AA137" s="190"/>
      <c r="AB137" s="190"/>
      <c r="AC137" s="190"/>
    </row>
    <row r="138" spans="1:29" ht="16.5" customHeight="1">
      <c r="B138" s="3636">
        <v>116</v>
      </c>
      <c r="C138" s="3751" t="str">
        <f>Master!FL3</f>
        <v xml:space="preserve"> Noapara 100 MW PP (Bangla Trac)</v>
      </c>
      <c r="D138" s="3999"/>
      <c r="E138" s="3636" t="str">
        <f>Master!FL5</f>
        <v>HSD</v>
      </c>
      <c r="F138" s="3770" t="str">
        <f>Master!FL4</f>
        <v>IPP</v>
      </c>
      <c r="G138" s="3870" t="str">
        <f>Master!FL6</f>
        <v>70*1.4</v>
      </c>
      <c r="H138" s="3756">
        <f>Master!FL7</f>
        <v>100</v>
      </c>
      <c r="I138" s="3760">
        <f>Master!FL8</f>
        <v>100</v>
      </c>
      <c r="J138" s="3761">
        <f>YesterdayGen!FL33</f>
        <v>0</v>
      </c>
      <c r="K138" s="3762">
        <f>YesterdayGen!FL34</f>
        <v>96</v>
      </c>
      <c r="L138" s="3763">
        <f>YesterdayGen!FL36</f>
        <v>60</v>
      </c>
      <c r="M138" s="3764">
        <f>YesterdayGen!FL35</f>
        <v>96</v>
      </c>
      <c r="N138" s="3762">
        <f>I138-M138</f>
        <v>4</v>
      </c>
      <c r="O138" s="3645"/>
      <c r="P138" s="4937" t="s">
        <v>1862</v>
      </c>
      <c r="Q138" s="3720"/>
      <c r="R138" s="3653"/>
      <c r="S138" s="211"/>
      <c r="T138" s="190"/>
      <c r="U138" s="190"/>
      <c r="V138" s="190"/>
      <c r="W138" s="190"/>
      <c r="X138" s="190"/>
      <c r="Y138" s="190"/>
      <c r="Z138" s="190"/>
      <c r="AA138" s="190"/>
      <c r="AB138" s="190"/>
      <c r="AC138" s="190"/>
    </row>
    <row r="139" spans="1:29" ht="16.5" customHeight="1">
      <c r="B139" s="3636">
        <v>117</v>
      </c>
      <c r="C139" s="3768" t="str">
        <f>Master!FP3</f>
        <v>Rupsha 105 MW PP (Orion rupsha)</v>
      </c>
      <c r="D139" s="3999"/>
      <c r="E139" s="3756" t="str">
        <f>Master!FP5</f>
        <v>HFO</v>
      </c>
      <c r="F139" s="3770" t="str">
        <f>Master!FP4</f>
        <v>IPP</v>
      </c>
      <c r="G139" s="3759" t="str">
        <f>Master!FP6</f>
        <v>6*18.445</v>
      </c>
      <c r="H139" s="3756">
        <f>Master!FP7</f>
        <v>105</v>
      </c>
      <c r="I139" s="3760">
        <f>Master!FP8</f>
        <v>105</v>
      </c>
      <c r="J139" s="3761">
        <f>YesterdayGen!FP33</f>
        <v>0</v>
      </c>
      <c r="K139" s="3762">
        <f>YesterdayGen!FP34</f>
        <v>53</v>
      </c>
      <c r="L139" s="3763">
        <f>YesterdayGen!FP36</f>
        <v>0</v>
      </c>
      <c r="M139" s="3764">
        <f>YesterdayGen!FP35</f>
        <v>35</v>
      </c>
      <c r="N139" s="3762">
        <f>I139-M139</f>
        <v>70</v>
      </c>
      <c r="O139" s="4079"/>
      <c r="P139" s="4126" t="s">
        <v>1347</v>
      </c>
      <c r="Q139" s="3720"/>
      <c r="R139" s="4030"/>
      <c r="S139" s="211"/>
      <c r="T139" s="190"/>
      <c r="U139" s="190"/>
      <c r="V139" s="190"/>
      <c r="W139" s="190"/>
      <c r="X139" s="190"/>
      <c r="Y139" s="190"/>
      <c r="Z139" s="190"/>
      <c r="AA139" s="190"/>
      <c r="AB139" s="190"/>
      <c r="AC139" s="190"/>
    </row>
    <row r="140" spans="1:29" ht="16.5" customHeight="1">
      <c r="B140" s="3636">
        <v>118</v>
      </c>
      <c r="C140" s="4032" t="str">
        <f>Master!FS3</f>
        <v>Madhumati 100 MW PP</v>
      </c>
      <c r="D140" s="4033"/>
      <c r="E140" s="4034" t="str">
        <f>Master!FS5</f>
        <v>HFO</v>
      </c>
      <c r="F140" s="4034" t="str">
        <f>Master!FS4</f>
        <v>NWPGCL</v>
      </c>
      <c r="G140" s="4034" t="str">
        <f>Master!FS6</f>
        <v>6*18</v>
      </c>
      <c r="H140" s="4034">
        <f>Master!FS7</f>
        <v>105</v>
      </c>
      <c r="I140" s="4034">
        <f>Master!FS8</f>
        <v>105</v>
      </c>
      <c r="J140" s="4036">
        <f>YesterdayGen!FS33</f>
        <v>88</v>
      </c>
      <c r="K140" s="4036">
        <f>YesterdayGen!FS34</f>
        <v>105</v>
      </c>
      <c r="L140" s="4037">
        <f>YesterdayGen!FS36</f>
        <v>105</v>
      </c>
      <c r="M140" s="4037">
        <f>YesterdayGen!FS35</f>
        <v>105</v>
      </c>
      <c r="N140" s="4036"/>
      <c r="O140" s="4079"/>
      <c r="P140" s="4126"/>
      <c r="Q140" s="4127"/>
      <c r="R140" s="4128"/>
      <c r="S140" s="211"/>
      <c r="T140" s="190"/>
      <c r="U140" s="190"/>
      <c r="V140" s="190"/>
      <c r="W140" s="190"/>
      <c r="X140" s="190"/>
      <c r="Y140" s="190"/>
      <c r="Z140" s="190"/>
      <c r="AA140" s="190"/>
      <c r="AB140" s="190"/>
      <c r="AC140" s="190"/>
    </row>
    <row r="141" spans="1:29" ht="16.5" customHeight="1">
      <c r="B141" s="3636">
        <v>119</v>
      </c>
      <c r="C141" s="4010" t="str">
        <f>Master!GC3</f>
        <v>Mongla Orion 100 MW Solar PP</v>
      </c>
      <c r="D141" s="4011"/>
      <c r="E141" s="3816" t="str">
        <f>Master!GC5</f>
        <v>Solar</v>
      </c>
      <c r="F141" s="3816" t="str">
        <f>Master!GC4</f>
        <v>IPP</v>
      </c>
      <c r="G141" s="4129">
        <f>Master!GC6</f>
        <v>100</v>
      </c>
      <c r="H141" s="3816">
        <f>Master!GC7</f>
        <v>100</v>
      </c>
      <c r="I141" s="3822">
        <f>Master!GC8</f>
        <v>100</v>
      </c>
      <c r="J141" s="3823">
        <f>YesterdayGen!GC33</f>
        <v>44</v>
      </c>
      <c r="K141" s="3823">
        <f>YesterdayGen!GC34</f>
        <v>0</v>
      </c>
      <c r="L141" s="3824">
        <f>YesterdayGen!GC36</f>
        <v>100</v>
      </c>
      <c r="M141" s="3825">
        <f>YesterdayGen!GC35</f>
        <v>0</v>
      </c>
      <c r="N141" s="3823"/>
      <c r="O141" s="3826"/>
      <c r="P141" s="4130"/>
      <c r="Q141" s="3827"/>
      <c r="R141" s="4131"/>
      <c r="S141" s="211"/>
      <c r="T141" s="190"/>
      <c r="U141" s="190"/>
      <c r="V141" s="190"/>
      <c r="W141" s="190"/>
      <c r="X141" s="190"/>
      <c r="Y141" s="190"/>
      <c r="Z141" s="190"/>
      <c r="AA141" s="190"/>
      <c r="AB141" s="190"/>
      <c r="AC141" s="190"/>
    </row>
    <row r="142" spans="1:29" ht="16.5" customHeight="1" thickBot="1">
      <c r="B142" s="4733"/>
      <c r="C142" s="4728" t="str">
        <f>Master!GE3</f>
        <v>Khulna 330 MW CCPP (OIL)</v>
      </c>
      <c r="D142" s="4522"/>
      <c r="E142" s="1928" t="s">
        <v>682</v>
      </c>
      <c r="F142" s="220" t="str">
        <f>Master!GE4</f>
        <v>BPDB</v>
      </c>
      <c r="G142" s="220" t="str">
        <f>Master!GE6</f>
        <v>1*220+1*110</v>
      </c>
      <c r="H142" s="3873">
        <f>Master!GE7</f>
        <v>0</v>
      </c>
      <c r="I142" s="220">
        <f>Master!GE8</f>
        <v>0</v>
      </c>
      <c r="J142" s="3779">
        <f>YesterdayGen!GE33+YesterdayGen!GF33</f>
        <v>0</v>
      </c>
      <c r="K142" s="3779">
        <f>YesterdayGen!GE34+YesterdayGen!GF34</f>
        <v>0</v>
      </c>
      <c r="L142" s="4729">
        <f>YesterdayGen!GE36+YesterdayGen!GF36</f>
        <v>0</v>
      </c>
      <c r="M142" s="4313">
        <f>YesterdayGen!GE35+YesterdayGen!GF35</f>
        <v>0</v>
      </c>
      <c r="N142" s="3779"/>
      <c r="O142" s="4079"/>
      <c r="P142" s="4730" t="s">
        <v>1810</v>
      </c>
      <c r="Q142" s="4731"/>
      <c r="R142" s="4131"/>
      <c r="S142" s="211"/>
      <c r="T142" s="190"/>
      <c r="U142" s="190"/>
      <c r="V142" s="190"/>
      <c r="W142" s="190"/>
      <c r="X142" s="190"/>
      <c r="Y142" s="190"/>
      <c r="Z142" s="190"/>
      <c r="AA142" s="190"/>
      <c r="AB142" s="190"/>
      <c r="AC142" s="190"/>
    </row>
    <row r="143" spans="1:29" ht="16.5" customHeight="1" thickBot="1">
      <c r="B143" s="2273"/>
      <c r="C143" s="2274" t="s">
        <v>42</v>
      </c>
      <c r="D143" s="2274"/>
      <c r="E143" s="2275"/>
      <c r="F143" s="2275"/>
      <c r="G143" s="2275"/>
      <c r="H143" s="2276">
        <f t="shared" ref="H143:O143" si="5">SUM(H130:H142)</f>
        <v>2388</v>
      </c>
      <c r="I143" s="3837">
        <f t="shared" si="5"/>
        <v>2384</v>
      </c>
      <c r="J143" s="2276">
        <f t="shared" si="5"/>
        <v>1433</v>
      </c>
      <c r="K143" s="2276">
        <f t="shared" si="5"/>
        <v>1691</v>
      </c>
      <c r="L143" s="3837">
        <f t="shared" si="5"/>
        <v>1672</v>
      </c>
      <c r="M143" s="2276">
        <f t="shared" si="5"/>
        <v>1703</v>
      </c>
      <c r="N143" s="2276">
        <f t="shared" si="5"/>
        <v>451</v>
      </c>
      <c r="O143" s="3838">
        <f t="shared" si="5"/>
        <v>61</v>
      </c>
      <c r="P143" s="3839" t="s">
        <v>165</v>
      </c>
      <c r="Q143" s="3840"/>
      <c r="R143" s="3841"/>
      <c r="S143" s="211"/>
      <c r="T143" s="190"/>
      <c r="U143" s="190"/>
      <c r="V143" s="190"/>
      <c r="W143" s="190"/>
      <c r="X143" s="190"/>
      <c r="Y143" s="190"/>
      <c r="Z143" s="190"/>
      <c r="AA143" s="190"/>
      <c r="AB143" s="190"/>
      <c r="AC143" s="190"/>
    </row>
    <row r="144" spans="1:29" ht="16.5" customHeight="1">
      <c r="B144" s="3756">
        <v>120</v>
      </c>
      <c r="C144" s="3843" t="str">
        <f>Master!EM3</f>
        <v>Barisal 110 MW PP (Summit )</v>
      </c>
      <c r="D144" s="4132"/>
      <c r="E144" s="3640" t="str">
        <f>Master!EM5</f>
        <v>HFO</v>
      </c>
      <c r="F144" s="3845" t="str">
        <f>Master!EM4</f>
        <v>IPP</v>
      </c>
      <c r="G144" s="3639" t="str">
        <f>Master!EM6</f>
        <v>7*17.076</v>
      </c>
      <c r="H144" s="3848">
        <f>Master!EM7</f>
        <v>110</v>
      </c>
      <c r="I144" s="3846">
        <f>Master!EM8</f>
        <v>110</v>
      </c>
      <c r="J144" s="4133">
        <f>YesterdayGen!EM33</f>
        <v>16</v>
      </c>
      <c r="K144" s="4134">
        <f>YesterdayGen!EM34</f>
        <v>64</v>
      </c>
      <c r="L144" s="4135">
        <f>YesterdayGen!EM36</f>
        <v>64</v>
      </c>
      <c r="M144" s="4136">
        <f>YesterdayGen!EM35</f>
        <v>64</v>
      </c>
      <c r="N144" s="4137"/>
      <c r="O144" s="4138"/>
      <c r="P144" s="4954" t="s">
        <v>1370</v>
      </c>
      <c r="Q144" s="4139"/>
      <c r="R144" s="4140"/>
      <c r="S144" s="211"/>
      <c r="T144" s="1168"/>
      <c r="U144" s="210"/>
      <c r="V144" s="219"/>
      <c r="W144" s="219"/>
      <c r="X144" s="219"/>
      <c r="Y144" s="190"/>
      <c r="Z144" s="190"/>
      <c r="AA144" s="190"/>
      <c r="AB144" s="190"/>
      <c r="AC144" s="190"/>
    </row>
    <row r="145" spans="2:29" ht="16.5" customHeight="1">
      <c r="B145" s="3756">
        <v>121</v>
      </c>
      <c r="C145" s="3768" t="str">
        <f>Master!EL3</f>
        <v>Bhola  33 MW PP (Venture)</v>
      </c>
      <c r="D145" s="3999"/>
      <c r="E145" s="3756" t="str">
        <f>Master!EL5</f>
        <v>Gas</v>
      </c>
      <c r="F145" s="3770" t="str">
        <f>Master!EL4</f>
        <v>NENP</v>
      </c>
      <c r="G145" s="3759" t="str">
        <f>Master!EL6</f>
        <v>1*34.50</v>
      </c>
      <c r="H145" s="3756">
        <f>Master!EL7</f>
        <v>40</v>
      </c>
      <c r="I145" s="3760">
        <f>Master!EL8</f>
        <v>40</v>
      </c>
      <c r="J145" s="4141">
        <f>YesterdayGen!EL33</f>
        <v>21</v>
      </c>
      <c r="K145" s="3762">
        <f>YesterdayGen!EL34</f>
        <v>33</v>
      </c>
      <c r="L145" s="3763">
        <f>YesterdayGen!EL36</f>
        <v>23</v>
      </c>
      <c r="M145" s="3764">
        <f>YesterdayGen!EL35</f>
        <v>30</v>
      </c>
      <c r="N145" s="3762"/>
      <c r="O145" s="4079">
        <f>I145-M145</f>
        <v>10</v>
      </c>
      <c r="P145" s="4142" t="s">
        <v>126</v>
      </c>
      <c r="Q145" s="4139"/>
      <c r="R145" s="3651"/>
      <c r="S145" s="211"/>
      <c r="T145" s="210"/>
      <c r="U145" s="210"/>
      <c r="V145" s="210"/>
      <c r="W145" s="933"/>
      <c r="X145" s="210"/>
      <c r="Y145" s="190"/>
      <c r="Z145" s="190"/>
      <c r="AA145" s="190"/>
      <c r="AB145" s="190"/>
      <c r="AC145" s="190"/>
    </row>
    <row r="146" spans="2:29" ht="16.5" customHeight="1">
      <c r="B146" s="3756">
        <v>122</v>
      </c>
      <c r="C146" s="4143" t="str">
        <f>Master!EK3</f>
        <v>Bhola 225 MW  CCPP</v>
      </c>
      <c r="D146" s="3999"/>
      <c r="E146" s="4144" t="str">
        <f>Master!EK5</f>
        <v>Gas</v>
      </c>
      <c r="F146" s="3770" t="str">
        <f>Master!EK4</f>
        <v>PDB</v>
      </c>
      <c r="G146" s="3759" t="str">
        <f>Master!EK6</f>
        <v>2*63+1*68</v>
      </c>
      <c r="H146" s="3756">
        <f>Master!EK7</f>
        <v>194</v>
      </c>
      <c r="I146" s="3760">
        <f>Master!EK8</f>
        <v>194</v>
      </c>
      <c r="J146" s="4145">
        <f>YesterdayGen!EK33</f>
        <v>85</v>
      </c>
      <c r="K146" s="3762">
        <f>YesterdayGen!EK34</f>
        <v>88</v>
      </c>
      <c r="L146" s="3763">
        <f>YesterdayGen!EK36</f>
        <v>88</v>
      </c>
      <c r="M146" s="3764">
        <f>YesterdayGen!EK35</f>
        <v>88</v>
      </c>
      <c r="N146" s="3762">
        <f>I146-M146</f>
        <v>106</v>
      </c>
      <c r="O146" s="4146"/>
      <c r="P146" s="4147" t="s">
        <v>1839</v>
      </c>
      <c r="Q146" s="3720"/>
      <c r="R146" s="3766"/>
      <c r="S146" s="211"/>
      <c r="T146" s="210"/>
      <c r="U146" s="210"/>
      <c r="V146" s="210"/>
      <c r="W146" s="933"/>
      <c r="X146" s="210"/>
      <c r="Y146" s="190"/>
      <c r="Z146" s="190"/>
      <c r="AA146" s="190"/>
      <c r="AB146" s="190"/>
      <c r="AC146" s="190"/>
    </row>
    <row r="147" spans="2:29" ht="16.5" customHeight="1">
      <c r="B147" s="4148"/>
      <c r="C147" s="4149" t="str">
        <f>Master!FK3</f>
        <v>Bhola 95 MW PP (Aggreko)</v>
      </c>
      <c r="D147" s="4150"/>
      <c r="E147" s="4151" t="str">
        <f>Master!FK5</f>
        <v>Gas</v>
      </c>
      <c r="F147" s="4152" t="str">
        <f>Master!FK4</f>
        <v>QRPP</v>
      </c>
      <c r="G147" s="4153" t="str">
        <f>Master!FK6</f>
        <v>96*1.10</v>
      </c>
      <c r="H147" s="4151">
        <f>Master!FK7</f>
        <v>0</v>
      </c>
      <c r="I147" s="4154">
        <f>Master!FK8</f>
        <v>0</v>
      </c>
      <c r="J147" s="4155">
        <f>YesterdayGen!FK33</f>
        <v>0</v>
      </c>
      <c r="K147" s="4156">
        <f>YesterdayGen!FK34</f>
        <v>0</v>
      </c>
      <c r="L147" s="4157">
        <f>YesterdayGen!FK36</f>
        <v>0</v>
      </c>
      <c r="M147" s="4158">
        <f>YesterdayGen!FK35</f>
        <v>0</v>
      </c>
      <c r="N147" s="4156"/>
      <c r="O147" s="4159"/>
      <c r="P147" s="4160" t="s">
        <v>847</v>
      </c>
      <c r="Q147" s="4161"/>
      <c r="R147" s="4162" t="s">
        <v>1622</v>
      </c>
      <c r="S147" s="211"/>
      <c r="T147" s="210"/>
      <c r="U147" s="210"/>
      <c r="V147" s="210"/>
      <c r="W147" s="933"/>
      <c r="X147" s="210"/>
      <c r="Y147" s="190"/>
      <c r="Z147" s="190"/>
      <c r="AA147" s="190"/>
      <c r="AB147" s="190"/>
      <c r="AC147" s="190"/>
    </row>
    <row r="148" spans="2:29" ht="16.5" customHeight="1">
      <c r="B148" s="3756">
        <v>123</v>
      </c>
      <c r="C148" s="4163" t="str">
        <f>Master!FX3</f>
        <v>Payra 1320 MW</v>
      </c>
      <c r="D148" s="4164"/>
      <c r="E148" s="4165" t="str">
        <f>Master!FX5</f>
        <v>Coal</v>
      </c>
      <c r="F148" s="4165" t="str">
        <f>Master!FX4</f>
        <v>BCPCL</v>
      </c>
      <c r="G148" s="4165" t="str">
        <f>Master!FX6</f>
        <v>2*622</v>
      </c>
      <c r="H148" s="4165">
        <f>Master!FX7</f>
        <v>1244</v>
      </c>
      <c r="I148" s="4165">
        <f>Master!FX8</f>
        <v>1244</v>
      </c>
      <c r="J148" s="4166">
        <f>YesterdayGen!FX33</f>
        <v>940</v>
      </c>
      <c r="K148" s="4166">
        <f>YesterdayGen!FX34</f>
        <v>800</v>
      </c>
      <c r="L148" s="4167">
        <f>YesterdayGen!FX36</f>
        <v>600</v>
      </c>
      <c r="M148" s="4167">
        <f>YesterdayGen!FX35</f>
        <v>600</v>
      </c>
      <c r="N148" s="4166"/>
      <c r="O148" s="4168"/>
      <c r="P148" s="4885" t="s">
        <v>1753</v>
      </c>
      <c r="Q148" s="4169"/>
      <c r="R148" s="4170"/>
      <c r="S148" s="211"/>
      <c r="T148" s="210"/>
      <c r="U148" s="210"/>
      <c r="V148" s="210"/>
      <c r="W148" s="933"/>
      <c r="X148" s="210"/>
      <c r="Y148" s="190"/>
      <c r="Z148" s="190"/>
      <c r="AA148" s="190"/>
      <c r="AB148" s="190"/>
      <c r="AC148" s="190"/>
    </row>
    <row r="149" spans="2:29" ht="16.5" customHeight="1">
      <c r="B149" s="3756">
        <v>124</v>
      </c>
      <c r="C149" s="4171" t="s">
        <v>1179</v>
      </c>
      <c r="D149" s="4172"/>
      <c r="E149" s="4173" t="str">
        <f>Master!FY5</f>
        <v>Gas</v>
      </c>
      <c r="F149" s="4173" t="str">
        <f>Master!FY4</f>
        <v>IPP</v>
      </c>
      <c r="G149" s="4173">
        <f>Master!FY6</f>
        <v>220</v>
      </c>
      <c r="H149" s="4173">
        <f>Master!FY7</f>
        <v>220</v>
      </c>
      <c r="I149" s="4173">
        <f>Master!FY8</f>
        <v>220</v>
      </c>
      <c r="J149" s="4174">
        <f>YesterdayGen!FY33</f>
        <v>220</v>
      </c>
      <c r="K149" s="4174">
        <f>YesterdayGen!FY34</f>
        <v>187</v>
      </c>
      <c r="L149" s="4175">
        <f>YesterdayGen!FY36</f>
        <v>225</v>
      </c>
      <c r="M149" s="4175">
        <f>YesterdayGen!FY35</f>
        <v>220</v>
      </c>
      <c r="N149" s="4174"/>
      <c r="O149" s="4176"/>
      <c r="P149" s="4177"/>
      <c r="Q149" s="4178"/>
      <c r="R149" s="4179"/>
      <c r="S149" s="211"/>
      <c r="T149" s="210"/>
      <c r="U149" s="210"/>
      <c r="V149" s="210"/>
      <c r="W149" s="933"/>
      <c r="X149" s="210"/>
      <c r="Y149" s="190"/>
      <c r="Z149" s="190"/>
      <c r="AA149" s="190"/>
      <c r="AB149" s="190"/>
      <c r="AC149" s="190"/>
    </row>
    <row r="150" spans="2:29" ht="16.5" customHeight="1" thickBot="1">
      <c r="B150" s="3756">
        <v>125</v>
      </c>
      <c r="C150" s="4180" t="str">
        <f>Master!GA3</f>
        <v>United Payra Power Ltd.</v>
      </c>
      <c r="D150" s="4181"/>
      <c r="E150" s="3807" t="str">
        <f>Master!GA5</f>
        <v>HFO</v>
      </c>
      <c r="F150" s="3807" t="str">
        <f>Master!GA4</f>
        <v>IPP</v>
      </c>
      <c r="G150" s="4182" t="str">
        <f>Master!GA6</f>
        <v>8*18.5+1*9.5</v>
      </c>
      <c r="H150" s="3938">
        <f>Master!GA7</f>
        <v>150</v>
      </c>
      <c r="I150" s="4182">
        <f>Master!GA8</f>
        <v>150</v>
      </c>
      <c r="J150" s="3941">
        <f>YesterdayGen!GA33</f>
        <v>0</v>
      </c>
      <c r="K150" s="3941">
        <f>YesterdayGen!GA34</f>
        <v>150</v>
      </c>
      <c r="L150" s="4183">
        <f>YesterdayGen!GA36</f>
        <v>90</v>
      </c>
      <c r="M150" s="3942">
        <f>YesterdayGen!GA35</f>
        <v>150</v>
      </c>
      <c r="N150" s="3941"/>
      <c r="O150" s="4184"/>
      <c r="P150" s="4185"/>
      <c r="Q150" s="3944"/>
      <c r="R150" s="4186"/>
      <c r="S150" s="211"/>
      <c r="T150" s="210"/>
      <c r="U150" s="210"/>
      <c r="V150" s="210"/>
      <c r="W150" s="933"/>
      <c r="X150" s="210"/>
      <c r="Y150" s="190"/>
      <c r="Z150" s="190"/>
      <c r="AA150" s="190"/>
      <c r="AB150" s="190"/>
      <c r="AC150" s="190"/>
    </row>
    <row r="151" spans="2:29" ht="16.5" customHeight="1" thickBot="1">
      <c r="B151" s="2273"/>
      <c r="C151" s="4187" t="s">
        <v>43</v>
      </c>
      <c r="D151" s="4187"/>
      <c r="E151" s="4188"/>
      <c r="F151" s="4188"/>
      <c r="G151" s="2275"/>
      <c r="H151" s="2276">
        <f t="shared" ref="H151:O151" si="6">SUM(H144:H150)</f>
        <v>1958</v>
      </c>
      <c r="I151" s="3837">
        <f t="shared" si="6"/>
        <v>1958</v>
      </c>
      <c r="J151" s="2276">
        <f t="shared" si="6"/>
        <v>1282</v>
      </c>
      <c r="K151" s="2276">
        <f t="shared" si="6"/>
        <v>1322</v>
      </c>
      <c r="L151" s="3837">
        <f t="shared" si="6"/>
        <v>1090</v>
      </c>
      <c r="M151" s="2276">
        <f t="shared" si="6"/>
        <v>1152</v>
      </c>
      <c r="N151" s="2276">
        <f t="shared" si="6"/>
        <v>106</v>
      </c>
      <c r="O151" s="3838">
        <f t="shared" si="6"/>
        <v>10</v>
      </c>
      <c r="P151" s="3839" t="s">
        <v>165</v>
      </c>
      <c r="Q151" s="3840"/>
      <c r="R151" s="3841"/>
      <c r="S151" s="211"/>
      <c r="T151" s="210"/>
      <c r="U151" s="210"/>
      <c r="V151" s="210"/>
      <c r="W151" s="933"/>
      <c r="X151" s="210"/>
      <c r="Y151" s="190"/>
      <c r="Z151" s="190"/>
      <c r="AA151" s="190"/>
      <c r="AB151" s="190"/>
      <c r="AC151" s="190"/>
    </row>
    <row r="152" spans="2:29" ht="16.5" customHeight="1">
      <c r="B152" s="4189">
        <v>126</v>
      </c>
      <c r="C152" s="3843" t="str">
        <f>Master!EP3</f>
        <v>Baghabari 71 MW GTPP</v>
      </c>
      <c r="D152" s="3844"/>
      <c r="E152" s="3640" t="str">
        <f>Master!EP5</f>
        <v>Gas</v>
      </c>
      <c r="F152" s="3845" t="str">
        <f>Master!EP4</f>
        <v>PDB</v>
      </c>
      <c r="G152" s="3639" t="str">
        <f>Master!EP6</f>
        <v>1*71</v>
      </c>
      <c r="H152" s="3640">
        <f>Master!EP7</f>
        <v>71</v>
      </c>
      <c r="I152" s="3846">
        <f>Master!EP8</f>
        <v>71</v>
      </c>
      <c r="J152" s="4104">
        <f>YesterdayGen!EP33</f>
        <v>0</v>
      </c>
      <c r="K152" s="3848">
        <f>YesterdayGen!EP34</f>
        <v>0</v>
      </c>
      <c r="L152" s="4023">
        <f>YesterdayGen!EP36</f>
        <v>0</v>
      </c>
      <c r="M152" s="4024">
        <f>YesterdayGen!EP35</f>
        <v>0</v>
      </c>
      <c r="N152" s="3848">
        <f>I152-M152</f>
        <v>71</v>
      </c>
      <c r="O152" s="3645"/>
      <c r="P152" s="4190" t="s">
        <v>173</v>
      </c>
      <c r="Q152" s="4139"/>
      <c r="R152" s="3738"/>
      <c r="S152" s="211"/>
      <c r="T152" s="210"/>
      <c r="U152" s="210"/>
      <c r="V152" s="210"/>
      <c r="W152" s="210"/>
      <c r="X152" s="210"/>
      <c r="Y152" s="190"/>
      <c r="Z152" s="190"/>
      <c r="AA152" s="190"/>
      <c r="AB152" s="190"/>
      <c r="AC152" s="190"/>
    </row>
    <row r="153" spans="2:29" ht="16.5" customHeight="1">
      <c r="B153" s="4191"/>
      <c r="C153" s="3751" t="str">
        <f>Master!EO3</f>
        <v>Baghabari  100 MW GTPP</v>
      </c>
      <c r="D153" s="3638"/>
      <c r="E153" s="3636" t="str">
        <f>Master!EO5</f>
        <v>Gas</v>
      </c>
      <c r="F153" s="3668" t="str">
        <f>Master!EO4</f>
        <v>PDB</v>
      </c>
      <c r="G153" s="3650" t="str">
        <f>Master!EO6</f>
        <v>1*100</v>
      </c>
      <c r="H153" s="3636">
        <f>Master!EO7</f>
        <v>100</v>
      </c>
      <c r="I153" s="3642">
        <f>Master!EO8</f>
        <v>100</v>
      </c>
      <c r="J153" s="4109">
        <f>YesterdayGen!EO33</f>
        <v>0</v>
      </c>
      <c r="K153" s="3644">
        <f>YesterdayGen!EO34</f>
        <v>0</v>
      </c>
      <c r="L153" s="3675">
        <f>YesterdayGen!EO36</f>
        <v>0</v>
      </c>
      <c r="M153" s="3670">
        <f>YesterdayGen!EO35</f>
        <v>0</v>
      </c>
      <c r="N153" s="3644">
        <v>100</v>
      </c>
      <c r="O153" s="3645"/>
      <c r="P153" s="4190" t="s">
        <v>173</v>
      </c>
      <c r="Q153" s="4139"/>
      <c r="R153" s="3766"/>
      <c r="S153" s="211"/>
      <c r="T153" s="210"/>
      <c r="U153" s="210"/>
      <c r="V153" s="210"/>
      <c r="W153" s="210"/>
      <c r="X153" s="210"/>
      <c r="Y153" s="190"/>
      <c r="Z153" s="190"/>
      <c r="AA153" s="190"/>
      <c r="AB153" s="190"/>
      <c r="AC153" s="190"/>
    </row>
    <row r="154" spans="2:29" ht="15.75" customHeight="1">
      <c r="B154" s="3636">
        <v>127</v>
      </c>
      <c r="C154" s="3751" t="str">
        <f>Master!EQ3</f>
        <v>Baghabari  50 MW Peaking PP</v>
      </c>
      <c r="D154" s="3638"/>
      <c r="E154" s="3636" t="str">
        <f>Master!EQ5</f>
        <v>HFO</v>
      </c>
      <c r="F154" s="3668" t="str">
        <f>Master!EQ4</f>
        <v>PDB</v>
      </c>
      <c r="G154" s="3650" t="str">
        <f>Master!EQ6</f>
        <v>6*8.9</v>
      </c>
      <c r="H154" s="3636">
        <f>Master!EQ7</f>
        <v>52</v>
      </c>
      <c r="I154" s="3642">
        <f>Master!EQ8</f>
        <v>52</v>
      </c>
      <c r="J154" s="4109">
        <f>YesterdayGen!EQ33</f>
        <v>24</v>
      </c>
      <c r="K154" s="3644">
        <f>YesterdayGen!EQ34</f>
        <v>32</v>
      </c>
      <c r="L154" s="3675">
        <f>YesterdayGen!EQ36</f>
        <v>32</v>
      </c>
      <c r="M154" s="3670">
        <f>YesterdayGen!EQ35</f>
        <v>32</v>
      </c>
      <c r="N154" s="3644"/>
      <c r="O154" s="3645">
        <f>I154-M154</f>
        <v>20</v>
      </c>
      <c r="P154" s="4192" t="s">
        <v>126</v>
      </c>
      <c r="Q154" s="4139"/>
      <c r="R154" s="3651"/>
      <c r="S154" s="211"/>
      <c r="T154" s="210"/>
      <c r="U154" s="1169"/>
      <c r="V154" s="210"/>
      <c r="W154" s="210"/>
      <c r="X154" s="210"/>
      <c r="Y154" s="190"/>
      <c r="Z154" s="190"/>
      <c r="AA154" s="190"/>
      <c r="AB154" s="190"/>
      <c r="AC154" s="190"/>
    </row>
    <row r="155" spans="2:29" ht="15.75" customHeight="1">
      <c r="B155" s="3636">
        <v>128</v>
      </c>
      <c r="C155" s="3751" t="str">
        <f>Master!ER3</f>
        <v>Bera 70 MW Peaking PP</v>
      </c>
      <c r="D155" s="3999"/>
      <c r="E155" s="3756" t="str">
        <f>Master!ER5</f>
        <v>HFO</v>
      </c>
      <c r="F155" s="3770" t="str">
        <f>Master!ER4</f>
        <v>PDB</v>
      </c>
      <c r="G155" s="3759" t="str">
        <f>Master!ER6</f>
        <v>9*8.29</v>
      </c>
      <c r="H155" s="3756">
        <f>Master!ER7</f>
        <v>71</v>
      </c>
      <c r="I155" s="3760">
        <f>Master!ER8</f>
        <v>71</v>
      </c>
      <c r="J155" s="4109">
        <f>YesterdayGen!ER33</f>
        <v>0</v>
      </c>
      <c r="K155" s="3644">
        <f>YesterdayGen!ER34</f>
        <v>25</v>
      </c>
      <c r="L155" s="3763">
        <f>YesterdayGen!ER36</f>
        <v>0</v>
      </c>
      <c r="M155" s="3764">
        <f>YesterdayGen!ER35</f>
        <v>40</v>
      </c>
      <c r="N155" s="3762"/>
      <c r="O155" s="3645">
        <f>I155-M155</f>
        <v>31</v>
      </c>
      <c r="P155" s="4192" t="s">
        <v>126</v>
      </c>
      <c r="Q155" s="4139"/>
      <c r="R155" s="4193"/>
      <c r="S155" s="211"/>
      <c r="T155" s="210"/>
      <c r="U155" s="210"/>
      <c r="V155" s="210"/>
      <c r="W155" s="210"/>
      <c r="X155" s="210"/>
      <c r="Y155" s="190"/>
      <c r="Z155" s="190"/>
      <c r="AA155" s="190"/>
      <c r="AB155" s="190"/>
      <c r="AC155" s="190"/>
    </row>
    <row r="156" spans="2:29" s="140" customFormat="1" ht="16.5" customHeight="1">
      <c r="B156" s="3654">
        <v>129</v>
      </c>
      <c r="C156" s="4194" t="str">
        <f>Master!ET3</f>
        <v>Amnura 50 MW PP(Sinha)</v>
      </c>
      <c r="D156" s="4195"/>
      <c r="E156" s="4196" t="str">
        <f>Master!ET5</f>
        <v>HFO</v>
      </c>
      <c r="F156" s="4197" t="str">
        <f>Master!ET4</f>
        <v>QRPP</v>
      </c>
      <c r="G156" s="4198" t="str">
        <f>Master!ET6</f>
        <v>7*7.79</v>
      </c>
      <c r="H156" s="4199">
        <f>Master!ET7</f>
        <v>50</v>
      </c>
      <c r="I156" s="4200">
        <f>Master!ET8</f>
        <v>0</v>
      </c>
      <c r="J156" s="4201">
        <f>YesterdayGen!ET33</f>
        <v>0</v>
      </c>
      <c r="K156" s="3661">
        <f>YesterdayGen!ET34</f>
        <v>0</v>
      </c>
      <c r="L156" s="4202">
        <f>YesterdayGen!ET36</f>
        <v>0</v>
      </c>
      <c r="M156" s="4203">
        <f>YesterdayGen!ET35</f>
        <v>0</v>
      </c>
      <c r="N156" s="4204"/>
      <c r="O156" s="3664"/>
      <c r="P156" s="4205" t="s">
        <v>847</v>
      </c>
      <c r="Q156" s="4206"/>
      <c r="R156" s="4207"/>
      <c r="S156" s="3554"/>
      <c r="T156" s="3555"/>
      <c r="U156" s="3555"/>
      <c r="V156" s="3555"/>
      <c r="W156" s="3555"/>
      <c r="X156" s="3555"/>
      <c r="Y156" s="3556"/>
      <c r="Z156" s="3556"/>
      <c r="AA156" s="3556"/>
      <c r="AB156" s="3556"/>
      <c r="AC156" s="3556"/>
    </row>
    <row r="157" spans="2:29" ht="16.5" customHeight="1">
      <c r="B157" s="3636">
        <v>130</v>
      </c>
      <c r="C157" s="3751" t="str">
        <f>Master!EU3</f>
        <v>Katakhali 50 MW PP (Northern)</v>
      </c>
      <c r="D157" s="3999"/>
      <c r="E157" s="3756" t="str">
        <f>Master!EU5</f>
        <v>HFO</v>
      </c>
      <c r="F157" s="3770" t="str">
        <f>Master!EU4</f>
        <v>QRPP</v>
      </c>
      <c r="G157" s="3759" t="str">
        <f>Master!EU6</f>
        <v>6*8.9</v>
      </c>
      <c r="H157" s="4208">
        <f>Master!EU7</f>
        <v>50</v>
      </c>
      <c r="I157" s="4209">
        <f>Master!EU8</f>
        <v>50</v>
      </c>
      <c r="J157" s="4109">
        <f>YesterdayGen!EU33</f>
        <v>0</v>
      </c>
      <c r="K157" s="3644">
        <f>YesterdayGen!EU34</f>
        <v>0</v>
      </c>
      <c r="L157" s="3763">
        <f>YesterdayGen!EU36</f>
        <v>42</v>
      </c>
      <c r="M157" s="4210">
        <f>YesterdayGen!EU35</f>
        <v>42</v>
      </c>
      <c r="N157" s="3762"/>
      <c r="O157" s="4211">
        <f>I157-M157</f>
        <v>8</v>
      </c>
      <c r="P157" s="4212" t="s">
        <v>126</v>
      </c>
      <c r="Q157" s="4139"/>
      <c r="R157" s="3651"/>
      <c r="S157" s="211"/>
      <c r="T157" s="210"/>
      <c r="U157" s="210"/>
      <c r="V157" s="210"/>
      <c r="W157" s="210"/>
      <c r="X157" s="210"/>
      <c r="Y157" s="190"/>
      <c r="Z157" s="190"/>
      <c r="AA157" s="190"/>
      <c r="AB157" s="190"/>
      <c r="AC157" s="190"/>
    </row>
    <row r="158" spans="2:29" ht="16.5" customHeight="1">
      <c r="B158" s="3636">
        <v>131</v>
      </c>
      <c r="C158" s="3751" t="str">
        <f>Master!EV3</f>
        <v>Katakhali 50 MW Peaking PP</v>
      </c>
      <c r="D158" s="3999"/>
      <c r="E158" s="3756" t="str">
        <f>Master!EV5</f>
        <v>HFO</v>
      </c>
      <c r="F158" s="3770" t="str">
        <f>Master!EV4</f>
        <v>PDB</v>
      </c>
      <c r="G158" s="3759" t="str">
        <f>Master!EV6</f>
        <v>6*8.7</v>
      </c>
      <c r="H158" s="4208">
        <f>Master!EV7</f>
        <v>50</v>
      </c>
      <c r="I158" s="4209">
        <f>Master!EV8</f>
        <v>50</v>
      </c>
      <c r="J158" s="4109">
        <f>YesterdayGen!EV33</f>
        <v>32</v>
      </c>
      <c r="K158" s="3644">
        <f>YesterdayGen!EV34</f>
        <v>32</v>
      </c>
      <c r="L158" s="3763">
        <f>YesterdayGen!EV36</f>
        <v>32</v>
      </c>
      <c r="M158" s="3764">
        <f>YesterdayGen!EV35</f>
        <v>32</v>
      </c>
      <c r="N158" s="3762"/>
      <c r="O158" s="3645">
        <f>I158-M158</f>
        <v>18</v>
      </c>
      <c r="P158" s="4212" t="s">
        <v>126</v>
      </c>
      <c r="Q158" s="4139"/>
      <c r="R158" s="3651"/>
      <c r="S158" s="211"/>
      <c r="T158" s="1169"/>
      <c r="U158" s="210"/>
      <c r="V158" s="210"/>
      <c r="W158" s="210"/>
      <c r="X158" s="210"/>
      <c r="Y158" s="190"/>
      <c r="Z158" s="190"/>
      <c r="AA158" s="190"/>
      <c r="AB158" s="190"/>
      <c r="AC158" s="190"/>
    </row>
    <row r="159" spans="2:29" ht="16.5" customHeight="1">
      <c r="B159" s="3636">
        <v>132</v>
      </c>
      <c r="C159" s="4213" t="s">
        <v>1030</v>
      </c>
      <c r="D159" s="3999"/>
      <c r="E159" s="3756" t="s">
        <v>682</v>
      </c>
      <c r="F159" s="3770" t="str">
        <f>Master!FG4</f>
        <v>NWPGCL</v>
      </c>
      <c r="G159" s="3759" t="str">
        <f>Master!FG6</f>
        <v>1*150+1*75</v>
      </c>
      <c r="H159" s="4208">
        <f>Master!FG7</f>
        <v>210</v>
      </c>
      <c r="I159" s="4209">
        <f>Master!FG8</f>
        <v>210</v>
      </c>
      <c r="J159" s="4109">
        <f>YesterdayGen!FG33+YesterdayGen!FH33</f>
        <v>178</v>
      </c>
      <c r="K159" s="3644">
        <f>YesterdayGen!FG34+YesterdayGen!FH34</f>
        <v>170</v>
      </c>
      <c r="L159" s="3763">
        <f>YesterdayGen!FG36+YesterdayGen!FH36</f>
        <v>188</v>
      </c>
      <c r="M159" s="3764">
        <f>YesterdayGen!FG35</f>
        <v>190</v>
      </c>
      <c r="N159" s="3762">
        <f>I159-M159</f>
        <v>20</v>
      </c>
      <c r="O159" s="3645"/>
      <c r="P159" s="4065" t="s">
        <v>173</v>
      </c>
      <c r="Q159" s="4139"/>
      <c r="R159" s="3766"/>
      <c r="S159" s="211"/>
      <c r="T159" s="1169"/>
      <c r="U159" s="210"/>
      <c r="V159" s="210"/>
      <c r="W159" s="210"/>
      <c r="X159" s="210"/>
      <c r="Y159" s="190"/>
      <c r="Z159" s="190"/>
      <c r="AA159" s="190"/>
      <c r="AB159" s="190"/>
      <c r="AC159" s="190"/>
    </row>
    <row r="160" spans="2:29" ht="16.5" customHeight="1">
      <c r="B160" s="3636">
        <v>133</v>
      </c>
      <c r="C160" s="4213" t="s">
        <v>1031</v>
      </c>
      <c r="D160" s="3999"/>
      <c r="E160" s="3756" t="s">
        <v>682</v>
      </c>
      <c r="F160" s="3770" t="str">
        <f>Master!FI4</f>
        <v>NWPGCL</v>
      </c>
      <c r="G160" s="3759" t="str">
        <f>Master!FI6</f>
        <v>1*150+1*75</v>
      </c>
      <c r="H160" s="4208">
        <f>Master!FI7</f>
        <v>220</v>
      </c>
      <c r="I160" s="4209">
        <f>Master!FI8</f>
        <v>220</v>
      </c>
      <c r="J160" s="4109">
        <f>YesterdayGen!FI33+YesterdayGen!FJ33</f>
        <v>213</v>
      </c>
      <c r="K160" s="3644">
        <f>YesterdayGen!FI34+YesterdayGen!FJ34</f>
        <v>213</v>
      </c>
      <c r="L160" s="3763">
        <f>YesterdayGen!FI36+YesterdayGen!FJ36</f>
        <v>210</v>
      </c>
      <c r="M160" s="3764">
        <f>YesterdayGen!FI35+YesterdayGen!FJ35</f>
        <v>210</v>
      </c>
      <c r="N160" s="3762">
        <f>I160-M160</f>
        <v>10</v>
      </c>
      <c r="O160" s="3645"/>
      <c r="P160" s="4937"/>
      <c r="Q160" s="4139"/>
      <c r="R160" s="3766"/>
      <c r="S160" s="211"/>
      <c r="T160" s="1169"/>
      <c r="U160" s="210"/>
      <c r="V160" s="210"/>
      <c r="W160" s="210"/>
      <c r="X160" s="210"/>
      <c r="Y160" s="190"/>
      <c r="Z160" s="190"/>
      <c r="AA160" s="190"/>
      <c r="AB160" s="190"/>
      <c r="AC160" s="190"/>
    </row>
    <row r="161" spans="2:29" ht="16.5" customHeight="1">
      <c r="B161" s="3636">
        <v>134</v>
      </c>
      <c r="C161" s="4213" t="s">
        <v>1032</v>
      </c>
      <c r="D161" s="3999"/>
      <c r="E161" s="3756" t="s">
        <v>682</v>
      </c>
      <c r="F161" s="3770" t="str">
        <f>Master!FM4</f>
        <v>NWPGCL</v>
      </c>
      <c r="G161" s="3759" t="str">
        <f>Master!FM6</f>
        <v>1*141</v>
      </c>
      <c r="H161" s="4208">
        <f>Master!FM7</f>
        <v>220</v>
      </c>
      <c r="I161" s="4209">
        <f>Master!FM8</f>
        <v>220</v>
      </c>
      <c r="J161" s="4109">
        <f>YesterdayGen!FM33+YesterdayGen!FN33</f>
        <v>146</v>
      </c>
      <c r="K161" s="3644">
        <f>YesterdayGen!FM34+YesterdayGen!FN34</f>
        <v>143</v>
      </c>
      <c r="L161" s="3763">
        <f>YesterdayGen!FM36+YesterdayGen!FN36</f>
        <v>162</v>
      </c>
      <c r="M161" s="3764">
        <f>YesterdayGen!FM35+YesterdayGen!FN35</f>
        <v>167</v>
      </c>
      <c r="N161" s="3762">
        <f>I161-M161</f>
        <v>53</v>
      </c>
      <c r="O161" s="3645"/>
      <c r="P161" s="4065" t="s">
        <v>173</v>
      </c>
      <c r="Q161" s="4139"/>
      <c r="R161" s="3766"/>
      <c r="S161" s="211"/>
      <c r="T161" s="1169"/>
      <c r="U161" s="210"/>
      <c r="V161" s="210"/>
      <c r="W161" s="210"/>
      <c r="X161" s="210"/>
      <c r="Y161" s="190"/>
      <c r="Z161" s="190"/>
      <c r="AA161" s="190"/>
      <c r="AB161" s="190"/>
      <c r="AC161" s="190"/>
    </row>
    <row r="162" spans="2:29" ht="16.5" customHeight="1">
      <c r="B162" s="3636">
        <v>135</v>
      </c>
      <c r="C162" s="4213" t="str">
        <f>Master!FO3</f>
        <v>Sirajgonj 400 MW CCPP Unit-4</v>
      </c>
      <c r="D162" s="3999"/>
      <c r="E162" s="3756" t="s">
        <v>682</v>
      </c>
      <c r="F162" s="3770" t="str">
        <f>Master!FO4</f>
        <v>SNWPGCL</v>
      </c>
      <c r="G162" s="3759" t="str">
        <f>Master!FO6</f>
        <v>1*282+1*132</v>
      </c>
      <c r="H162" s="4208">
        <f>Master!FO7</f>
        <v>414</v>
      </c>
      <c r="I162" s="4209">
        <f>Master!FO8</f>
        <v>414</v>
      </c>
      <c r="J162" s="4109">
        <f>YesterdayGen!FO33+YesterdayGen!FU33</f>
        <v>290</v>
      </c>
      <c r="K162" s="3644">
        <f>YesterdayGen!FO34+YesterdayGen!FU34</f>
        <v>286</v>
      </c>
      <c r="L162" s="3763">
        <f>YesterdayGen!FO36+YesterdayGen!FU36</f>
        <v>350</v>
      </c>
      <c r="M162" s="3764">
        <f>YesterdayGen!FO35+YesterdayGen!FU35</f>
        <v>350</v>
      </c>
      <c r="N162" s="3762">
        <f>I162-M162</f>
        <v>64</v>
      </c>
      <c r="O162" s="3645"/>
      <c r="P162" s="4065" t="s">
        <v>173</v>
      </c>
      <c r="Q162" s="4139"/>
      <c r="R162" s="3766"/>
      <c r="S162" s="211"/>
      <c r="T162" s="1169"/>
      <c r="U162" s="210"/>
      <c r="V162" s="210"/>
      <c r="W162" s="210"/>
      <c r="X162" s="210"/>
      <c r="Y162" s="190"/>
      <c r="Z162" s="190"/>
      <c r="AA162" s="190"/>
      <c r="AB162" s="190"/>
      <c r="AC162" s="190"/>
    </row>
    <row r="163" spans="2:29" ht="16.5" customHeight="1">
      <c r="B163" s="3636">
        <v>136</v>
      </c>
      <c r="C163" s="3751" t="str">
        <f>Master!EX3</f>
        <v>Santahar  50 MW Peaking PP</v>
      </c>
      <c r="D163" s="3999"/>
      <c r="E163" s="3756" t="str">
        <f>Master!EX5</f>
        <v>HFO</v>
      </c>
      <c r="F163" s="3770" t="str">
        <f>Master!EX4</f>
        <v>PDB</v>
      </c>
      <c r="G163" s="3759" t="str">
        <f>Master!EX6</f>
        <v>6*8.7</v>
      </c>
      <c r="H163" s="4208">
        <f>Master!EX7</f>
        <v>50</v>
      </c>
      <c r="I163" s="4209">
        <f>Master!EX8</f>
        <v>50</v>
      </c>
      <c r="J163" s="4109">
        <f>YesterdayGen!EX33</f>
        <v>0</v>
      </c>
      <c r="K163" s="3644">
        <f>YesterdayGen!EX34</f>
        <v>34</v>
      </c>
      <c r="L163" s="3763">
        <f>YesterdayGen!EX36</f>
        <v>33</v>
      </c>
      <c r="M163" s="4210">
        <f>YesterdayGen!EX35</f>
        <v>33</v>
      </c>
      <c r="N163" s="3762"/>
      <c r="O163" s="3645">
        <f>I163-M163</f>
        <v>17</v>
      </c>
      <c r="P163" s="3986" t="s">
        <v>126</v>
      </c>
      <c r="Q163" s="4139"/>
      <c r="R163" s="3773"/>
      <c r="S163" s="211"/>
      <c r="T163" s="190"/>
      <c r="U163" s="190"/>
      <c r="V163" s="190"/>
      <c r="W163" s="190"/>
      <c r="X163" s="190"/>
      <c r="Y163" s="190"/>
      <c r="Z163" s="190"/>
      <c r="AA163" s="190"/>
      <c r="AB163" s="190"/>
      <c r="AC163" s="190"/>
    </row>
    <row r="164" spans="2:29" ht="16.5" customHeight="1">
      <c r="B164" s="3636">
        <v>137</v>
      </c>
      <c r="C164" s="3850" t="str">
        <f>Master!EY3</f>
        <v>Bogra 22 MW PP (GBB)</v>
      </c>
      <c r="D164" s="3999"/>
      <c r="E164" s="3756" t="str">
        <f>Master!EY5</f>
        <v>Gas</v>
      </c>
      <c r="F164" s="3770" t="str">
        <f>Master!EY4</f>
        <v xml:space="preserve">RPP </v>
      </c>
      <c r="G164" s="3759" t="str">
        <f>Master!EY6</f>
        <v>6*4</v>
      </c>
      <c r="H164" s="4208">
        <f>Master!EY7</f>
        <v>22</v>
      </c>
      <c r="I164" s="4209">
        <f>Master!EY8</f>
        <v>22</v>
      </c>
      <c r="J164" s="4109">
        <f>YesterdayGen!EY33</f>
        <v>19</v>
      </c>
      <c r="K164" s="3644">
        <f>YesterdayGen!EY34</f>
        <v>21</v>
      </c>
      <c r="L164" s="3763">
        <f>YesterdayGen!EY36</f>
        <v>21</v>
      </c>
      <c r="M164" s="3764">
        <f>YesterdayGen!EY35</f>
        <v>21</v>
      </c>
      <c r="N164" s="3762"/>
      <c r="O164" s="3645"/>
      <c r="P164" s="4192"/>
      <c r="Q164" s="4139"/>
      <c r="R164" s="3653"/>
      <c r="S164" s="211"/>
      <c r="T164" s="227"/>
      <c r="U164" s="227"/>
      <c r="V164" s="227"/>
      <c r="W164" s="227"/>
      <c r="X164" s="227"/>
      <c r="Y164" s="190"/>
      <c r="Z164" s="190"/>
      <c r="AA164" s="190"/>
      <c r="AB164" s="190"/>
      <c r="AC164" s="190"/>
    </row>
    <row r="165" spans="2:29" ht="16.5" customHeight="1">
      <c r="B165" s="3636">
        <v>138</v>
      </c>
      <c r="C165" s="4214" t="str">
        <f>Master!EZ3</f>
        <v>Bogura 20 MW PP (Energyprima)</v>
      </c>
      <c r="D165" s="4215"/>
      <c r="E165" s="4216" t="str">
        <f>Master!EZ5</f>
        <v>Gas</v>
      </c>
      <c r="F165" s="4217" t="str">
        <f>Master!EZ4</f>
        <v>NENP</v>
      </c>
      <c r="G165" s="4218" t="str">
        <f>Master!EZ6</f>
        <v>5*3.3+5*2</v>
      </c>
      <c r="H165" s="4219">
        <f>Master!EZ7</f>
        <v>20</v>
      </c>
      <c r="I165" s="4220">
        <f>Master!EZ8</f>
        <v>0</v>
      </c>
      <c r="J165" s="4221">
        <f>YesterdayGen!EZ33</f>
        <v>0</v>
      </c>
      <c r="K165" s="4222">
        <f>YesterdayGen!EZ34</f>
        <v>0</v>
      </c>
      <c r="L165" s="4223">
        <f>YesterdayGen!EZ36</f>
        <v>0</v>
      </c>
      <c r="M165" s="4224">
        <f>YesterdayGen!EZ35</f>
        <v>0</v>
      </c>
      <c r="N165" s="4222"/>
      <c r="O165" s="4225"/>
      <c r="P165" s="3957" t="s">
        <v>847</v>
      </c>
      <c r="Q165" s="4226"/>
      <c r="R165" s="4227"/>
      <c r="S165" s="211"/>
      <c r="T165" s="227"/>
      <c r="U165" s="227"/>
      <c r="V165" s="227"/>
      <c r="W165" s="227"/>
      <c r="X165" s="227"/>
      <c r="Y165" s="190"/>
      <c r="Z165" s="190"/>
      <c r="AA165" s="190"/>
      <c r="AB165" s="190"/>
      <c r="AC165" s="190"/>
    </row>
    <row r="166" spans="2:29" ht="16.5" customHeight="1">
      <c r="B166" s="3636">
        <v>139</v>
      </c>
      <c r="C166" s="3751" t="str">
        <f>Master!FA3</f>
        <v>Ullapara 11 MW PP  (Summit)</v>
      </c>
      <c r="D166" s="3999"/>
      <c r="E166" s="3756" t="str">
        <f>Master!FA5</f>
        <v>Gas</v>
      </c>
      <c r="F166" s="3770" t="str">
        <f>Master!FA4</f>
        <v>SIPP, REB</v>
      </c>
      <c r="G166" s="3759" t="str">
        <f>Master!FA6</f>
        <v>4*2.90</v>
      </c>
      <c r="H166" s="3756">
        <f>Master!FA7</f>
        <v>11</v>
      </c>
      <c r="I166" s="3760">
        <f>Master!FA8</f>
        <v>11</v>
      </c>
      <c r="J166" s="4141">
        <f>YesterdayGen!FA33</f>
        <v>11</v>
      </c>
      <c r="K166" s="3762">
        <f>YesterdayGen!FA34</f>
        <v>11</v>
      </c>
      <c r="L166" s="3763">
        <f>YesterdayGen!FA36</f>
        <v>11</v>
      </c>
      <c r="M166" s="3764">
        <f>YesterdayGen!FA35</f>
        <v>11</v>
      </c>
      <c r="N166" s="3762"/>
      <c r="O166" s="3645"/>
      <c r="P166" s="3987"/>
      <c r="Q166" s="4139"/>
      <c r="R166" s="4228"/>
      <c r="S166" s="211"/>
      <c r="T166" s="227"/>
      <c r="U166" s="227"/>
      <c r="V166" s="227"/>
      <c r="W166" s="227"/>
      <c r="X166" s="227"/>
      <c r="Y166" s="190"/>
      <c r="Z166" s="190"/>
      <c r="AA166" s="190"/>
      <c r="AB166" s="190"/>
      <c r="AC166" s="190"/>
    </row>
    <row r="167" spans="2:29" ht="16.5" customHeight="1">
      <c r="B167" s="3636">
        <v>140</v>
      </c>
      <c r="C167" s="3751" t="str">
        <f>Master!EW3</f>
        <v xml:space="preserve">Natore 52 MW PP (Rajlanka) </v>
      </c>
      <c r="D167" s="3999"/>
      <c r="E167" s="3756" t="str">
        <f>Master!EW5</f>
        <v>HFO</v>
      </c>
      <c r="F167" s="3871" t="str">
        <f>Master!EW4</f>
        <v>IPP</v>
      </c>
      <c r="G167" s="3870" t="str">
        <f>Master!EW6</f>
        <v>6*8.92</v>
      </c>
      <c r="H167" s="3756">
        <f>Master!EW7</f>
        <v>52</v>
      </c>
      <c r="I167" s="3760">
        <f>Master!EW8</f>
        <v>52</v>
      </c>
      <c r="J167" s="4141">
        <f>YesterdayGen!EW33</f>
        <v>8</v>
      </c>
      <c r="K167" s="3762">
        <f>YesterdayGen!EW34</f>
        <v>52</v>
      </c>
      <c r="L167" s="3763">
        <f>YesterdayGen!EW36</f>
        <v>8</v>
      </c>
      <c r="M167" s="3764">
        <f>YesterdayGen!EW35</f>
        <v>52</v>
      </c>
      <c r="N167" s="3762"/>
      <c r="O167" s="4082"/>
      <c r="P167" s="4229"/>
      <c r="Q167" s="4139"/>
      <c r="R167" s="3773"/>
      <c r="S167" s="211"/>
      <c r="T167" s="227"/>
      <c r="U167" s="227"/>
      <c r="V167" s="227"/>
      <c r="W167" s="227"/>
      <c r="X167" s="227"/>
      <c r="Y167" s="190"/>
      <c r="Z167" s="190"/>
      <c r="AA167" s="190"/>
      <c r="AB167" s="190"/>
      <c r="AC167" s="190"/>
    </row>
    <row r="168" spans="2:29" ht="16.5" customHeight="1">
      <c r="B168" s="3636">
        <v>141</v>
      </c>
      <c r="C168" s="3768" t="str">
        <f>Master!ES3</f>
        <v>Chapainawabganj 100 MW Peaking PP</v>
      </c>
      <c r="D168" s="3999"/>
      <c r="E168" s="3756" t="str">
        <f>Master!ES5</f>
        <v>HFO</v>
      </c>
      <c r="F168" s="3871" t="str">
        <f>Master!ES4</f>
        <v>PDB</v>
      </c>
      <c r="G168" s="3870" t="str">
        <f>Master!ES6</f>
        <v>12*8.924</v>
      </c>
      <c r="H168" s="3762">
        <f>Master!ES7</f>
        <v>104</v>
      </c>
      <c r="I168" s="3760">
        <f>Master!ES8</f>
        <v>104</v>
      </c>
      <c r="J168" s="4141">
        <f>YesterdayGen!ES33</f>
        <v>45</v>
      </c>
      <c r="K168" s="3762">
        <f>YesterdayGen!ES34</f>
        <v>80</v>
      </c>
      <c r="L168" s="3763">
        <f>YesterdayGen!ES36</f>
        <v>80</v>
      </c>
      <c r="M168" s="3764">
        <f>YesterdayGen!ES35</f>
        <v>86</v>
      </c>
      <c r="N168" s="3762"/>
      <c r="O168" s="4082">
        <f>I168-M168</f>
        <v>18</v>
      </c>
      <c r="P168" s="4229" t="s">
        <v>126</v>
      </c>
      <c r="Q168" s="4230"/>
      <c r="R168" s="3773"/>
      <c r="S168" s="211"/>
      <c r="T168" s="227"/>
      <c r="U168" s="227"/>
      <c r="V168" s="227"/>
      <c r="W168" s="227"/>
      <c r="X168" s="227"/>
      <c r="Y168" s="190"/>
      <c r="Z168" s="190"/>
      <c r="AA168" s="190"/>
      <c r="AB168" s="190"/>
      <c r="AC168" s="190"/>
    </row>
    <row r="169" spans="2:29" ht="16.5" customHeight="1">
      <c r="B169" s="3636">
        <v>142</v>
      </c>
      <c r="C169" s="3768" t="str">
        <f>Master!FQ3</f>
        <v>Baghabari 200 MW PP (Paramount)</v>
      </c>
      <c r="D169" s="3999"/>
      <c r="E169" s="3756" t="str">
        <f>Master!FQ5</f>
        <v>HSD</v>
      </c>
      <c r="F169" s="3770" t="str">
        <f>Master!FQ4</f>
        <v>IPP</v>
      </c>
      <c r="G169" s="3759" t="str">
        <f>Master!FQ6</f>
        <v>135*1.6</v>
      </c>
      <c r="H169" s="3756">
        <f>Master!FQ7</f>
        <v>200</v>
      </c>
      <c r="I169" s="3760">
        <f>Master!FQ8</f>
        <v>200</v>
      </c>
      <c r="J169" s="4141">
        <f>YesterdayGen!FQ33</f>
        <v>0</v>
      </c>
      <c r="K169" s="3762">
        <f>YesterdayGen!FQ34</f>
        <v>172</v>
      </c>
      <c r="L169" s="3763">
        <f>YesterdayGen!FQ36</f>
        <v>170</v>
      </c>
      <c r="M169" s="3764">
        <f>YesterdayGen!FQ35</f>
        <v>172</v>
      </c>
      <c r="N169" s="3762">
        <f>I169-M169</f>
        <v>28</v>
      </c>
      <c r="O169" s="4231"/>
      <c r="P169" s="4212"/>
      <c r="Q169" s="4139"/>
      <c r="R169" s="3766"/>
      <c r="S169" s="211"/>
      <c r="T169" s="227"/>
      <c r="U169" s="227"/>
      <c r="V169" s="227"/>
      <c r="W169" s="227"/>
      <c r="X169" s="227"/>
      <c r="Y169" s="190"/>
      <c r="Z169" s="190"/>
      <c r="AA169" s="190"/>
      <c r="AB169" s="190"/>
      <c r="AC169" s="190"/>
    </row>
    <row r="170" spans="2:29" ht="16.5" customHeight="1">
      <c r="B170" s="3636">
        <v>143</v>
      </c>
      <c r="C170" s="4232" t="str">
        <f>Master!FR3</f>
        <v>Bagura 113 MW PP (Confidence)-2</v>
      </c>
      <c r="D170" s="4233"/>
      <c r="E170" s="4234" t="str">
        <f>Master!FR5</f>
        <v>HFO</v>
      </c>
      <c r="F170" s="4235" t="str">
        <f>Master!FR4</f>
        <v>IPP</v>
      </c>
      <c r="G170" s="4236" t="str">
        <f>Master!FR6</f>
        <v>6*18.55+7.2</v>
      </c>
      <c r="H170" s="4234">
        <v>113</v>
      </c>
      <c r="I170" s="4237">
        <v>113</v>
      </c>
      <c r="J170" s="4238">
        <f>YesterdayGen!FR33</f>
        <v>50</v>
      </c>
      <c r="K170" s="4239">
        <f>YesterdayGen!FR34</f>
        <v>94</v>
      </c>
      <c r="L170" s="4240">
        <f>YesterdayGen!FR36</f>
        <v>50</v>
      </c>
      <c r="M170" s="3764">
        <f>YesterdayGen!FR35</f>
        <v>94</v>
      </c>
      <c r="N170" s="4239"/>
      <c r="O170" s="4241">
        <f>I170-M170</f>
        <v>19</v>
      </c>
      <c r="P170" s="4212" t="s">
        <v>126</v>
      </c>
      <c r="Q170" s="4242"/>
      <c r="R170" s="4243"/>
      <c r="S170" s="211"/>
      <c r="T170" s="227"/>
      <c r="U170" s="227"/>
      <c r="V170" s="227"/>
      <c r="W170" s="227"/>
      <c r="X170" s="227"/>
      <c r="Y170" s="190"/>
      <c r="Z170" s="190"/>
      <c r="AA170" s="190"/>
      <c r="AB170" s="190"/>
      <c r="AC170" s="190"/>
    </row>
    <row r="171" spans="2:29" ht="16.5" customHeight="1">
      <c r="B171" s="3636">
        <v>144</v>
      </c>
      <c r="C171" s="4244" t="str">
        <f>Master!FW3</f>
        <v>Confidence Power Bogura Unit-1 113 MW</v>
      </c>
      <c r="D171" s="4245"/>
      <c r="E171" s="4246" t="str">
        <f>Master!FW5</f>
        <v>HFO</v>
      </c>
      <c r="F171" s="4247" t="str">
        <f>Master!FW4</f>
        <v>IPP</v>
      </c>
      <c r="G171" s="4248" t="str">
        <f>Master!FW6</f>
        <v>6*18.55</v>
      </c>
      <c r="H171" s="4246">
        <f>Master!FW7</f>
        <v>113</v>
      </c>
      <c r="I171" s="4249">
        <f>Master!FW8</f>
        <v>113</v>
      </c>
      <c r="J171" s="4250">
        <f>YesterdayGen!FW33</f>
        <v>55</v>
      </c>
      <c r="K171" s="4251">
        <f>YesterdayGen!FW34</f>
        <v>95</v>
      </c>
      <c r="L171" s="4252">
        <f>YesterdayGen!FW36</f>
        <v>55</v>
      </c>
      <c r="M171" s="4253">
        <f>YesterdayGen!FW35</f>
        <v>95</v>
      </c>
      <c r="N171" s="4251"/>
      <c r="O171" s="4241">
        <f>I171-M171</f>
        <v>18</v>
      </c>
      <c r="P171" s="4212" t="s">
        <v>126</v>
      </c>
      <c r="Q171" s="4254"/>
      <c r="R171" s="4255"/>
      <c r="S171" s="211"/>
      <c r="T171" s="227"/>
      <c r="U171" s="227"/>
      <c r="V171" s="227"/>
      <c r="W171" s="227"/>
      <c r="X171" s="227"/>
      <c r="Y171" s="190"/>
      <c r="Z171" s="190"/>
      <c r="AA171" s="190"/>
      <c r="AB171" s="190"/>
      <c r="AC171" s="190"/>
    </row>
    <row r="172" spans="2:29" ht="16.5" customHeight="1" thickBot="1">
      <c r="B172" s="3636">
        <v>145</v>
      </c>
      <c r="C172" s="4256" t="str">
        <f>Master!GB3</f>
        <v xml:space="preserve"> Sirajgonj 6.55 MW Solar</v>
      </c>
      <c r="D172" s="4257"/>
      <c r="E172" s="4258" t="str">
        <f>Master!GB5</f>
        <v>Solar</v>
      </c>
      <c r="F172" s="4258" t="str">
        <f>Master!GB4</f>
        <v>NWPGCL</v>
      </c>
      <c r="G172" s="4258" t="str">
        <f>Master!GB6</f>
        <v>1*6</v>
      </c>
      <c r="H172" s="4258">
        <f>Master!GB7</f>
        <v>6</v>
      </c>
      <c r="I172" s="4258">
        <f>Master!GB8</f>
        <v>6</v>
      </c>
      <c r="J172" s="4259">
        <f>YesterdayGen!GB33</f>
        <v>3</v>
      </c>
      <c r="K172" s="4259">
        <f>YesterdayGen!GB34</f>
        <v>0</v>
      </c>
      <c r="L172" s="4260">
        <f>YesterdayGen!GB36</f>
        <v>6</v>
      </c>
      <c r="M172" s="4261">
        <f>YesterdayGen!GB35</f>
        <v>0</v>
      </c>
      <c r="N172" s="4259"/>
      <c r="O172" s="4262"/>
      <c r="P172" s="4263"/>
      <c r="Q172" s="4264"/>
      <c r="R172" s="4265"/>
      <c r="S172" s="211"/>
      <c r="T172" s="227"/>
      <c r="U172" s="227"/>
      <c r="V172" s="227"/>
      <c r="W172" s="227"/>
      <c r="X172" s="227"/>
      <c r="Y172" s="190"/>
      <c r="Z172" s="190"/>
      <c r="AA172" s="190"/>
      <c r="AB172" s="190"/>
      <c r="AC172" s="190"/>
    </row>
    <row r="173" spans="2:29" ht="16.5" customHeight="1" thickBot="1">
      <c r="B173" s="2273"/>
      <c r="C173" s="2274" t="s">
        <v>44</v>
      </c>
      <c r="D173" s="2274"/>
      <c r="E173" s="2275"/>
      <c r="F173" s="2275"/>
      <c r="G173" s="2275"/>
      <c r="H173" s="2276">
        <f t="shared" ref="H173:O173" si="7">SUM(H152:H172)</f>
        <v>2199</v>
      </c>
      <c r="I173" s="2276">
        <f t="shared" si="7"/>
        <v>2129</v>
      </c>
      <c r="J173" s="2276">
        <f t="shared" si="7"/>
        <v>1074</v>
      </c>
      <c r="K173" s="2276">
        <f t="shared" si="7"/>
        <v>1460</v>
      </c>
      <c r="L173" s="2276">
        <f t="shared" si="7"/>
        <v>1450</v>
      </c>
      <c r="M173" s="2276">
        <f t="shared" si="7"/>
        <v>1627</v>
      </c>
      <c r="N173" s="2276">
        <f t="shared" si="7"/>
        <v>346</v>
      </c>
      <c r="O173" s="2276">
        <f t="shared" si="7"/>
        <v>149</v>
      </c>
      <c r="P173" s="3839" t="s">
        <v>165</v>
      </c>
      <c r="Q173" s="3840"/>
      <c r="R173" s="3841"/>
      <c r="S173" s="211"/>
      <c r="T173" s="227"/>
      <c r="U173" s="227"/>
      <c r="V173" s="227"/>
      <c r="W173" s="227"/>
      <c r="X173" s="227"/>
      <c r="Y173" s="190"/>
      <c r="Z173" s="190"/>
      <c r="AA173" s="190"/>
      <c r="AB173" s="190"/>
      <c r="AC173" s="190"/>
    </row>
    <row r="174" spans="2:29" ht="16.5" customHeight="1">
      <c r="B174" s="4137">
        <v>146</v>
      </c>
      <c r="C174" s="4266" t="str">
        <f>Master!FB3</f>
        <v xml:space="preserve">Barapukuria TPP Unit-1 </v>
      </c>
      <c r="D174" s="4267"/>
      <c r="E174" s="4137" t="str">
        <f>Master!FB5</f>
        <v>Coal</v>
      </c>
      <c r="F174" s="4268" t="str">
        <f>Master!FB4</f>
        <v>PDB</v>
      </c>
      <c r="G174" s="4269" t="str">
        <f>Master!FB6</f>
        <v>1*125</v>
      </c>
      <c r="H174" s="4270">
        <f>Master!FB7</f>
        <v>125</v>
      </c>
      <c r="I174" s="4271">
        <f>Master!FB8</f>
        <v>85</v>
      </c>
      <c r="J174" s="4272">
        <f>YesterdayGen!FB33</f>
        <v>0</v>
      </c>
      <c r="K174" s="4273">
        <f>YesterdayGen!FB34</f>
        <v>0</v>
      </c>
      <c r="L174" s="4274">
        <f>YesterdayGen!FB36</f>
        <v>0</v>
      </c>
      <c r="M174" s="4273">
        <f>YesterdayGen!FB35</f>
        <v>0</v>
      </c>
      <c r="N174" s="4275">
        <v>85</v>
      </c>
      <c r="O174" s="4276"/>
      <c r="P174" s="4212" t="s">
        <v>1753</v>
      </c>
      <c r="Q174" s="4139"/>
      <c r="R174" s="4277"/>
      <c r="S174" s="211"/>
      <c r="T174" s="227"/>
      <c r="U174" s="227"/>
      <c r="V174" s="227"/>
      <c r="W174" s="227"/>
      <c r="X174" s="227"/>
      <c r="Y174" s="190"/>
      <c r="Z174" s="190"/>
      <c r="AA174" s="190"/>
      <c r="AB174" s="190"/>
      <c r="AC174" s="190"/>
    </row>
    <row r="175" spans="2:29" ht="16.5" customHeight="1">
      <c r="B175" s="4278"/>
      <c r="C175" s="4279" t="str">
        <f>Master!FC3</f>
        <v>Barapukuria TPP  Unit-2</v>
      </c>
      <c r="D175" s="3844"/>
      <c r="E175" s="3640" t="str">
        <f>Master!FC5</f>
        <v>Coal</v>
      </c>
      <c r="F175" s="3845" t="str">
        <f>Master!FC4</f>
        <v>PDB</v>
      </c>
      <c r="G175" s="3639" t="str">
        <f>Master!FC6</f>
        <v>1*125</v>
      </c>
      <c r="H175" s="3640">
        <f>Master!FC7</f>
        <v>125</v>
      </c>
      <c r="I175" s="3846">
        <f>Master!FC8</f>
        <v>85</v>
      </c>
      <c r="J175" s="4104">
        <f>YesterdayGen!FC33</f>
        <v>0</v>
      </c>
      <c r="K175" s="3848">
        <f>YesterdayGen!FC34</f>
        <v>0</v>
      </c>
      <c r="L175" s="4023">
        <f>YesterdayGen!FC36</f>
        <v>0</v>
      </c>
      <c r="M175" s="4024">
        <f>YesterdayGen!FC35</f>
        <v>0</v>
      </c>
      <c r="N175" s="4275"/>
      <c r="O175" s="3645">
        <f>I175-M175</f>
        <v>85</v>
      </c>
      <c r="P175" s="4212" t="s">
        <v>1107</v>
      </c>
      <c r="Q175" s="4139"/>
      <c r="R175" s="4280"/>
      <c r="S175" s="211"/>
      <c r="T175" s="227"/>
      <c r="U175" s="227"/>
      <c r="V175" s="227"/>
      <c r="W175" s="227"/>
      <c r="X175" s="227"/>
      <c r="Y175" s="190"/>
      <c r="Z175" s="190"/>
      <c r="AA175" s="190"/>
      <c r="AB175" s="190"/>
      <c r="AC175" s="190"/>
    </row>
    <row r="176" spans="2:29" ht="16.5" customHeight="1">
      <c r="B176" s="4281">
        <v>147</v>
      </c>
      <c r="C176" s="3850" t="str">
        <f>Master!FD3</f>
        <v>Barapukuria 275 MW TPP Unit-3</v>
      </c>
      <c r="D176" s="3844"/>
      <c r="E176" s="3640" t="str">
        <f>Master!FD5</f>
        <v>Coal</v>
      </c>
      <c r="F176" s="3845" t="str">
        <f>Master!FD4</f>
        <v>PDB</v>
      </c>
      <c r="G176" s="3639" t="str">
        <f>Master!FD6</f>
        <v>1*275</v>
      </c>
      <c r="H176" s="3640">
        <f>Master!FD7</f>
        <v>274</v>
      </c>
      <c r="I176" s="3846">
        <f>Master!FD8</f>
        <v>274</v>
      </c>
      <c r="J176" s="4104">
        <f>YesterdayGen!FD33</f>
        <v>200</v>
      </c>
      <c r="K176" s="3848">
        <f>YesterdayGen!FD34</f>
        <v>240</v>
      </c>
      <c r="L176" s="4023">
        <f>YesterdayGen!FD36</f>
        <v>250</v>
      </c>
      <c r="M176" s="4282">
        <f>YesterdayGen!FD35</f>
        <v>250</v>
      </c>
      <c r="N176" s="3848">
        <f>I176-M176</f>
        <v>24</v>
      </c>
      <c r="O176" s="3645"/>
      <c r="P176" s="4212" t="s">
        <v>1753</v>
      </c>
      <c r="Q176" s="4139"/>
      <c r="R176" s="3773"/>
      <c r="S176" s="211"/>
      <c r="T176" s="227"/>
      <c r="U176" s="227"/>
      <c r="V176" s="227"/>
      <c r="W176" s="227"/>
      <c r="X176" s="227"/>
      <c r="Y176" s="190"/>
      <c r="Z176" s="190"/>
      <c r="AA176" s="190"/>
      <c r="AB176" s="190"/>
      <c r="AC176" s="190"/>
    </row>
    <row r="177" spans="2:33" ht="16.5" customHeight="1">
      <c r="B177" s="3636">
        <v>148</v>
      </c>
      <c r="C177" s="3850" t="str">
        <f>Master!FE3</f>
        <v>Rangpur 20 MW  GTPP</v>
      </c>
      <c r="D177" s="3638"/>
      <c r="E177" s="3636" t="str">
        <f>Master!FE5</f>
        <v>HSD</v>
      </c>
      <c r="F177" s="3668" t="str">
        <f>Master!FE4</f>
        <v>PDB</v>
      </c>
      <c r="G177" s="3650" t="str">
        <f>Master!FE6</f>
        <v>1*20</v>
      </c>
      <c r="H177" s="3636">
        <f>Master!FE7</f>
        <v>20</v>
      </c>
      <c r="I177" s="3642">
        <f>Master!FE8</f>
        <v>20</v>
      </c>
      <c r="J177" s="4109">
        <f>YesterdayGen!FE33</f>
        <v>0</v>
      </c>
      <c r="K177" s="3644">
        <f>YesterdayGen!FE34</f>
        <v>0</v>
      </c>
      <c r="L177" s="4283">
        <f>YesterdayGen!FE36</f>
        <v>0</v>
      </c>
      <c r="M177" s="3677">
        <f>YesterdayGen!FE35</f>
        <v>0</v>
      </c>
      <c r="N177" s="3644">
        <f>I177-M177</f>
        <v>20</v>
      </c>
      <c r="O177" s="3645"/>
      <c r="P177" s="4937" t="s">
        <v>1862</v>
      </c>
      <c r="Q177" s="4284"/>
      <c r="R177" s="4285"/>
      <c r="S177" s="1131"/>
      <c r="T177" s="227"/>
      <c r="U177" s="227"/>
      <c r="V177" s="227"/>
      <c r="W177" s="227"/>
      <c r="X177" s="227"/>
      <c r="Y177" s="190"/>
      <c r="Z177" s="190"/>
      <c r="AA177" s="190"/>
      <c r="AB177" s="190"/>
      <c r="AC177" s="190"/>
    </row>
    <row r="178" spans="2:33" ht="16.5" customHeight="1">
      <c r="B178" s="4281">
        <v>149</v>
      </c>
      <c r="C178" s="4286" t="str">
        <f>Master!FF3</f>
        <v>Saidpur 20 MW GTPP</v>
      </c>
      <c r="D178" s="3999"/>
      <c r="E178" s="3756" t="str">
        <f>Master!FF5</f>
        <v>HSD</v>
      </c>
      <c r="F178" s="3770" t="str">
        <f>Master!FF4</f>
        <v>PDB</v>
      </c>
      <c r="G178" s="3759" t="str">
        <f>Master!FF6</f>
        <v>1*20</v>
      </c>
      <c r="H178" s="3756">
        <f>Master!FF7</f>
        <v>20</v>
      </c>
      <c r="I178" s="3760">
        <f>Master!FF8</f>
        <v>20</v>
      </c>
      <c r="J178" s="4141">
        <f>YesterdayGen!FF33</f>
        <v>0</v>
      </c>
      <c r="K178" s="3762">
        <f>YesterdayGen!FF34</f>
        <v>0</v>
      </c>
      <c r="L178" s="4287">
        <f>YesterdayGen!FF36</f>
        <v>0</v>
      </c>
      <c r="M178" s="3764">
        <f>YesterdayGen!FF35</f>
        <v>0</v>
      </c>
      <c r="N178" s="4941">
        <f>I178-M178</f>
        <v>20</v>
      </c>
      <c r="O178" s="3645"/>
      <c r="P178" s="4212" t="s">
        <v>1862</v>
      </c>
      <c r="Q178" s="4139"/>
      <c r="R178" s="3766"/>
      <c r="S178" s="1131"/>
      <c r="T178" s="227"/>
      <c r="U178" s="227"/>
      <c r="V178" s="227"/>
      <c r="W178" s="227"/>
      <c r="X178" s="227"/>
      <c r="Y178" s="190"/>
      <c r="Z178" s="190"/>
      <c r="AA178" s="190"/>
      <c r="AB178" s="190"/>
      <c r="AC178" s="190"/>
    </row>
    <row r="179" spans="2:33" ht="16.5" customHeight="1">
      <c r="B179" s="3636">
        <v>150</v>
      </c>
      <c r="C179" s="4288" t="str">
        <f>Master!FT3</f>
        <v xml:space="preserve">Rangpur 113 MW PP (Confidence)  </v>
      </c>
      <c r="D179" s="4289"/>
      <c r="E179" s="4290" t="str">
        <f>Master!FT5</f>
        <v>HFO</v>
      </c>
      <c r="F179" s="4291" t="str">
        <f>Master!FT4</f>
        <v>IPP</v>
      </c>
      <c r="G179" s="4292" t="str">
        <f>Master!FT6</f>
        <v>9*6.984+7*7.015+3.15*2</v>
      </c>
      <c r="H179" s="4290">
        <v>113</v>
      </c>
      <c r="I179" s="4293">
        <v>113</v>
      </c>
      <c r="J179" s="4294">
        <f>YesterdayGen!FT33</f>
        <v>56</v>
      </c>
      <c r="K179" s="4295">
        <f>YesterdayGen!FT34</f>
        <v>91</v>
      </c>
      <c r="L179" s="4296">
        <f>YesterdayGen!FT36</f>
        <v>56</v>
      </c>
      <c r="M179" s="4297">
        <f>YesterdayGen!FT35</f>
        <v>92</v>
      </c>
      <c r="N179" s="4295"/>
      <c r="O179" s="3645">
        <f>I179-M179</f>
        <v>21</v>
      </c>
      <c r="P179" s="4212" t="s">
        <v>126</v>
      </c>
      <c r="Q179" s="4242"/>
      <c r="R179" s="4298"/>
      <c r="S179" s="1131"/>
      <c r="T179" s="227"/>
      <c r="U179" s="227"/>
      <c r="V179" s="227"/>
      <c r="W179" s="227"/>
      <c r="X179" s="227"/>
      <c r="Y179" s="190"/>
      <c r="Z179" s="190"/>
      <c r="AA179" s="190"/>
      <c r="AB179" s="190"/>
      <c r="AC179" s="190"/>
    </row>
    <row r="180" spans="2:33" ht="16.5" customHeight="1">
      <c r="B180" s="4281">
        <v>151</v>
      </c>
      <c r="C180" s="4299" t="str">
        <f>Master!FV3</f>
        <v>Sympa Solar Power 8MW</v>
      </c>
      <c r="D180" s="4300"/>
      <c r="E180" s="4301" t="str">
        <f>Master!FV5</f>
        <v>Solar</v>
      </c>
      <c r="F180" s="4301" t="str">
        <f>Master!FV4</f>
        <v>IPP</v>
      </c>
      <c r="G180" s="4301" t="str">
        <f>Master!FV6</f>
        <v>8 MW</v>
      </c>
      <c r="H180" s="4301">
        <f>Master!FV7</f>
        <v>8</v>
      </c>
      <c r="I180" s="4301">
        <f>Master!FV8</f>
        <v>8</v>
      </c>
      <c r="J180" s="4302">
        <f>YesterdayGen!FV33</f>
        <v>6</v>
      </c>
      <c r="K180" s="4302">
        <f>YesterdayGen!FV34</f>
        <v>0</v>
      </c>
      <c r="L180" s="4303">
        <f>YesterdayGen!FV36</f>
        <v>8</v>
      </c>
      <c r="M180" s="4304">
        <f>YesterdayGen!FV35</f>
        <v>0</v>
      </c>
      <c r="N180" s="4302"/>
      <c r="O180" s="4305"/>
      <c r="P180" s="4306"/>
      <c r="Q180" s="4307"/>
      <c r="R180" s="4308"/>
      <c r="S180" s="1131"/>
      <c r="T180" s="227"/>
      <c r="U180" s="227"/>
      <c r="V180" s="227"/>
      <c r="W180" s="227"/>
      <c r="X180" s="227"/>
      <c r="Y180" s="190"/>
      <c r="Z180" s="190"/>
      <c r="AA180" s="190"/>
      <c r="AB180" s="190"/>
      <c r="AC180" s="190"/>
    </row>
    <row r="181" spans="2:33" ht="16.5" customHeight="1" thickBot="1">
      <c r="B181" s="3636">
        <v>152</v>
      </c>
      <c r="C181" s="4309" t="str">
        <f>Master!GD3</f>
        <v>Energypac Power Venture Thakurgaon Ltd.</v>
      </c>
      <c r="D181" s="4310"/>
      <c r="E181" s="3873" t="str">
        <f>Master!GD5</f>
        <v>HFO</v>
      </c>
      <c r="F181" s="3873" t="str">
        <f>Master!GD4</f>
        <v>IPP</v>
      </c>
      <c r="G181" s="4057">
        <f>Master!GD6</f>
        <v>115</v>
      </c>
      <c r="H181" s="3873">
        <f>Master!GD7</f>
        <v>115</v>
      </c>
      <c r="I181" s="220">
        <f>Master!GD8</f>
        <v>115</v>
      </c>
      <c r="J181" s="4311">
        <f>YesterdayGen!GD33</f>
        <v>34</v>
      </c>
      <c r="K181" s="3779">
        <f>YesterdayGen!GD34</f>
        <v>90</v>
      </c>
      <c r="L181" s="4312">
        <f>YesterdayGen!GD36</f>
        <v>52</v>
      </c>
      <c r="M181" s="4313">
        <f>YesterdayGen!GD35</f>
        <v>90</v>
      </c>
      <c r="N181" s="3779"/>
      <c r="O181" s="4079">
        <f>I181-M181</f>
        <v>25</v>
      </c>
      <c r="P181" s="4723" t="s">
        <v>1347</v>
      </c>
      <c r="Q181" s="4314"/>
      <c r="R181" s="4193"/>
      <c r="S181" s="1131"/>
      <c r="T181" s="227"/>
      <c r="U181" s="227"/>
      <c r="V181" s="227"/>
      <c r="W181" s="227"/>
      <c r="X181" s="227"/>
      <c r="Y181" s="190"/>
      <c r="Z181" s="190"/>
      <c r="AA181" s="190"/>
      <c r="AB181" s="190"/>
      <c r="AC181" s="190"/>
    </row>
    <row r="182" spans="2:33" ht="16.5" customHeight="1" thickBot="1">
      <c r="B182" s="2273"/>
      <c r="C182" s="2274" t="s">
        <v>46</v>
      </c>
      <c r="D182" s="2274"/>
      <c r="E182" s="2275"/>
      <c r="F182" s="2275"/>
      <c r="G182" s="2275"/>
      <c r="H182" s="3836">
        <f t="shared" ref="H182:O182" si="8">SUM(H174:H181)</f>
        <v>800</v>
      </c>
      <c r="I182" s="2275">
        <f t="shared" si="8"/>
        <v>720</v>
      </c>
      <c r="J182" s="4315">
        <f t="shared" si="8"/>
        <v>296</v>
      </c>
      <c r="K182" s="2276">
        <f t="shared" si="8"/>
        <v>421</v>
      </c>
      <c r="L182" s="3837">
        <f t="shared" si="8"/>
        <v>366</v>
      </c>
      <c r="M182" s="2276">
        <f t="shared" si="8"/>
        <v>432</v>
      </c>
      <c r="N182" s="2276">
        <f t="shared" si="8"/>
        <v>149</v>
      </c>
      <c r="O182" s="3838">
        <f t="shared" si="8"/>
        <v>131</v>
      </c>
      <c r="P182" s="4316"/>
      <c r="Q182" s="4317"/>
      <c r="R182" s="4318"/>
      <c r="S182" s="1130"/>
      <c r="T182" s="227"/>
      <c r="U182" s="227"/>
      <c r="V182" s="227"/>
      <c r="W182" s="227"/>
      <c r="X182" s="227"/>
      <c r="Y182" s="190"/>
      <c r="Z182" s="190"/>
      <c r="AA182" s="190"/>
      <c r="AB182" s="190"/>
      <c r="AC182" s="190"/>
    </row>
    <row r="183" spans="2:33" ht="16.5" customHeight="1" thickBot="1">
      <c r="B183" s="2273"/>
      <c r="C183" s="2274" t="s">
        <v>47</v>
      </c>
      <c r="D183" s="2274"/>
      <c r="E183" s="2275"/>
      <c r="F183" s="2275"/>
      <c r="G183" s="2275"/>
      <c r="H183" s="2276">
        <f t="shared" ref="H183:O183" si="9">H51+H74+H101+H110+H129+H143+H151+H173+H182</f>
        <v>22482</v>
      </c>
      <c r="I183" s="2276">
        <f t="shared" si="9"/>
        <v>21680</v>
      </c>
      <c r="J183" s="2277">
        <f t="shared" si="9"/>
        <v>10149</v>
      </c>
      <c r="K183" s="2277">
        <f t="shared" si="9"/>
        <v>13227</v>
      </c>
      <c r="L183" s="2276">
        <f t="shared" si="9"/>
        <v>11729.6</v>
      </c>
      <c r="M183" s="2276">
        <f t="shared" si="9"/>
        <v>13539</v>
      </c>
      <c r="N183" s="2276">
        <f t="shared" si="9"/>
        <v>3596</v>
      </c>
      <c r="O183" s="2276">
        <f t="shared" si="9"/>
        <v>3067</v>
      </c>
      <c r="P183" s="2278"/>
      <c r="Q183" s="2279"/>
      <c r="R183" s="2280"/>
      <c r="S183" s="208"/>
      <c r="T183" s="227"/>
      <c r="U183" s="227"/>
      <c r="V183" s="227"/>
      <c r="W183" s="227"/>
      <c r="X183" s="227"/>
      <c r="Y183" s="190"/>
      <c r="Z183" s="190"/>
      <c r="AA183" s="190"/>
      <c r="AB183" s="190"/>
      <c r="AC183" s="190"/>
    </row>
    <row r="184" spans="2:33" ht="16.5" customHeight="1" thickBot="1">
      <c r="B184" s="4319"/>
      <c r="C184" s="4320"/>
      <c r="D184" s="4321"/>
      <c r="E184" s="4321"/>
      <c r="F184" s="4321"/>
      <c r="G184" s="4320"/>
      <c r="H184" s="4321"/>
      <c r="I184" s="4321"/>
      <c r="J184" s="4322"/>
      <c r="K184" s="4322"/>
      <c r="L184" s="4322"/>
      <c r="M184" s="4322"/>
      <c r="N184" s="4323"/>
      <c r="O184" s="4324"/>
      <c r="P184" s="4325"/>
      <c r="Q184" s="3840"/>
      <c r="R184" s="4318"/>
      <c r="S184" s="1132"/>
      <c r="T184" s="227"/>
      <c r="U184" s="227"/>
      <c r="V184" s="227"/>
      <c r="W184" s="227"/>
      <c r="X184" s="227"/>
      <c r="Y184" s="190"/>
      <c r="Z184" s="190"/>
      <c r="AA184" s="190"/>
      <c r="AB184" s="190"/>
      <c r="AC184" s="190"/>
    </row>
    <row r="185" spans="2:33" ht="22.5" customHeight="1" thickBot="1">
      <c r="B185" s="4326"/>
      <c r="C185" s="4321"/>
      <c r="D185" s="4321"/>
      <c r="E185" s="4321"/>
      <c r="F185" s="4321"/>
      <c r="G185" s="4320"/>
      <c r="H185" s="4327"/>
      <c r="I185" s="4320"/>
      <c r="J185" s="4320"/>
      <c r="K185" s="4320"/>
      <c r="L185" s="4320"/>
      <c r="M185" s="4328"/>
      <c r="N185" s="4320" t="s">
        <v>307</v>
      </c>
      <c r="O185" s="4320"/>
      <c r="P185" s="4320"/>
      <c r="Q185" s="4320"/>
      <c r="R185" s="4329"/>
      <c r="S185" s="1132"/>
      <c r="T185" s="227"/>
      <c r="U185" s="227"/>
      <c r="V185" s="227"/>
      <c r="W185" s="227"/>
      <c r="X185" s="227"/>
      <c r="Y185" s="217"/>
      <c r="Z185" s="217"/>
      <c r="AA185" s="190"/>
      <c r="AB185" s="190"/>
      <c r="AC185" s="190"/>
    </row>
    <row r="186" spans="2:33" ht="16.5" customHeight="1" thickBot="1">
      <c r="B186" s="4330" t="s">
        <v>308</v>
      </c>
      <c r="C186" s="4331"/>
      <c r="D186" s="4331">
        <f>K6</f>
        <v>43318</v>
      </c>
      <c r="E186" s="4321" t="s">
        <v>309</v>
      </c>
      <c r="F186" s="4321"/>
      <c r="G186" s="4332"/>
      <c r="H186" s="4320"/>
      <c r="I186" s="4333"/>
      <c r="J186" s="4320" t="str">
        <f>AG191</f>
        <v>Sunday</v>
      </c>
      <c r="K186" s="4333" t="s">
        <v>310</v>
      </c>
      <c r="L186" s="4334"/>
      <c r="M186" s="4335"/>
      <c r="N186" s="4320"/>
      <c r="O186" s="4332"/>
      <c r="P186" s="4336"/>
      <c r="Q186" s="4336"/>
      <c r="R186" s="4337"/>
      <c r="S186" s="1132"/>
      <c r="T186" s="5426" t="s">
        <v>713</v>
      </c>
      <c r="U186" s="5427"/>
      <c r="V186" s="674">
        <v>0.08</v>
      </c>
      <c r="W186" s="227">
        <v>3.5000000000000003E-2</v>
      </c>
      <c r="X186" s="674">
        <f>1-P189/F190</f>
        <v>-2.068042640054446E-2</v>
      </c>
      <c r="Y186" s="891"/>
      <c r="Z186" s="217"/>
      <c r="AA186" s="190"/>
      <c r="AB186" s="190"/>
      <c r="AC186" s="190"/>
    </row>
    <row r="187" spans="2:33" ht="16.5" customHeight="1">
      <c r="B187" s="4338">
        <v>1</v>
      </c>
      <c r="C187" s="4339" t="s">
        <v>311</v>
      </c>
      <c r="D187" s="4340"/>
      <c r="E187" s="4341"/>
      <c r="F187" s="4342">
        <f>YesterdayGen!D40</f>
        <v>13227</v>
      </c>
      <c r="G187" s="4341" t="s">
        <v>312</v>
      </c>
      <c r="H187" s="4343">
        <f>YesterdayGen!E40</f>
        <v>0.875</v>
      </c>
      <c r="I187" s="4344" t="s">
        <v>313</v>
      </c>
      <c r="J187" s="4345" t="s">
        <v>716</v>
      </c>
      <c r="K187" s="4345"/>
      <c r="L187" s="4345"/>
      <c r="M187" s="4341"/>
      <c r="N187" s="4346"/>
      <c r="O187" s="4347"/>
      <c r="P187" s="4348">
        <f>EvReport!L6</f>
        <v>0.875</v>
      </c>
      <c r="Q187" s="4345" t="s">
        <v>314</v>
      </c>
      <c r="R187" s="4349"/>
      <c r="S187" s="236"/>
      <c r="T187" s="227"/>
      <c r="U187" s="227"/>
      <c r="V187" s="227"/>
      <c r="W187" s="227">
        <v>4.4999999999999998E-2</v>
      </c>
      <c r="X187" s="227"/>
      <c r="Y187" s="217"/>
      <c r="Z187" s="217">
        <f>1-V186</f>
        <v>0.92</v>
      </c>
      <c r="AA187" s="190"/>
      <c r="AB187" s="190"/>
      <c r="AC187" s="190"/>
    </row>
    <row r="188" spans="2:33" ht="16.5" customHeight="1">
      <c r="B188" s="4350">
        <v>2</v>
      </c>
      <c r="C188" s="4351" t="s">
        <v>315</v>
      </c>
      <c r="D188" s="4352"/>
      <c r="E188" s="4353"/>
      <c r="F188" s="4354">
        <f>YesterdayGen!D39</f>
        <v>10149</v>
      </c>
      <c r="G188" s="4353" t="s">
        <v>312</v>
      </c>
      <c r="H188" s="4355">
        <f>YesterdayGen!E39</f>
        <v>0.375</v>
      </c>
      <c r="I188" s="3642" t="s">
        <v>313</v>
      </c>
      <c r="J188" s="4356" t="s">
        <v>316</v>
      </c>
      <c r="K188" s="4357"/>
      <c r="L188" s="4357"/>
      <c r="M188" s="4353"/>
      <c r="N188" s="4358"/>
      <c r="O188" s="4356" t="s">
        <v>18</v>
      </c>
      <c r="P188" s="4359">
        <f>EvReport!D184</f>
        <v>14200</v>
      </c>
      <c r="Q188" s="4356" t="s">
        <v>317</v>
      </c>
      <c r="R188" s="4360"/>
      <c r="S188" s="659"/>
      <c r="T188" s="5428" t="s">
        <v>723</v>
      </c>
      <c r="U188" s="5428"/>
      <c r="V188" s="675">
        <f>G206</f>
        <v>14200</v>
      </c>
      <c r="W188" s="227"/>
      <c r="X188" s="227"/>
      <c r="Y188" s="217"/>
      <c r="Z188" s="217"/>
      <c r="AA188" s="190"/>
      <c r="AB188" s="190"/>
      <c r="AC188" s="190"/>
    </row>
    <row r="189" spans="2:33" ht="16.5" customHeight="1">
      <c r="B189" s="4350">
        <v>3</v>
      </c>
      <c r="C189" s="4351" t="s">
        <v>1068</v>
      </c>
      <c r="D189" s="4352"/>
      <c r="E189" s="4353"/>
      <c r="F189" s="4354">
        <f>YesterdayGen!D41</f>
        <v>10149</v>
      </c>
      <c r="G189" s="4353" t="s">
        <v>312</v>
      </c>
      <c r="H189" s="4355">
        <f>YesterdayGen!E41</f>
        <v>0.375</v>
      </c>
      <c r="I189" s="3642" t="s">
        <v>313</v>
      </c>
      <c r="J189" s="4356" t="s">
        <v>717</v>
      </c>
      <c r="K189" s="4356"/>
      <c r="L189" s="4356"/>
      <c r="M189" s="4353"/>
      <c r="N189" s="4358"/>
      <c r="O189" s="4356"/>
      <c r="P189" s="4361">
        <f>K203</f>
        <v>13500.54</v>
      </c>
      <c r="Q189" s="4356" t="s">
        <v>317</v>
      </c>
      <c r="R189" s="4360"/>
      <c r="S189" s="659"/>
      <c r="T189" s="227"/>
      <c r="U189" s="227"/>
      <c r="V189" s="227"/>
      <c r="W189" s="227"/>
      <c r="X189" s="227"/>
      <c r="Y189" s="217"/>
      <c r="Z189" s="217"/>
      <c r="AA189" s="190"/>
      <c r="AB189" s="190"/>
      <c r="AC189" s="190"/>
    </row>
    <row r="190" spans="2:33" ht="16.5" customHeight="1" thickBot="1">
      <c r="B190" s="4362">
        <v>4</v>
      </c>
      <c r="C190" s="4363" t="s">
        <v>1069</v>
      </c>
      <c r="D190" s="4364"/>
      <c r="E190" s="4365"/>
      <c r="F190" s="4366">
        <f>YesterdayGen!D42</f>
        <v>13227</v>
      </c>
      <c r="G190" s="4365" t="s">
        <v>312</v>
      </c>
      <c r="H190" s="4367">
        <f>YesterdayGen!E42</f>
        <v>0.875</v>
      </c>
      <c r="I190" s="4368" t="s">
        <v>313</v>
      </c>
      <c r="J190" s="4369" t="s">
        <v>718</v>
      </c>
      <c r="K190" s="4370"/>
      <c r="L190" s="4370"/>
      <c r="M190" s="4365"/>
      <c r="N190" s="4371"/>
      <c r="O190" s="4369"/>
      <c r="P190" s="4372">
        <f>N203</f>
        <v>897</v>
      </c>
      <c r="Q190" s="4369" t="s">
        <v>317</v>
      </c>
      <c r="R190" s="4373"/>
      <c r="S190" s="659"/>
      <c r="T190" s="5436" t="s">
        <v>712</v>
      </c>
      <c r="U190" s="5434" t="s">
        <v>1798</v>
      </c>
      <c r="V190" s="5431" t="s">
        <v>1799</v>
      </c>
      <c r="W190" s="5431" t="s">
        <v>724</v>
      </c>
      <c r="X190" s="5431" t="s">
        <v>729</v>
      </c>
      <c r="Y190" s="5433" t="s">
        <v>1864</v>
      </c>
      <c r="Z190" s="5433" t="s">
        <v>725</v>
      </c>
      <c r="AA190" s="190"/>
      <c r="AB190" s="190"/>
      <c r="AC190" s="5424" t="s">
        <v>476</v>
      </c>
      <c r="AD190" s="5425"/>
      <c r="AE190" s="678" t="s">
        <v>702</v>
      </c>
      <c r="AF190" s="677">
        <f>WEEKDAY(E3)</f>
        <v>1</v>
      </c>
      <c r="AG190" s="677" t="str">
        <f>VLOOKUP(AF190,AC194:AD200,2)</f>
        <v>Sunday</v>
      </c>
    </row>
    <row r="191" spans="2:33" ht="16.5" customHeight="1">
      <c r="B191" s="4374">
        <v>5</v>
      </c>
      <c r="C191" s="4375" t="s">
        <v>1070</v>
      </c>
      <c r="D191" s="3596"/>
      <c r="E191" s="4376">
        <f>D192+D193+H191+H192+H193+H213+H214</f>
        <v>268.03947399999998</v>
      </c>
      <c r="F191" s="4377" t="s">
        <v>318</v>
      </c>
      <c r="G191" s="4378" t="s">
        <v>788</v>
      </c>
      <c r="H191" s="4379">
        <f>YesterdayGen!GU31/1000000</f>
        <v>1.5612459999999999</v>
      </c>
      <c r="I191" s="4378" t="s">
        <v>318</v>
      </c>
      <c r="J191" s="4380" t="s">
        <v>319</v>
      </c>
      <c r="K191" s="4381"/>
      <c r="L191" s="4381"/>
      <c r="M191" s="4382"/>
      <c r="N191" s="4381"/>
      <c r="O191" s="4383"/>
      <c r="P191" s="4384" t="s">
        <v>1756</v>
      </c>
      <c r="Q191" s="4385"/>
      <c r="R191" s="4386"/>
      <c r="S191" s="3562"/>
      <c r="T191" s="5436"/>
      <c r="U191" s="5435"/>
      <c r="V191" s="5432"/>
      <c r="W191" s="5432"/>
      <c r="X191" s="5432"/>
      <c r="Y191" s="5433"/>
      <c r="Z191" s="5433"/>
      <c r="AA191" s="190"/>
      <c r="AB191" s="190"/>
      <c r="AC191" s="5424" t="s">
        <v>101</v>
      </c>
      <c r="AD191" s="5425"/>
      <c r="AE191" s="678" t="s">
        <v>702</v>
      </c>
      <c r="AF191" s="677">
        <f>WEEKDAY(D186)</f>
        <v>1</v>
      </c>
      <c r="AG191" s="677" t="str">
        <f>VLOOKUP(AF191,AC194:AD200,2)</f>
        <v>Sunday</v>
      </c>
    </row>
    <row r="192" spans="2:33" ht="16.5" customHeight="1">
      <c r="B192" s="4387"/>
      <c r="C192" s="4388" t="s">
        <v>1071</v>
      </c>
      <c r="D192" s="4389">
        <f>(YesterdayGen!GK31+YesterdayGen!GM31)/1000000</f>
        <v>125.59688199999999</v>
      </c>
      <c r="E192" s="210" t="s">
        <v>320</v>
      </c>
      <c r="F192" s="208"/>
      <c r="G192" s="4390" t="s">
        <v>321</v>
      </c>
      <c r="H192" s="4391">
        <f>(YesterdayGen!GN31+YesterdayGen!GO31+YesterdayGen!GR31+YesterdayGen!GS31)/1000000</f>
        <v>84.357231999999996</v>
      </c>
      <c r="I192" s="4132" t="s">
        <v>322</v>
      </c>
      <c r="J192" s="4392" t="s">
        <v>323</v>
      </c>
      <c r="K192" s="210"/>
      <c r="L192" s="210"/>
      <c r="M192" s="210"/>
      <c r="N192" s="210"/>
      <c r="O192" s="4393"/>
      <c r="P192" s="4394" t="s">
        <v>324</v>
      </c>
      <c r="Q192" s="4390"/>
      <c r="R192" s="4395"/>
      <c r="S192" s="659"/>
      <c r="T192" s="668" t="s">
        <v>10</v>
      </c>
      <c r="U192" s="669">
        <v>34.75</v>
      </c>
      <c r="V192" s="4959">
        <v>170</v>
      </c>
      <c r="W192" s="665">
        <f>(V188)*(1-W186)*(1-W187)*U192/100</f>
        <v>4547.5118374999993</v>
      </c>
      <c r="X192" s="666">
        <f>AB214+AB215+AB216</f>
        <v>4413.1282156555426</v>
      </c>
      <c r="Y192" s="665">
        <f>IF(V188&gt;G207,W192-X192,0)</f>
        <v>134.38362184445668</v>
      </c>
      <c r="Z192" s="667">
        <f t="shared" ref="Z192:Z200" si="10">Y192/W192</f>
        <v>2.9551021887682268E-2</v>
      </c>
      <c r="AA192" s="190"/>
      <c r="AB192" s="190"/>
      <c r="AC192" s="649"/>
      <c r="AD192" s="650"/>
      <c r="AE192" s="650"/>
      <c r="AF192" s="652"/>
      <c r="AG192" s="931"/>
    </row>
    <row r="193" spans="2:50" ht="16.5" customHeight="1" thickBot="1">
      <c r="B193" s="4396"/>
      <c r="C193" s="4397" t="s">
        <v>1072</v>
      </c>
      <c r="D193" s="4398">
        <f>YesterdayGen!GP31/1000000</f>
        <v>27.822500000000002</v>
      </c>
      <c r="E193" s="4399" t="s">
        <v>325</v>
      </c>
      <c r="F193" s="4400"/>
      <c r="G193" s="4401" t="s">
        <v>326</v>
      </c>
      <c r="H193" s="4398">
        <f>YesterdayGen!GQ31/1000000</f>
        <v>2.796567</v>
      </c>
      <c r="I193" s="4402" t="s">
        <v>322</v>
      </c>
      <c r="J193" s="4403" t="s">
        <v>52</v>
      </c>
      <c r="K193" s="4404" t="s">
        <v>105</v>
      </c>
      <c r="L193" s="4405" t="s">
        <v>327</v>
      </c>
      <c r="M193" s="4406"/>
      <c r="N193" s="4407" t="s">
        <v>328</v>
      </c>
      <c r="O193" s="4408"/>
      <c r="P193" s="4409" t="s">
        <v>329</v>
      </c>
      <c r="Q193" s="4410"/>
      <c r="R193" s="4411" t="s">
        <v>328</v>
      </c>
      <c r="S193" s="659"/>
      <c r="T193" s="668" t="s">
        <v>16</v>
      </c>
      <c r="U193" s="669">
        <v>9.84</v>
      </c>
      <c r="V193" s="4942">
        <v>20</v>
      </c>
      <c r="W193" s="665">
        <f>(V188)*(1-W186)*(1-W187)*U193/100</f>
        <v>1287.698316</v>
      </c>
      <c r="X193" s="666">
        <f>AB217</f>
        <v>1220.8808187264863</v>
      </c>
      <c r="Y193" s="665">
        <f>IF(V188&gt;G207,W193-X193,0)</f>
        <v>66.817497273513709</v>
      </c>
      <c r="Z193" s="667">
        <f t="shared" si="10"/>
        <v>5.1889092688316998E-2</v>
      </c>
      <c r="AA193" s="190"/>
      <c r="AB193" s="190"/>
      <c r="AC193" s="651"/>
      <c r="AD193" s="224"/>
      <c r="AE193" s="224"/>
      <c r="AF193" s="652"/>
      <c r="AG193" s="931"/>
    </row>
    <row r="194" spans="2:50" ht="16.5" customHeight="1">
      <c r="B194" s="4412">
        <v>6</v>
      </c>
      <c r="C194" s="4413" t="s">
        <v>1073</v>
      </c>
      <c r="D194" s="4414"/>
      <c r="E194" s="4415" t="s">
        <v>806</v>
      </c>
      <c r="F194" s="4416"/>
      <c r="G194" s="4417"/>
      <c r="H194" s="4418">
        <f>N183</f>
        <v>3596</v>
      </c>
      <c r="I194" s="4419" t="s">
        <v>36</v>
      </c>
      <c r="J194" s="4420" t="s">
        <v>10</v>
      </c>
      <c r="K194" s="4421">
        <f>EvReport!H193</f>
        <v>4991.78</v>
      </c>
      <c r="L194" s="4422">
        <f>EvReport!E193</f>
        <v>4821.78</v>
      </c>
      <c r="M194" s="4421"/>
      <c r="N194" s="5007">
        <f>EvReport!J193</f>
        <v>170</v>
      </c>
      <c r="O194" s="4424"/>
      <c r="P194" s="4425"/>
      <c r="Q194" s="4426"/>
      <c r="R194" s="4427"/>
      <c r="S194" s="236"/>
      <c r="T194" s="668" t="s">
        <v>5</v>
      </c>
      <c r="U194" s="669">
        <v>12.99</v>
      </c>
      <c r="V194" s="4942">
        <v>20</v>
      </c>
      <c r="W194" s="665">
        <f>(V188)*(1-W186)*(1-W187)*U194/100</f>
        <v>1699.9188135000002</v>
      </c>
      <c r="X194" s="666">
        <f>AB221</f>
        <v>1604.8075936225819</v>
      </c>
      <c r="Y194" s="665">
        <f>IF(V188&gt;G207,W194-X194,0)</f>
        <v>95.111219877418307</v>
      </c>
      <c r="Z194" s="667">
        <f t="shared" si="10"/>
        <v>5.5950448410881301E-2</v>
      </c>
      <c r="AA194" s="190"/>
      <c r="AB194" s="190"/>
      <c r="AC194" s="930">
        <v>1</v>
      </c>
      <c r="AD194" s="224" t="s">
        <v>301</v>
      </c>
      <c r="AE194" s="224"/>
      <c r="AF194" s="653"/>
      <c r="AG194" s="931"/>
    </row>
    <row r="195" spans="2:50" ht="16.5" customHeight="1">
      <c r="B195" s="4428"/>
      <c r="C195" s="4429"/>
      <c r="D195" s="4430"/>
      <c r="E195" s="4431" t="s">
        <v>805</v>
      </c>
      <c r="F195" s="4353"/>
      <c r="G195" s="4432"/>
      <c r="H195" s="4433">
        <f>O183</f>
        <v>3067</v>
      </c>
      <c r="I195" s="4434" t="s">
        <v>36</v>
      </c>
      <c r="J195" s="4420" t="s">
        <v>330</v>
      </c>
      <c r="K195" s="4421">
        <f>EvReport!H194</f>
        <v>1295.5</v>
      </c>
      <c r="L195" s="4422">
        <f>EvReport!E194</f>
        <v>1245.5</v>
      </c>
      <c r="M195" s="4421"/>
      <c r="N195" s="5007">
        <f>EvReport!J194</f>
        <v>50</v>
      </c>
      <c r="O195" s="4424"/>
      <c r="P195" s="4435">
        <v>0.75</v>
      </c>
      <c r="Q195" s="4436"/>
      <c r="R195" s="4437">
        <f>YesterdayGen!GV22</f>
        <v>755.69150000000081</v>
      </c>
      <c r="S195" s="661"/>
      <c r="T195" s="668" t="s">
        <v>55</v>
      </c>
      <c r="U195" s="669">
        <v>11.53</v>
      </c>
      <c r="V195" s="4942">
        <v>10</v>
      </c>
      <c r="W195" s="665">
        <f>(V188)*(1-W186)*(1-W187)*U195/100</f>
        <v>1508.8578845</v>
      </c>
      <c r="X195" s="666">
        <f>AB223</f>
        <v>1415.8099737607954</v>
      </c>
      <c r="Y195" s="665">
        <f>IF(V188&gt;G207,W195-X195,0)</f>
        <v>93.047910739204553</v>
      </c>
      <c r="Z195" s="667">
        <f t="shared" si="10"/>
        <v>6.1667776465268921E-2</v>
      </c>
      <c r="AA195" s="190"/>
      <c r="AB195" s="190"/>
      <c r="AC195" s="930">
        <v>2</v>
      </c>
      <c r="AD195" s="224" t="s">
        <v>302</v>
      </c>
      <c r="AE195" s="224"/>
      <c r="AF195" s="224"/>
      <c r="AG195" s="931"/>
    </row>
    <row r="196" spans="2:50" ht="16.5" customHeight="1" thickBot="1">
      <c r="B196" s="4438"/>
      <c r="C196" s="4439"/>
      <c r="D196" s="4440"/>
      <c r="E196" s="4441" t="s">
        <v>722</v>
      </c>
      <c r="F196" s="4442"/>
      <c r="G196" s="4443"/>
      <c r="H196" s="4444">
        <f>H194+H195</f>
        <v>6663</v>
      </c>
      <c r="I196" s="4445" t="s">
        <v>36</v>
      </c>
      <c r="J196" s="4420" t="s">
        <v>331</v>
      </c>
      <c r="K196" s="4421">
        <f>EvReport!H195</f>
        <v>1640</v>
      </c>
      <c r="L196" s="4422">
        <f>EvReport!E195</f>
        <v>1480</v>
      </c>
      <c r="M196" s="4421"/>
      <c r="N196" s="4423">
        <f>EvReport!J195</f>
        <v>160</v>
      </c>
      <c r="O196" s="4424"/>
      <c r="P196" s="4435"/>
      <c r="Q196" s="4436"/>
      <c r="R196" s="4437"/>
      <c r="S196" s="661"/>
      <c r="T196" s="668" t="s">
        <v>9</v>
      </c>
      <c r="U196" s="669">
        <v>9.81</v>
      </c>
      <c r="V196" s="4942">
        <v>12</v>
      </c>
      <c r="W196" s="665">
        <f>(V188)*(1-W186)*(1-W187)*U196/100</f>
        <v>1283.7724065</v>
      </c>
      <c r="X196" s="666">
        <f>AB220</f>
        <v>1208.8658478128209</v>
      </c>
      <c r="Y196" s="665">
        <f>IF(V188&gt;G207,W196-X196,0)</f>
        <v>74.906558687179086</v>
      </c>
      <c r="Z196" s="667">
        <f t="shared" si="10"/>
        <v>5.8348783871589691E-2</v>
      </c>
      <c r="AA196" s="190"/>
      <c r="AB196" s="190"/>
      <c r="AC196" s="930">
        <v>3</v>
      </c>
      <c r="AD196" s="224" t="s">
        <v>303</v>
      </c>
      <c r="AE196" s="224"/>
      <c r="AF196" s="224"/>
      <c r="AG196" s="931"/>
    </row>
    <row r="197" spans="2:50" ht="16.5" customHeight="1">
      <c r="B197" s="4446">
        <v>7</v>
      </c>
      <c r="C197" s="4447" t="s">
        <v>332</v>
      </c>
      <c r="D197" s="4448"/>
      <c r="E197" s="4449"/>
      <c r="F197" s="4450">
        <v>969.5</v>
      </c>
      <c r="G197" s="4451" t="s">
        <v>333</v>
      </c>
      <c r="H197" s="4452"/>
      <c r="I197" s="4453"/>
      <c r="J197" s="4420" t="s">
        <v>334</v>
      </c>
      <c r="K197" s="4421">
        <f>EvReport!H196</f>
        <v>1371.4</v>
      </c>
      <c r="L197" s="4422">
        <f>EvReport!E196</f>
        <v>1251.4000000000001</v>
      </c>
      <c r="M197" s="4421"/>
      <c r="N197" s="4423">
        <f>EvReport!J196</f>
        <v>120</v>
      </c>
      <c r="O197" s="4424"/>
      <c r="P197" s="4435">
        <v>0.79166666666666696</v>
      </c>
      <c r="Q197" s="4436"/>
      <c r="R197" s="4437">
        <f>YesterdayGen!GV24</f>
        <v>1088</v>
      </c>
      <c r="S197" s="661"/>
      <c r="T197" s="668" t="s">
        <v>343</v>
      </c>
      <c r="U197" s="669">
        <v>8.11</v>
      </c>
      <c r="V197" s="4942">
        <v>5</v>
      </c>
      <c r="W197" s="665">
        <f>(V188)*(1-W186)*(1-W187)*U197/100</f>
        <v>1061.3042014999999</v>
      </c>
      <c r="X197" s="666">
        <f>AB218</f>
        <v>993.59395033565227</v>
      </c>
      <c r="Y197" s="665">
        <f>IF(V188&gt;G207,W197-X197,0)</f>
        <v>67.710251164347596</v>
      </c>
      <c r="Z197" s="667">
        <f t="shared" si="10"/>
        <v>6.3799098381641148E-2</v>
      </c>
      <c r="AA197" s="190"/>
      <c r="AB197" s="190"/>
      <c r="AC197" s="930">
        <v>4</v>
      </c>
      <c r="AD197" s="224" t="s">
        <v>701</v>
      </c>
      <c r="AE197" s="224"/>
      <c r="AF197" s="224"/>
      <c r="AG197" s="931"/>
    </row>
    <row r="198" spans="2:50" ht="16.5" customHeight="1">
      <c r="B198" s="4454">
        <v>8</v>
      </c>
      <c r="C198" s="4351" t="s">
        <v>335</v>
      </c>
      <c r="D198" s="3668" t="s">
        <v>336</v>
      </c>
      <c r="E198" s="3643" t="s">
        <v>337</v>
      </c>
      <c r="F198" s="4455">
        <f>YesterdayGen!GK32+YesterdayGen!GM32</f>
        <v>144451350.22799999</v>
      </c>
      <c r="G198" s="4456" t="s">
        <v>338</v>
      </c>
      <c r="H198" s="3643" t="s">
        <v>337</v>
      </c>
      <c r="I198" s="4457">
        <f>YesterdayGen!GN32+YesterdayGen!GO32+YesterdayGen!GR32+YesterdayGen!GS32</f>
        <v>1216925561.1999998</v>
      </c>
      <c r="J198" s="4420" t="s">
        <v>9</v>
      </c>
      <c r="K198" s="4421">
        <f>EvReport!H197</f>
        <v>1268</v>
      </c>
      <c r="L198" s="4422">
        <f>EvReport!E197</f>
        <v>1168</v>
      </c>
      <c r="M198" s="4421"/>
      <c r="N198" s="4423">
        <f>EvReport!J197</f>
        <v>100</v>
      </c>
      <c r="O198" s="4424"/>
      <c r="P198" s="4435">
        <v>0.8125</v>
      </c>
      <c r="Q198" s="4436"/>
      <c r="R198" s="4437">
        <f>YesterdayGen!GV25</f>
        <v>1072.7132999999994</v>
      </c>
      <c r="S198" s="661"/>
      <c r="T198" s="668" t="s">
        <v>4</v>
      </c>
      <c r="U198" s="669">
        <v>3.62</v>
      </c>
      <c r="V198" s="4942">
        <v>7</v>
      </c>
      <c r="W198" s="665">
        <f>(V188)*(1-W186)*(1-W187)*U198/100</f>
        <v>473.72641300000004</v>
      </c>
      <c r="X198" s="666">
        <f>AB219</f>
        <v>449.04866661022891</v>
      </c>
      <c r="Y198" s="665">
        <f>IF(V188&gt;G207,W198-X198,0)</f>
        <v>24.67774638977113</v>
      </c>
      <c r="Z198" s="667">
        <f t="shared" si="10"/>
        <v>5.2092823436828563E-2</v>
      </c>
      <c r="AA198" s="190"/>
      <c r="AB198" s="190"/>
      <c r="AC198" s="930">
        <v>5</v>
      </c>
      <c r="AD198" s="224" t="s">
        <v>304</v>
      </c>
      <c r="AE198" s="224"/>
      <c r="AF198" s="224"/>
      <c r="AG198" s="931"/>
    </row>
    <row r="199" spans="2:50" ht="16.5" customHeight="1">
      <c r="B199" s="4454"/>
      <c r="C199" s="4351"/>
      <c r="D199" s="3668" t="s">
        <v>339</v>
      </c>
      <c r="F199" s="4458">
        <f>YesterdayGen!GP32</f>
        <v>231624653</v>
      </c>
      <c r="G199" s="4456" t="s">
        <v>7</v>
      </c>
      <c r="H199" s="3717" t="s">
        <v>337</v>
      </c>
      <c r="I199" s="4459">
        <f>Forecast!F198+Forecast!I198+Forecast!F199</f>
        <v>1593001564.4279997</v>
      </c>
      <c r="J199" s="4420" t="s">
        <v>106</v>
      </c>
      <c r="K199" s="4421">
        <f>EvReport!H198</f>
        <v>1019</v>
      </c>
      <c r="L199" s="4422">
        <f>EvReport!E198</f>
        <v>839</v>
      </c>
      <c r="M199" s="4421"/>
      <c r="N199" s="4423">
        <f>EvReport!J198</f>
        <v>180</v>
      </c>
      <c r="O199" s="4424"/>
      <c r="P199" s="4435">
        <v>0.83333333333333304</v>
      </c>
      <c r="Q199" s="4436"/>
      <c r="R199" s="4437">
        <f>YesterdayGen!GV26</f>
        <v>1207.26325</v>
      </c>
      <c r="S199" s="661"/>
      <c r="T199" s="668" t="s">
        <v>56</v>
      </c>
      <c r="U199" s="669">
        <v>2.95</v>
      </c>
      <c r="V199" s="4942">
        <v>2</v>
      </c>
      <c r="W199" s="665">
        <f>(V188)*(1-W186)*(1-W187)*U199/100</f>
        <v>386.04776750000002</v>
      </c>
      <c r="X199" s="666">
        <f>AB222</f>
        <v>386.50737919853384</v>
      </c>
      <c r="Y199" s="665">
        <v>0</v>
      </c>
      <c r="Z199" s="667">
        <f t="shared" si="10"/>
        <v>0</v>
      </c>
      <c r="AA199" s="190"/>
      <c r="AB199" s="190"/>
      <c r="AC199" s="930">
        <v>6</v>
      </c>
      <c r="AD199" s="224" t="s">
        <v>305</v>
      </c>
      <c r="AE199" s="224"/>
      <c r="AF199" s="224"/>
      <c r="AG199" s="931"/>
    </row>
    <row r="200" spans="2:50" ht="16.5" customHeight="1">
      <c r="B200" s="4460">
        <v>9</v>
      </c>
      <c r="C200" s="4340" t="s">
        <v>871</v>
      </c>
      <c r="D200" s="4340"/>
      <c r="E200" s="3643" t="s">
        <v>337</v>
      </c>
      <c r="F200" s="210"/>
      <c r="G200" s="4341" t="s">
        <v>340</v>
      </c>
      <c r="H200" s="4461">
        <f>EWIC!C37/1000000</f>
        <v>0</v>
      </c>
      <c r="I200" s="4462" t="s">
        <v>341</v>
      </c>
      <c r="J200" s="4420" t="s">
        <v>342</v>
      </c>
      <c r="K200" s="4421">
        <f>EvReport!H199</f>
        <v>568</v>
      </c>
      <c r="L200" s="4422">
        <f>EvReport!E199</f>
        <v>488</v>
      </c>
      <c r="M200" s="4421"/>
      <c r="N200" s="5007">
        <f>EvReport!J199</f>
        <v>80</v>
      </c>
      <c r="O200" s="4424"/>
      <c r="P200" s="4435">
        <v>0.875</v>
      </c>
      <c r="Q200" s="4436"/>
      <c r="R200" s="4437">
        <f>YesterdayGen!GV27</f>
        <v>896.69247499999983</v>
      </c>
      <c r="S200" s="661"/>
      <c r="T200" s="668" t="s">
        <v>6</v>
      </c>
      <c r="U200" s="669">
        <v>6.4</v>
      </c>
      <c r="V200" s="4942">
        <v>4</v>
      </c>
      <c r="W200" s="665">
        <f>(V188)*(1-W186)*(1-W187)*U200/100</f>
        <v>837.52736000000004</v>
      </c>
      <c r="X200" s="666">
        <f>AB224</f>
        <v>784.56147927735742</v>
      </c>
      <c r="Y200" s="665">
        <f>IF(V188&gt;G207,W200-X200,0)</f>
        <v>52.965880722642623</v>
      </c>
      <c r="Z200" s="667">
        <f t="shared" si="10"/>
        <v>6.3240776662678369E-2</v>
      </c>
      <c r="AA200" s="190"/>
      <c r="AB200" s="190"/>
      <c r="AC200" s="930">
        <v>7</v>
      </c>
      <c r="AD200" s="224" t="s">
        <v>306</v>
      </c>
      <c r="AE200" s="224"/>
      <c r="AF200" s="224"/>
      <c r="AG200" s="931"/>
    </row>
    <row r="201" spans="2:50" ht="16.5" customHeight="1">
      <c r="B201" s="4454"/>
      <c r="C201" s="4351" t="s">
        <v>344</v>
      </c>
      <c r="D201" s="4352"/>
      <c r="E201" s="4353"/>
      <c r="F201" s="4463">
        <f>EWIC!G18</f>
        <v>736</v>
      </c>
      <c r="G201" s="4352" t="s">
        <v>872</v>
      </c>
      <c r="H201" s="4464">
        <f>EWIC!G19</f>
        <v>0.875</v>
      </c>
      <c r="I201" s="4465" t="s">
        <v>313</v>
      </c>
      <c r="J201" s="4420" t="s">
        <v>346</v>
      </c>
      <c r="K201" s="4421">
        <f>EvReport!H200</f>
        <v>401.86</v>
      </c>
      <c r="L201" s="4422">
        <f>EvReport!E200</f>
        <v>401.86</v>
      </c>
      <c r="M201" s="4421"/>
      <c r="N201" s="4423">
        <f>EvReport!J200</f>
        <v>0</v>
      </c>
      <c r="O201" s="4424"/>
      <c r="P201" s="4435">
        <v>0.91666666666666696</v>
      </c>
      <c r="Q201" s="4436"/>
      <c r="R201" s="4437">
        <f>YesterdayGen!GV28</f>
        <v>808.22127499999988</v>
      </c>
      <c r="S201" s="661"/>
      <c r="T201" s="670" t="s">
        <v>714</v>
      </c>
      <c r="U201" s="671">
        <f>SUM(U192:U200)</f>
        <v>100.00000000000001</v>
      </c>
      <c r="V201" s="672">
        <f>SUM(V192:V200)</f>
        <v>250</v>
      </c>
      <c r="W201" s="672">
        <f>SUM(W192:W200)</f>
        <v>13086.365</v>
      </c>
      <c r="X201" s="672">
        <f>SUM(X192:X200)</f>
        <v>12477.203925</v>
      </c>
      <c r="Y201" s="672">
        <f>IF(SUM(Y192:Y200) &lt;2,0,SUM(Y192:Y200))</f>
        <v>609.62068669853375</v>
      </c>
      <c r="Z201" s="673">
        <f>Y201/X201</f>
        <v>4.8858757968767728E-2</v>
      </c>
      <c r="AA201" s="190"/>
      <c r="AB201" s="190"/>
      <c r="AC201" s="654"/>
      <c r="AD201" s="655"/>
      <c r="AE201" s="655"/>
      <c r="AF201" s="655"/>
      <c r="AG201" s="932"/>
    </row>
    <row r="202" spans="2:50" ht="16.5" customHeight="1">
      <c r="B202" s="4466"/>
      <c r="C202" s="4467" t="s">
        <v>347</v>
      </c>
      <c r="D202" s="4468"/>
      <c r="E202" s="4469"/>
      <c r="F202" s="4470">
        <f>EWIC!G14</f>
        <v>454</v>
      </c>
      <c r="G202" s="4364" t="s">
        <v>345</v>
      </c>
      <c r="H202" s="4471">
        <f>EWIC!G15</f>
        <v>0.20833333333333401</v>
      </c>
      <c r="I202" s="4472" t="s">
        <v>313</v>
      </c>
      <c r="J202" s="4420" t="s">
        <v>348</v>
      </c>
      <c r="K202" s="4421">
        <f>EvReport!H201</f>
        <v>945</v>
      </c>
      <c r="L202" s="4422">
        <f>EvReport!E201</f>
        <v>908</v>
      </c>
      <c r="M202" s="4421"/>
      <c r="N202" s="4423">
        <f>EvReport!J201</f>
        <v>37</v>
      </c>
      <c r="O202" s="4424"/>
      <c r="P202" s="4435">
        <v>0.95833333333333304</v>
      </c>
      <c r="Q202" s="4473"/>
      <c r="R202" s="4437">
        <f>YesterdayGen!GV29</f>
        <v>834.94695000000138</v>
      </c>
      <c r="S202" s="661"/>
      <c r="T202" s="791" t="s">
        <v>715</v>
      </c>
      <c r="U202" s="792"/>
      <c r="V202" s="794">
        <f>(G206-G207)*(1-W186)*(1-W187)</f>
        <v>609.16107499999998</v>
      </c>
      <c r="W202" s="793" t="s">
        <v>36</v>
      </c>
      <c r="X202" s="701" t="s">
        <v>738</v>
      </c>
      <c r="Y202" s="795">
        <f>V202-Y201</f>
        <v>-0.45961169853376305</v>
      </c>
      <c r="Z202" s="676" t="s">
        <v>36</v>
      </c>
      <c r="AA202" s="190"/>
      <c r="AB202" s="190"/>
      <c r="AC202" s="190"/>
    </row>
    <row r="203" spans="2:50" ht="16.5" customHeight="1" thickBot="1">
      <c r="B203" s="4474">
        <v>10</v>
      </c>
      <c r="C203" s="4475" t="s">
        <v>349</v>
      </c>
      <c r="D203" s="4476"/>
      <c r="E203" s="4399"/>
      <c r="F203" s="4477"/>
      <c r="G203" s="4478" t="s">
        <v>1933</v>
      </c>
      <c r="H203" s="4476"/>
      <c r="I203" s="4479"/>
      <c r="J203" s="4480" t="s">
        <v>12</v>
      </c>
      <c r="K203" s="4481">
        <f>SUM(K194:K202)</f>
        <v>13500.54</v>
      </c>
      <c r="L203" s="4481">
        <f>SUM(L194:L202)</f>
        <v>12603.54</v>
      </c>
      <c r="M203" s="4481"/>
      <c r="N203" s="4481">
        <f>SUM(N194:N202)</f>
        <v>897</v>
      </c>
      <c r="O203" s="4482"/>
      <c r="P203" s="4483"/>
      <c r="Q203" s="4484"/>
      <c r="R203" s="4485"/>
      <c r="S203" s="3050"/>
      <c r="T203" s="5429"/>
      <c r="U203" s="5429"/>
      <c r="V203" s="5429"/>
      <c r="W203" s="5429"/>
      <c r="X203" s="5429"/>
      <c r="Y203" s="5430"/>
      <c r="Z203" s="5430"/>
      <c r="AA203" s="190"/>
      <c r="AB203" s="190"/>
      <c r="AC203" s="190"/>
    </row>
    <row r="204" spans="2:50" ht="16.5" customHeight="1" thickBot="1">
      <c r="B204" s="4486" t="s">
        <v>350</v>
      </c>
      <c r="C204" s="4487"/>
      <c r="D204" s="4487">
        <f>L6</f>
        <v>43318</v>
      </c>
      <c r="E204" s="4382" t="s">
        <v>351</v>
      </c>
      <c r="F204" s="4488" t="s">
        <v>168</v>
      </c>
      <c r="G204" s="4382"/>
      <c r="H204" s="4382"/>
      <c r="I204" s="4489" t="str">
        <f>G3</f>
        <v>Sunday</v>
      </c>
      <c r="J204" s="4382"/>
      <c r="K204" s="4488"/>
      <c r="L204" s="4488" t="s">
        <v>352</v>
      </c>
      <c r="M204" s="4490"/>
      <c r="N204" s="4490"/>
      <c r="O204" s="4491" t="s">
        <v>1934</v>
      </c>
      <c r="P204" s="4492"/>
      <c r="Q204" s="4492"/>
      <c r="R204" s="4493"/>
      <c r="S204" s="662"/>
      <c r="T204" s="664"/>
      <c r="U204" s="658"/>
      <c r="V204" s="663"/>
      <c r="W204" s="663"/>
      <c r="X204" s="227"/>
      <c r="Y204" s="217"/>
      <c r="Z204" s="217"/>
      <c r="AA204" s="190"/>
      <c r="AB204" s="190"/>
      <c r="AC204" s="190"/>
    </row>
    <row r="205" spans="2:50" ht="16.5" customHeight="1" thickBot="1">
      <c r="B205" s="4494" t="s">
        <v>353</v>
      </c>
      <c r="C205" s="4495"/>
      <c r="D205" s="4495"/>
      <c r="E205" s="4495"/>
      <c r="F205" s="4495"/>
      <c r="G205" s="4321"/>
      <c r="H205" s="4321"/>
      <c r="I205" s="4496"/>
      <c r="J205" s="4321"/>
      <c r="K205" s="4497"/>
      <c r="L205" s="4498"/>
      <c r="M205" s="4498" t="s">
        <v>354</v>
      </c>
      <c r="N205" s="4321"/>
      <c r="O205" s="4321"/>
      <c r="P205" s="4499"/>
      <c r="Q205" s="4499"/>
      <c r="R205" s="4500"/>
      <c r="S205" s="660"/>
      <c r="T205" s="233"/>
      <c r="U205" s="658"/>
      <c r="V205" s="226"/>
      <c r="W205" s="226"/>
      <c r="X205" s="227"/>
      <c r="Y205" s="217"/>
      <c r="Z205" s="217"/>
      <c r="AA205" s="190"/>
      <c r="AB205" s="190"/>
      <c r="AC205" s="190"/>
    </row>
    <row r="206" spans="2:50" ht="16.5" customHeight="1">
      <c r="B206" s="4501">
        <v>1</v>
      </c>
      <c r="C206" s="4341" t="s">
        <v>355</v>
      </c>
      <c r="D206" s="3847"/>
      <c r="E206" s="4502"/>
      <c r="F206" s="4503"/>
      <c r="G206" s="4504">
        <v>14200</v>
      </c>
      <c r="H206" s="4502" t="s">
        <v>1089</v>
      </c>
      <c r="I206" s="3844" t="s">
        <v>18</v>
      </c>
      <c r="J206" s="4505" t="s">
        <v>356</v>
      </c>
      <c r="K206" s="4506"/>
      <c r="L206" s="4507"/>
      <c r="M206" s="4508"/>
      <c r="N206" s="4507"/>
      <c r="O206" s="4509">
        <f>IF(SUM(J211:R211)&lt;2,0,SUM(J211:R211))</f>
        <v>609.62068669853375</v>
      </c>
      <c r="P206" s="4510" t="s">
        <v>36</v>
      </c>
      <c r="Q206" s="4510"/>
      <c r="R206" s="4511"/>
      <c r="S206" s="236"/>
      <c r="T206" s="4960"/>
      <c r="U206" s="4961"/>
      <c r="V206" s="4962"/>
      <c r="W206" s="4962"/>
      <c r="X206" s="4962"/>
      <c r="Y206" s="4962"/>
      <c r="Z206" s="4962"/>
      <c r="AA206" s="4962"/>
      <c r="AB206" s="4962"/>
      <c r="AC206" s="4962"/>
      <c r="AD206" s="4963"/>
      <c r="AE206" s="176"/>
      <c r="AF206" s="176"/>
      <c r="AG206" s="176"/>
      <c r="AH206" s="176"/>
      <c r="AI206" s="176"/>
      <c r="AJ206" s="176"/>
      <c r="AK206" s="176"/>
      <c r="AL206" s="176"/>
      <c r="AM206" s="176"/>
      <c r="AN206" s="176"/>
      <c r="AO206" s="176"/>
      <c r="AP206" s="176"/>
      <c r="AQ206" s="176"/>
      <c r="AR206" s="176"/>
      <c r="AS206" s="176"/>
      <c r="AT206" s="176"/>
      <c r="AU206" s="176"/>
      <c r="AV206" s="176"/>
      <c r="AW206" s="176"/>
      <c r="AX206" s="176"/>
    </row>
    <row r="207" spans="2:50" ht="16.5" customHeight="1">
      <c r="B207" s="4512">
        <v>2</v>
      </c>
      <c r="C207" s="4353" t="s">
        <v>357</v>
      </c>
      <c r="D207" s="3643"/>
      <c r="E207" s="4456"/>
      <c r="F207" s="4513"/>
      <c r="G207" s="4514">
        <f>M183</f>
        <v>13539</v>
      </c>
      <c r="H207" s="4456" t="s">
        <v>358</v>
      </c>
      <c r="I207" s="3638"/>
      <c r="J207" s="4515" t="s">
        <v>359</v>
      </c>
      <c r="K207" s="4516"/>
      <c r="L207" s="4517"/>
      <c r="M207" s="4515"/>
      <c r="N207" s="4515"/>
      <c r="O207" s="4518"/>
      <c r="P207" s="4518"/>
      <c r="Q207" s="4518"/>
      <c r="R207" s="4519"/>
      <c r="S207" s="236"/>
      <c r="T207" s="4651"/>
      <c r="U207" s="3486"/>
      <c r="V207" s="3486"/>
      <c r="W207" s="3486"/>
      <c r="X207" s="3486"/>
      <c r="Y207" s="3486"/>
      <c r="Z207" s="3486"/>
      <c r="AA207" s="3486"/>
      <c r="AB207" s="3486"/>
      <c r="AC207" s="5230" t="s">
        <v>1866</v>
      </c>
      <c r="AD207" s="5231">
        <v>12717.734999999999</v>
      </c>
      <c r="AE207" s="3242"/>
      <c r="AF207" s="5232" t="s">
        <v>1867</v>
      </c>
      <c r="AG207" s="176"/>
      <c r="AH207" s="176" t="s">
        <v>1905</v>
      </c>
      <c r="AI207" s="176">
        <v>14307</v>
      </c>
      <c r="AJ207" s="176"/>
      <c r="AK207" s="176"/>
      <c r="AL207" s="176"/>
      <c r="AM207" s="176"/>
      <c r="AN207" s="176"/>
      <c r="AO207" s="176"/>
      <c r="AP207" s="176"/>
      <c r="AQ207" s="176"/>
      <c r="AR207" s="176"/>
      <c r="AS207" s="176"/>
      <c r="AT207" s="176"/>
      <c r="AU207" s="176"/>
      <c r="AV207" s="176"/>
      <c r="AW207" s="176"/>
      <c r="AX207" s="176"/>
    </row>
    <row r="208" spans="2:50" ht="16.5" customHeight="1" thickBot="1">
      <c r="B208" s="4512">
        <v>3</v>
      </c>
      <c r="C208" s="4341" t="s">
        <v>360</v>
      </c>
      <c r="D208" s="3847"/>
      <c r="E208" s="4502"/>
      <c r="F208" s="4520"/>
      <c r="G208" s="4521">
        <v>12000</v>
      </c>
      <c r="H208" s="4456" t="s">
        <v>358</v>
      </c>
      <c r="I208" s="3638"/>
      <c r="J208" s="4522"/>
      <c r="K208" s="234"/>
      <c r="L208" s="240"/>
      <c r="M208" s="4522"/>
      <c r="N208" s="4522"/>
      <c r="O208" s="235"/>
      <c r="P208" s="235"/>
      <c r="Q208" s="235"/>
      <c r="R208" s="4523"/>
      <c r="S208" s="236"/>
      <c r="T208" s="4651" t="s">
        <v>14</v>
      </c>
      <c r="U208" s="5233">
        <v>12778</v>
      </c>
      <c r="V208" s="3486"/>
      <c r="W208" s="3486"/>
      <c r="X208" s="3486"/>
      <c r="Y208" s="3486"/>
      <c r="Z208" s="3486"/>
      <c r="AA208" s="3486"/>
      <c r="AB208" s="3486"/>
      <c r="AC208" s="5230" t="s">
        <v>1906</v>
      </c>
      <c r="AD208" s="5234">
        <v>13800</v>
      </c>
      <c r="AE208" s="3242"/>
      <c r="AF208" s="5235" t="s">
        <v>1868</v>
      </c>
      <c r="AG208" s="176"/>
      <c r="AH208" s="176" t="s">
        <v>1907</v>
      </c>
      <c r="AI208" s="176">
        <v>13992.245999999999</v>
      </c>
      <c r="AJ208" s="176"/>
      <c r="AK208" s="176"/>
      <c r="AL208" s="176"/>
      <c r="AM208" s="176"/>
      <c r="AN208" s="176"/>
      <c r="AO208" s="176"/>
      <c r="AP208" s="176"/>
      <c r="AQ208" s="176"/>
      <c r="AR208" s="176"/>
      <c r="AS208" s="176"/>
      <c r="AT208" s="176"/>
      <c r="AU208" s="176"/>
      <c r="AV208" s="176"/>
      <c r="AW208" s="176"/>
      <c r="AX208" s="176"/>
    </row>
    <row r="209" spans="2:50" ht="16.5" customHeight="1">
      <c r="B209" s="4512">
        <v>4</v>
      </c>
      <c r="C209" s="4353" t="s">
        <v>361</v>
      </c>
      <c r="D209" s="4524"/>
      <c r="E209" s="4456"/>
      <c r="F209" s="4525"/>
      <c r="G209" s="4514" t="str">
        <f>IF((G207-G206) &gt; 0,(G207-G206),"-")</f>
        <v>-</v>
      </c>
      <c r="H209" s="4456" t="s">
        <v>358</v>
      </c>
      <c r="I209" s="3732"/>
      <c r="J209" s="4526" t="s">
        <v>10</v>
      </c>
      <c r="K209" s="4527" t="s">
        <v>330</v>
      </c>
      <c r="L209" s="4528" t="s">
        <v>331</v>
      </c>
      <c r="M209" s="4529" t="s">
        <v>334</v>
      </c>
      <c r="N209" s="4530" t="s">
        <v>9</v>
      </c>
      <c r="O209" s="4530" t="s">
        <v>106</v>
      </c>
      <c r="P209" s="4531" t="s">
        <v>342</v>
      </c>
      <c r="Q209" s="4531" t="s">
        <v>346</v>
      </c>
      <c r="R209" s="4532" t="s">
        <v>348</v>
      </c>
      <c r="S209" s="237"/>
      <c r="T209" s="4651" t="s">
        <v>1869</v>
      </c>
      <c r="U209" s="5236">
        <v>12330.77</v>
      </c>
      <c r="V209" s="5237">
        <v>3.5000000000000003E-2</v>
      </c>
      <c r="W209" s="3486"/>
      <c r="X209" s="3486" t="s">
        <v>1908</v>
      </c>
      <c r="Y209" s="3486" t="s">
        <v>1870</v>
      </c>
      <c r="Z209" s="3486"/>
      <c r="AA209" s="3486"/>
      <c r="AB209" s="3486"/>
      <c r="AC209" s="3486"/>
      <c r="AD209" s="5238"/>
      <c r="AE209" s="3242"/>
      <c r="AF209" s="3242"/>
      <c r="AG209" s="176"/>
      <c r="AH209" s="176"/>
      <c r="AI209" s="176"/>
      <c r="AJ209" s="176"/>
      <c r="AK209" s="176"/>
      <c r="AL209" s="176"/>
      <c r="AM209" s="176"/>
      <c r="AN209" s="176"/>
      <c r="AO209" s="176"/>
      <c r="AP209" s="176"/>
      <c r="AQ209" s="176"/>
      <c r="AR209" s="176"/>
      <c r="AS209" s="176"/>
      <c r="AT209" s="176"/>
      <c r="AU209" s="176"/>
      <c r="AV209" s="176"/>
      <c r="AW209" s="176"/>
      <c r="AX209" s="176"/>
    </row>
    <row r="210" spans="2:50" ht="16.5" customHeight="1">
      <c r="B210" s="4533">
        <v>5</v>
      </c>
      <c r="C210" s="4365" t="s">
        <v>362</v>
      </c>
      <c r="D210" s="3761"/>
      <c r="E210" s="4456"/>
      <c r="F210" s="4520"/>
      <c r="G210" s="4514">
        <f>(G206*YesterdayGen!D45*1000*24)/1000000</f>
        <v>287.75690109624253</v>
      </c>
      <c r="H210" s="4456" t="s">
        <v>363</v>
      </c>
      <c r="I210" s="3846"/>
      <c r="J210" s="4534" t="s">
        <v>36</v>
      </c>
      <c r="K210" s="4535" t="s">
        <v>36</v>
      </c>
      <c r="L210" s="4535" t="s">
        <v>36</v>
      </c>
      <c r="M210" s="4535" t="s">
        <v>36</v>
      </c>
      <c r="N210" s="4535" t="s">
        <v>36</v>
      </c>
      <c r="O210" s="4535" t="s">
        <v>36</v>
      </c>
      <c r="P210" s="4535" t="s">
        <v>36</v>
      </c>
      <c r="Q210" s="4535" t="s">
        <v>36</v>
      </c>
      <c r="R210" s="4536" t="s">
        <v>36</v>
      </c>
      <c r="S210" s="237"/>
      <c r="T210" s="4651" t="s">
        <v>1871</v>
      </c>
      <c r="U210" s="5236">
        <v>11775.88535</v>
      </c>
      <c r="V210" s="5237">
        <v>4.4999999999999998E-2</v>
      </c>
      <c r="W210" s="3486"/>
      <c r="X210" s="3486" t="s">
        <v>1908</v>
      </c>
      <c r="Y210" s="3486" t="s">
        <v>1872</v>
      </c>
      <c r="Z210" s="3486"/>
      <c r="AA210" s="3486"/>
      <c r="AB210" s="3486"/>
      <c r="AC210" s="3486" t="s">
        <v>1909</v>
      </c>
      <c r="AD210" s="5238">
        <v>0.77083333333333337</v>
      </c>
      <c r="AE210" s="3242"/>
      <c r="AF210" s="3242"/>
      <c r="AG210" s="176"/>
      <c r="AH210" s="176"/>
      <c r="AI210" s="176"/>
      <c r="AJ210" s="176"/>
      <c r="AK210" s="176"/>
      <c r="AL210" s="176"/>
      <c r="AM210" s="176"/>
      <c r="AN210" s="176"/>
      <c r="AO210" s="176"/>
      <c r="AP210" s="176"/>
      <c r="AQ210" s="176"/>
      <c r="AR210" s="176"/>
      <c r="AS210" s="176"/>
      <c r="AT210" s="176"/>
      <c r="AU210" s="176"/>
      <c r="AV210" s="176"/>
      <c r="AW210" s="176"/>
      <c r="AX210" s="176"/>
    </row>
    <row r="211" spans="2:50" ht="16.5" customHeight="1" thickBot="1">
      <c r="B211" s="4537">
        <v>6</v>
      </c>
      <c r="C211" s="4442" t="s">
        <v>364</v>
      </c>
      <c r="D211" s="4538"/>
      <c r="E211" s="4539"/>
      <c r="F211" s="4540"/>
      <c r="G211" s="4541">
        <f>Master!D48</f>
        <v>11166</v>
      </c>
      <c r="H211" s="4539" t="s">
        <v>312</v>
      </c>
      <c r="I211" s="4542">
        <f>Master!E48</f>
        <v>0.33333333333333331</v>
      </c>
      <c r="J211" s="4976">
        <f>Y192</f>
        <v>134.38362184445668</v>
      </c>
      <c r="K211" s="4977">
        <f>Y193</f>
        <v>66.817497273513709</v>
      </c>
      <c r="L211" s="4977">
        <f>Y194</f>
        <v>95.111219877418307</v>
      </c>
      <c r="M211" s="4977">
        <f>Y195</f>
        <v>93.047910739204553</v>
      </c>
      <c r="N211" s="4977">
        <f>Y196</f>
        <v>74.906558687179086</v>
      </c>
      <c r="O211" s="4977">
        <f>Y197</f>
        <v>67.710251164347596</v>
      </c>
      <c r="P211" s="4977">
        <f>Y198</f>
        <v>24.67774638977113</v>
      </c>
      <c r="Q211" s="4977">
        <f>Y199</f>
        <v>0</v>
      </c>
      <c r="R211" s="4978">
        <f>Y200</f>
        <v>52.965880722642623</v>
      </c>
      <c r="S211" s="239"/>
      <c r="T211" s="4651" t="s">
        <v>1873</v>
      </c>
      <c r="U211" s="5239">
        <v>11525.88535</v>
      </c>
      <c r="V211" s="5237">
        <v>250</v>
      </c>
      <c r="W211" s="3486"/>
      <c r="X211" s="3486"/>
      <c r="Y211" s="3486"/>
      <c r="Z211" s="3486"/>
      <c r="AA211" s="3486"/>
      <c r="AB211" s="3486"/>
      <c r="AC211" s="3486"/>
      <c r="AD211" s="5238"/>
      <c r="AE211" s="3242"/>
      <c r="AF211" s="3242"/>
      <c r="AG211" s="176"/>
      <c r="AH211" s="176"/>
      <c r="AI211" s="176"/>
      <c r="AJ211" s="176"/>
      <c r="AK211" s="176"/>
      <c r="AL211" s="176"/>
      <c r="AM211" s="176"/>
      <c r="AN211" s="176"/>
      <c r="AO211" s="176"/>
      <c r="AP211" s="176"/>
      <c r="AQ211" s="176"/>
      <c r="AR211" s="176"/>
      <c r="AS211" s="176"/>
      <c r="AT211" s="176"/>
      <c r="AU211" s="176"/>
      <c r="AV211" s="176"/>
      <c r="AW211" s="176"/>
      <c r="AX211" s="176"/>
    </row>
    <row r="212" spans="2:50" ht="16.5" customHeight="1" thickBot="1">
      <c r="B212" s="4543" t="s">
        <v>18</v>
      </c>
      <c r="C212" s="4522"/>
      <c r="D212" s="4522"/>
      <c r="E212" s="4522"/>
      <c r="F212" s="4522"/>
      <c r="G212" s="4522"/>
      <c r="H212" s="4522"/>
      <c r="I212" s="4544"/>
      <c r="J212" s="4522"/>
      <c r="K212" s="219"/>
      <c r="L212" s="234"/>
      <c r="M212" s="240"/>
      <c r="N212" s="4522"/>
      <c r="O212" s="4522" t="s">
        <v>365</v>
      </c>
      <c r="P212" s="235" t="s">
        <v>354</v>
      </c>
      <c r="Q212" s="235"/>
      <c r="R212" s="4545"/>
      <c r="S212" s="239"/>
      <c r="T212" s="4651"/>
      <c r="U212" s="3486"/>
      <c r="V212" s="3486"/>
      <c r="W212" s="3486"/>
      <c r="X212" s="3486"/>
      <c r="Y212" s="3486"/>
      <c r="Z212" s="3486"/>
      <c r="AA212" s="3486"/>
      <c r="AB212" s="3486"/>
      <c r="AC212" s="3486"/>
      <c r="AD212" s="5238"/>
      <c r="AE212" s="3242"/>
      <c r="AF212" s="3242"/>
      <c r="AG212" s="176"/>
      <c r="AH212" s="176"/>
      <c r="AI212" s="176"/>
      <c r="AJ212" s="176"/>
      <c r="AK212" s="176"/>
      <c r="AL212" s="176"/>
      <c r="AM212" s="176"/>
      <c r="AN212" s="176"/>
      <c r="AO212" s="176"/>
      <c r="AP212" s="176"/>
      <c r="AQ212" s="176"/>
      <c r="AR212" s="176"/>
      <c r="AS212" s="176"/>
      <c r="AT212" s="176"/>
      <c r="AU212" s="176"/>
      <c r="AV212" s="176"/>
      <c r="AW212" s="176"/>
      <c r="AX212" s="176"/>
    </row>
    <row r="213" spans="2:50" ht="16.5" customHeight="1">
      <c r="B213" s="4380" t="s">
        <v>366</v>
      </c>
      <c r="C213" s="3596"/>
      <c r="D213" s="4382"/>
      <c r="E213" s="4382"/>
      <c r="F213" s="4382"/>
      <c r="G213" s="4382" t="s">
        <v>340</v>
      </c>
      <c r="H213" s="4546">
        <f>YesterdayGen!GL31/1000000</f>
        <v>22.024726999999999</v>
      </c>
      <c r="I213" s="4547" t="s">
        <v>341</v>
      </c>
      <c r="J213" s="4382" t="s">
        <v>728</v>
      </c>
      <c r="K213" s="4382"/>
      <c r="L213" s="4548">
        <f>YesterdayGen!D44</f>
        <v>909</v>
      </c>
      <c r="M213" s="4382" t="s">
        <v>367</v>
      </c>
      <c r="N213" s="4549">
        <f>H190</f>
        <v>0.875</v>
      </c>
      <c r="O213" s="4550" t="s">
        <v>314</v>
      </c>
      <c r="P213" s="4382"/>
      <c r="Q213" s="700"/>
      <c r="R213" s="4551"/>
      <c r="S213" s="241"/>
      <c r="T213" s="5240" t="s">
        <v>712</v>
      </c>
      <c r="U213" s="5241" t="s">
        <v>1874</v>
      </c>
      <c r="V213" s="5242" t="s">
        <v>1875</v>
      </c>
      <c r="W213" s="5242" t="s">
        <v>105</v>
      </c>
      <c r="X213" s="5243" t="s">
        <v>1876</v>
      </c>
      <c r="Y213" s="5243" t="s">
        <v>1877</v>
      </c>
      <c r="Z213" s="5243" t="s">
        <v>1878</v>
      </c>
      <c r="AA213" s="5243" t="s">
        <v>1879</v>
      </c>
      <c r="AB213" s="5244" t="s">
        <v>1880</v>
      </c>
      <c r="AC213" s="5243" t="s">
        <v>1881</v>
      </c>
      <c r="AD213" s="5245"/>
      <c r="AE213" s="5246" t="s">
        <v>1882</v>
      </c>
      <c r="AF213" s="5246" t="s">
        <v>1883</v>
      </c>
      <c r="AG213" s="176"/>
      <c r="AH213" s="176"/>
      <c r="AI213" s="176"/>
      <c r="AJ213" s="176"/>
      <c r="AK213" s="176"/>
      <c r="AL213" s="176"/>
      <c r="AM213" s="176"/>
      <c r="AN213" s="176"/>
      <c r="AO213" s="176"/>
      <c r="AP213" s="176"/>
      <c r="AQ213" s="176"/>
      <c r="AR213" s="176"/>
      <c r="AS213" s="176"/>
      <c r="AT213" s="176"/>
      <c r="AU213" s="176"/>
      <c r="AV213" s="176"/>
      <c r="AW213" s="176"/>
      <c r="AX213" s="176"/>
    </row>
    <row r="214" spans="2:50" ht="16.5" customHeight="1">
      <c r="B214" s="4543" t="s">
        <v>368</v>
      </c>
      <c r="C214" s="4522"/>
      <c r="D214" s="4522"/>
      <c r="E214" s="4522"/>
      <c r="F214" s="4522"/>
      <c r="G214" s="4522" t="s">
        <v>340</v>
      </c>
      <c r="H214" s="4552">
        <f>YesterdayGen!GT31/1000000</f>
        <v>3.8803200000000002</v>
      </c>
      <c r="I214" s="699" t="s">
        <v>341</v>
      </c>
      <c r="J214" s="4522" t="s">
        <v>727</v>
      </c>
      <c r="K214" s="4522"/>
      <c r="L214" s="4553">
        <f>YesterdayGen!D43</f>
        <v>914</v>
      </c>
      <c r="M214" s="4522" t="s">
        <v>367</v>
      </c>
      <c r="N214" s="4554">
        <f>YesterdayGen!E43</f>
        <v>4.1666666666666602E-2</v>
      </c>
      <c r="O214" s="4554" t="s">
        <v>314</v>
      </c>
      <c r="P214" s="235"/>
      <c r="Q214" s="235"/>
      <c r="R214" s="4545"/>
      <c r="S214" s="239"/>
      <c r="T214" s="5247" t="s">
        <v>1884</v>
      </c>
      <c r="U214" s="5248">
        <v>0.1081309695837592</v>
      </c>
      <c r="V214" s="5249">
        <v>100</v>
      </c>
      <c r="W214" s="5249">
        <v>1415.041335776971</v>
      </c>
      <c r="X214" s="5249">
        <v>1422.1394157085961</v>
      </c>
      <c r="Y214" s="5249">
        <v>-7.0980799316250796</v>
      </c>
      <c r="Z214" s="5249">
        <v>-0.28324464315138814</v>
      </c>
      <c r="AA214" s="5249">
        <v>-7.3813245747764675</v>
      </c>
      <c r="AB214" s="5249">
        <v>1422.4226603517475</v>
      </c>
      <c r="AC214" s="5250"/>
      <c r="AD214" s="5251"/>
      <c r="AE214" s="5251">
        <v>1303.6117342854839</v>
      </c>
      <c r="AF214" s="5252">
        <v>1350</v>
      </c>
      <c r="AG214" s="176"/>
      <c r="AH214" s="176"/>
      <c r="AI214" s="176"/>
      <c r="AJ214" s="176"/>
      <c r="AK214" s="176"/>
      <c r="AL214" s="176"/>
      <c r="AM214" s="176"/>
      <c r="AN214" s="176"/>
      <c r="AO214" s="176"/>
      <c r="AP214" s="176"/>
      <c r="AQ214" s="176"/>
      <c r="AR214" s="176"/>
      <c r="AS214" s="176"/>
      <c r="AT214" s="176"/>
      <c r="AU214" s="176"/>
      <c r="AV214" s="176"/>
      <c r="AW214" s="176"/>
      <c r="AX214" s="176"/>
    </row>
    <row r="215" spans="2:50" ht="16.5" customHeight="1" thickBot="1">
      <c r="B215" s="4555" t="s">
        <v>721</v>
      </c>
      <c r="C215" s="4476"/>
      <c r="D215" s="4476"/>
      <c r="E215" s="4476"/>
      <c r="F215" s="4476"/>
      <c r="G215" s="4476"/>
      <c r="H215" s="4476"/>
      <c r="I215" s="4476"/>
      <c r="J215" s="4476"/>
      <c r="K215" s="4476"/>
      <c r="L215" s="4476"/>
      <c r="M215" s="4476"/>
      <c r="N215" s="4476"/>
      <c r="O215" s="4476"/>
      <c r="P215" s="4556"/>
      <c r="Q215" s="4556"/>
      <c r="R215" s="4557"/>
      <c r="S215" s="239"/>
      <c r="T215" s="5247" t="s">
        <v>1885</v>
      </c>
      <c r="U215" s="5248">
        <v>6.5766750079300745E-2</v>
      </c>
      <c r="V215" s="5249">
        <v>55</v>
      </c>
      <c r="W215" s="5249">
        <v>860.64769640150848</v>
      </c>
      <c r="X215" s="5249">
        <v>859.14346470412011</v>
      </c>
      <c r="Y215" s="5249">
        <v>1.5042316973883771</v>
      </c>
      <c r="Z215" s="5249">
        <v>6.0025468077003132E-2</v>
      </c>
      <c r="AA215" s="5249">
        <v>1.5642571654653803</v>
      </c>
      <c r="AB215" s="5249">
        <v>859.08343923604309</v>
      </c>
      <c r="AC215" s="5250"/>
      <c r="AD215" s="5251"/>
      <c r="AE215" s="5251">
        <v>786.85374986702664</v>
      </c>
      <c r="AF215" s="5252">
        <v>850</v>
      </c>
      <c r="AG215" s="176"/>
      <c r="AH215" s="176"/>
      <c r="AI215" s="176"/>
      <c r="AJ215" s="176"/>
      <c r="AK215" s="176"/>
      <c r="AL215" s="176"/>
      <c r="AM215" s="176"/>
      <c r="AN215" s="176"/>
      <c r="AO215" s="176"/>
      <c r="AP215" s="176"/>
      <c r="AQ215" s="176"/>
      <c r="AR215" s="176"/>
      <c r="AS215" s="176"/>
      <c r="AT215" s="176"/>
      <c r="AU215" s="176"/>
      <c r="AV215" s="176"/>
      <c r="AW215" s="176"/>
      <c r="AX215" s="176"/>
    </row>
    <row r="216" spans="2:50" ht="18" customHeight="1" thickBot="1">
      <c r="B216" s="4380" t="s">
        <v>369</v>
      </c>
      <c r="C216" s="4558"/>
      <c r="D216" s="4558"/>
      <c r="E216" s="4558"/>
      <c r="F216" s="4558"/>
      <c r="G216" s="4559" t="s">
        <v>1108</v>
      </c>
      <c r="H216" s="4560">
        <f>YesterdayGen!GW10</f>
        <v>93.54</v>
      </c>
      <c r="I216" s="4561"/>
      <c r="J216" s="4562" t="s">
        <v>370</v>
      </c>
      <c r="K216" s="4563">
        <f>Master!GW19</f>
        <v>94.17</v>
      </c>
      <c r="L216" s="4564"/>
      <c r="M216" s="4382" t="s">
        <v>371</v>
      </c>
      <c r="N216" s="4558"/>
      <c r="O216" s="4560">
        <f>GEntry!GH2</f>
        <v>91.24</v>
      </c>
      <c r="P216" s="4565"/>
      <c r="Q216" s="4566"/>
      <c r="R216" s="4567"/>
      <c r="S216" s="239"/>
      <c r="T216" s="5247" t="s">
        <v>1886</v>
      </c>
      <c r="U216" s="5248">
        <v>0.17354527191343883</v>
      </c>
      <c r="V216" s="5249">
        <v>15</v>
      </c>
      <c r="W216" s="5249">
        <v>2271.0767722835089</v>
      </c>
      <c r="X216" s="5249">
        <v>2136.9734299051916</v>
      </c>
      <c r="Y216" s="5249">
        <v>134.10334237831739</v>
      </c>
      <c r="Z216" s="5249">
        <v>5.3513138374392231</v>
      </c>
      <c r="AA216" s="5249">
        <v>139.45465621575661</v>
      </c>
      <c r="AB216" s="5249">
        <v>2131.6221160677524</v>
      </c>
      <c r="AC216" s="5250"/>
      <c r="AD216" s="5251"/>
      <c r="AE216" s="5251">
        <v>1941.7547272731954</v>
      </c>
      <c r="AF216" s="5252">
        <v>1750</v>
      </c>
      <c r="AG216" s="176"/>
      <c r="AH216" s="176">
        <v>244.09980790540226</v>
      </c>
      <c r="AI216" s="176"/>
      <c r="AJ216" s="176"/>
      <c r="AK216" s="176"/>
      <c r="AL216" s="176"/>
      <c r="AM216" s="176"/>
      <c r="AN216" s="176"/>
      <c r="AO216" s="176"/>
      <c r="AP216" s="176"/>
      <c r="AQ216" s="176"/>
      <c r="AR216" s="176"/>
      <c r="AS216" s="176"/>
      <c r="AT216" s="176"/>
      <c r="AU216" s="176"/>
      <c r="AV216" s="176"/>
      <c r="AW216" s="176"/>
      <c r="AX216" s="176"/>
    </row>
    <row r="217" spans="2:50" ht="16.5" customHeight="1">
      <c r="B217" s="934"/>
      <c r="C217" s="935"/>
      <c r="D217" s="935"/>
      <c r="E217" s="935"/>
      <c r="F217" s="935"/>
      <c r="G217" s="936"/>
      <c r="H217" s="935" t="s">
        <v>372</v>
      </c>
      <c r="I217" s="937"/>
      <c r="J217" s="935" t="s">
        <v>373</v>
      </c>
      <c r="K217" s="938"/>
      <c r="L217" s="700"/>
      <c r="M217" s="939"/>
      <c r="N217" s="935"/>
      <c r="O217" s="935"/>
      <c r="P217" s="940" t="s">
        <v>18</v>
      </c>
      <c r="Q217" s="940"/>
      <c r="R217" s="941"/>
      <c r="S217" s="239"/>
      <c r="T217" s="5247" t="s">
        <v>16</v>
      </c>
      <c r="U217" s="5248">
        <v>9.842455855919359E-2</v>
      </c>
      <c r="V217" s="5249">
        <v>20</v>
      </c>
      <c r="W217" s="5249">
        <v>1288.0196982694813</v>
      </c>
      <c r="X217" s="5249">
        <v>1223.4571487313642</v>
      </c>
      <c r="Y217" s="5249">
        <v>64.562549538117082</v>
      </c>
      <c r="Z217" s="5249">
        <v>2.5763300048779603</v>
      </c>
      <c r="AA217" s="5249">
        <v>67.138879542995042</v>
      </c>
      <c r="AB217" s="5249">
        <v>1220.8808187264863</v>
      </c>
      <c r="AC217" s="5250" t="s">
        <v>1896</v>
      </c>
      <c r="AD217" s="5251">
        <v>250</v>
      </c>
      <c r="AE217" s="5251">
        <v>863.13465372054998</v>
      </c>
      <c r="AF217" s="5252">
        <v>800</v>
      </c>
      <c r="AG217" s="176"/>
      <c r="AH217" s="176"/>
      <c r="AI217" s="176"/>
      <c r="AJ217" s="176"/>
      <c r="AK217" s="176"/>
      <c r="AL217" s="176"/>
      <c r="AM217" s="176"/>
      <c r="AN217" s="176"/>
      <c r="AO217" s="176"/>
      <c r="AP217" s="176"/>
      <c r="AQ217" s="176"/>
      <c r="AR217" s="176"/>
      <c r="AS217" s="176"/>
      <c r="AT217" s="176"/>
      <c r="AU217" s="176"/>
      <c r="AV217" s="176"/>
      <c r="AW217" s="176"/>
      <c r="AX217" s="176"/>
    </row>
    <row r="218" spans="2:50" ht="16.5" customHeight="1">
      <c r="B218" s="242"/>
      <c r="C218" s="243"/>
      <c r="D218" s="243"/>
      <c r="E218" s="243"/>
      <c r="F218" s="243"/>
      <c r="G218" s="243"/>
      <c r="H218" s="243"/>
      <c r="I218" s="244"/>
      <c r="J218" s="205"/>
      <c r="K218" s="245"/>
      <c r="L218" s="234"/>
      <c r="M218" s="240"/>
      <c r="N218" s="243"/>
      <c r="O218" s="243"/>
      <c r="P218" s="246"/>
      <c r="Q218" s="246" t="s">
        <v>18</v>
      </c>
      <c r="R218" s="247"/>
      <c r="S218" s="239"/>
      <c r="T218" s="5247" t="s">
        <v>106</v>
      </c>
      <c r="U218" s="5248">
        <v>8.1062982412857296E-2</v>
      </c>
      <c r="V218" s="5249">
        <v>5</v>
      </c>
      <c r="W218" s="5249">
        <v>1060.8197758432314</v>
      </c>
      <c r="X218" s="5249">
        <v>996.17361673069468</v>
      </c>
      <c r="Y218" s="5249">
        <v>64.646159112536679</v>
      </c>
      <c r="Z218" s="5249">
        <v>2.5796663950424334</v>
      </c>
      <c r="AA218" s="5249">
        <v>67.225825507579117</v>
      </c>
      <c r="AB218" s="5249">
        <v>993.59395033565227</v>
      </c>
      <c r="AC218" s="5250"/>
      <c r="AD218" s="5251"/>
      <c r="AE218" s="5251">
        <v>904.91819934074908</v>
      </c>
      <c r="AF218" s="5252">
        <v>750</v>
      </c>
      <c r="AG218" s="176"/>
      <c r="AH218" s="176"/>
      <c r="AI218" s="176"/>
      <c r="AJ218" s="176"/>
      <c r="AK218" s="176"/>
      <c r="AL218" s="176"/>
      <c r="AM218" s="176"/>
      <c r="AN218" s="176"/>
      <c r="AO218" s="176"/>
      <c r="AP218" s="176"/>
      <c r="AQ218" s="176"/>
      <c r="AR218" s="176"/>
      <c r="AS218" s="176"/>
      <c r="AT218" s="176"/>
      <c r="AU218" s="176"/>
      <c r="AV218" s="176"/>
      <c r="AW218" s="176"/>
      <c r="AX218" s="176"/>
    </row>
    <row r="219" spans="2:50" ht="16.5" customHeight="1">
      <c r="B219" s="248"/>
      <c r="C219" s="249"/>
      <c r="D219" s="249"/>
      <c r="E219" s="249"/>
      <c r="F219" s="249"/>
      <c r="G219" s="249"/>
      <c r="H219" s="249"/>
      <c r="I219" s="249"/>
      <c r="J219" s="250"/>
      <c r="K219" s="246"/>
      <c r="L219" s="235"/>
      <c r="M219" s="235"/>
      <c r="N219" s="246"/>
      <c r="O219" s="246"/>
      <c r="P219" s="251"/>
      <c r="Q219" s="251"/>
      <c r="R219" s="247"/>
      <c r="S219" s="252"/>
      <c r="T219" s="5253" t="s">
        <v>4</v>
      </c>
      <c r="U219" s="5248">
        <v>3.6231628661051E-2</v>
      </c>
      <c r="V219" s="5249">
        <v>7</v>
      </c>
      <c r="W219" s="5249">
        <v>474.14031720297464</v>
      </c>
      <c r="X219" s="5249">
        <v>450.01151217354527</v>
      </c>
      <c r="Y219" s="5249">
        <v>24.128805029429373</v>
      </c>
      <c r="Z219" s="5249">
        <v>0.96284556331636617</v>
      </c>
      <c r="AA219" s="5249">
        <v>25.09165059274574</v>
      </c>
      <c r="AB219" s="5249">
        <v>449.04866661022891</v>
      </c>
      <c r="AC219" s="5250"/>
      <c r="AD219" s="5251"/>
      <c r="AE219" s="5251">
        <v>409.38764674814121</v>
      </c>
      <c r="AF219" s="5252">
        <v>350</v>
      </c>
      <c r="AG219" s="176"/>
      <c r="AH219" s="176"/>
      <c r="AI219" s="176"/>
      <c r="AJ219" s="176"/>
      <c r="AK219" s="176"/>
      <c r="AL219" s="176"/>
      <c r="AM219" s="176"/>
      <c r="AN219" s="176"/>
      <c r="AO219" s="176"/>
      <c r="AP219" s="176"/>
      <c r="AQ219" s="176"/>
      <c r="AR219" s="176"/>
      <c r="AS219" s="176"/>
      <c r="AT219" s="176"/>
      <c r="AU219" s="176"/>
      <c r="AV219" s="176"/>
      <c r="AW219" s="176"/>
      <c r="AX219" s="176"/>
    </row>
    <row r="220" spans="2:50" ht="16.5" customHeight="1">
      <c r="B220" s="253"/>
      <c r="C220" s="246"/>
      <c r="D220" s="246"/>
      <c r="E220" s="246"/>
      <c r="F220" s="246"/>
      <c r="G220" s="243"/>
      <c r="H220" s="246"/>
      <c r="I220" s="254"/>
      <c r="J220" s="255"/>
      <c r="K220" s="255"/>
      <c r="L220" s="255"/>
      <c r="M220" s="255"/>
      <c r="N220" s="255"/>
      <c r="O220" s="255"/>
      <c r="P220" s="255"/>
      <c r="Q220" s="255"/>
      <c r="R220" s="3059"/>
      <c r="S220" s="252"/>
      <c r="T220" s="5253" t="s">
        <v>9</v>
      </c>
      <c r="U220" s="5248">
        <v>9.8121453494519437E-2</v>
      </c>
      <c r="V220" s="5249">
        <v>12</v>
      </c>
      <c r="W220" s="5249">
        <v>1284.0531547598068</v>
      </c>
      <c r="X220" s="5249">
        <v>1211.751021294893</v>
      </c>
      <c r="Y220" s="5249">
        <v>72.302133464913823</v>
      </c>
      <c r="Z220" s="5249">
        <v>2.8851734820722035</v>
      </c>
      <c r="AA220" s="5249">
        <v>75.187306946986027</v>
      </c>
      <c r="AB220" s="5249">
        <v>1208.8658478128209</v>
      </c>
      <c r="AC220" s="5250" t="s">
        <v>129</v>
      </c>
      <c r="AD220" s="5251">
        <v>130</v>
      </c>
      <c r="AE220" s="5251">
        <v>971.49616507295696</v>
      </c>
      <c r="AF220" s="5252">
        <v>800</v>
      </c>
      <c r="AG220" s="176"/>
      <c r="AH220" s="176"/>
      <c r="AI220" s="176"/>
      <c r="AJ220" s="176"/>
      <c r="AK220" s="176"/>
      <c r="AL220" s="176"/>
      <c r="AM220" s="176"/>
      <c r="AN220" s="176"/>
      <c r="AO220" s="176"/>
      <c r="AP220" s="176"/>
      <c r="AQ220" s="176"/>
      <c r="AR220" s="176"/>
      <c r="AS220" s="176"/>
      <c r="AT220" s="176"/>
      <c r="AU220" s="176"/>
      <c r="AV220" s="176"/>
      <c r="AW220" s="176"/>
      <c r="AX220" s="176"/>
    </row>
    <row r="221" spans="2:50" s="258" customFormat="1" ht="16.5" customHeight="1">
      <c r="B221" s="253"/>
      <c r="C221" s="246"/>
      <c r="D221" s="246"/>
      <c r="E221" s="246"/>
      <c r="F221" s="218"/>
      <c r="G221" s="218"/>
      <c r="H221" s="218"/>
      <c r="I221" s="218"/>
      <c r="J221" s="218"/>
      <c r="K221" s="218"/>
      <c r="L221" s="218"/>
      <c r="M221" s="4645"/>
      <c r="N221" s="256"/>
      <c r="O221" s="256"/>
      <c r="P221" s="255"/>
      <c r="Q221" s="255"/>
      <c r="R221" s="3059"/>
      <c r="S221" s="257"/>
      <c r="T221" s="5253" t="s">
        <v>5</v>
      </c>
      <c r="U221" s="5248">
        <v>0.12991224051034433</v>
      </c>
      <c r="V221" s="5249">
        <v>20</v>
      </c>
      <c r="W221" s="5249">
        <v>1700.0789972861521</v>
      </c>
      <c r="X221" s="5249">
        <v>1608.4634570736262</v>
      </c>
      <c r="Y221" s="5249">
        <v>91.615540212525957</v>
      </c>
      <c r="Z221" s="5249">
        <v>3.6558634510442181</v>
      </c>
      <c r="AA221" s="5249">
        <v>95.271403663570169</v>
      </c>
      <c r="AB221" s="5249">
        <v>1604.8075936225819</v>
      </c>
      <c r="AC221" s="5250" t="s">
        <v>1897</v>
      </c>
      <c r="AD221" s="5251">
        <v>380</v>
      </c>
      <c r="AE221" s="5251">
        <v>1082.6276114772315</v>
      </c>
      <c r="AF221" s="5252">
        <v>900</v>
      </c>
      <c r="AG221" s="176"/>
      <c r="AH221" s="176"/>
      <c r="AI221" s="176"/>
      <c r="AJ221" s="4964"/>
      <c r="AK221" s="4964"/>
      <c r="AL221" s="4964"/>
      <c r="AM221" s="4964"/>
      <c r="AN221" s="4964"/>
      <c r="AO221" s="4964"/>
      <c r="AP221" s="4964"/>
      <c r="AQ221" s="4964"/>
      <c r="AR221" s="4964"/>
      <c r="AS221" s="4964"/>
      <c r="AT221" s="4964"/>
      <c r="AU221" s="4964"/>
      <c r="AV221" s="4964"/>
      <c r="AW221" s="4964"/>
      <c r="AX221" s="4964"/>
    </row>
    <row r="222" spans="2:50" s="258" customFormat="1" ht="16.5" customHeight="1">
      <c r="B222" s="253"/>
      <c r="C222" s="246"/>
      <c r="D222" s="246"/>
      <c r="E222" s="246"/>
      <c r="F222" s="218"/>
      <c r="G222" s="218"/>
      <c r="H222" s="218"/>
      <c r="I222" s="218"/>
      <c r="J222" s="218"/>
      <c r="K222" s="218"/>
      <c r="L222" s="218"/>
      <c r="M222" s="218"/>
      <c r="N222" s="256"/>
      <c r="O222" s="256"/>
      <c r="P222" s="255"/>
      <c r="Q222" s="255"/>
      <c r="R222" s="3059"/>
      <c r="S222" s="257"/>
      <c r="T222" s="5253" t="s">
        <v>56</v>
      </c>
      <c r="U222" s="5248">
        <v>2.9535121418249745E-2</v>
      </c>
      <c r="V222" s="5249">
        <v>2</v>
      </c>
      <c r="W222" s="5249">
        <v>386.50737919853384</v>
      </c>
      <c r="X222" s="5249">
        <v>363.13195253057484</v>
      </c>
      <c r="Y222" s="5254">
        <v>23.375426667959005</v>
      </c>
      <c r="Z222" s="5249"/>
      <c r="AA222" s="5249"/>
      <c r="AB222" s="5249">
        <v>386.50737919853384</v>
      </c>
      <c r="AC222" s="5250"/>
      <c r="AD222" s="5251">
        <v>381.06361329432912</v>
      </c>
      <c r="AE222" s="5251">
        <v>0</v>
      </c>
      <c r="AF222" s="5252">
        <v>0</v>
      </c>
      <c r="AG222" s="176"/>
      <c r="AH222" s="176"/>
      <c r="AI222" s="176"/>
      <c r="AJ222" s="4964"/>
      <c r="AK222" s="4964"/>
      <c r="AL222" s="4964"/>
      <c r="AM222" s="4964"/>
      <c r="AN222" s="4964"/>
      <c r="AO222" s="4964"/>
      <c r="AP222" s="4964"/>
      <c r="AQ222" s="4964"/>
      <c r="AR222" s="4964"/>
      <c r="AS222" s="4964"/>
      <c r="AT222" s="4964"/>
      <c r="AU222" s="4964"/>
      <c r="AV222" s="4964"/>
      <c r="AW222" s="4964"/>
      <c r="AX222" s="4964"/>
    </row>
    <row r="223" spans="2:50" s="258" customFormat="1" ht="20.25" customHeight="1">
      <c r="B223" s="253"/>
      <c r="C223" s="246"/>
      <c r="D223" s="246"/>
      <c r="E223" s="246"/>
      <c r="F223" s="412" t="s">
        <v>374</v>
      </c>
      <c r="G223" s="1444"/>
      <c r="H223" s="412"/>
      <c r="I223" s="1444"/>
      <c r="J223" s="1445"/>
      <c r="K223" s="1445"/>
      <c r="L223" s="1445"/>
      <c r="M223" s="1445" t="s">
        <v>375</v>
      </c>
      <c r="N223" s="405"/>
      <c r="O223" s="406"/>
      <c r="P223" s="246"/>
      <c r="Q223" s="246"/>
      <c r="R223" s="247"/>
      <c r="S223" s="257"/>
      <c r="T223" s="5255" t="s">
        <v>55</v>
      </c>
      <c r="U223" s="5248">
        <v>0.11526451203609066</v>
      </c>
      <c r="V223" s="5249">
        <v>10</v>
      </c>
      <c r="W223" s="5249">
        <v>1508.3934760511754</v>
      </c>
      <c r="X223" s="5249">
        <v>1419.3626939808973</v>
      </c>
      <c r="Y223" s="5249">
        <v>89.030782070278065</v>
      </c>
      <c r="Z223" s="5249">
        <v>3.5527202201020396</v>
      </c>
      <c r="AA223" s="5249">
        <v>92.58350229038011</v>
      </c>
      <c r="AB223" s="5249">
        <v>1415.8099737607954</v>
      </c>
      <c r="AC223" s="5256"/>
      <c r="AD223" s="5251"/>
      <c r="AE223" s="5251">
        <v>1289.7045018454967</v>
      </c>
      <c r="AF223" s="5252">
        <v>1100</v>
      </c>
      <c r="AG223" s="176"/>
      <c r="AH223" s="176"/>
      <c r="AI223" s="176"/>
      <c r="AJ223" s="4964"/>
      <c r="AK223" s="4964"/>
      <c r="AL223" s="4964"/>
      <c r="AM223" s="4964"/>
      <c r="AN223" s="4964"/>
      <c r="AO223" s="4964"/>
      <c r="AP223" s="4964"/>
      <c r="AQ223" s="4964"/>
      <c r="AR223" s="4964"/>
      <c r="AS223" s="4964"/>
      <c r="AT223" s="4964"/>
      <c r="AU223" s="4964"/>
      <c r="AV223" s="4964"/>
      <c r="AW223" s="4964"/>
      <c r="AX223" s="4964"/>
    </row>
    <row r="224" spans="2:50" s="258" customFormat="1" ht="20.25" customHeight="1" thickBot="1">
      <c r="B224" s="942"/>
      <c r="C224" s="259"/>
      <c r="D224" s="259"/>
      <c r="E224" s="259"/>
      <c r="F224" s="1446" t="s">
        <v>376</v>
      </c>
      <c r="G224" s="1446"/>
      <c r="H224" s="1446"/>
      <c r="I224" s="1447"/>
      <c r="J224" s="1448"/>
      <c r="K224" s="1448"/>
      <c r="L224" s="1448"/>
      <c r="M224" s="1448" t="s">
        <v>377</v>
      </c>
      <c r="N224" s="1449"/>
      <c r="O224" s="1450"/>
      <c r="P224" s="260"/>
      <c r="Q224" s="260"/>
      <c r="R224" s="261"/>
      <c r="S224" s="257"/>
      <c r="T224" s="5255" t="s">
        <v>6</v>
      </c>
      <c r="U224" s="5248">
        <v>6.4004511331195155E-2</v>
      </c>
      <c r="V224" s="5249">
        <v>4</v>
      </c>
      <c r="W224" s="5249">
        <v>837.58639692665565</v>
      </c>
      <c r="X224" s="5249">
        <v>786.59621216649634</v>
      </c>
      <c r="Y224" s="5249">
        <v>50.990184760159309</v>
      </c>
      <c r="Z224" s="5249">
        <v>2.0347328891389465</v>
      </c>
      <c r="AA224" s="5249">
        <v>53.024917649298253</v>
      </c>
      <c r="AB224" s="5249">
        <v>784.56147927735742</v>
      </c>
      <c r="AC224" s="5256"/>
      <c r="AD224" s="5251"/>
      <c r="AE224" s="5251">
        <v>714.54589707483751</v>
      </c>
      <c r="AF224" s="5252">
        <v>650</v>
      </c>
      <c r="AG224" s="176"/>
      <c r="AH224" s="176"/>
      <c r="AI224" s="176"/>
      <c r="AJ224" s="4964"/>
      <c r="AK224" s="4964"/>
      <c r="AL224" s="4964"/>
      <c r="AM224" s="4964"/>
      <c r="AN224" s="4964"/>
      <c r="AO224" s="4964"/>
      <c r="AP224" s="4964"/>
      <c r="AQ224" s="4964"/>
      <c r="AR224" s="4964"/>
      <c r="AS224" s="4964"/>
      <c r="AT224" s="4964"/>
      <c r="AU224" s="4964"/>
      <c r="AV224" s="4964"/>
      <c r="AW224" s="4964"/>
      <c r="AX224" s="4964"/>
    </row>
    <row r="225" spans="2:50" s="258" customFormat="1" ht="16.5" customHeight="1">
      <c r="B225" s="262"/>
      <c r="C225" s="262"/>
      <c r="D225" s="262"/>
      <c r="E225" s="262"/>
      <c r="F225" s="263" t="s">
        <v>18</v>
      </c>
      <c r="G225" s="263"/>
      <c r="H225" s="263"/>
      <c r="I225" s="263"/>
      <c r="J225" s="263"/>
      <c r="K225" s="264"/>
      <c r="L225" s="265"/>
      <c r="M225" s="265"/>
      <c r="N225" s="266"/>
      <c r="O225" s="217"/>
      <c r="P225" s="262"/>
      <c r="Q225" s="262"/>
      <c r="R225" s="262"/>
      <c r="S225" s="257"/>
      <c r="T225" s="5255" t="s">
        <v>12</v>
      </c>
      <c r="U225" s="5248">
        <v>0.99999999999999989</v>
      </c>
      <c r="V225" s="5249">
        <v>250</v>
      </c>
      <c r="W225" s="5249">
        <v>12902.05</v>
      </c>
      <c r="X225" s="5249">
        <v>11409.098499999998</v>
      </c>
      <c r="Y225" s="5249">
        <v>1492.951500000001</v>
      </c>
      <c r="Z225" s="5249">
        <v>49.478284178620576</v>
      </c>
      <c r="AA225" s="5249">
        <v>1492.9515000000008</v>
      </c>
      <c r="AB225" s="5249">
        <v>11409.098499999998</v>
      </c>
      <c r="AC225" s="5239">
        <v>11159.098499999998</v>
      </c>
      <c r="AD225" s="5231">
        <v>1141.0636132943291</v>
      </c>
      <c r="AE225" s="5257">
        <v>10268.034886705669</v>
      </c>
      <c r="AF225" s="5257">
        <v>10441.063613294329</v>
      </c>
      <c r="AG225" s="176"/>
      <c r="AH225" s="176"/>
      <c r="AI225" s="176"/>
      <c r="AJ225" s="4964"/>
      <c r="AK225" s="4964"/>
      <c r="AL225" s="4964"/>
      <c r="AM225" s="4964"/>
      <c r="AN225" s="4964"/>
      <c r="AO225" s="4964"/>
      <c r="AP225" s="4964"/>
      <c r="AQ225" s="4964"/>
      <c r="AR225" s="4964"/>
      <c r="AS225" s="4964"/>
      <c r="AT225" s="4964"/>
      <c r="AU225" s="4964"/>
      <c r="AV225" s="4964"/>
      <c r="AW225" s="4964"/>
      <c r="AX225" s="4964"/>
    </row>
    <row r="226" spans="2:50" ht="16.5" customHeight="1">
      <c r="B226" s="190"/>
      <c r="C226" s="190"/>
      <c r="D226" s="190"/>
      <c r="E226" s="190"/>
      <c r="F226" s="267"/>
      <c r="G226" s="267"/>
      <c r="H226" s="268"/>
      <c r="I226" s="269"/>
      <c r="J226" s="262"/>
      <c r="K226" s="190"/>
      <c r="L226" s="270"/>
      <c r="M226" s="270"/>
      <c r="N226" s="262"/>
      <c r="O226" s="190"/>
      <c r="P226" s="190"/>
      <c r="Q226" s="190"/>
      <c r="R226" s="190"/>
      <c r="S226" s="252"/>
      <c r="T226" s="4965"/>
      <c r="U226" s="4965"/>
      <c r="V226" s="4965"/>
      <c r="W226" s="4965"/>
      <c r="X226" s="210"/>
      <c r="Y226" s="210"/>
      <c r="Z226" s="210"/>
      <c r="AA226" s="210"/>
      <c r="AB226" s="210"/>
      <c r="AC226" s="210"/>
      <c r="AD226" s="176"/>
      <c r="AE226" s="176"/>
      <c r="AF226" s="176"/>
      <c r="AG226" s="176"/>
      <c r="AH226" s="176"/>
      <c r="AI226" s="176"/>
      <c r="AJ226" s="176"/>
      <c r="AK226" s="176"/>
      <c r="AL226" s="176"/>
      <c r="AM226" s="176"/>
      <c r="AN226" s="176"/>
      <c r="AO226" s="176"/>
      <c r="AP226" s="176"/>
      <c r="AQ226" s="176"/>
      <c r="AR226" s="176"/>
      <c r="AS226" s="176"/>
      <c r="AT226" s="176"/>
      <c r="AU226" s="176"/>
      <c r="AV226" s="176"/>
      <c r="AW226" s="176"/>
      <c r="AX226" s="176"/>
    </row>
    <row r="227" spans="2:50" ht="21.95" customHeight="1">
      <c r="B227" s="190"/>
      <c r="C227" s="190"/>
      <c r="D227" s="205"/>
      <c r="E227" s="220"/>
      <c r="F227" s="220"/>
      <c r="G227" s="271"/>
      <c r="H227" s="272"/>
      <c r="I227" s="272"/>
      <c r="J227" s="272"/>
      <c r="K227" s="272"/>
      <c r="L227" s="273"/>
      <c r="M227" s="274"/>
      <c r="N227" s="275"/>
      <c r="O227" s="223"/>
      <c r="P227" s="222"/>
      <c r="Q227" s="276"/>
      <c r="R227" s="277"/>
      <c r="S227" s="278"/>
      <c r="T227" s="4965"/>
      <c r="U227" s="4965"/>
      <c r="V227" s="4965"/>
      <c r="W227" s="4965"/>
      <c r="X227" s="210"/>
      <c r="Y227" s="210"/>
      <c r="Z227" s="210"/>
      <c r="AA227" s="210"/>
      <c r="AB227" s="210"/>
      <c r="AC227" s="210"/>
      <c r="AD227" s="176"/>
      <c r="AE227" s="176"/>
      <c r="AF227" s="176"/>
      <c r="AG227" s="176"/>
      <c r="AH227" s="176"/>
      <c r="AI227" s="176"/>
      <c r="AJ227" s="176"/>
      <c r="AK227" s="176"/>
      <c r="AL227" s="176"/>
      <c r="AM227" s="176"/>
      <c r="AN227" s="176"/>
      <c r="AO227" s="176"/>
      <c r="AP227" s="176"/>
      <c r="AQ227" s="176"/>
      <c r="AR227" s="176"/>
      <c r="AS227" s="176"/>
      <c r="AT227" s="176"/>
      <c r="AU227" s="176"/>
      <c r="AV227" s="176"/>
      <c r="AW227" s="176"/>
      <c r="AX227" s="176"/>
    </row>
    <row r="228" spans="2:50" ht="21.95" customHeight="1">
      <c r="B228" s="190"/>
      <c r="C228" s="190"/>
      <c r="D228" s="190"/>
      <c r="E228" s="190"/>
      <c r="F228" s="190"/>
      <c r="G228" s="190"/>
      <c r="H228" s="190"/>
      <c r="I228" s="190"/>
      <c r="J228" s="190"/>
      <c r="K228" s="190"/>
      <c r="L228" s="214"/>
      <c r="M228" s="279"/>
      <c r="N228" s="190"/>
      <c r="O228" s="190"/>
      <c r="P228" s="190"/>
      <c r="Q228" s="190"/>
      <c r="R228" s="190"/>
      <c r="S228" s="252"/>
      <c r="T228" s="4965"/>
      <c r="U228" s="4965"/>
      <c r="V228" s="4965"/>
      <c r="W228" s="4965"/>
      <c r="X228" s="210"/>
      <c r="Y228" s="210"/>
      <c r="Z228" s="210"/>
      <c r="AA228" s="210"/>
      <c r="AB228" s="210"/>
      <c r="AC228" s="210"/>
      <c r="AD228" s="176"/>
      <c r="AE228" s="176"/>
      <c r="AF228" s="176"/>
      <c r="AG228" s="176"/>
      <c r="AH228" s="176"/>
      <c r="AI228" s="176"/>
      <c r="AJ228" s="176"/>
      <c r="AK228" s="176"/>
      <c r="AL228" s="176"/>
      <c r="AM228" s="176"/>
      <c r="AN228" s="176"/>
      <c r="AO228" s="176"/>
      <c r="AP228" s="176"/>
      <c r="AQ228" s="176"/>
      <c r="AR228" s="176"/>
      <c r="AS228" s="176"/>
      <c r="AT228" s="176"/>
      <c r="AU228" s="176"/>
      <c r="AV228" s="176"/>
      <c r="AW228" s="176"/>
      <c r="AX228" s="176"/>
    </row>
    <row r="229" spans="2:50" ht="21.95" customHeight="1">
      <c r="B229" s="190"/>
      <c r="C229" s="190"/>
      <c r="D229" s="190"/>
      <c r="E229" s="190"/>
      <c r="F229" s="190"/>
      <c r="G229" s="190"/>
      <c r="H229" s="190"/>
      <c r="I229" s="190"/>
      <c r="J229" s="190"/>
      <c r="K229" s="205"/>
      <c r="L229" s="214"/>
      <c r="M229" s="214"/>
      <c r="N229" s="190"/>
      <c r="O229" s="190"/>
      <c r="P229" s="190"/>
      <c r="Q229" s="190"/>
      <c r="R229" s="190"/>
      <c r="S229" s="252"/>
      <c r="T229" s="4965"/>
      <c r="U229" s="4965"/>
      <c r="V229" s="4965"/>
      <c r="W229" s="4965"/>
      <c r="X229" s="210"/>
      <c r="Y229" s="210"/>
      <c r="Z229" s="210"/>
      <c r="AA229" s="210"/>
      <c r="AB229" s="210"/>
      <c r="AC229" s="210"/>
      <c r="AD229" s="176"/>
      <c r="AE229" s="176"/>
      <c r="AF229" s="176"/>
      <c r="AG229" s="176"/>
      <c r="AH229" s="176"/>
      <c r="AI229" s="176"/>
      <c r="AJ229" s="176"/>
      <c r="AK229" s="176"/>
      <c r="AL229" s="176"/>
      <c r="AM229" s="176"/>
      <c r="AN229" s="176"/>
      <c r="AO229" s="176"/>
      <c r="AP229" s="176"/>
      <c r="AQ229" s="176"/>
      <c r="AR229" s="176"/>
      <c r="AS229" s="176"/>
      <c r="AT229" s="176"/>
      <c r="AU229" s="176"/>
      <c r="AV229" s="176"/>
      <c r="AW229" s="176"/>
      <c r="AX229" s="176"/>
    </row>
    <row r="230" spans="2:50" ht="21.95" customHeight="1">
      <c r="G230" s="2135"/>
      <c r="K230" s="280"/>
      <c r="S230" s="281"/>
      <c r="T230" s="4966"/>
      <c r="U230" s="4966"/>
      <c r="V230" s="4966"/>
      <c r="W230" s="4966"/>
      <c r="X230" s="176"/>
      <c r="Y230" s="176"/>
      <c r="Z230" s="176"/>
      <c r="AA230" s="176"/>
      <c r="AB230" s="176"/>
      <c r="AC230" s="176"/>
      <c r="AD230" s="176"/>
      <c r="AE230" s="176"/>
      <c r="AF230" s="176"/>
      <c r="AG230" s="176"/>
      <c r="AH230" s="176"/>
      <c r="AI230" s="176"/>
      <c r="AJ230" s="176"/>
      <c r="AK230" s="176"/>
      <c r="AL230" s="176"/>
      <c r="AM230" s="176"/>
      <c r="AN230" s="176"/>
      <c r="AO230" s="176"/>
      <c r="AP230" s="176"/>
      <c r="AQ230" s="176"/>
      <c r="AR230" s="176"/>
      <c r="AS230" s="176"/>
      <c r="AT230" s="176"/>
      <c r="AU230" s="176"/>
      <c r="AV230" s="176"/>
      <c r="AW230" s="176"/>
      <c r="AX230" s="176"/>
    </row>
    <row r="231" spans="2:50" ht="21.95" customHeight="1">
      <c r="J231" s="2181"/>
      <c r="K231" s="280"/>
      <c r="S231" s="281"/>
      <c r="T231" s="4966"/>
      <c r="U231" s="4966"/>
      <c r="V231" s="4966"/>
      <c r="W231" s="4966"/>
      <c r="X231" s="176"/>
      <c r="Y231" s="176"/>
      <c r="Z231" s="176"/>
      <c r="AA231" s="176"/>
      <c r="AB231" s="176"/>
      <c r="AC231" s="176"/>
      <c r="AD231" s="176"/>
      <c r="AE231" s="176"/>
      <c r="AF231" s="176"/>
      <c r="AG231" s="176"/>
      <c r="AH231" s="176"/>
      <c r="AI231" s="176"/>
      <c r="AJ231" s="176"/>
      <c r="AK231" s="176"/>
      <c r="AL231" s="176"/>
      <c r="AM231" s="176"/>
      <c r="AN231" s="176"/>
      <c r="AO231" s="176"/>
      <c r="AP231" s="176"/>
      <c r="AQ231" s="176"/>
      <c r="AR231" s="176"/>
      <c r="AS231" s="176"/>
      <c r="AT231" s="176"/>
      <c r="AU231" s="176"/>
      <c r="AV231" s="176"/>
      <c r="AW231" s="176"/>
      <c r="AX231" s="176"/>
    </row>
    <row r="232" spans="2:50" ht="21.95" customHeight="1">
      <c r="J232" s="2137"/>
      <c r="K232" s="280"/>
      <c r="S232" s="281"/>
      <c r="T232" s="4967"/>
      <c r="U232" s="4966"/>
      <c r="V232" s="4966"/>
      <c r="W232" s="4966"/>
      <c r="X232" s="176"/>
      <c r="Y232" s="4979">
        <v>631.36321478694481</v>
      </c>
      <c r="Z232" s="176"/>
      <c r="AA232" s="176"/>
      <c r="AB232" s="176"/>
      <c r="AC232" s="176"/>
      <c r="AD232" s="176"/>
      <c r="AE232" s="176"/>
      <c r="AF232" s="176"/>
      <c r="AG232" s="176"/>
      <c r="AH232" s="176"/>
      <c r="AI232" s="176"/>
      <c r="AJ232" s="176"/>
      <c r="AK232" s="176"/>
      <c r="AL232" s="176"/>
      <c r="AM232" s="176"/>
      <c r="AN232" s="176"/>
      <c r="AO232" s="176"/>
      <c r="AP232" s="176"/>
      <c r="AQ232" s="176"/>
      <c r="AR232" s="176"/>
      <c r="AS232" s="176"/>
      <c r="AT232" s="176"/>
      <c r="AU232" s="176"/>
      <c r="AV232" s="176"/>
      <c r="AW232" s="176"/>
      <c r="AX232" s="176"/>
    </row>
    <row r="233" spans="2:50" ht="21.95" customHeight="1">
      <c r="J233" s="2137"/>
      <c r="K233" s="280"/>
      <c r="S233" s="281"/>
      <c r="T233" s="4968"/>
      <c r="U233" s="4969"/>
      <c r="V233" s="4968"/>
      <c r="W233" s="4966"/>
      <c r="X233" s="176"/>
      <c r="Y233" s="4979">
        <v>206.34661326983405</v>
      </c>
      <c r="Z233" s="176"/>
      <c r="AA233" s="176"/>
      <c r="AB233" s="176"/>
      <c r="AC233" s="176"/>
      <c r="AD233" s="176"/>
      <c r="AE233" s="176"/>
      <c r="AF233" s="176"/>
      <c r="AG233" s="176"/>
      <c r="AH233" s="176"/>
      <c r="AI233" s="176"/>
      <c r="AJ233" s="176"/>
      <c r="AK233" s="176"/>
      <c r="AL233" s="176"/>
      <c r="AM233" s="176"/>
      <c r="AN233" s="176"/>
      <c r="AO233" s="176"/>
      <c r="AP233" s="176"/>
      <c r="AQ233" s="176"/>
      <c r="AR233" s="176"/>
      <c r="AS233" s="176"/>
      <c r="AT233" s="176"/>
      <c r="AU233" s="176"/>
      <c r="AV233" s="176"/>
      <c r="AW233" s="176"/>
      <c r="AX233" s="176"/>
    </row>
    <row r="234" spans="2:50" ht="21.95" customHeight="1">
      <c r="J234" s="2137"/>
      <c r="K234" s="280">
        <f>M184/0.97</f>
        <v>0</v>
      </c>
      <c r="N234" s="282"/>
      <c r="S234" s="281"/>
      <c r="T234" s="4969"/>
      <c r="U234" s="4969"/>
      <c r="V234" s="4969"/>
      <c r="W234" s="4966"/>
      <c r="X234" s="176"/>
      <c r="Y234" s="4979">
        <v>281.15914076939339</v>
      </c>
      <c r="Z234" s="176"/>
      <c r="AA234" s="176"/>
      <c r="AB234" s="176"/>
      <c r="AC234" s="176"/>
      <c r="AD234" s="176"/>
      <c r="AE234" s="176"/>
      <c r="AF234" s="176"/>
      <c r="AG234" s="176"/>
      <c r="AH234" s="176"/>
      <c r="AI234" s="176"/>
      <c r="AJ234" s="176"/>
      <c r="AK234" s="176"/>
      <c r="AL234" s="176"/>
      <c r="AM234" s="176"/>
      <c r="AN234" s="176"/>
      <c r="AO234" s="176"/>
      <c r="AP234" s="176"/>
      <c r="AQ234" s="176"/>
      <c r="AR234" s="176"/>
      <c r="AS234" s="176"/>
      <c r="AT234" s="176"/>
      <c r="AU234" s="176"/>
      <c r="AV234" s="176"/>
      <c r="AW234" s="176"/>
      <c r="AX234" s="176"/>
    </row>
    <row r="235" spans="2:50" ht="21.95" customHeight="1">
      <c r="J235" s="2137"/>
      <c r="K235" s="280"/>
      <c r="N235" s="282"/>
      <c r="S235" s="281"/>
      <c r="T235" s="4969"/>
      <c r="U235" s="4969"/>
      <c r="V235" s="4969"/>
      <c r="W235" s="4966"/>
      <c r="X235" s="176"/>
      <c r="Y235" s="4979">
        <v>258.21792023120588</v>
      </c>
      <c r="Z235" s="176"/>
      <c r="AA235" s="176"/>
      <c r="AB235" s="176"/>
      <c r="AC235" s="176"/>
      <c r="AD235" s="176"/>
      <c r="AE235" s="176"/>
      <c r="AF235" s="176"/>
      <c r="AG235" s="176"/>
      <c r="AH235" s="176"/>
      <c r="AI235" s="176"/>
      <c r="AJ235" s="176"/>
      <c r="AK235" s="176"/>
      <c r="AL235" s="176"/>
      <c r="AM235" s="176"/>
      <c r="AN235" s="176"/>
      <c r="AO235" s="176"/>
      <c r="AP235" s="176"/>
      <c r="AQ235" s="176"/>
      <c r="AR235" s="176"/>
      <c r="AS235" s="176"/>
      <c r="AT235" s="176"/>
      <c r="AU235" s="176"/>
      <c r="AV235" s="176"/>
      <c r="AW235" s="176"/>
      <c r="AX235" s="176"/>
    </row>
    <row r="236" spans="2:50" ht="21.95" customHeight="1">
      <c r="J236" s="2137"/>
      <c r="K236" s="280"/>
      <c r="N236" s="18"/>
      <c r="S236" s="281"/>
      <c r="T236" s="4969"/>
      <c r="U236" s="4969"/>
      <c r="V236" s="4969"/>
      <c r="W236" s="4966"/>
      <c r="X236" s="176"/>
      <c r="Y236" s="4979">
        <v>213.66496144926509</v>
      </c>
      <c r="Z236" s="176"/>
      <c r="AA236" s="176"/>
      <c r="AB236" s="176"/>
      <c r="AC236" s="176"/>
      <c r="AD236" s="176"/>
      <c r="AE236" s="176"/>
      <c r="AF236" s="176"/>
      <c r="AG236" s="176"/>
      <c r="AH236" s="176"/>
      <c r="AI236" s="176"/>
      <c r="AJ236" s="176"/>
      <c r="AK236" s="176"/>
      <c r="AL236" s="176"/>
      <c r="AM236" s="176"/>
      <c r="AN236" s="176"/>
      <c r="AO236" s="176"/>
      <c r="AP236" s="176"/>
      <c r="AQ236" s="176"/>
      <c r="AR236" s="176"/>
      <c r="AS236" s="176"/>
      <c r="AT236" s="176"/>
      <c r="AU236" s="176"/>
      <c r="AV236" s="176"/>
      <c r="AW236" s="176"/>
      <c r="AX236" s="176"/>
    </row>
    <row r="237" spans="2:50" ht="21.95" customHeight="1">
      <c r="J237" s="2137"/>
      <c r="K237" s="280"/>
      <c r="N237" s="283"/>
      <c r="T237" s="4969"/>
      <c r="U237" s="4969"/>
      <c r="V237" s="4969"/>
      <c r="W237" s="176"/>
      <c r="X237" s="176"/>
      <c r="Y237" s="4979">
        <v>186.30223108236703</v>
      </c>
      <c r="Z237" s="176"/>
      <c r="AA237" s="176"/>
      <c r="AB237" s="176"/>
      <c r="AC237" s="176"/>
      <c r="AD237" s="176"/>
      <c r="AE237" s="176"/>
      <c r="AF237" s="176"/>
      <c r="AG237" s="176"/>
      <c r="AH237" s="176"/>
      <c r="AI237" s="176"/>
      <c r="AJ237" s="176"/>
      <c r="AK237" s="176"/>
      <c r="AL237" s="176"/>
      <c r="AM237" s="176"/>
      <c r="AN237" s="176"/>
      <c r="AO237" s="176"/>
      <c r="AP237" s="176"/>
      <c r="AQ237" s="176"/>
      <c r="AR237" s="176"/>
      <c r="AS237" s="176"/>
      <c r="AT237" s="176"/>
      <c r="AU237" s="176"/>
      <c r="AV237" s="176"/>
      <c r="AW237" s="176"/>
      <c r="AX237" s="176"/>
    </row>
    <row r="238" spans="2:50" ht="21.95" customHeight="1">
      <c r="J238" s="2137"/>
      <c r="K238" s="280"/>
      <c r="T238" s="4969"/>
      <c r="U238" s="4969"/>
      <c r="V238" s="4969"/>
      <c r="W238" s="176"/>
      <c r="X238" s="176"/>
      <c r="Y238" s="4979">
        <v>79.481171109857939</v>
      </c>
      <c r="Z238" s="176"/>
      <c r="AA238" s="176"/>
      <c r="AB238" s="176"/>
      <c r="AC238" s="176"/>
      <c r="AD238" s="176"/>
      <c r="AE238" s="176"/>
      <c r="AF238" s="176"/>
      <c r="AG238" s="176"/>
      <c r="AH238" s="176"/>
      <c r="AI238" s="176"/>
      <c r="AJ238" s="176"/>
      <c r="AK238" s="176"/>
      <c r="AL238" s="176"/>
      <c r="AM238" s="176"/>
      <c r="AN238" s="176"/>
      <c r="AO238" s="176"/>
      <c r="AP238" s="176"/>
      <c r="AQ238" s="176"/>
      <c r="AR238" s="176"/>
      <c r="AS238" s="176"/>
      <c r="AT238" s="176"/>
      <c r="AU238" s="176"/>
      <c r="AV238" s="176"/>
      <c r="AW238" s="176"/>
      <c r="AX238" s="176"/>
    </row>
    <row r="239" spans="2:50" ht="21.95" customHeight="1">
      <c r="J239" s="2137"/>
      <c r="T239" s="4969"/>
      <c r="U239" s="4969"/>
      <c r="V239" s="4969"/>
      <c r="W239" s="176"/>
      <c r="X239" s="176"/>
      <c r="Y239" s="4979">
        <v>0</v>
      </c>
      <c r="Z239" s="176"/>
      <c r="AA239" s="176"/>
      <c r="AB239" s="176"/>
      <c r="AC239" s="176"/>
      <c r="AD239" s="176"/>
      <c r="AE239" s="176"/>
      <c r="AF239" s="176"/>
      <c r="AG239" s="176"/>
      <c r="AH239" s="176"/>
      <c r="AI239" s="176"/>
      <c r="AJ239" s="176"/>
      <c r="AK239" s="176"/>
      <c r="AL239" s="176"/>
      <c r="AM239" s="176"/>
      <c r="AN239" s="176"/>
      <c r="AO239" s="176"/>
      <c r="AP239" s="176"/>
      <c r="AQ239" s="176"/>
      <c r="AR239" s="176"/>
      <c r="AS239" s="176"/>
      <c r="AT239" s="176"/>
      <c r="AU239" s="176"/>
      <c r="AV239" s="176"/>
      <c r="AW239" s="176"/>
      <c r="AX239" s="176"/>
    </row>
    <row r="240" spans="2:50" ht="21.95" customHeight="1">
      <c r="E240" s="255"/>
      <c r="F240" s="255"/>
      <c r="I240" s="255"/>
      <c r="J240" s="2138"/>
      <c r="K240" s="255"/>
      <c r="T240" s="4969"/>
      <c r="U240" s="4969"/>
      <c r="V240" s="4969"/>
      <c r="W240" s="176"/>
      <c r="X240" s="176"/>
      <c r="Y240" s="4979">
        <v>151.93950071546897</v>
      </c>
      <c r="Z240" s="176"/>
      <c r="AA240" s="176"/>
      <c r="AB240" s="176"/>
      <c r="AC240" s="176"/>
      <c r="AD240" s="176"/>
      <c r="AE240" s="176"/>
      <c r="AF240" s="176"/>
      <c r="AG240" s="176"/>
      <c r="AH240" s="176"/>
      <c r="AI240" s="176"/>
      <c r="AJ240" s="176"/>
      <c r="AK240" s="176"/>
      <c r="AL240" s="176"/>
      <c r="AM240" s="176"/>
      <c r="AN240" s="176"/>
      <c r="AO240" s="176"/>
      <c r="AP240" s="176"/>
      <c r="AQ240" s="176"/>
      <c r="AR240" s="176"/>
      <c r="AS240" s="176"/>
      <c r="AT240" s="176"/>
      <c r="AU240" s="176"/>
      <c r="AV240" s="176"/>
      <c r="AW240" s="176"/>
      <c r="AX240" s="176"/>
    </row>
    <row r="241" spans="3:50" ht="21.95" customHeight="1">
      <c r="C241" s="255"/>
      <c r="D241" s="255"/>
      <c r="E241" s="255"/>
      <c r="F241" s="255"/>
      <c r="G241" s="255"/>
      <c r="H241" s="255"/>
      <c r="I241" s="255"/>
      <c r="J241" s="255"/>
      <c r="K241" s="255"/>
      <c r="T241" s="4969"/>
      <c r="U241" s="4969"/>
      <c r="V241" s="4969"/>
      <c r="W241" s="176"/>
      <c r="X241" s="176"/>
      <c r="Y241" s="176"/>
      <c r="Z241" s="176"/>
      <c r="AA241" s="176"/>
      <c r="AB241" s="176"/>
      <c r="AC241" s="176"/>
      <c r="AD241" s="176"/>
      <c r="AE241" s="176"/>
      <c r="AF241" s="176"/>
      <c r="AG241" s="176"/>
      <c r="AH241" s="176"/>
      <c r="AI241" s="176"/>
      <c r="AJ241" s="176"/>
      <c r="AK241" s="176"/>
      <c r="AL241" s="176"/>
      <c r="AM241" s="176"/>
      <c r="AN241" s="176"/>
      <c r="AO241" s="176"/>
      <c r="AP241" s="176"/>
      <c r="AQ241" s="176"/>
      <c r="AR241" s="176"/>
      <c r="AS241" s="176"/>
      <c r="AT241" s="176"/>
      <c r="AU241" s="176"/>
      <c r="AV241" s="176"/>
      <c r="AW241" s="176"/>
      <c r="AX241" s="176"/>
    </row>
    <row r="242" spans="3:50" ht="21.95" customHeight="1">
      <c r="C242" s="255"/>
      <c r="D242" s="255"/>
      <c r="I242" s="255"/>
      <c r="J242" s="255"/>
      <c r="K242" s="255"/>
      <c r="T242" s="4970"/>
      <c r="U242" s="4970"/>
      <c r="V242" s="4970"/>
      <c r="W242" s="176"/>
      <c r="X242" s="176"/>
      <c r="Y242" s="4979">
        <v>631.36321478694481</v>
      </c>
      <c r="Z242" s="4979">
        <v>206.34661326983405</v>
      </c>
      <c r="AA242" s="4979">
        <v>281.15914076939339</v>
      </c>
      <c r="AB242" s="4979">
        <v>258.21792023120588</v>
      </c>
      <c r="AC242" s="4979">
        <v>213.66496144926509</v>
      </c>
      <c r="AD242" s="4979">
        <v>186.30223108236703</v>
      </c>
      <c r="AE242" s="4979">
        <v>79.481171109857939</v>
      </c>
      <c r="AF242" s="4979">
        <v>0</v>
      </c>
      <c r="AG242" s="4979">
        <v>151.93950071546897</v>
      </c>
      <c r="AH242" s="176"/>
      <c r="AI242" s="176"/>
      <c r="AJ242" s="176"/>
      <c r="AK242" s="176"/>
      <c r="AL242" s="176"/>
      <c r="AM242" s="176"/>
      <c r="AN242" s="176"/>
      <c r="AO242" s="176"/>
      <c r="AP242" s="176"/>
      <c r="AQ242" s="176"/>
      <c r="AR242" s="176"/>
      <c r="AS242" s="176"/>
      <c r="AT242" s="176"/>
      <c r="AU242" s="176"/>
      <c r="AV242" s="176"/>
      <c r="AW242" s="176"/>
      <c r="AX242" s="176"/>
    </row>
    <row r="243" spans="3:50" ht="21.95" customHeight="1">
      <c r="T243" s="176"/>
      <c r="U243" s="176"/>
      <c r="V243" s="176"/>
      <c r="W243" s="176"/>
      <c r="X243" s="176"/>
      <c r="Y243" s="176"/>
      <c r="Z243" s="176"/>
      <c r="AA243" s="176"/>
      <c r="AB243" s="176"/>
      <c r="AC243" s="176"/>
      <c r="AD243" s="176"/>
      <c r="AE243" s="176"/>
      <c r="AF243" s="176"/>
      <c r="AG243" s="176"/>
      <c r="AH243" s="176"/>
      <c r="AI243" s="176"/>
      <c r="AJ243" s="176"/>
      <c r="AK243" s="176"/>
      <c r="AL243" s="176"/>
      <c r="AM243" s="176"/>
      <c r="AN243" s="176"/>
      <c r="AO243" s="176"/>
      <c r="AP243" s="176"/>
      <c r="AQ243" s="176"/>
      <c r="AR243" s="176"/>
      <c r="AS243" s="176"/>
      <c r="AT243" s="176"/>
      <c r="AU243" s="176"/>
      <c r="AV243" s="176"/>
      <c r="AW243" s="176"/>
      <c r="AX243" s="176"/>
    </row>
    <row r="244" spans="3:50">
      <c r="T244" s="176"/>
      <c r="U244" s="176"/>
      <c r="V244" s="176"/>
      <c r="W244" s="176"/>
      <c r="X244" s="176"/>
      <c r="Y244" s="176"/>
      <c r="Z244" s="176"/>
      <c r="AA244" s="176"/>
      <c r="AB244" s="176"/>
      <c r="AC244" s="176"/>
      <c r="AD244" s="176"/>
      <c r="AE244" s="176"/>
      <c r="AF244" s="176"/>
      <c r="AG244" s="176"/>
      <c r="AH244" s="176"/>
      <c r="AI244" s="176"/>
      <c r="AJ244" s="176"/>
      <c r="AK244" s="176"/>
      <c r="AL244" s="176"/>
      <c r="AM244" s="176"/>
      <c r="AN244" s="176"/>
      <c r="AO244" s="176"/>
      <c r="AP244" s="176"/>
      <c r="AQ244" s="176"/>
      <c r="AR244" s="176"/>
      <c r="AS244" s="176"/>
      <c r="AT244" s="176"/>
      <c r="AU244" s="176"/>
      <c r="AV244" s="176"/>
      <c r="AW244" s="176"/>
      <c r="AX244" s="176"/>
    </row>
    <row r="245" spans="3:50" ht="21.95" customHeight="1">
      <c r="T245" s="176"/>
      <c r="U245" s="176"/>
      <c r="V245" s="176"/>
      <c r="W245" s="176"/>
      <c r="X245" s="176"/>
      <c r="Y245" s="176"/>
      <c r="Z245" s="176"/>
      <c r="AA245" s="176"/>
      <c r="AB245" s="176"/>
      <c r="AC245" s="176"/>
      <c r="AD245" s="176"/>
      <c r="AE245" s="176"/>
      <c r="AF245" s="176"/>
      <c r="AG245" s="176"/>
      <c r="AH245" s="176"/>
      <c r="AI245" s="176"/>
      <c r="AJ245" s="176"/>
      <c r="AK245" s="176"/>
      <c r="AL245" s="176"/>
      <c r="AM245" s="176"/>
      <c r="AN245" s="176"/>
      <c r="AO245" s="176"/>
      <c r="AP245" s="176"/>
      <c r="AQ245" s="176"/>
      <c r="AR245" s="176"/>
      <c r="AS245" s="176"/>
      <c r="AT245" s="176"/>
      <c r="AU245" s="176"/>
      <c r="AV245" s="176"/>
      <c r="AW245" s="176"/>
      <c r="AX245" s="176"/>
    </row>
    <row r="246" spans="3:50" ht="21.95" customHeight="1">
      <c r="T246" s="176"/>
      <c r="U246" s="176"/>
      <c r="V246" s="176"/>
      <c r="W246" s="176"/>
      <c r="X246" s="176"/>
      <c r="Y246" s="176"/>
      <c r="Z246" s="176"/>
      <c r="AA246" s="176"/>
      <c r="AB246" s="176"/>
      <c r="AC246" s="176"/>
      <c r="AD246" s="176"/>
      <c r="AE246" s="176"/>
      <c r="AF246" s="176"/>
      <c r="AG246" s="176"/>
      <c r="AH246" s="176"/>
      <c r="AI246" s="176"/>
      <c r="AJ246" s="176"/>
      <c r="AK246" s="176"/>
      <c r="AL246" s="176"/>
      <c r="AM246" s="176"/>
      <c r="AN246" s="176"/>
      <c r="AO246" s="176"/>
      <c r="AP246" s="176"/>
      <c r="AQ246" s="176"/>
      <c r="AR246" s="176"/>
      <c r="AS246" s="176"/>
      <c r="AT246" s="176"/>
      <c r="AU246" s="176"/>
      <c r="AV246" s="176"/>
      <c r="AW246" s="176"/>
      <c r="AX246" s="176"/>
    </row>
    <row r="247" spans="3:50" ht="21.95" customHeight="1">
      <c r="E247" s="255"/>
      <c r="F247" s="255"/>
      <c r="I247" s="255"/>
      <c r="J247" s="255"/>
      <c r="K247" s="255"/>
    </row>
    <row r="248" spans="3:50" ht="21.95" customHeight="1">
      <c r="C248" s="255"/>
      <c r="D248" s="255"/>
      <c r="E248" s="255"/>
      <c r="F248" s="255"/>
      <c r="G248" s="255"/>
      <c r="H248" s="255"/>
      <c r="I248" s="255"/>
      <c r="J248" s="255"/>
      <c r="K248" s="255"/>
    </row>
    <row r="249" spans="3:50" ht="21.95" customHeight="1">
      <c r="C249" s="255"/>
      <c r="D249" s="255"/>
      <c r="I249" s="255"/>
      <c r="J249" s="255"/>
      <c r="K249" s="255"/>
    </row>
    <row r="253" spans="3:50" ht="21.95" customHeight="1"/>
    <row r="256" spans="3:50" ht="21.95" customHeight="1"/>
    <row r="257" ht="21.95" customHeight="1"/>
    <row r="258" ht="21.95" customHeight="1"/>
    <row r="261" ht="21.95" customHeight="1"/>
    <row r="263" ht="21.95" customHeight="1"/>
    <row r="265" ht="21.95" customHeight="1"/>
    <row r="266" ht="21.95" customHeight="1"/>
  </sheetData>
  <customSheetViews>
    <customSheetView guid="{751D391F-C74F-4B53-B5B5-25E01AC12EA4}" scale="115" showPageBreaks="1" printArea="1">
      <selection activeCell="B99" sqref="B99"/>
      <rowBreaks count="1" manualBreakCount="1">
        <brk id="127" min="1" max="17" man="1"/>
      </rowBreaks>
      <pageMargins left="0.21" right="0.21" top="0.16" bottom="0.16" header="0.16" footer="0.16"/>
      <printOptions horizontalCentered="1"/>
      <pageSetup paperSize="9" scale="37" orientation="portrait" r:id="rId1"/>
    </customSheetView>
    <customSheetView guid="{5A803268-F6C5-4035-B3E1-A94CB9AA8994}" showPageBreaks="1" printArea="1" topLeftCell="B174">
      <selection activeCell="A70" sqref="A70:XFD70"/>
      <rowBreaks count="1" manualBreakCount="1">
        <brk id="109" min="1" max="17" man="1"/>
      </rowBreaks>
      <pageMargins left="0.21" right="0.21" top="0.16" bottom="0.16" header="0.16" footer="0.16"/>
      <printOptions horizontalCentered="1"/>
      <pageSetup paperSize="9" scale="43" orientation="portrait" r:id="rId2"/>
    </customSheetView>
    <customSheetView guid="{917057C8-5E5F-4164-B84C-85103677A2E5}" scale="85">
      <pane ySplit="5" topLeftCell="A95" activePane="bottomLeft" state="frozen"/>
      <selection pane="bottomLeft" activeCell="C20" sqref="C20"/>
      <rowBreaks count="1" manualBreakCount="1">
        <brk id="124" min="1" max="17" man="1"/>
      </rowBreaks>
      <pageMargins left="0.21" right="0.21" top="0.16" bottom="0.16" header="0.16" footer="0.16"/>
      <printOptions horizontalCentered="1"/>
      <pageSetup paperSize="9" scale="38" orientation="portrait" r:id="rId3"/>
    </customSheetView>
    <customSheetView guid="{4593F3EE-0998-4E0E-994A-E02D6BAF3A4B}" scale="85" showPageBreaks="1" printArea="1">
      <selection activeCell="I153" sqref="I153"/>
      <rowBreaks count="1" manualBreakCount="1">
        <brk id="111" min="1" max="17" man="1"/>
      </rowBreaks>
      <pageMargins left="0.21" right="0.21" top="0.16" bottom="0.16" header="0.16" footer="0.16"/>
      <printOptions horizontalCentered="1"/>
      <pageSetup paperSize="9" scale="42" orientation="portrait" r:id="rId4"/>
    </customSheetView>
    <customSheetView guid="{23F4DC00-BC97-4745-AA5C-F05D469CB1EF}" showPageBreaks="1" printArea="1" topLeftCell="A7">
      <selection activeCell="G20" sqref="G20"/>
      <rowBreaks count="1" manualBreakCount="1">
        <brk id="108" min="1" max="17" man="1"/>
      </rowBreaks>
      <pageMargins left="0.21" right="0.21" top="0.16" bottom="0.16" header="0.16" footer="0.16"/>
      <printOptions horizontalCentered="1"/>
      <pageSetup paperSize="9" scale="43" orientation="portrait" r:id="rId5"/>
    </customSheetView>
    <customSheetView guid="{B91C2E87-5EDA-40AE-AC27-0E2C17E803CE}" scale="85" showPageBreaks="1" printArea="1" topLeftCell="A130">
      <selection activeCell="D21" sqref="D21"/>
      <rowBreaks count="1" manualBreakCount="1">
        <brk id="118" min="1" max="17" man="1"/>
      </rowBreaks>
      <pageMargins left="0.21" right="0.21" top="0.16" bottom="0.16" header="0.16" footer="0.16"/>
      <printOptions horizontalCentered="1"/>
      <pageSetup paperSize="9" scale="39" orientation="portrait" r:id="rId6"/>
    </customSheetView>
    <customSheetView guid="{7C71EF2A-5ADA-494C-8F58-DDA71753DD90}" scale="110" showPageBreaks="1" printArea="1" topLeftCell="A3">
      <selection activeCell="F163" sqref="F163"/>
      <rowBreaks count="1" manualBreakCount="1">
        <brk id="118" min="1" max="17" man="1"/>
      </rowBreaks>
      <pageMargins left="0.21" right="0.21" top="0.16" bottom="0.16" header="0.16" footer="0.16"/>
      <printOptions horizontalCentered="1"/>
      <pageSetup paperSize="9" scale="40" orientation="portrait" horizontalDpi="4294967295" verticalDpi="4294967295" r:id="rId7"/>
    </customSheetView>
    <customSheetView guid="{4DB6C640-CE65-4513-9E5A-F6CDD1F4B8AF}" scale="110" showPageBreaks="1" topLeftCell="A145">
      <selection activeCell="A81" sqref="A81:XFD81"/>
      <rowBreaks count="1" manualBreakCount="1">
        <brk id="129" min="1" max="17" man="1"/>
      </rowBreaks>
      <pageMargins left="0.21" right="0.21" top="0.16" bottom="0.16" header="0.16" footer="0.16"/>
      <printOptions horizontalCentered="1"/>
      <pageSetup paperSize="9" scale="40" orientation="portrait" horizontalDpi="4294967295" verticalDpi="4294967295" r:id="rId8"/>
    </customSheetView>
    <customSheetView guid="{D1D1E152-95AB-45D3-AC07-4EC0834D3E0C}" scale="115" showAutoFilter="1" topLeftCell="A4">
      <selection activeCell="G33" sqref="G33"/>
      <rowBreaks count="4" manualBreakCount="4">
        <brk id="51" min="1" max="17" man="1"/>
        <brk id="101" min="1" max="17" man="1"/>
        <brk id="151" min="1" max="17" man="1"/>
        <brk id="184" min="1" max="17" man="1"/>
      </rowBreaks>
      <pageMargins left="0.17" right="0.16" top="0.16" bottom="0.16" header="0.16" footer="0.16"/>
      <printOptions horizontalCentered="1"/>
      <pageSetup paperSize="9" scale="63" orientation="landscape" r:id="rId9"/>
      <autoFilter ref="A1:Z218" xr:uid="{58027AFC-88E7-4E3E-B6D1-E186E47AB4C3}"/>
    </customSheetView>
    <customSheetView guid="{C3348F62-02F2-4500-9BF2-19F2DEA57A8D}" showPageBreaks="1" printArea="1">
      <selection sqref="A1:R226"/>
      <rowBreaks count="4" manualBreakCount="4">
        <brk id="51" min="1" max="17" man="1"/>
        <brk id="101" min="1" max="17" man="1"/>
        <brk id="151" min="1" max="17" man="1"/>
        <brk id="184" min="1" max="17" man="1"/>
      </rowBreaks>
      <pageMargins left="0.17" right="0.16" top="0.16" bottom="0.16" header="0.16" footer="0.16"/>
      <printOptions horizontalCentered="1"/>
      <pageSetup paperSize="9" scale="60" orientation="landscape" r:id="rId10"/>
    </customSheetView>
  </customSheetViews>
  <mergeCells count="13">
    <mergeCell ref="AC190:AD190"/>
    <mergeCell ref="AC191:AD191"/>
    <mergeCell ref="T186:U186"/>
    <mergeCell ref="T188:U188"/>
    <mergeCell ref="T203:X203"/>
    <mergeCell ref="Y203:Z203"/>
    <mergeCell ref="X190:X191"/>
    <mergeCell ref="Y190:Y191"/>
    <mergeCell ref="Z190:Z191"/>
    <mergeCell ref="W190:W191"/>
    <mergeCell ref="V190:V191"/>
    <mergeCell ref="U190:U191"/>
    <mergeCell ref="T190:T191"/>
  </mergeCells>
  <printOptions horizontalCentered="1"/>
  <pageMargins left="0.17" right="0.16" top="0.16" bottom="0.16" header="0.16" footer="0.16"/>
  <pageSetup paperSize="9" scale="60" orientation="landscape" r:id="rId11"/>
  <rowBreaks count="4" manualBreakCount="4">
    <brk id="51" min="1" max="17" man="1"/>
    <brk id="101" min="1" max="17" man="1"/>
    <brk id="151" min="1" max="17" man="1"/>
    <brk id="184" min="1" max="17" man="1"/>
  </rowBreaks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1">
    <tabColor rgb="FFC00000"/>
  </sheetPr>
  <dimension ref="A2:BB233"/>
  <sheetViews>
    <sheetView tabSelected="1" zoomScale="83" zoomScaleNormal="85" zoomScalePageLayoutView="80" workbookViewId="0">
      <pane xSplit="3" ySplit="6" topLeftCell="D16" activePane="bottomRight" state="frozen"/>
      <selection pane="topRight" activeCell="D1" sqref="D1"/>
      <selection pane="bottomLeft" activeCell="A7" sqref="A7"/>
      <selection pane="bottomRight" activeCell="J39" sqref="J39"/>
    </sheetView>
  </sheetViews>
  <sheetFormatPr defaultColWidth="9.140625" defaultRowHeight="14.25"/>
  <cols>
    <col min="1" max="1" width="3.42578125" style="175" customWidth="1"/>
    <col min="2" max="2" width="7.7109375" style="175" customWidth="1"/>
    <col min="3" max="3" width="52.28515625" style="175" customWidth="1"/>
    <col min="4" max="4" width="31.28515625" style="175" customWidth="1"/>
    <col min="5" max="5" width="19" style="175" customWidth="1"/>
    <col min="6" max="6" width="27.28515625" style="175" customWidth="1"/>
    <col min="7" max="7" width="18.28515625" style="175" customWidth="1"/>
    <col min="8" max="8" width="16.140625" style="175" customWidth="1"/>
    <col min="9" max="9" width="19.42578125" style="175" customWidth="1"/>
    <col min="10" max="10" width="31.7109375" style="175" customWidth="1"/>
    <col min="11" max="11" width="13" style="175" customWidth="1"/>
    <col min="12" max="52" width="9.140625" style="175"/>
    <col min="53" max="53" width="17.5703125" style="175" customWidth="1"/>
    <col min="54" max="16384" width="9.140625" style="175"/>
  </cols>
  <sheetData>
    <row r="2" spans="2:54" ht="32.25" customHeight="1">
      <c r="B2" s="199" t="s">
        <v>168</v>
      </c>
      <c r="C2" s="419" t="s">
        <v>810</v>
      </c>
      <c r="D2" s="420"/>
      <c r="E2" s="420"/>
      <c r="F2" s="420"/>
      <c r="G2" s="420"/>
      <c r="H2" s="420"/>
      <c r="I2" s="419"/>
      <c r="J2" s="421"/>
      <c r="K2" s="190"/>
    </row>
    <row r="3" spans="2:54" ht="19.5" customHeight="1">
      <c r="B3" s="199"/>
      <c r="C3" s="236"/>
      <c r="D3" s="1048"/>
      <c r="E3" s="1048"/>
      <c r="F3" s="1048"/>
      <c r="G3" s="1048"/>
      <c r="H3" s="1048"/>
      <c r="I3" s="1049"/>
      <c r="J3" s="422"/>
      <c r="K3" s="190"/>
      <c r="BA3" s="1307" t="s">
        <v>816</v>
      </c>
      <c r="BB3" s="1308">
        <v>194</v>
      </c>
    </row>
    <row r="4" spans="2:54" ht="15" customHeight="1" thickBot="1">
      <c r="B4" s="1177"/>
      <c r="C4" s="1178" t="s">
        <v>380</v>
      </c>
      <c r="D4" s="1179">
        <f>YesterdayGen!A2</f>
        <v>43318</v>
      </c>
      <c r="E4" s="1180"/>
      <c r="F4" s="439"/>
      <c r="G4" s="439"/>
      <c r="H4" s="439"/>
      <c r="I4" s="1181"/>
      <c r="J4" s="1182" t="s">
        <v>495</v>
      </c>
      <c r="K4" s="205"/>
      <c r="BA4" s="1052"/>
      <c r="BB4" s="1053"/>
    </row>
    <row r="5" spans="2:54" ht="20.25" customHeight="1" thickBot="1">
      <c r="B5" s="1183" t="s">
        <v>760</v>
      </c>
      <c r="C5" s="1184"/>
      <c r="D5" s="1185"/>
      <c r="E5" s="1186"/>
      <c r="F5" s="1186"/>
      <c r="G5" s="1183" t="s">
        <v>763</v>
      </c>
      <c r="H5" s="1183" t="s">
        <v>766</v>
      </c>
      <c r="I5" s="1183" t="s">
        <v>768</v>
      </c>
      <c r="J5" s="1186"/>
      <c r="K5" s="208"/>
      <c r="BA5" s="1052"/>
      <c r="BB5" s="1053"/>
    </row>
    <row r="6" spans="2:54" ht="17.25" customHeight="1">
      <c r="B6" s="1187" t="s">
        <v>765</v>
      </c>
      <c r="C6" s="1188" t="s">
        <v>277</v>
      </c>
      <c r="D6" s="1189" t="s">
        <v>32</v>
      </c>
      <c r="E6" s="1190" t="s">
        <v>278</v>
      </c>
      <c r="F6" s="1190" t="s">
        <v>177</v>
      </c>
      <c r="G6" s="1187" t="s">
        <v>764</v>
      </c>
      <c r="H6" s="1187" t="s">
        <v>767</v>
      </c>
      <c r="I6" s="1187" t="s">
        <v>769</v>
      </c>
      <c r="J6" s="1186" t="s">
        <v>295</v>
      </c>
      <c r="K6" s="208"/>
    </row>
    <row r="7" spans="2:54" ht="18.75" customHeight="1" thickBot="1">
      <c r="B7" s="1191"/>
      <c r="C7" s="1192"/>
      <c r="D7" s="1193"/>
      <c r="E7" s="1191"/>
      <c r="F7" s="1191"/>
      <c r="G7" s="1191"/>
      <c r="H7" s="1194" t="s">
        <v>14</v>
      </c>
      <c r="I7" s="1194"/>
      <c r="J7" s="1195"/>
      <c r="K7" s="207"/>
    </row>
    <row r="8" spans="2:54" ht="14.25" customHeight="1" thickBot="1">
      <c r="B8" s="1196"/>
      <c r="C8" s="1197"/>
      <c r="D8" s="1197"/>
      <c r="E8" s="1198"/>
      <c r="F8" s="1199" t="s">
        <v>688</v>
      </c>
      <c r="G8" s="1200" t="s">
        <v>36</v>
      </c>
      <c r="H8" s="1200" t="s">
        <v>36</v>
      </c>
      <c r="I8" s="1200" t="s">
        <v>15</v>
      </c>
      <c r="J8" s="1201"/>
      <c r="K8" s="207"/>
    </row>
    <row r="9" spans="2:54" ht="16.5" customHeight="1">
      <c r="B9" s="1202">
        <v>1</v>
      </c>
      <c r="C9" s="1206" t="str">
        <f>Master!C3</f>
        <v>Ghorasal Repowered CCPP:Unit-3 (GT</v>
      </c>
      <c r="D9" s="1207" t="str">
        <f>VLOOKUP(C9,Forecast!$C$9:$E$181,3,0)</f>
        <v>Gas</v>
      </c>
      <c r="E9" s="1202" t="str">
        <f>Master!C4</f>
        <v>PDB</v>
      </c>
      <c r="F9" s="1208" t="str">
        <f>Master!C6</f>
        <v>1*260</v>
      </c>
      <c r="G9" s="1205">
        <f>Master!C8</f>
        <v>260</v>
      </c>
      <c r="H9" s="1209">
        <f>YesterdayGen!C34</f>
        <v>0</v>
      </c>
      <c r="I9" s="1210">
        <f>YesterdayGen!C31</f>
        <v>0</v>
      </c>
      <c r="J9" s="2194" t="str">
        <f>IF(EvReport!L9 = 0, " ",EvReport!L9)</f>
        <v>Under maint.</v>
      </c>
      <c r="K9" s="211"/>
    </row>
    <row r="10" spans="2:54" ht="16.5" customHeight="1">
      <c r="B10" s="1202">
        <v>2</v>
      </c>
      <c r="C10" s="1206" t="str">
        <f>Master!D3</f>
        <v>Ghorasal Repowered CCPP Unit-4</v>
      </c>
      <c r="D10" s="1207" t="str">
        <f>VLOOKUP(C10,Forecast!$C$9:$E$181,3,0)</f>
        <v>Gas</v>
      </c>
      <c r="E10" s="1205" t="str">
        <f>Master!D4</f>
        <v>PDB</v>
      </c>
      <c r="F10" s="1208" t="str">
        <f>Master!D6</f>
        <v>1*210</v>
      </c>
      <c r="G10" s="1205">
        <f>Master!D8</f>
        <v>180</v>
      </c>
      <c r="H10" s="1209">
        <f>YesterdayGen!D34</f>
        <v>0</v>
      </c>
      <c r="I10" s="1210">
        <f>YesterdayGen!D31</f>
        <v>0</v>
      </c>
      <c r="J10" s="2194" t="str">
        <f>IF(EvReport!L10 = 0, " ",EvReport!L10)</f>
        <v>Under maint.</v>
      </c>
      <c r="K10" s="212"/>
    </row>
    <row r="11" spans="2:54" ht="16.5" customHeight="1">
      <c r="B11" s="1202"/>
      <c r="C11" s="1206" t="str">
        <f>Master!E3</f>
        <v>Ghorasal TPP Unit-5</v>
      </c>
      <c r="D11" s="1207" t="str">
        <f>VLOOKUP(C11,Forecast!$C$9:$E$181,3,0)</f>
        <v>Gas</v>
      </c>
      <c r="E11" s="1205" t="str">
        <f>Master!E4</f>
        <v>PDB</v>
      </c>
      <c r="F11" s="1208" t="str">
        <f>Master!E6</f>
        <v>1*210</v>
      </c>
      <c r="G11" s="1205">
        <f>Master!E8</f>
        <v>190</v>
      </c>
      <c r="H11" s="1209">
        <f>YesterdayGen!E34</f>
        <v>180</v>
      </c>
      <c r="I11" s="1210">
        <f>YesterdayGen!E31</f>
        <v>4315500</v>
      </c>
      <c r="J11" s="2194" t="str">
        <f>IF(EvReport!L11 = 0, " ",EvReport!L11)</f>
        <v xml:space="preserve"> </v>
      </c>
      <c r="K11" s="211"/>
    </row>
    <row r="12" spans="2:54" ht="16.5" customHeight="1">
      <c r="B12" s="1202">
        <v>3</v>
      </c>
      <c r="C12" s="1206" t="str">
        <f>Master!F3</f>
        <v>Ghorasal 365 MW CCPP Unit-7</v>
      </c>
      <c r="D12" s="1207" t="str">
        <f>VLOOKUP(C12,Forecast!$C$9:$E$181,3,0)</f>
        <v>Gas</v>
      </c>
      <c r="E12" s="1205" t="str">
        <f>Master!F4</f>
        <v>PDB</v>
      </c>
      <c r="F12" s="1208" t="str">
        <f>Master!F6</f>
        <v>1*243+1*122</v>
      </c>
      <c r="G12" s="1205">
        <f>Master!F8</f>
        <v>365</v>
      </c>
      <c r="H12" s="1209">
        <f>YesterdayGen!F34</f>
        <v>200</v>
      </c>
      <c r="I12" s="1210">
        <f>YesterdayGen!F31</f>
        <v>687100</v>
      </c>
      <c r="J12" s="2194" t="str">
        <f>IF(EvReport!L12 = 0, " ",EvReport!L12)</f>
        <v xml:space="preserve"> </v>
      </c>
      <c r="K12" s="211"/>
    </row>
    <row r="13" spans="2:54" ht="16.5" customHeight="1">
      <c r="B13" s="1202"/>
      <c r="C13" s="1213" t="str">
        <f>Master!H3</f>
        <v>Ghorashal 78.5 MW PP(MAX)</v>
      </c>
      <c r="D13" s="1207" t="str">
        <f>VLOOKUP(C13,Forecast!$C$9:$E$181,3,0)</f>
        <v>Gas</v>
      </c>
      <c r="E13" s="1205" t="str">
        <f>Master!H4</f>
        <v>QRPP</v>
      </c>
      <c r="F13" s="1211" t="str">
        <f>Master!H6</f>
        <v>2*40</v>
      </c>
      <c r="G13" s="1205">
        <f>Master!H8</f>
        <v>0</v>
      </c>
      <c r="H13" s="1209">
        <f>YesterdayGen!H34</f>
        <v>0</v>
      </c>
      <c r="I13" s="1212">
        <f>YesterdayGen!H31</f>
        <v>0</v>
      </c>
      <c r="J13" s="2194" t="str">
        <f>IF(EvReport!L13 = 0, " ",EvReport!L13)</f>
        <v>Contract Expired</v>
      </c>
      <c r="K13" s="213"/>
    </row>
    <row r="14" spans="2:54" ht="16.5" customHeight="1">
      <c r="B14" s="1202">
        <v>4</v>
      </c>
      <c r="C14" s="1206" t="str">
        <f>Master!G3</f>
        <v>Ghorashal 108MW PP (Regent)</v>
      </c>
      <c r="D14" s="1207" t="str">
        <f>VLOOKUP(C14,Forecast!$C$9:$E$181,3,0)</f>
        <v>Gas</v>
      </c>
      <c r="E14" s="1205" t="str">
        <f>Master!G4</f>
        <v>IPP</v>
      </c>
      <c r="F14" s="1211" t="str">
        <f>Master!G6</f>
        <v>34*3.35</v>
      </c>
      <c r="G14" s="1205">
        <f>Master!G8</f>
        <v>108</v>
      </c>
      <c r="H14" s="1209">
        <f>YesterdayGen!G34</f>
        <v>81</v>
      </c>
      <c r="I14" s="1212">
        <f>YesterdayGen!G31</f>
        <v>2080454</v>
      </c>
      <c r="J14" s="2194" t="str">
        <f>IF(EvReport!L14 = 0, " ",EvReport!L14)</f>
        <v>Engine problem</v>
      </c>
      <c r="K14" s="213"/>
    </row>
    <row r="15" spans="2:54" ht="16.5" customHeight="1">
      <c r="B15" s="1202">
        <v>5</v>
      </c>
      <c r="C15" s="1206" t="str">
        <f>Master!L3</f>
        <v>Haripur GTPP</v>
      </c>
      <c r="D15" s="1207" t="str">
        <f>VLOOKUP(C15,Forecast!$C$9:$E$181,3,0)</f>
        <v>Gas</v>
      </c>
      <c r="E15" s="1205" t="str">
        <f>Master!L4</f>
        <v>SBU, PDB</v>
      </c>
      <c r="F15" s="1211" t="str">
        <f>Master!L6</f>
        <v>2*32</v>
      </c>
      <c r="G15" s="1205">
        <f>Master!L8</f>
        <v>20</v>
      </c>
      <c r="H15" s="1209">
        <f>YesterdayGen!L34</f>
        <v>0</v>
      </c>
      <c r="I15" s="1212">
        <f>YesterdayGen!L31</f>
        <v>0</v>
      </c>
      <c r="J15" s="1311" t="str">
        <f>IF(EvReport!L15 = 0, " ",EvReport!L15)</f>
        <v>Under maint.</v>
      </c>
      <c r="K15" s="213"/>
    </row>
    <row r="16" spans="2:54" ht="16.5" customHeight="1">
      <c r="B16" s="1202">
        <v>6</v>
      </c>
      <c r="C16" s="1206" t="str">
        <f>Master!I3</f>
        <v>Haripur  412 MW CCPP</v>
      </c>
      <c r="D16" s="1207" t="str">
        <f>VLOOKUP(C16,Forecast!$C$9:$E$181,3,0)</f>
        <v>Gas</v>
      </c>
      <c r="E16" s="1205" t="str">
        <f>Master!I4</f>
        <v>EGCB</v>
      </c>
      <c r="F16" s="1208" t="str">
        <f>Master!I6</f>
        <v>1*273+1*139</v>
      </c>
      <c r="G16" s="1205">
        <f>Master!I8</f>
        <v>412</v>
      </c>
      <c r="H16" s="1209">
        <f>YesterdayGen!I34</f>
        <v>397</v>
      </c>
      <c r="I16" s="1214">
        <f>YesterdayGen!I31</f>
        <v>9773060</v>
      </c>
      <c r="J16" s="1311" t="str">
        <f>IF(EvReport!L16 = 0, " ",EvReport!L16)</f>
        <v>Gas shortage</v>
      </c>
      <c r="K16" s="213"/>
    </row>
    <row r="17" spans="2:11" ht="16.5" customHeight="1">
      <c r="B17" s="1202">
        <v>7</v>
      </c>
      <c r="C17" s="1206" t="str">
        <f>Master!J3</f>
        <v>Haripur 360MW CCPP(HPL)</v>
      </c>
      <c r="D17" s="1207" t="str">
        <f>VLOOKUP(C17,Forecast!$C$9:$E$181,3,0)</f>
        <v>Gas</v>
      </c>
      <c r="E17" s="1205" t="str">
        <f>Master!J4</f>
        <v>IPP</v>
      </c>
      <c r="F17" s="1211" t="str">
        <f>Master!J6</f>
        <v>1*235+1*125</v>
      </c>
      <c r="G17" s="1205">
        <f>Master!J8</f>
        <v>360</v>
      </c>
      <c r="H17" s="1209">
        <f>YesterdayGen!J34</f>
        <v>257</v>
      </c>
      <c r="I17" s="1214">
        <f>YesterdayGen!J31</f>
        <v>7262000</v>
      </c>
      <c r="J17" s="1311" t="str">
        <f>IF(EvReport!L17 = 0, " ",EvReport!L17)</f>
        <v>Gas shortage</v>
      </c>
      <c r="K17" s="211"/>
    </row>
    <row r="18" spans="2:11" s="176" customFormat="1" ht="16.5" customHeight="1">
      <c r="B18" s="1202">
        <v>8</v>
      </c>
      <c r="C18" s="1215" t="str">
        <f>Master!M3</f>
        <v>Meghnaghat 450 MW CCPP(MPL)</v>
      </c>
      <c r="D18" s="1207" t="str">
        <f>VLOOKUP(C18,Forecast!$C$9:$E$181,3,0)</f>
        <v>Gas</v>
      </c>
      <c r="E18" s="1205" t="str">
        <f>Master!M4</f>
        <v>IPP</v>
      </c>
      <c r="F18" s="1208" t="str">
        <f>Master!M6</f>
        <v>2*150+1*150</v>
      </c>
      <c r="G18" s="1216">
        <f>Master!M8</f>
        <v>450</v>
      </c>
      <c r="H18" s="1209">
        <f>YesterdayGen!M34</f>
        <v>225</v>
      </c>
      <c r="I18" s="1217">
        <f>YesterdayGen!M31</f>
        <v>4975150</v>
      </c>
      <c r="J18" s="1311" t="str">
        <f>IF(EvReport!L18 = 0, " ",EvReport!L18)</f>
        <v>Gas shortage &amp; GT-2 S/D.</v>
      </c>
      <c r="K18" s="211"/>
    </row>
    <row r="19" spans="2:11" ht="16.5" customHeight="1">
      <c r="B19" s="1202">
        <v>9</v>
      </c>
      <c r="C19" s="1215" t="str">
        <f>Master!O3</f>
        <v>Meghnaghat 100 MW(IEL)</v>
      </c>
      <c r="D19" s="1207" t="str">
        <f>VLOOKUP(C19,Forecast!$C$9:$E$181,3,0)</f>
        <v>HFO</v>
      </c>
      <c r="E19" s="1205" t="str">
        <f>Master!O4</f>
        <v>NENP</v>
      </c>
      <c r="F19" s="1208" t="str">
        <f>Master!O6</f>
        <v>12*8.9</v>
      </c>
      <c r="G19" s="1216">
        <f>Master!O8</f>
        <v>100</v>
      </c>
      <c r="H19" s="1209">
        <f>YesterdayGen!O34</f>
        <v>48</v>
      </c>
      <c r="I19" s="1217">
        <f>YesterdayGen!O31</f>
        <v>463680</v>
      </c>
      <c r="J19" s="1311" t="str">
        <f>IF(EvReport!L19 = 0, " ",EvReport!L19)</f>
        <v>Fuel shortage</v>
      </c>
      <c r="K19" s="211"/>
    </row>
    <row r="20" spans="2:11" ht="16.5" customHeight="1">
      <c r="B20" s="1202">
        <v>10</v>
      </c>
      <c r="C20" s="1215" t="str">
        <f>Master!N3</f>
        <v>Meghnaghat CCPP(Summit)</v>
      </c>
      <c r="D20" s="1207" t="str">
        <f>VLOOKUP(C20,Forecast!$C$9:$E$181,3,0)</f>
        <v>Gas</v>
      </c>
      <c r="E20" s="1205" t="str">
        <f>Master!N4</f>
        <v>IPP</v>
      </c>
      <c r="F20" s="1218" t="str">
        <f>Master!N6</f>
        <v>2*110+1*110</v>
      </c>
      <c r="G20" s="1216">
        <f>Master!N8</f>
        <v>335</v>
      </c>
      <c r="H20" s="1209">
        <f>YesterdayGen!N34</f>
        <v>0</v>
      </c>
      <c r="I20" s="1217">
        <f>YesterdayGen!N31</f>
        <v>0</v>
      </c>
      <c r="J20" s="2553" t="str">
        <f>IF(EvReport!L20 = 0, " ",EvReport!L20)</f>
        <v>Gas shortage</v>
      </c>
      <c r="K20" s="211"/>
    </row>
    <row r="21" spans="2:11" ht="16.5" customHeight="1">
      <c r="B21" s="1202">
        <v>11</v>
      </c>
      <c r="C21" s="1215" t="str">
        <f>Master!P3</f>
        <v>Madanganj 102 PP(Summit)</v>
      </c>
      <c r="D21" s="1207" t="str">
        <f>VLOOKUP(C21,Forecast!$C$9:$E$181,3,0)</f>
        <v>HFO</v>
      </c>
      <c r="E21" s="1205" t="str">
        <f>Master!P4</f>
        <v>NENP</v>
      </c>
      <c r="F21" s="1208" t="str">
        <f>Master!P6</f>
        <v>6*17</v>
      </c>
      <c r="G21" s="1216">
        <f>Master!P8</f>
        <v>102</v>
      </c>
      <c r="H21" s="1209">
        <f>YesterdayGen!P34</f>
        <v>0</v>
      </c>
      <c r="I21" s="1217">
        <f>YesterdayGen!P31</f>
        <v>0</v>
      </c>
      <c r="J21" s="1311" t="str">
        <f>IF(EvReport!L21 = 0, " ",EvReport!L21)</f>
        <v>Under maint.</v>
      </c>
      <c r="K21" s="211"/>
    </row>
    <row r="22" spans="2:11" ht="16.5" customHeight="1">
      <c r="B22" s="1202">
        <v>12</v>
      </c>
      <c r="C22" s="1219" t="str">
        <f>Master!Q3</f>
        <v>Madanganj-55 MW PP(Summit)</v>
      </c>
      <c r="D22" s="1207" t="str">
        <f>VLOOKUP(C22,Forecast!$C$9:$E$181,3,0)</f>
        <v>HFO</v>
      </c>
      <c r="E22" s="1205" t="str">
        <f>Master!Q4</f>
        <v>IPP</v>
      </c>
      <c r="F22" s="1208" t="str">
        <f>Master!Q6</f>
        <v>3*17.08+1*11.3</v>
      </c>
      <c r="G22" s="1216">
        <f>Master!Q8</f>
        <v>55</v>
      </c>
      <c r="H22" s="1209">
        <f>YesterdayGen!Q34</f>
        <v>30</v>
      </c>
      <c r="I22" s="1217">
        <f>YesterdayGen!Q31</f>
        <v>751006</v>
      </c>
      <c r="J22" s="1311" t="str">
        <f>IF(EvReport!L22 = 0, " ",EvReport!L22)</f>
        <v>Engine problem</v>
      </c>
      <c r="K22" s="211"/>
    </row>
    <row r="23" spans="2:11" ht="16.5" customHeight="1">
      <c r="B23" s="1202">
        <v>13</v>
      </c>
      <c r="C23" s="1215" t="str">
        <f>Master!X3</f>
        <v>Keraniganj 100 MW PP (Powerpac)</v>
      </c>
      <c r="D23" s="1207" t="str">
        <f>VLOOKUP(C23,Forecast!$C$9:$E$181,3,0)</f>
        <v>HFO</v>
      </c>
      <c r="E23" s="1205" t="str">
        <f>Master!X4</f>
        <v>QRPP</v>
      </c>
      <c r="F23" s="1208" t="str">
        <f>Master!X6</f>
        <v>8*13.45</v>
      </c>
      <c r="G23" s="1216">
        <f>Master!X8</f>
        <v>0</v>
      </c>
      <c r="H23" s="1209">
        <f>YesterdayGen!X34</f>
        <v>0</v>
      </c>
      <c r="I23" s="1217">
        <f>YesterdayGen!X31</f>
        <v>0</v>
      </c>
      <c r="J23" s="1311" t="str">
        <f>IF(EvReport!L23 = 0, " ",EvReport!L23)</f>
        <v>Contract Expired</v>
      </c>
      <c r="K23" s="211"/>
    </row>
    <row r="24" spans="2:11" ht="16.5" customHeight="1">
      <c r="B24" s="1202">
        <v>14</v>
      </c>
      <c r="C24" s="1206" t="str">
        <f>Master!AE3</f>
        <v>Narshingdi 22 MW PP  (Doreen)</v>
      </c>
      <c r="D24" s="1207" t="str">
        <f>VLOOKUP(C24,Forecast!$C$9:$E$181,3,0)</f>
        <v>Gas</v>
      </c>
      <c r="E24" s="1220" t="str">
        <f>Master!AE4</f>
        <v>SIPP, REB</v>
      </c>
      <c r="F24" s="1221" t="str">
        <f>Master!AE6</f>
        <v>8*2.90</v>
      </c>
      <c r="G24" s="1205">
        <f>Master!AE8</f>
        <v>22</v>
      </c>
      <c r="H24" s="1209">
        <f>YesterdayGen!AE34</f>
        <v>22</v>
      </c>
      <c r="I24" s="1214">
        <f>YesterdayGen!AE31</f>
        <v>456948</v>
      </c>
      <c r="J24" s="1311" t="str">
        <f>IF(EvReport!L24 = 0, " ",EvReport!L24)</f>
        <v xml:space="preserve"> </v>
      </c>
      <c r="K24" s="211"/>
    </row>
    <row r="25" spans="2:11" s="176" customFormat="1" ht="16.5" customHeight="1">
      <c r="B25" s="1202">
        <v>15</v>
      </c>
      <c r="C25" s="1206" t="str">
        <f>Master!S3</f>
        <v>210 MW Siddhirgonj TPP</v>
      </c>
      <c r="D25" s="1207" t="str">
        <f>VLOOKUP(C25,Forecast!$C$9:$E$181,3,0)</f>
        <v>Gas</v>
      </c>
      <c r="E25" s="1205" t="str">
        <f>Master!S4</f>
        <v>PDB</v>
      </c>
      <c r="F25" s="1211" t="str">
        <f>Master!S6</f>
        <v xml:space="preserve"> 1*210</v>
      </c>
      <c r="G25" s="1205">
        <f>Master!S8</f>
        <v>115</v>
      </c>
      <c r="H25" s="1209">
        <f>YesterdayGen!S34</f>
        <v>0</v>
      </c>
      <c r="I25" s="1210">
        <f>YesterdayGen!S31</f>
        <v>0</v>
      </c>
      <c r="J25" s="1311" t="str">
        <f>IF(EvReport!L25 = 0, " ",EvReport!L25)</f>
        <v>Under maint.</v>
      </c>
      <c r="K25" s="211"/>
    </row>
    <row r="26" spans="2:11" ht="16.5" customHeight="1">
      <c r="B26" s="1202">
        <v>16</v>
      </c>
      <c r="C26" s="1206" t="str">
        <f>Master!T3</f>
        <v xml:space="preserve">Siddhirgonj 2*120 MW GTPP </v>
      </c>
      <c r="D26" s="1207" t="str">
        <f>VLOOKUP(C26,Forecast!$C$9:$E$181,3,0)</f>
        <v>Gas</v>
      </c>
      <c r="E26" s="1205" t="str">
        <f>Master!T4</f>
        <v>EGCB</v>
      </c>
      <c r="F26" s="1211" t="str">
        <f>Master!T6</f>
        <v xml:space="preserve"> 2*105</v>
      </c>
      <c r="G26" s="1205">
        <f>Master!T8</f>
        <v>210</v>
      </c>
      <c r="H26" s="1209">
        <f>YesterdayGen!T34</f>
        <v>0</v>
      </c>
      <c r="I26" s="1214">
        <f>YesterdayGen!T31</f>
        <v>0</v>
      </c>
      <c r="J26" s="1311" t="str">
        <f>IF(EvReport!L26 = 0, " ",EvReport!L26)</f>
        <v>Gas shortage</v>
      </c>
      <c r="K26" s="211"/>
    </row>
    <row r="27" spans="2:11" ht="16.5" customHeight="1">
      <c r="B27" s="1202">
        <v>17</v>
      </c>
      <c r="C27" s="1222" t="str">
        <f>Master!U3</f>
        <v>Siddhirganj 100 PP(Dutch Bangla)</v>
      </c>
      <c r="D27" s="1207" t="str">
        <f>VLOOKUP(C27,Forecast!$C$9:$E$181,3,0)</f>
        <v>HFO</v>
      </c>
      <c r="E27" s="1205" t="str">
        <f>Master!U4</f>
        <v>NENP</v>
      </c>
      <c r="F27" s="1221" t="str">
        <f>Master!U6</f>
        <v>12*8.9</v>
      </c>
      <c r="G27" s="1220">
        <f>Master!U8</f>
        <v>100</v>
      </c>
      <c r="H27" s="1209">
        <f>YesterdayGen!U34</f>
        <v>48</v>
      </c>
      <c r="I27" s="1223">
        <f>YesterdayGen!U31</f>
        <v>461933</v>
      </c>
      <c r="J27" s="1311" t="str">
        <f>IF(EvReport!L27 = 0, " ",EvReport!L27)</f>
        <v>Fuel shortage</v>
      </c>
      <c r="K27" s="211"/>
    </row>
    <row r="28" spans="2:11" ht="16.5" customHeight="1">
      <c r="B28" s="1202">
        <v>18</v>
      </c>
      <c r="C28" s="1222" t="str">
        <f>Master!R3</f>
        <v>Siddhirganj 335 MW CCPP</v>
      </c>
      <c r="D28" s="1207" t="str">
        <f>VLOOKUP(C28,Forecast!$C$9:$E$181,3,0)</f>
        <v>Gas</v>
      </c>
      <c r="E28" s="1205" t="str">
        <f>Master!R4</f>
        <v>EGCB</v>
      </c>
      <c r="F28" s="1221" t="str">
        <f>Master!R6</f>
        <v>1*217+118</v>
      </c>
      <c r="G28" s="1220">
        <f>Master!R8</f>
        <v>335</v>
      </c>
      <c r="H28" s="1209">
        <f>YesterdayGen!R34</f>
        <v>0</v>
      </c>
      <c r="I28" s="1223">
        <f>YesterdayGen!R31</f>
        <v>0</v>
      </c>
      <c r="J28" s="1311" t="str">
        <f>IF(EvReport!L28 = 0, " ",EvReport!L28)</f>
        <v>Gas shortage</v>
      </c>
      <c r="K28" s="211"/>
    </row>
    <row r="29" spans="2:11" ht="16.5" customHeight="1">
      <c r="B29" s="1202">
        <v>19</v>
      </c>
      <c r="C29" s="1206" t="str">
        <f>Master!V3</f>
        <v>Gagnagar 102 MW PP (Digital Power)</v>
      </c>
      <c r="D29" s="1207" t="str">
        <f>VLOOKUP(C29,Forecast!$C$9:$E$181,3,0)</f>
        <v>HFO</v>
      </c>
      <c r="E29" s="1205" t="str">
        <f>Master!V4</f>
        <v>IPP</v>
      </c>
      <c r="F29" s="1211" t="str">
        <f>Master!V6</f>
        <v>12*8.924</v>
      </c>
      <c r="G29" s="1205">
        <f>Master!V8</f>
        <v>102</v>
      </c>
      <c r="H29" s="1209">
        <f>YesterdayGen!V34</f>
        <v>50</v>
      </c>
      <c r="I29" s="1214">
        <f>YesterdayGen!V31</f>
        <v>459216</v>
      </c>
      <c r="J29" s="1311" t="str">
        <f>IF(EvReport!L29 = 0, " ",EvReport!L29)</f>
        <v>Fuel shortage</v>
      </c>
      <c r="K29" s="211"/>
    </row>
    <row r="30" spans="2:11" ht="16.5" customHeight="1">
      <c r="B30" s="1202">
        <v>20</v>
      </c>
      <c r="C30" s="1206" t="str">
        <f>Master!AA3</f>
        <v>Katpotti 52 MW PP (Sinha)</v>
      </c>
      <c r="D30" s="1207" t="str">
        <f>VLOOKUP(C30,Forecast!$C$9:$E$181,3,0)</f>
        <v>HFO</v>
      </c>
      <c r="E30" s="1205" t="str">
        <f>Master!AA4</f>
        <v>IPP</v>
      </c>
      <c r="F30" s="1211" t="str">
        <f>Master!AA6</f>
        <v>7*7.9</v>
      </c>
      <c r="G30" s="1205">
        <f>Master!AA8</f>
        <v>0</v>
      </c>
      <c r="H30" s="1209">
        <f>YesterdayGen!AA34</f>
        <v>0</v>
      </c>
      <c r="I30" s="1214">
        <f>YesterdayGen!AA31</f>
        <v>0</v>
      </c>
      <c r="J30" s="1311" t="str">
        <f>IF(EvReport!L30 = 0, " ",EvReport!L30)</f>
        <v>Fuel shortage</v>
      </c>
      <c r="K30" s="211"/>
    </row>
    <row r="31" spans="2:11" ht="16.5" customHeight="1">
      <c r="B31" s="1202">
        <v>21</v>
      </c>
      <c r="C31" s="1206" t="str">
        <f>Master!AB3</f>
        <v>Kamalaghat 54 MW PP(Banco Energy)</v>
      </c>
      <c r="D31" s="1207" t="str">
        <f>VLOOKUP(C31,Forecast!$C$9:$E$181,3,0)</f>
        <v>HFO</v>
      </c>
      <c r="E31" s="1205" t="str">
        <f>Master!AB4</f>
        <v>IPP</v>
      </c>
      <c r="F31" s="1211" t="str">
        <f>Master!AB6</f>
        <v>3*18</v>
      </c>
      <c r="G31" s="1205">
        <f>Master!AB8</f>
        <v>54</v>
      </c>
      <c r="H31" s="1209">
        <f>YesterdayGen!AB34</f>
        <v>54</v>
      </c>
      <c r="I31" s="1214">
        <f>YesterdayGen!AB31</f>
        <v>894600</v>
      </c>
      <c r="J31" s="1311" t="str">
        <f>IF(EvReport!L31 = 0, " ",EvReport!L31)</f>
        <v xml:space="preserve"> </v>
      </c>
      <c r="K31" s="211"/>
    </row>
    <row r="32" spans="2:11" ht="16.5" customHeight="1">
      <c r="B32" s="1202">
        <v>22</v>
      </c>
      <c r="C32" s="1206" t="str">
        <f>Master!W3</f>
        <v>Kodda 150MW PP</v>
      </c>
      <c r="D32" s="1207" t="str">
        <f>VLOOKUP(C32,Forecast!$C$9:$E$181,3,0)</f>
        <v>HFO</v>
      </c>
      <c r="E32" s="1205" t="str">
        <f>Master!W4</f>
        <v>BPDB-RPCL</v>
      </c>
      <c r="F32" s="1211" t="str">
        <f>Master!W6</f>
        <v>9*17.06</v>
      </c>
      <c r="G32" s="1205">
        <f>Master!W8</f>
        <v>149</v>
      </c>
      <c r="H32" s="1209">
        <f>YesterdayGen!W34</f>
        <v>128</v>
      </c>
      <c r="I32" s="1214">
        <f>YesterdayGen!W31</f>
        <v>1740480</v>
      </c>
      <c r="J32" s="1311" t="str">
        <f>IF(EvReport!L32 = 0, " ",EvReport!L32)</f>
        <v>Engine problem</v>
      </c>
      <c r="K32" s="211"/>
    </row>
    <row r="33" spans="2:11" ht="16.5" customHeight="1">
      <c r="B33" s="1202">
        <v>23</v>
      </c>
      <c r="C33" s="1206" t="str">
        <f>Master!AC3</f>
        <v>Manikganj 55 MW PP (Northern)</v>
      </c>
      <c r="D33" s="1207" t="str">
        <f>VLOOKUP(C33,Forecast!$C$9:$E$181,3,0)</f>
        <v>HFO</v>
      </c>
      <c r="E33" s="1205" t="str">
        <f>Master!AC4</f>
        <v>IPP</v>
      </c>
      <c r="F33" s="1211" t="str">
        <f>Master!AC6</f>
        <v>3*19.3</v>
      </c>
      <c r="G33" s="1205">
        <f>Master!AC8</f>
        <v>55</v>
      </c>
      <c r="H33" s="1209">
        <f>YesterdayGen!AC34</f>
        <v>55</v>
      </c>
      <c r="I33" s="1214">
        <f>YesterdayGen!AC31</f>
        <v>1308761</v>
      </c>
      <c r="J33" s="1311" t="str">
        <f>IF(EvReport!L33 = 0, " ",EvReport!L33)</f>
        <v xml:space="preserve"> </v>
      </c>
      <c r="K33" s="211"/>
    </row>
    <row r="34" spans="2:11" ht="16.5" customHeight="1">
      <c r="B34" s="1202">
        <v>24</v>
      </c>
      <c r="C34" s="1206" t="str">
        <f>Master!AD3</f>
        <v>Nababganj 55 MW PP (Southern power )</v>
      </c>
      <c r="D34" s="1207" t="str">
        <f>VLOOKUP(C34,Forecast!$C$9:$E$181,3,0)</f>
        <v>HFO</v>
      </c>
      <c r="E34" s="1205" t="str">
        <f>Master!AD4</f>
        <v>IPP</v>
      </c>
      <c r="F34" s="1211" t="str">
        <f>Master!AD6</f>
        <v>3*19.3</v>
      </c>
      <c r="G34" s="1205">
        <f>Master!AD8</f>
        <v>55</v>
      </c>
      <c r="H34" s="1209">
        <f>YesterdayGen!AD34</f>
        <v>55</v>
      </c>
      <c r="I34" s="1214">
        <f>YesterdayGen!AD31</f>
        <v>626577</v>
      </c>
      <c r="J34" s="1311" t="str">
        <f>IF(EvReport!L34 = 0, " ",EvReport!L34)</f>
        <v>Engine problem</v>
      </c>
      <c r="K34" s="211"/>
    </row>
    <row r="35" spans="2:11" ht="16.5" customHeight="1">
      <c r="B35" s="1202">
        <v>25</v>
      </c>
      <c r="C35" s="1206" t="str">
        <f>Master!Y3</f>
        <v>Bosila 108MW PP(CLC)</v>
      </c>
      <c r="D35" s="1207" t="str">
        <f>VLOOKUP(C35,Forecast!$C$9:$E$181,3,0)</f>
        <v>HFO</v>
      </c>
      <c r="E35" s="1205" t="str">
        <f>Master!Y4</f>
        <v>IPP</v>
      </c>
      <c r="F35" s="1211" t="str">
        <f>Master!Y6</f>
        <v>12*8.775+1*3.5</v>
      </c>
      <c r="G35" s="1205">
        <f>Master!Y8</f>
        <v>0</v>
      </c>
      <c r="H35" s="1209">
        <f>YesterdayGen!Y34</f>
        <v>0</v>
      </c>
      <c r="I35" s="1214">
        <f>YesterdayGen!Y31</f>
        <v>0</v>
      </c>
      <c r="J35" s="1311" t="str">
        <f>IF(EvReport!L35 = 0, " ",EvReport!L35)</f>
        <v xml:space="preserve"> </v>
      </c>
      <c r="K35" s="211"/>
    </row>
    <row r="36" spans="2:11" ht="16.5" customHeight="1">
      <c r="B36" s="1202">
        <v>26</v>
      </c>
      <c r="C36" s="1206" t="s">
        <v>154</v>
      </c>
      <c r="D36" s="1207" t="str">
        <f>VLOOKUP(C36,Forecast!$C$9:$E$181,3,0)</f>
        <v>Gas</v>
      </c>
      <c r="E36" s="1220" t="str">
        <f>Master!AF4</f>
        <v>SIPP,REB</v>
      </c>
      <c r="F36" s="1211" t="str">
        <f>Master!AF6</f>
        <v>3*3.67+4*8.73</v>
      </c>
      <c r="G36" s="1205">
        <f>Master!AF8+Master!AG8</f>
        <v>80</v>
      </c>
      <c r="H36" s="1224">
        <f>YesterdayGen!AF34+YesterdayGen!AG34</f>
        <v>52</v>
      </c>
      <c r="I36" s="1214">
        <f>YesterdayGen!AF31+YesterdayGen!AG31</f>
        <v>1139100</v>
      </c>
      <c r="J36" s="1311" t="str">
        <f>IF(EvReport!L36 = 0, " ",EvReport!L36)</f>
        <v>Engine problem</v>
      </c>
      <c r="K36" s="211"/>
    </row>
    <row r="37" spans="2:11" ht="16.5" customHeight="1">
      <c r="B37" s="1202">
        <v>27</v>
      </c>
      <c r="C37" s="1206" t="str">
        <f>Master!AH3</f>
        <v>Maona 33 MW PP(Summit)</v>
      </c>
      <c r="D37" s="1207" t="str">
        <f>VLOOKUP(C37,Forecast!$C$9:$E$181,3,0)</f>
        <v>Gas</v>
      </c>
      <c r="E37" s="1220" t="str">
        <f>Master!AH4</f>
        <v>SIPP,REB</v>
      </c>
      <c r="F37" s="1211" t="str">
        <f>Master!AH6</f>
        <v>4*8.73</v>
      </c>
      <c r="G37" s="1205">
        <f>Master!AH8</f>
        <v>33</v>
      </c>
      <c r="H37" s="1224">
        <f>YesterdayGen!AH34</f>
        <v>33</v>
      </c>
      <c r="I37" s="1214">
        <f>YesterdayGen!AH31</f>
        <v>586000</v>
      </c>
      <c r="J37" s="1311" t="str">
        <f>IF(EvReport!L37 = 0, " ",EvReport!L37)</f>
        <v>Engine problem</v>
      </c>
      <c r="K37" s="211"/>
    </row>
    <row r="38" spans="2:11" ht="16.5" customHeight="1">
      <c r="B38" s="1202">
        <v>28</v>
      </c>
      <c r="C38" s="1206" t="str">
        <f>Master!AI3</f>
        <v xml:space="preserve">Rupganj 33 MW PP(Summit) </v>
      </c>
      <c r="D38" s="1207" t="str">
        <f>VLOOKUP(C38,Forecast!$C$9:$E$181,3,0)</f>
        <v>Gas</v>
      </c>
      <c r="E38" s="1225" t="str">
        <f>Master!AI4</f>
        <v>SIPP,REB</v>
      </c>
      <c r="F38" s="1221" t="str">
        <f>Master!AI6</f>
        <v>4*8.73</v>
      </c>
      <c r="G38" s="1205">
        <f>Master!AI8</f>
        <v>33</v>
      </c>
      <c r="H38" s="1224">
        <f>YesterdayGen!AI34</f>
        <v>30</v>
      </c>
      <c r="I38" s="1214">
        <f>YesterdayGen!AI31</f>
        <v>649400</v>
      </c>
      <c r="J38" s="1311" t="str">
        <f>IF(EvReport!L38 = 0, " ",EvReport!L38)</f>
        <v xml:space="preserve"> </v>
      </c>
      <c r="K38" s="211"/>
    </row>
    <row r="39" spans="2:11" ht="16.5" customHeight="1">
      <c r="B39" s="1202">
        <v>29</v>
      </c>
      <c r="C39" s="1206" t="str">
        <f>Master!AJ3</f>
        <v>Gazipur 52 MW PP</v>
      </c>
      <c r="D39" s="1207" t="str">
        <f>VLOOKUP(C39,Forecast!$C$9:$E$181,3,0)</f>
        <v>HFO</v>
      </c>
      <c r="E39" s="1226" t="str">
        <f>Master!AJ4</f>
        <v>RPCL</v>
      </c>
      <c r="F39" s="1227" t="str">
        <f>Master!AJ6</f>
        <v>6*8.9</v>
      </c>
      <c r="G39" s="1228">
        <f>Master!AJ8</f>
        <v>52</v>
      </c>
      <c r="H39" s="1224">
        <f>YesterdayGen!AJ34</f>
        <v>49</v>
      </c>
      <c r="I39" s="1229">
        <f>YesterdayGen!AJ31</f>
        <v>1141920</v>
      </c>
      <c r="J39" s="1311" t="e">
        <f>IF(EvReport!#REF! = 0, " ",EvReport!#REF!)</f>
        <v>#REF!</v>
      </c>
      <c r="K39" s="211"/>
    </row>
    <row r="40" spans="2:11" ht="16.5" customHeight="1">
      <c r="B40" s="1202">
        <v>30</v>
      </c>
      <c r="C40" s="1626" t="str">
        <f>Master!AK3</f>
        <v>Tongi 80 MW GTPP</v>
      </c>
      <c r="D40" s="1207" t="str">
        <f>VLOOKUP(C40,Forecast!$C$9:$E$181,3,0)</f>
        <v>Gas</v>
      </c>
      <c r="E40" s="1230" t="str">
        <f>Master!AK4</f>
        <v>PDB</v>
      </c>
      <c r="F40" s="1231" t="str">
        <f>Master!AK6</f>
        <v>1* 105</v>
      </c>
      <c r="G40" s="1228">
        <f>Master!AK8</f>
        <v>105</v>
      </c>
      <c r="H40" s="1232">
        <f>YesterdayGen!AK34</f>
        <v>0</v>
      </c>
      <c r="I40" s="1229">
        <f>YesterdayGen!AK31</f>
        <v>0</v>
      </c>
      <c r="J40" s="1311" t="str">
        <f>IF(EvReport!L40 = 0, " ",EvReport!L40)</f>
        <v>Under maint.</v>
      </c>
      <c r="K40" s="211"/>
    </row>
    <row r="41" spans="2:11" ht="16.5" customHeight="1">
      <c r="B41" s="1202">
        <v>31</v>
      </c>
      <c r="C41" s="1626" t="str">
        <f>Master!CS3</f>
        <v xml:space="preserve">Kodda 300 MW PP Unit-2 (Summit) </v>
      </c>
      <c r="D41" s="1207" t="str">
        <f>VLOOKUP(C41,Forecast!$C$9:$E$181,3,0)</f>
        <v>HFO</v>
      </c>
      <c r="E41" s="1424" t="str">
        <f>Master!CS4</f>
        <v>IPP</v>
      </c>
      <c r="F41" s="1424" t="str">
        <f>Master!CS6</f>
        <v>18*17.076</v>
      </c>
      <c r="G41" s="1425">
        <f>Master!CS8</f>
        <v>300</v>
      </c>
      <c r="H41" s="1426">
        <f>YesterdayGen!CS34</f>
        <v>242</v>
      </c>
      <c r="I41" s="1427">
        <f>YesterdayGen!CS31</f>
        <v>4927852</v>
      </c>
      <c r="J41" s="1311" t="str">
        <f>IF(EvReport!L41= 0, " ",EvReport!L41)</f>
        <v>Engine problem</v>
      </c>
      <c r="K41" s="211"/>
    </row>
    <row r="42" spans="2:11" ht="16.5" customHeight="1">
      <c r="B42" s="1202">
        <v>32</v>
      </c>
      <c r="C42" s="1626" t="str">
        <f>Master!CT3</f>
        <v xml:space="preserve"> Keranigonj 300 MW PP (APR)</v>
      </c>
      <c r="D42" s="1207" t="str">
        <f>VLOOKUP(C42,Forecast!$C$9:$E$181,3,0)</f>
        <v>HSD</v>
      </c>
      <c r="E42" s="1424" t="str">
        <f>Master!CT4</f>
        <v>IPP</v>
      </c>
      <c r="F42" s="1424" t="str">
        <f>Master!CT6</f>
        <v>256*1.4</v>
      </c>
      <c r="G42" s="1425">
        <v>300</v>
      </c>
      <c r="H42" s="1426">
        <f>YesterdayGen!CT34</f>
        <v>284</v>
      </c>
      <c r="I42" s="1427">
        <f>YesterdayGen!CT31</f>
        <v>1815668</v>
      </c>
      <c r="J42" s="1627" t="str">
        <f>IF(EvReport!L42= 0, " ",EvReport!L42)</f>
        <v xml:space="preserve"> </v>
      </c>
      <c r="K42" s="211"/>
    </row>
    <row r="43" spans="2:11" ht="16.5" customHeight="1">
      <c r="B43" s="1202">
        <v>33</v>
      </c>
      <c r="C43" s="1626" t="str">
        <f>Master!CU3</f>
        <v xml:space="preserve"> Bramhangoan 100 MW PP (Aggreko)</v>
      </c>
      <c r="D43" s="1207" t="str">
        <f>VLOOKUP(C43,Forecast!$C$9:$E$181,3,0)</f>
        <v>HSD</v>
      </c>
      <c r="E43" s="1425" t="str">
        <f>Master!CU4</f>
        <v>IPP</v>
      </c>
      <c r="F43" s="1463" t="str">
        <f>Master!CU6</f>
        <v>114*0.959</v>
      </c>
      <c r="G43" s="1425">
        <f>Master!CU8</f>
        <v>100</v>
      </c>
      <c r="H43" s="1426">
        <f>YesterdayGen!CU34</f>
        <v>96</v>
      </c>
      <c r="I43" s="1427">
        <f>YesterdayGen!CU31</f>
        <v>686089</v>
      </c>
      <c r="J43" s="1625" t="str">
        <f>IF(EvReport!L43= 0, " ",EvReport!L43)</f>
        <v xml:space="preserve"> </v>
      </c>
      <c r="K43" s="211"/>
    </row>
    <row r="44" spans="2:11" ht="16.5" customHeight="1">
      <c r="B44" s="2940">
        <v>34</v>
      </c>
      <c r="C44" s="1626" t="str">
        <f>Master!CW3</f>
        <v>Aurahati 100MW PP (Aggreko)</v>
      </c>
      <c r="D44" s="1207" t="str">
        <f>VLOOKUP(C44,Forecast!$C$9:$E$181,3,0)</f>
        <v>HSD</v>
      </c>
      <c r="E44" s="2941" t="str">
        <f>Master!CW4</f>
        <v>IPP</v>
      </c>
      <c r="F44" s="2941" t="str">
        <f>Master!CW6</f>
        <v>0.85*23+0.95*91</v>
      </c>
      <c r="G44" s="2929">
        <f>Master!CW8</f>
        <v>100</v>
      </c>
      <c r="H44" s="2938">
        <f>YesterdayGen!CW34</f>
        <v>100</v>
      </c>
      <c r="I44" s="2937">
        <f>YesterdayGen!CW31</f>
        <v>705761</v>
      </c>
      <c r="J44" s="1623" t="str">
        <f>IF(EvReport!L44= 0, " ",EvReport!L44)</f>
        <v xml:space="preserve"> </v>
      </c>
      <c r="K44" s="211"/>
    </row>
    <row r="45" spans="2:11" ht="16.5" customHeight="1">
      <c r="B45" s="2940">
        <v>35</v>
      </c>
      <c r="C45" s="2935" t="str">
        <f>Master!CX3</f>
        <v xml:space="preserve">Kodda 149 MW PP Unit-1 (Summit) </v>
      </c>
      <c r="D45" s="1207" t="str">
        <f>VLOOKUP(C45,Forecast!$C$9:$E$181,3,0)</f>
        <v>HFO</v>
      </c>
      <c r="E45" s="1624" t="str">
        <f>Master!CX4</f>
        <v>IPP</v>
      </c>
      <c r="F45" s="2939" t="str">
        <f>Master!CX6</f>
        <v>8*18.45+8.97</v>
      </c>
      <c r="G45" s="1624">
        <f>Master!CX8</f>
        <v>149</v>
      </c>
      <c r="H45" s="2938">
        <f>YesterdayGen!CX34</f>
        <v>149</v>
      </c>
      <c r="I45" s="2937">
        <f>YesterdayGen!CX31</f>
        <v>2784960</v>
      </c>
      <c r="J45" s="1625" t="str">
        <f>IF(EvReport!L45= 0, " ",EvReport!L45)</f>
        <v xml:space="preserve"> </v>
      </c>
      <c r="K45" s="211"/>
    </row>
    <row r="46" spans="2:11" ht="16.5" customHeight="1">
      <c r="B46" s="2940">
        <v>36</v>
      </c>
      <c r="C46" s="2935" t="str">
        <f>Master!DE3</f>
        <v>Gazipur 100 MW PP</v>
      </c>
      <c r="D46" s="1207" t="str">
        <f>VLOOKUP(C46,Forecast!$C$9:$E$181,3,0)</f>
        <v>HFO</v>
      </c>
      <c r="E46" s="2929" t="str">
        <f>Master!DE4</f>
        <v>RPCL</v>
      </c>
      <c r="F46" s="2939" t="str">
        <f>Master!DE6</f>
        <v>6*17.5</v>
      </c>
      <c r="G46" s="2929">
        <f>Master!DE8</f>
        <v>105</v>
      </c>
      <c r="H46" s="2938">
        <f>YesterdayGen!DE34</f>
        <v>105</v>
      </c>
      <c r="I46" s="2937">
        <f>YesterdayGen!DE31</f>
        <v>2208000</v>
      </c>
      <c r="J46" s="2926" t="str">
        <f>IF(EvReport!L46= 0, " ",EvReport!L46)</f>
        <v xml:space="preserve"> </v>
      </c>
      <c r="K46" s="211"/>
    </row>
    <row r="47" spans="2:11" ht="16.5" customHeight="1">
      <c r="B47" s="2936">
        <v>37</v>
      </c>
      <c r="C47" s="2935" t="str">
        <f>Master!DO3</f>
        <v>Meghnaghat 104 MW PP (OPCL)</v>
      </c>
      <c r="D47" s="1207" t="str">
        <f>VLOOKUP(C47,Forecast!$C$9:$E$181,3,0)</f>
        <v>HFO</v>
      </c>
      <c r="E47" s="2710" t="str">
        <f>Master!DO4</f>
        <v>IPP</v>
      </c>
      <c r="F47" s="2934" t="str">
        <f>Master!DO6</f>
        <v>18.5*6</v>
      </c>
      <c r="G47" s="2710">
        <f>Master!DO8</f>
        <v>104</v>
      </c>
      <c r="H47" s="2933">
        <f>YesterdayGen!DO34</f>
        <v>52</v>
      </c>
      <c r="I47" s="2932">
        <f>YesterdayGen!DO31</f>
        <v>554880</v>
      </c>
      <c r="J47" s="2931" t="str">
        <f>IF(EvReport!L47= 0, " ",EvReport!L47)</f>
        <v>Fuel shortage</v>
      </c>
      <c r="K47" s="211"/>
    </row>
    <row r="48" spans="2:11" ht="16.5" customHeight="1">
      <c r="B48" s="2929">
        <v>38</v>
      </c>
      <c r="C48" s="2930" t="str">
        <f>Master!DQ3</f>
        <v>Manikgonj 162MW PP(MPGL)</v>
      </c>
      <c r="D48" s="1207" t="str">
        <f>VLOOKUP(C48,Forecast!$C$9:$E$181,3,0)</f>
        <v>HFO</v>
      </c>
      <c r="E48" s="2929" t="str">
        <f>Master!DQ4</f>
        <v>IPP</v>
      </c>
      <c r="F48" s="2929" t="str">
        <f>Master!DQ6</f>
        <v>9*18</v>
      </c>
      <c r="G48" s="2929">
        <f>Master!DQ8</f>
        <v>162</v>
      </c>
      <c r="H48" s="2928">
        <f>YesterdayGen!DQ34</f>
        <v>162</v>
      </c>
      <c r="I48" s="2927">
        <f>YesterdayGen!DQ31</f>
        <v>2822400</v>
      </c>
      <c r="J48" s="2926" t="str">
        <f>IF(EvReport!L48= 0, " ",EvReport!L48)</f>
        <v xml:space="preserve"> </v>
      </c>
      <c r="K48" s="211"/>
    </row>
    <row r="49" spans="2:11" ht="16.5" customHeight="1" thickBot="1">
      <c r="B49" s="2924">
        <v>39</v>
      </c>
      <c r="C49" s="2925" t="str">
        <f>Master!DU3</f>
        <v>Spectra Solar Plant Ltd.</v>
      </c>
      <c r="D49" s="1207" t="str">
        <f>VLOOKUP(C49,Forecast!$C$9:$E$181,3,0)</f>
        <v>Solar</v>
      </c>
      <c r="E49" s="2924" t="str">
        <f>Master!DU4</f>
        <v>IPP</v>
      </c>
      <c r="F49" s="2924">
        <f>Master!DU6</f>
        <v>35</v>
      </c>
      <c r="G49" s="2924">
        <f>Master!DU8</f>
        <v>35</v>
      </c>
      <c r="H49" s="2923">
        <f>YesterdayGen!DU34</f>
        <v>0</v>
      </c>
      <c r="I49" s="2922">
        <f>YesterdayGen!DU31</f>
        <v>257725</v>
      </c>
      <c r="J49" s="2921" t="str">
        <f>IF(EvReport!L49= 0, " ",EvReport!L49)</f>
        <v xml:space="preserve"> </v>
      </c>
      <c r="K49" s="211"/>
    </row>
    <row r="50" spans="2:11" ht="16.5" customHeight="1" thickBot="1">
      <c r="B50" s="3015">
        <v>40</v>
      </c>
      <c r="C50" s="3016" t="str">
        <f>Master!DW3</f>
        <v>Kanchan Purbachal Power Generation  Ltd.</v>
      </c>
      <c r="D50" s="1207" t="str">
        <f>VLOOKUP(C50,Forecast!$C$9:$E$181,3,0)</f>
        <v>HFO</v>
      </c>
      <c r="E50" s="3115" t="str">
        <f>Master!DW4</f>
        <v>IPP</v>
      </c>
      <c r="F50" s="3115" t="str">
        <f>Master!DW6</f>
        <v>18.4*3</v>
      </c>
      <c r="G50" s="1706">
        <f>Master!DW8</f>
        <v>55</v>
      </c>
      <c r="H50" s="3018">
        <f>YesterdayGen!DW34</f>
        <v>55</v>
      </c>
      <c r="I50" s="3019">
        <f>YesterdayGen!DW31</f>
        <v>1312560</v>
      </c>
      <c r="J50" s="1462" t="str">
        <f>IF(EvReport!L50= 0, " ",EvReport!L50)</f>
        <v xml:space="preserve"> </v>
      </c>
      <c r="K50" s="211"/>
    </row>
    <row r="51" spans="2:11" s="218" customFormat="1" ht="16.5" customHeight="1" thickBot="1">
      <c r="B51" s="1233"/>
      <c r="C51" s="1234" t="s">
        <v>700</v>
      </c>
      <c r="D51" s="1207">
        <f>VLOOKUP(C51,Forecast!$C$9:$E$181,3,0)</f>
        <v>0</v>
      </c>
      <c r="E51" s="1235"/>
      <c r="F51" s="1235"/>
      <c r="G51" s="1236">
        <f>SUM(G9:G50)</f>
        <v>5847</v>
      </c>
      <c r="H51" s="1236">
        <f>SUM(H9:H50)</f>
        <v>3239</v>
      </c>
      <c r="I51" s="1236">
        <f>SUM(I9:I50)</f>
        <v>57848780</v>
      </c>
      <c r="J51" s="1237" t="s">
        <v>18</v>
      </c>
      <c r="K51" s="216"/>
    </row>
    <row r="52" spans="2:11" ht="16.5" customHeight="1">
      <c r="B52" s="1202">
        <v>41</v>
      </c>
      <c r="C52" s="1238" t="str">
        <f>Master!AN3</f>
        <v xml:space="preserve">Chattogram TPP-1 </v>
      </c>
      <c r="D52" s="1207" t="str">
        <f>VLOOKUP(C52,Forecast!$C$9:$E$181,3,0)</f>
        <v>Gas</v>
      </c>
      <c r="E52" s="1239" t="str">
        <f>Master!AN4</f>
        <v>PDB</v>
      </c>
      <c r="F52" s="1240" t="str">
        <f>Master!AN6</f>
        <v>1*210</v>
      </c>
      <c r="G52" s="1202">
        <f>Master!AN8</f>
        <v>180</v>
      </c>
      <c r="H52" s="1203">
        <f>YesterdayGen!AN34</f>
        <v>100</v>
      </c>
      <c r="I52" s="1204">
        <f>YesterdayGen!AN31</f>
        <v>2400000</v>
      </c>
      <c r="J52" s="1310" t="str">
        <f>IF(EvReport!L52 = 0, " ",EvReport!L52)</f>
        <v>Machine problem</v>
      </c>
      <c r="K52" s="208"/>
    </row>
    <row r="53" spans="2:11" ht="16.5" customHeight="1">
      <c r="B53" s="1202"/>
      <c r="C53" s="1241" t="str">
        <f>Master!AO3</f>
        <v>Chattogram TPP-2</v>
      </c>
      <c r="D53" s="1207" t="str">
        <f>VLOOKUP(C53,Forecast!$C$9:$E$181,3,0)</f>
        <v>Gas</v>
      </c>
      <c r="E53" s="1239" t="str">
        <f>Master!AO4</f>
        <v>PDB</v>
      </c>
      <c r="F53" s="1240" t="str">
        <f>Master!AO6</f>
        <v>1*210</v>
      </c>
      <c r="G53" s="1202">
        <f>Master!AO8</f>
        <v>180</v>
      </c>
      <c r="H53" s="1203">
        <f>YesterdayGen!AO34</f>
        <v>0</v>
      </c>
      <c r="I53" s="1204">
        <f>YesterdayGen!AO31</f>
        <v>0</v>
      </c>
      <c r="J53" s="1311" t="str">
        <f>IF(EvReport!L53 = 0, " ",EvReport!L53)</f>
        <v>Gas shortage</v>
      </c>
      <c r="K53" s="208"/>
    </row>
    <row r="54" spans="2:11" ht="16.5" customHeight="1">
      <c r="B54" s="1202">
        <v>42</v>
      </c>
      <c r="C54" s="1241" t="str">
        <f>Master!AP3</f>
        <v>Raozan 25 MW PP</v>
      </c>
      <c r="D54" s="1207" t="str">
        <f>VLOOKUP(C54,Forecast!$C$9:$E$181,3,0)</f>
        <v>HFO</v>
      </c>
      <c r="E54" s="1239" t="str">
        <f>Master!AP4</f>
        <v>RPCL</v>
      </c>
      <c r="F54" s="1240" t="str">
        <f>Master!AP6</f>
        <v>3*8.9</v>
      </c>
      <c r="G54" s="1202">
        <f>Master!AP8</f>
        <v>25</v>
      </c>
      <c r="H54" s="1203">
        <f>YesterdayGen!AP34</f>
        <v>25</v>
      </c>
      <c r="I54" s="1204">
        <f>YesterdayGen!AP31</f>
        <v>317142</v>
      </c>
      <c r="J54" s="1311" t="str">
        <f>IF(EvReport!L54 = 0, " ",EvReport!L54)</f>
        <v xml:space="preserve"> </v>
      </c>
      <c r="K54" s="208"/>
    </row>
    <row r="55" spans="2:11" ht="16.5" customHeight="1">
      <c r="B55" s="1202">
        <v>43</v>
      </c>
      <c r="C55" s="1241" t="str">
        <f>Master!CY3</f>
        <v>Teknaf  20MW PP (Solartech)</v>
      </c>
      <c r="D55" s="1207" t="str">
        <f>VLOOKUP(C55,Forecast!$C$9:$E$181,3,0)</f>
        <v>Solar</v>
      </c>
      <c r="E55" s="1239" t="str">
        <f>Master!CY4</f>
        <v>IPP</v>
      </c>
      <c r="F55" s="1240">
        <f>Master!CY6</f>
        <v>20</v>
      </c>
      <c r="G55" s="1202">
        <f>Master!CY8</f>
        <v>20</v>
      </c>
      <c r="H55" s="1203">
        <f>YesterdayGen!CY34</f>
        <v>0</v>
      </c>
      <c r="I55" s="1204">
        <f>YesterdayGen!CY31</f>
        <v>116640</v>
      </c>
      <c r="J55" s="1311" t="str">
        <f>IF(EvReport!L55= 0, " ",EvReport!L55)</f>
        <v xml:space="preserve"> </v>
      </c>
      <c r="K55" s="208"/>
    </row>
    <row r="56" spans="2:11" ht="16.5" customHeight="1">
      <c r="B56" s="1202">
        <v>44</v>
      </c>
      <c r="C56" s="1241" t="str">
        <f>Master!BA3</f>
        <v>Patenga 50MW PP (Baraka)</v>
      </c>
      <c r="D56" s="1207" t="str">
        <f>VLOOKUP(C56,Forecast!$C$9:$E$181,3,0)</f>
        <v>HFO</v>
      </c>
      <c r="E56" s="1239" t="str">
        <f>Master!BA4</f>
        <v>IPP</v>
      </c>
      <c r="F56" s="1240" t="str">
        <f>Master!BA6</f>
        <v>8*6.98</v>
      </c>
      <c r="G56" s="1202">
        <f>Master!BA8</f>
        <v>50</v>
      </c>
      <c r="H56" s="1203">
        <f>YesterdayGen!BA34</f>
        <v>25</v>
      </c>
      <c r="I56" s="1204">
        <f>YesterdayGen!BA31</f>
        <v>605760</v>
      </c>
      <c r="J56" s="1311" t="str">
        <f>IF(EvReport!L56 = 0, " ",EvReport!L56)</f>
        <v>Engine problem</v>
      </c>
      <c r="K56" s="207"/>
    </row>
    <row r="57" spans="2:11" ht="16.5" customHeight="1">
      <c r="B57" s="1202">
        <v>45</v>
      </c>
      <c r="C57" s="1241" t="s">
        <v>159</v>
      </c>
      <c r="D57" s="1207" t="e">
        <f>VLOOKUP(C57,Forecast!$C$9:$E$181,3,0)</f>
        <v>#N/A</v>
      </c>
      <c r="E57" s="1205" t="str">
        <f>Master!AL4</f>
        <v>PDB</v>
      </c>
      <c r="F57" s="1205" t="s">
        <v>687</v>
      </c>
      <c r="G57" s="1205">
        <f>Master!AL8+Master!AM8</f>
        <v>230</v>
      </c>
      <c r="H57" s="1209">
        <f>YesterdayGen!AL34+YesterdayGen!AM34</f>
        <v>116</v>
      </c>
      <c r="I57" s="1210">
        <f>YesterdayGen!AL31+YesterdayGen!AM31</f>
        <v>2796567</v>
      </c>
      <c r="J57" s="1311" t="str">
        <f>IF(EvReport!L57 = 0, " ",EvReport!L57)</f>
        <v>Low water level</v>
      </c>
      <c r="K57" s="208"/>
    </row>
    <row r="58" spans="2:11" ht="16.5" customHeight="1">
      <c r="B58" s="1202">
        <v>46</v>
      </c>
      <c r="C58" s="1242" t="s">
        <v>169</v>
      </c>
      <c r="D58" s="1207" t="e">
        <f>VLOOKUP(C58,Forecast!$C$9:$E$181,3,0)</f>
        <v>#N/A</v>
      </c>
      <c r="E58" s="1211" t="str">
        <f>Master!AQ4</f>
        <v>PDB</v>
      </c>
      <c r="F58" s="1205" t="str">
        <f>Master!AQ6</f>
        <v>1*150+1*175</v>
      </c>
      <c r="G58" s="1205">
        <f>Master!AQ8</f>
        <v>225</v>
      </c>
      <c r="H58" s="1209">
        <f>YesterdayGen!AQ34+YesterdayGen!AR34</f>
        <v>0</v>
      </c>
      <c r="I58" s="1210">
        <f>YesterdayGen!AQ31+YesterdayGen!AR31</f>
        <v>0</v>
      </c>
      <c r="J58" s="1311" t="str">
        <f>IF(EvReport!L58 = 0, " ",EvReport!L58)</f>
        <v>HGPI for 30 days.</v>
      </c>
      <c r="K58" s="208"/>
    </row>
    <row r="59" spans="2:11" ht="16.5" customHeight="1">
      <c r="B59" s="1202">
        <v>47</v>
      </c>
      <c r="C59" s="1242" t="s">
        <v>115</v>
      </c>
      <c r="D59" s="1207" t="str">
        <f>VLOOKUP(C59,Forecast!$C$9:$E$181,3,0)</f>
        <v>Gas/HSD</v>
      </c>
      <c r="E59" s="1211" t="str">
        <f>Master!AS4</f>
        <v>PDB</v>
      </c>
      <c r="F59" s="1205" t="str">
        <f>Master!AS6</f>
        <v xml:space="preserve">1*150 </v>
      </c>
      <c r="G59" s="1205">
        <f>Master!AS8</f>
        <v>150</v>
      </c>
      <c r="H59" s="1209">
        <f>YesterdayGen!AS34+YesterdayGen!AT34</f>
        <v>0</v>
      </c>
      <c r="I59" s="1210">
        <f>YesterdayGen!AS31+YesterdayGen!AT31</f>
        <v>0</v>
      </c>
      <c r="J59" s="1311" t="str">
        <f>IF(EvReport!L59 = 0, " ",EvReport!L59)</f>
        <v>Under maint.</v>
      </c>
      <c r="K59" s="208"/>
    </row>
    <row r="60" spans="2:11" ht="16.5" customHeight="1">
      <c r="B60" s="1202">
        <v>48</v>
      </c>
      <c r="C60" s="1687" t="str">
        <f>Master!DF3</f>
        <v>Sikalbaha 105 MW PP (Baraka Sikalbaha)</v>
      </c>
      <c r="D60" s="1207" t="str">
        <f>VLOOKUP(C60,Forecast!$C$9:$E$181,3,0)</f>
        <v>HFO</v>
      </c>
      <c r="E60" s="1688" t="str">
        <f>Master!DF4</f>
        <v>IPP</v>
      </c>
      <c r="F60" s="1689" t="str">
        <f>Master!DF6</f>
        <v>6*17.5</v>
      </c>
      <c r="G60" s="1690">
        <f>Master!DF8</f>
        <v>105</v>
      </c>
      <c r="H60" s="1691">
        <f>YesterdayGen!DF34</f>
        <v>105</v>
      </c>
      <c r="I60" s="1692">
        <f>YesterdayGen!DF31</f>
        <v>2221382</v>
      </c>
      <c r="J60" s="1693" t="str">
        <f>IF(EvReport!L60= 0, " ",EvReport!L60)</f>
        <v xml:space="preserve"> </v>
      </c>
      <c r="K60" s="208"/>
    </row>
    <row r="61" spans="2:11" ht="16.5" customHeight="1">
      <c r="B61" s="1202">
        <v>49</v>
      </c>
      <c r="C61" s="1242" t="str">
        <f>Master!AW3</f>
        <v>Hathazari 100 MW peaking PP</v>
      </c>
      <c r="D61" s="1207" t="str">
        <f>VLOOKUP(C61,Forecast!$C$9:$E$181,3,0)</f>
        <v>HFO</v>
      </c>
      <c r="E61" s="1211" t="str">
        <f>Master!AW4</f>
        <v>PDB</v>
      </c>
      <c r="F61" s="1243" t="str">
        <f>Master!AW6</f>
        <v>11*8.9</v>
      </c>
      <c r="G61" s="1205">
        <f>Master!AW8</f>
        <v>98</v>
      </c>
      <c r="H61" s="1209">
        <f>YesterdayGen!AW34</f>
        <v>34</v>
      </c>
      <c r="I61" s="1210">
        <f>YesterdayGen!AW31</f>
        <v>655824</v>
      </c>
      <c r="J61" s="1311" t="str">
        <f>IF(EvReport!L61 = 0, " ",EvReport!L61)</f>
        <v>Fuel shortage</v>
      </c>
      <c r="K61" s="208"/>
    </row>
    <row r="62" spans="2:11" ht="16.5" customHeight="1">
      <c r="B62" s="1202">
        <v>50</v>
      </c>
      <c r="C62" s="1242" t="str">
        <f>Master!AX3</f>
        <v>Dohazari -Kalaish 100 MW Peaking</v>
      </c>
      <c r="D62" s="1207" t="str">
        <f>VLOOKUP(C62,Forecast!$C$9:$E$181,3,0)</f>
        <v>HFO</v>
      </c>
      <c r="E62" s="1211" t="str">
        <f>Master!AX4</f>
        <v>PDB</v>
      </c>
      <c r="F62" s="1243" t="str">
        <f>Master!AX6</f>
        <v>6*17</v>
      </c>
      <c r="G62" s="1205">
        <f>Master!AX8</f>
        <v>102</v>
      </c>
      <c r="H62" s="1209">
        <f>YesterdayGen!AX34</f>
        <v>51</v>
      </c>
      <c r="I62" s="1210">
        <f>YesterdayGen!AX31</f>
        <v>909799</v>
      </c>
      <c r="J62" s="1311" t="str">
        <f>IF(EvReport!L62 = 0, " ",EvReport!L62)</f>
        <v>Fuel shortage</v>
      </c>
      <c r="K62" s="208"/>
    </row>
    <row r="63" spans="2:11" ht="16.5" customHeight="1">
      <c r="B63" s="1202">
        <v>51</v>
      </c>
      <c r="C63" s="1242" t="str">
        <f>Master!AY3</f>
        <v>Juldah 100 MW Unit-1 (Acorn)</v>
      </c>
      <c r="D63" s="1207" t="str">
        <f>VLOOKUP(C63,Forecast!$C$9:$E$181,3,0)</f>
        <v>HFO</v>
      </c>
      <c r="E63" s="1211" t="str">
        <f>Master!AY4</f>
        <v>NENP</v>
      </c>
      <c r="F63" s="1243" t="str">
        <f>Master!AY6</f>
        <v>8*13.45</v>
      </c>
      <c r="G63" s="1205">
        <f>Master!AY8</f>
        <v>100</v>
      </c>
      <c r="H63" s="1209">
        <f>YesterdayGen!AY34</f>
        <v>33</v>
      </c>
      <c r="I63" s="1210">
        <f>YesterdayGen!AY31</f>
        <v>1039320</v>
      </c>
      <c r="J63" s="1311" t="str">
        <f>IF(EvReport!L63 = 0, " ",EvReport!L63)</f>
        <v>Fuel shortage</v>
      </c>
      <c r="K63" s="208"/>
    </row>
    <row r="64" spans="2:11" ht="16.5" customHeight="1">
      <c r="B64" s="1202">
        <v>52</v>
      </c>
      <c r="C64" s="1242" t="str">
        <f>Master!CZ3</f>
        <v>Juldah 100 MW PP Unit-3 (Acorn)</v>
      </c>
      <c r="D64" s="1207" t="str">
        <f>VLOOKUP(C64,Forecast!$C$9:$E$181,3,0)</f>
        <v>HFO</v>
      </c>
      <c r="E64" s="1231" t="str">
        <f>Master!CZ4</f>
        <v>IPP</v>
      </c>
      <c r="F64" s="1244" t="str">
        <f>Master!CZ6</f>
        <v>8*13.5</v>
      </c>
      <c r="G64" s="1228">
        <f>Master!CZ8</f>
        <v>100</v>
      </c>
      <c r="H64" s="1209">
        <f>YesterdayGen!CZ34</f>
        <v>90</v>
      </c>
      <c r="I64" s="1210">
        <f>YesterdayGen!CZ31</f>
        <v>981120</v>
      </c>
      <c r="J64" s="1311" t="str">
        <f>IF(EvReport!L64= 0, " ",EvReport!L64)</f>
        <v>Engine problem</v>
      </c>
      <c r="K64" s="208"/>
    </row>
    <row r="65" spans="2:11" ht="16.5" customHeight="1">
      <c r="B65" s="1202">
        <v>53</v>
      </c>
      <c r="C65" s="1242" t="str">
        <f>Master!BB3</f>
        <v>Barabkunda  22 MW PP (Regent)</v>
      </c>
      <c r="D65" s="1207" t="str">
        <f>VLOOKUP(C65,Forecast!$C$9:$E$181,3,0)</f>
        <v>Gas</v>
      </c>
      <c r="E65" s="1227" t="str">
        <f>Master!BB4</f>
        <v>SIPP, PDB</v>
      </c>
      <c r="F65" s="1244" t="str">
        <f>Master!BB6</f>
        <v>8*2.90</v>
      </c>
      <c r="G65" s="1228">
        <f>Master!BB8</f>
        <v>22</v>
      </c>
      <c r="H65" s="1209">
        <f>YesterdayGen!BB34</f>
        <v>15</v>
      </c>
      <c r="I65" s="1214">
        <f>YesterdayGen!BB31</f>
        <v>331824</v>
      </c>
      <c r="J65" s="1311" t="str">
        <f>IF(EvReport!L65 = 0, " ",EvReport!L65)</f>
        <v>Engine problem</v>
      </c>
      <c r="K65" s="208"/>
    </row>
    <row r="66" spans="2:11" ht="16.5" customHeight="1">
      <c r="B66" s="1202" t="s">
        <v>143</v>
      </c>
      <c r="C66" s="1245" t="str">
        <f>Master!BC3</f>
        <v>Malancha, Ctg. EPZ (United)</v>
      </c>
      <c r="D66" s="1207" t="str">
        <f>VLOOKUP(C66,Forecast!$C$9:$E$181,3,0)</f>
        <v>Gas</v>
      </c>
      <c r="E66" s="1863"/>
      <c r="F66" s="1863" t="str">
        <f>Master!BC6</f>
        <v>5*8.73+3*9.34</v>
      </c>
      <c r="G66" s="1864">
        <f>Master!BC8</f>
        <v>0</v>
      </c>
      <c r="H66" s="1865">
        <f>YesterdayGen!BC34</f>
        <v>30</v>
      </c>
      <c r="I66" s="1866">
        <f>YesterdayGen!BC31</f>
        <v>521280</v>
      </c>
      <c r="J66" s="1311" t="str">
        <f>IF(EvReport!L66 = 0, " ",EvReport!L66)</f>
        <v xml:space="preserve"> </v>
      </c>
      <c r="K66" s="208"/>
    </row>
    <row r="67" spans="2:11" ht="16.5" customHeight="1" thickBot="1">
      <c r="B67" s="2708">
        <v>54</v>
      </c>
      <c r="C67" s="1862" t="str">
        <f>Master!AZ3</f>
        <v>Chattogram 108 MW PP (ECPV)</v>
      </c>
      <c r="D67" s="1207" t="str">
        <f>VLOOKUP(C67,Forecast!$C$9:$E$181,3,0)</f>
        <v>HFO</v>
      </c>
      <c r="E67" s="1867" t="str">
        <f>Master!AZ4</f>
        <v>IPP</v>
      </c>
      <c r="F67" s="1867" t="str">
        <f>Master!AZ6</f>
        <v>16*7</v>
      </c>
      <c r="G67" s="1868">
        <f>Master!AZ8</f>
        <v>108</v>
      </c>
      <c r="H67" s="1869">
        <f>YesterdayGen!AZ34</f>
        <v>80</v>
      </c>
      <c r="I67" s="1870">
        <f>YesterdayGen!AZ31</f>
        <v>650880</v>
      </c>
      <c r="J67" s="1312" t="str">
        <f>IF(EvReport!L67 = 0, " ",EvReport!L67)</f>
        <v>Engine problem</v>
      </c>
      <c r="K67" s="208"/>
    </row>
    <row r="68" spans="2:11" ht="16.5" customHeight="1" thickBot="1">
      <c r="B68" s="2708">
        <v>55</v>
      </c>
      <c r="C68" s="1862" t="str">
        <f>Master!DG3</f>
        <v>Kaptai 7 MW  Solar PP</v>
      </c>
      <c r="D68" s="1207" t="str">
        <f>VLOOKUP(C68,Forecast!$C$9:$E$181,3,0)</f>
        <v>Solar</v>
      </c>
      <c r="E68" s="1867" t="str">
        <f>Master!DG4</f>
        <v>PDB</v>
      </c>
      <c r="F68" s="1867" t="str">
        <f>Master!DG6</f>
        <v>7.4 MW</v>
      </c>
      <c r="G68" s="1868">
        <f>Master!DG8</f>
        <v>7</v>
      </c>
      <c r="H68" s="1869">
        <f>YesterdayGen!DG34</f>
        <v>0</v>
      </c>
      <c r="I68" s="1870">
        <f>YesterdayGen!DG31</f>
        <v>34439</v>
      </c>
      <c r="J68" s="1462" t="str">
        <f>IF(EvReport!L68= 0, " ",EvReport!L68)</f>
        <v xml:space="preserve"> </v>
      </c>
      <c r="K68" s="208"/>
    </row>
    <row r="69" spans="2:11" ht="16.5" customHeight="1" thickBot="1">
      <c r="B69" s="2708">
        <v>56</v>
      </c>
      <c r="C69" s="1862" t="str">
        <f>Master!DH3</f>
        <v>Anwara 300 MW PP (United)</v>
      </c>
      <c r="D69" s="1207" t="str">
        <f>VLOOKUP(C69,Forecast!$C$9:$E$181,3,0)</f>
        <v>HFO</v>
      </c>
      <c r="E69" s="1867" t="str">
        <f>Master!DH4</f>
        <v>IPP</v>
      </c>
      <c r="F69" s="1867" t="str">
        <f>Master!DH6</f>
        <v>17*17+24</v>
      </c>
      <c r="G69" s="1868">
        <f>Master!DH8</f>
        <v>300</v>
      </c>
      <c r="H69" s="1869">
        <f>YesterdayGen!DH34</f>
        <v>214</v>
      </c>
      <c r="I69" s="1870">
        <f>YesterdayGen!DH31</f>
        <v>1656000</v>
      </c>
      <c r="J69" s="1462" t="str">
        <f>IF(EvReport!L69= 0, " ",EvReport!L69)</f>
        <v>Engine problem</v>
      </c>
      <c r="K69" s="208"/>
    </row>
    <row r="70" spans="2:11" ht="16.5" customHeight="1">
      <c r="B70" s="2940">
        <v>57</v>
      </c>
      <c r="C70" s="2942" t="str">
        <f>Master!DI3</f>
        <v>Jodiac Power</v>
      </c>
      <c r="D70" s="1207" t="str">
        <f>VLOOKUP(C70,Forecast!$C$9:$E$181,3,0)</f>
        <v>HFO</v>
      </c>
      <c r="E70" s="2943" t="str">
        <f>Master!DI4</f>
        <v>IPP</v>
      </c>
      <c r="F70" s="2944" t="str">
        <f>Master!DI6</f>
        <v>3*18.55+1*3.6</v>
      </c>
      <c r="G70" s="2929">
        <f>Master!DI8</f>
        <v>54</v>
      </c>
      <c r="H70" s="2938">
        <f>YesterdayGen!DI34</f>
        <v>36</v>
      </c>
      <c r="I70" s="2937">
        <f>YesterdayGen!DI31</f>
        <v>769538</v>
      </c>
      <c r="J70" s="2926" t="str">
        <f>IF(EvReport!L70= 0, " ",EvReport!L70)</f>
        <v>Fuel shortage</v>
      </c>
      <c r="K70" s="208"/>
    </row>
    <row r="71" spans="2:11" ht="16.5" customHeight="1">
      <c r="B71" s="2936">
        <v>58</v>
      </c>
      <c r="C71" s="2942" t="str">
        <f>Master!DJ3</f>
        <v>Karnaphuli Power Ltd.</v>
      </c>
      <c r="D71" s="1207" t="str">
        <f>VLOOKUP(C71,Forecast!$C$9:$E$181,3,0)</f>
        <v>HFO</v>
      </c>
      <c r="E71" s="2945" t="str">
        <f>Master!DJ4</f>
        <v>IPP</v>
      </c>
      <c r="F71" s="2946" t="str">
        <f>Master!DJ6</f>
        <v>18.415*6+6.5</v>
      </c>
      <c r="G71" s="2710">
        <f>Master!DJ8</f>
        <v>110</v>
      </c>
      <c r="H71" s="2933">
        <f>YesterdayGen!DJ34</f>
        <v>73</v>
      </c>
      <c r="I71" s="2932">
        <f>YesterdayGen!DJ31</f>
        <v>1441053</v>
      </c>
      <c r="J71" s="2931" t="str">
        <f>IF(EvReport!L71= 0, " ",EvReport!L71)</f>
        <v>Fuel shortage</v>
      </c>
      <c r="K71" s="208"/>
    </row>
    <row r="72" spans="2:11" ht="16.5" customHeight="1">
      <c r="B72" s="2929">
        <v>59</v>
      </c>
      <c r="C72" s="2947" t="str">
        <f>Master!DM3</f>
        <v>Juldah unit-2 (Acorn)</v>
      </c>
      <c r="D72" s="1207" t="str">
        <f>VLOOKUP(C72,Forecast!$C$9:$E$181,3,0)</f>
        <v>HFO</v>
      </c>
      <c r="E72" s="2943" t="str">
        <f>Master!DM4</f>
        <v>IPP</v>
      </c>
      <c r="F72" s="2943" t="str">
        <f>Master!DM6</f>
        <v>8*13.6</v>
      </c>
      <c r="G72" s="2929">
        <f>Master!DM8</f>
        <v>100</v>
      </c>
      <c r="H72" s="2928">
        <f>YesterdayGen!DM34</f>
        <v>100</v>
      </c>
      <c r="I72" s="2927">
        <f>YesterdayGen!DM31</f>
        <v>1045440</v>
      </c>
      <c r="J72" s="2926" t="str">
        <f>IF(EvReport!L39= 0, " ",EvReport!L39)</f>
        <v xml:space="preserve"> </v>
      </c>
      <c r="K72" s="208"/>
    </row>
    <row r="73" spans="2:11" ht="16.5" customHeight="1" thickBot="1">
      <c r="B73" s="2924">
        <v>60</v>
      </c>
      <c r="C73" s="2948" t="str">
        <f>Master!DR3</f>
        <v>Anlima Energy Ltd.</v>
      </c>
      <c r="D73" s="1207" t="str">
        <f>VLOOKUP(C73,Forecast!$C$9:$E$181,3,0)</f>
        <v>HFO</v>
      </c>
      <c r="E73" s="2949" t="str">
        <f>Master!DR4</f>
        <v>IPP</v>
      </c>
      <c r="F73" s="2949" t="str">
        <f>Master!DR6</f>
        <v>6*21.2</v>
      </c>
      <c r="G73" s="2924">
        <f>Master!DR8</f>
        <v>116</v>
      </c>
      <c r="H73" s="2923">
        <f>YesterdayGen!DR34</f>
        <v>108</v>
      </c>
      <c r="I73" s="2922">
        <f>YesterdayGen!DR31</f>
        <v>2608200</v>
      </c>
      <c r="J73" s="2921" t="str">
        <f>IF(EvReport!L73= 0, " ",EvReport!L73)</f>
        <v>Engine problem</v>
      </c>
      <c r="K73" s="208"/>
    </row>
    <row r="74" spans="2:11" ht="16.5" customHeight="1" thickBot="1">
      <c r="B74" s="1233"/>
      <c r="C74" s="1234" t="s">
        <v>861</v>
      </c>
      <c r="D74" s="1207">
        <f>VLOOKUP(C74,Forecast!$C$9:$E$181,3,0)</f>
        <v>0</v>
      </c>
      <c r="E74" s="1235"/>
      <c r="F74" s="1235"/>
      <c r="G74" s="1236">
        <f>SUM(G52:G73)</f>
        <v>2382</v>
      </c>
      <c r="H74" s="1236">
        <f>SUM(H52:H73)</f>
        <v>1235</v>
      </c>
      <c r="I74" s="1236">
        <f>SUM(I52:I73)</f>
        <v>21102208</v>
      </c>
      <c r="J74" s="1237" t="s">
        <v>18</v>
      </c>
      <c r="K74" s="211"/>
    </row>
    <row r="75" spans="2:11" ht="16.5" customHeight="1">
      <c r="B75" s="1202">
        <v>61</v>
      </c>
      <c r="C75" s="1241" t="str">
        <f>Master!BD3</f>
        <v>Ashuganj TPP Unit- 3</v>
      </c>
      <c r="D75" s="1207" t="str">
        <f>VLOOKUP(C75,Forecast!$C$9:$E$181,3,0)</f>
        <v>Gas</v>
      </c>
      <c r="E75" s="1211" t="str">
        <f>Master!BD4</f>
        <v>APSCL</v>
      </c>
      <c r="F75" s="1248" t="str">
        <f>Master!BD6</f>
        <v>1*150</v>
      </c>
      <c r="G75" s="1205">
        <f>Master!BD8</f>
        <v>0</v>
      </c>
      <c r="H75" s="1209">
        <f>YesterdayGen!BD34</f>
        <v>0</v>
      </c>
      <c r="I75" s="1210">
        <f>YesterdayGen!BD31</f>
        <v>0</v>
      </c>
      <c r="J75" s="1311" t="str">
        <f>IF(EvReport!L75 = 0, " ",EvReport!L75)</f>
        <v>Contract Expired</v>
      </c>
      <c r="K75" s="211"/>
    </row>
    <row r="76" spans="2:11" ht="16.5" customHeight="1">
      <c r="B76" s="1202"/>
      <c r="C76" s="1241" t="str">
        <f>Master!BE3</f>
        <v>Ashuganj TPP Unit- 4</v>
      </c>
      <c r="D76" s="1207" t="str">
        <f>VLOOKUP(C76,Forecast!$C$9:$E$181,3,0)</f>
        <v>Gas</v>
      </c>
      <c r="E76" s="1211" t="str">
        <f>Master!BE4</f>
        <v>APSCL</v>
      </c>
      <c r="F76" s="1248" t="str">
        <f>Master!BE6</f>
        <v>1*150</v>
      </c>
      <c r="G76" s="1205">
        <f>Master!BE8</f>
        <v>0</v>
      </c>
      <c r="H76" s="1209">
        <f>YesterdayGen!BE34</f>
        <v>0</v>
      </c>
      <c r="I76" s="1210">
        <f>YesterdayGen!BE31</f>
        <v>0</v>
      </c>
      <c r="J76" s="1311" t="str">
        <f>IF(EvReport!L76 = 0, " ",EvReport!L76)</f>
        <v>Contract Expired</v>
      </c>
      <c r="K76" s="211"/>
    </row>
    <row r="77" spans="2:11" ht="16.5" customHeight="1">
      <c r="B77" s="1202"/>
      <c r="C77" s="1241" t="str">
        <f>Master!BF3</f>
        <v>Ashuganj TPP Unit- 5</v>
      </c>
      <c r="D77" s="1207" t="str">
        <f>VLOOKUP(C77,Forecast!$C$9:$E$181,3,0)</f>
        <v>Gas</v>
      </c>
      <c r="E77" s="1239" t="str">
        <f>Master!BF4</f>
        <v>APSCL</v>
      </c>
      <c r="F77" s="1240" t="str">
        <f>Master!BF6</f>
        <v>1*150</v>
      </c>
      <c r="G77" s="1205">
        <f>Master!BF8</f>
        <v>134</v>
      </c>
      <c r="H77" s="1209">
        <f>YesterdayGen!BF34</f>
        <v>0</v>
      </c>
      <c r="I77" s="1210">
        <f>YesterdayGen!BF31</f>
        <v>0</v>
      </c>
      <c r="J77" s="1311" t="str">
        <f>IF(EvReport!L77 = 0, " ",EvReport!L77)</f>
        <v>Gas shortage</v>
      </c>
      <c r="K77" s="211"/>
    </row>
    <row r="78" spans="2:11" ht="16.5" customHeight="1">
      <c r="B78" s="1202">
        <v>62</v>
      </c>
      <c r="C78" s="1241" t="str">
        <f>Master!BI3</f>
        <v xml:space="preserve">Ashuganj 225 MW  CCPP </v>
      </c>
      <c r="D78" s="1207" t="str">
        <f>VLOOKUP(C78,Forecast!$C$9:$E$181,3,0)</f>
        <v>Gas</v>
      </c>
      <c r="E78" s="1239" t="str">
        <f>Master!BI4</f>
        <v>APSCL</v>
      </c>
      <c r="F78" s="1240" t="str">
        <f>Master!BI6</f>
        <v>1*142+1*75</v>
      </c>
      <c r="G78" s="1205">
        <f>Master!BI8</f>
        <v>221</v>
      </c>
      <c r="H78" s="1209">
        <f>YesterdayGen!BI34</f>
        <v>208</v>
      </c>
      <c r="I78" s="1212">
        <f>YesterdayGen!BI31</f>
        <v>4649000</v>
      </c>
      <c r="J78" s="1311" t="e">
        <f>IF(EvReport!#REF! = 0, " ",EvReport!#REF!)</f>
        <v>#REF!</v>
      </c>
      <c r="K78" s="209"/>
    </row>
    <row r="79" spans="2:11" ht="16.5" customHeight="1">
      <c r="B79" s="1202">
        <v>63</v>
      </c>
      <c r="C79" s="1241" t="str">
        <f>Master!BG3</f>
        <v>Ashuganj 450 MW CCPP(North)</v>
      </c>
      <c r="D79" s="1207" t="str">
        <f>VLOOKUP(C79,Forecast!$C$9:$E$181,3,0)</f>
        <v>Gas</v>
      </c>
      <c r="E79" s="1239" t="str">
        <f>Master!BG4</f>
        <v>APSCL</v>
      </c>
      <c r="F79" s="1240" t="str">
        <f>Master!BG6</f>
        <v>1*360</v>
      </c>
      <c r="G79" s="1205">
        <f>Master!BG8</f>
        <v>360</v>
      </c>
      <c r="H79" s="1209">
        <f>YesterdayGen!BG34</f>
        <v>320</v>
      </c>
      <c r="I79" s="1210">
        <f>YesterdayGen!BG31</f>
        <v>7969400</v>
      </c>
      <c r="J79" s="1311" t="str">
        <f>IF(EvReport!L78 = 0, " ",EvReport!L78)</f>
        <v>Gas shortage</v>
      </c>
      <c r="K79" s="209"/>
    </row>
    <row r="80" spans="2:11" ht="16.5" customHeight="1">
      <c r="B80" s="1202">
        <v>64</v>
      </c>
      <c r="C80" s="1241" t="str">
        <f>Master!BH3</f>
        <v>Ashuganj 450 MW CCPP(South)</v>
      </c>
      <c r="D80" s="1207" t="str">
        <f>VLOOKUP(C80,Forecast!$C$9:$E$181,3,0)</f>
        <v>Gas</v>
      </c>
      <c r="E80" s="1239" t="str">
        <f>Master!BH4</f>
        <v>APSCL</v>
      </c>
      <c r="F80" s="1240" t="str">
        <f>Master!BH6</f>
        <v>1*360</v>
      </c>
      <c r="G80" s="1205">
        <f>Master!BH8</f>
        <v>360</v>
      </c>
      <c r="H80" s="1209">
        <f>YesterdayGen!BH34</f>
        <v>305</v>
      </c>
      <c r="I80" s="1210">
        <f>YesterdayGen!BH31</f>
        <v>7525000</v>
      </c>
      <c r="J80" s="1311" t="str">
        <f>IF(EvReport!L80 = 0, " ",EvReport!L80)</f>
        <v>Gas shortage</v>
      </c>
      <c r="K80" s="211"/>
    </row>
    <row r="81" spans="2:11" ht="16.5" customHeight="1">
      <c r="B81" s="4698"/>
      <c r="C81" s="4699" t="str">
        <f>Master!DX3</f>
        <v>Ashuganj 420 MW CCPP(East)</v>
      </c>
      <c r="D81" s="1207" t="str">
        <f>VLOOKUP(C81,Forecast!$C$9:$E$181,3,0)</f>
        <v>Gas</v>
      </c>
      <c r="E81" s="4700" t="str">
        <f>Master!DX4</f>
        <v>APSCL</v>
      </c>
      <c r="F81" s="4701" t="str">
        <f>Master!DX6</f>
        <v>284*1+136*1</v>
      </c>
      <c r="G81" s="4702">
        <f>Master!DX8</f>
        <v>284</v>
      </c>
      <c r="H81" s="4703">
        <f>YesterdayGen!DX34</f>
        <v>0</v>
      </c>
      <c r="I81" s="4704">
        <f>YesterdayGen!DX31</f>
        <v>0</v>
      </c>
      <c r="J81" s="4705" t="str">
        <f>IF(EvReport!L81= 0, " ",EvReport!L81)</f>
        <v>On test.</v>
      </c>
      <c r="K81" s="211"/>
    </row>
    <row r="82" spans="2:11" ht="16.5" customHeight="1">
      <c r="B82" s="1202">
        <v>65</v>
      </c>
      <c r="C82" s="1241" t="str">
        <f>Master!BL3</f>
        <v xml:space="preserve">Ashuganj 50 MW PP </v>
      </c>
      <c r="D82" s="1207" t="str">
        <f>VLOOKUP(C82,Forecast!$C$9:$E$181,3,0)</f>
        <v>Gas</v>
      </c>
      <c r="E82" s="1239" t="str">
        <f>Master!BL4</f>
        <v>APSCL</v>
      </c>
      <c r="F82" s="1240" t="str">
        <f>Master!BL6</f>
        <v>14*3.968</v>
      </c>
      <c r="G82" s="1205">
        <f>Master!BL8</f>
        <v>45</v>
      </c>
      <c r="H82" s="1209">
        <f>YesterdayGen!BL34</f>
        <v>41</v>
      </c>
      <c r="I82" s="1210">
        <f>YesterdayGen!BL31</f>
        <v>876024</v>
      </c>
      <c r="J82" s="1311" t="str">
        <f>IF(EvReport!L82 = 0, " ",EvReport!L82)</f>
        <v>Machine problem</v>
      </c>
      <c r="K82" s="221"/>
    </row>
    <row r="83" spans="2:11" ht="16.5" customHeight="1">
      <c r="B83" s="1202">
        <v>66</v>
      </c>
      <c r="C83" s="1241" t="str">
        <f>Master!BM3</f>
        <v xml:space="preserve">Ashuganj 55 MW PP  (Precision) </v>
      </c>
      <c r="D83" s="1207" t="str">
        <f>VLOOKUP(C83,Forecast!$C$9:$E$181,3,0)</f>
        <v>Gas</v>
      </c>
      <c r="E83" s="1211" t="str">
        <f>Master!BM4</f>
        <v>QRPP</v>
      </c>
      <c r="F83" s="1248" t="str">
        <f>Master!BM6</f>
        <v>15*4</v>
      </c>
      <c r="G83" s="1205">
        <f>Master!BM8</f>
        <v>55</v>
      </c>
      <c r="H83" s="1209">
        <f>YesterdayGen!BM34</f>
        <v>40</v>
      </c>
      <c r="I83" s="1214">
        <f>YesterdayGen!BM31</f>
        <v>702720</v>
      </c>
      <c r="J83" s="1311" t="str">
        <f>IF(EvReport!L83 = 0, " ",EvReport!L83)</f>
        <v>Gas shortage</v>
      </c>
      <c r="K83" s="209"/>
    </row>
    <row r="84" spans="2:11" ht="16.5" customHeight="1">
      <c r="B84" s="1202">
        <v>67</v>
      </c>
      <c r="C84" s="1241" t="str">
        <f>Master!BJ3</f>
        <v xml:space="preserve">Ashuganj 195MW PP (APSCL-United) </v>
      </c>
      <c r="D84" s="1207" t="str">
        <f>VLOOKUP(C84,Forecast!$C$9:$E$181,3,0)</f>
        <v>Gas</v>
      </c>
      <c r="E84" s="1211" t="str">
        <f>Master!BJ4</f>
        <v>IPP</v>
      </c>
      <c r="F84" s="1248" t="str">
        <f>Master!BJ6</f>
        <v>20*9.73+1*16</v>
      </c>
      <c r="G84" s="1216">
        <f>Master!BJ8</f>
        <v>195</v>
      </c>
      <c r="H84" s="1209">
        <f>YesterdayGen!BJ34</f>
        <v>8</v>
      </c>
      <c r="I84" s="1214">
        <f>YesterdayGen!BJ31</f>
        <v>669090</v>
      </c>
      <c r="J84" s="1311" t="str">
        <f>IF(EvReport!L84 = 0, " ",EvReport!L84)</f>
        <v xml:space="preserve"> </v>
      </c>
      <c r="K84" s="209"/>
    </row>
    <row r="85" spans="2:11" ht="16.5" customHeight="1">
      <c r="B85" s="1202">
        <v>68</v>
      </c>
      <c r="C85" s="1241" t="str">
        <f>Master!BO3</f>
        <v>Ashuganj  51 MW PP (Midland)</v>
      </c>
      <c r="D85" s="1207" t="str">
        <f>VLOOKUP(C85,Forecast!$C$9:$E$181,3,0)</f>
        <v>Gas</v>
      </c>
      <c r="E85" s="1211" t="str">
        <f>Master!BO4</f>
        <v>IPP</v>
      </c>
      <c r="F85" s="1248" t="str">
        <f>Master!BO6</f>
        <v>6*9.34</v>
      </c>
      <c r="G85" s="1216">
        <f>Master!BO8</f>
        <v>51</v>
      </c>
      <c r="H85" s="1209">
        <f>YesterdayGen!BO34</f>
        <v>51</v>
      </c>
      <c r="I85" s="1214">
        <f>YesterdayGen!BO31</f>
        <v>1156134</v>
      </c>
      <c r="J85" s="1311" t="str">
        <f>IF(EvReport!L85 = 0, " ",EvReport!L85)</f>
        <v xml:space="preserve"> </v>
      </c>
      <c r="K85" s="211"/>
    </row>
    <row r="86" spans="2:11" ht="16.5" customHeight="1">
      <c r="B86" s="1202">
        <v>69</v>
      </c>
      <c r="C86" s="1521" t="str">
        <f>Master!DB3</f>
        <v>Ashuganj 150MW PP (Midland)</v>
      </c>
      <c r="D86" s="1207" t="str">
        <f>VLOOKUP(C86,Forecast!$C$9:$E$181,3,0)</f>
        <v>HFO</v>
      </c>
      <c r="E86" s="1522" t="str">
        <f>Master!DB4</f>
        <v>IPP</v>
      </c>
      <c r="F86" s="1523" t="str">
        <f>Master!DB6</f>
        <v>23*7.015</v>
      </c>
      <c r="G86" s="1524">
        <f>Master!DB8</f>
        <v>150</v>
      </c>
      <c r="H86" s="1525">
        <f>YesterdayGen!DB34</f>
        <v>122</v>
      </c>
      <c r="I86" s="1526">
        <f>YesterdayGen!DB31</f>
        <v>2944000</v>
      </c>
      <c r="J86" s="1527" t="str">
        <f>IF(EvReport!L86= 0, " ",EvReport!L86)</f>
        <v>Engine problem</v>
      </c>
      <c r="K86" s="211"/>
    </row>
    <row r="87" spans="2:11" ht="16.5" customHeight="1">
      <c r="B87" s="1202">
        <v>70</v>
      </c>
      <c r="C87" s="1241" t="str">
        <f>Master!BQ3</f>
        <v>Titas 50 MW Peaking PP</v>
      </c>
      <c r="D87" s="1207" t="str">
        <f>VLOOKUP(C87,Forecast!$C$9:$E$181,3,0)</f>
        <v>HFO</v>
      </c>
      <c r="E87" s="1211" t="str">
        <f>Master!BQ4</f>
        <v>PDB</v>
      </c>
      <c r="F87" s="1248" t="str">
        <f>Master!BQ6</f>
        <v>6*8.92</v>
      </c>
      <c r="G87" s="1205">
        <f>Master!BQ8</f>
        <v>52</v>
      </c>
      <c r="H87" s="1209">
        <f>YesterdayGen!BQ34</f>
        <v>38</v>
      </c>
      <c r="I87" s="1214">
        <f>YesterdayGen!BQ31</f>
        <v>791304</v>
      </c>
      <c r="J87" s="1311" t="str">
        <f>IF(EvReport!L87 = 0, " ",EvReport!L87)</f>
        <v>Engine problem</v>
      </c>
      <c r="K87" s="211"/>
    </row>
    <row r="88" spans="2:11" ht="16.5" customHeight="1">
      <c r="B88" s="1202">
        <v>71</v>
      </c>
      <c r="C88" s="1241" t="str">
        <f>Master!BK3</f>
        <v>Chandpur 150 MW CCPP</v>
      </c>
      <c r="D88" s="1207" t="str">
        <f>VLOOKUP(C88,Forecast!$C$9:$E$181,3,0)</f>
        <v>Gas</v>
      </c>
      <c r="E88" s="1211" t="str">
        <f>Master!BK4</f>
        <v>PDB</v>
      </c>
      <c r="F88" s="1248" t="str">
        <f>Master!BK6</f>
        <v>1*106+1*57</v>
      </c>
      <c r="G88" s="1205">
        <f>Master!BK8</f>
        <v>163</v>
      </c>
      <c r="H88" s="1209">
        <f>YesterdayGen!BK34</f>
        <v>129</v>
      </c>
      <c r="I88" s="1214">
        <f>YesterdayGen!BK31</f>
        <v>3203990</v>
      </c>
      <c r="J88" s="1311" t="str">
        <f>IF(EvReport!L88 = 0, " ",EvReport!L88)</f>
        <v>Machine problem</v>
      </c>
      <c r="K88" s="631"/>
    </row>
    <row r="89" spans="2:11" ht="16.5" customHeight="1">
      <c r="B89" s="1202">
        <v>72</v>
      </c>
      <c r="C89" s="1241" t="str">
        <f>Master!DA3</f>
        <v>Chandpur 200MW (Desh energy)</v>
      </c>
      <c r="D89" s="1207" t="str">
        <f>VLOOKUP(C89,Forecast!$C$9:$E$181,3,0)</f>
        <v>HFO</v>
      </c>
      <c r="E89" s="1211" t="str">
        <f>Master!DA4</f>
        <v>IPP</v>
      </c>
      <c r="F89" s="1248" t="str">
        <f>Master!DA6</f>
        <v>12*18.4</v>
      </c>
      <c r="G89" s="1205">
        <f>Master!DA8</f>
        <v>200</v>
      </c>
      <c r="H89" s="1209">
        <f>YesterdayGen!DA34</f>
        <v>34</v>
      </c>
      <c r="I89" s="1214">
        <f>YesterdayGen!DA31</f>
        <v>850080</v>
      </c>
      <c r="J89" s="1311" t="str">
        <f>IF(EvReport!L89= 0, " ",EvReport!L89)</f>
        <v>Fuel shortage</v>
      </c>
      <c r="K89" s="631"/>
    </row>
    <row r="90" spans="2:11" ht="16.5" customHeight="1">
      <c r="B90" s="1202">
        <v>73</v>
      </c>
      <c r="C90" s="1241" t="str">
        <f>Master!BS3</f>
        <v>Feni  22MW PP (Doreen)</v>
      </c>
      <c r="D90" s="1207" t="str">
        <f>VLOOKUP(C90,Forecast!$C$9:$E$181,3,0)</f>
        <v>Gas</v>
      </c>
      <c r="E90" s="1211" t="str">
        <f>Master!BS4</f>
        <v>SIPP, PDB</v>
      </c>
      <c r="F90" s="1248" t="str">
        <f>Master!BS6</f>
        <v>8*2.90</v>
      </c>
      <c r="G90" s="1205">
        <f>Master!BS8</f>
        <v>22</v>
      </c>
      <c r="H90" s="1209">
        <f>YesterdayGen!BS34</f>
        <v>19</v>
      </c>
      <c r="I90" s="1214">
        <f>YesterdayGen!BS31</f>
        <v>323856</v>
      </c>
      <c r="J90" s="1311" t="str">
        <f>IF(EvReport!L90 = 0, " ",EvReport!L90)</f>
        <v xml:space="preserve"> </v>
      </c>
      <c r="K90" s="211"/>
    </row>
    <row r="91" spans="2:11" ht="16.5" customHeight="1">
      <c r="B91" s="1202">
        <v>74</v>
      </c>
      <c r="C91" s="1241" t="str">
        <f>Master!BT3</f>
        <v>Feni 11 MW PP  (Doreen)</v>
      </c>
      <c r="D91" s="1207" t="str">
        <f>VLOOKUP(C91,Forecast!$C$9:$E$181,3,0)</f>
        <v>Gas</v>
      </c>
      <c r="E91" s="1221" t="str">
        <f>Master!BT4</f>
        <v>SIPP, REB</v>
      </c>
      <c r="F91" s="1243" t="str">
        <f>Master!BT6</f>
        <v>4*2.90</v>
      </c>
      <c r="G91" s="1205">
        <f>Master!BT8</f>
        <v>11</v>
      </c>
      <c r="H91" s="1209">
        <f>YesterdayGen!BT34</f>
        <v>10</v>
      </c>
      <c r="I91" s="1214">
        <f>YesterdayGen!BT31</f>
        <v>238500</v>
      </c>
      <c r="J91" s="1311" t="str">
        <f>IF(EvReport!L91 = 0, " ",EvReport!L91)</f>
        <v xml:space="preserve"> </v>
      </c>
      <c r="K91" s="211"/>
    </row>
    <row r="92" spans="2:11" ht="16.5" customHeight="1">
      <c r="B92" s="1202" t="s">
        <v>142</v>
      </c>
      <c r="C92" s="1249" t="str">
        <f>Master!BW3</f>
        <v>Impoprt (Tripura)</v>
      </c>
      <c r="D92" s="1207">
        <f>VLOOKUP(C92,Forecast!$C$9:$E$181,3,0)</f>
        <v>0</v>
      </c>
      <c r="E92" s="1221" t="str">
        <f>Master!BW4</f>
        <v>Imported power</v>
      </c>
      <c r="F92" s="1243">
        <f>Master!BW6</f>
        <v>0</v>
      </c>
      <c r="G92" s="1205">
        <f>Master!BW8</f>
        <v>160</v>
      </c>
      <c r="H92" s="1209">
        <f>YesterdayGen!BW34</f>
        <v>160</v>
      </c>
      <c r="I92" s="1214">
        <f>YesterdayGen!BW31</f>
        <v>3880320</v>
      </c>
      <c r="J92" s="1311" t="str">
        <f>IF(EvReport!L92 = 0, " ",EvReport!L92)</f>
        <v xml:space="preserve"> </v>
      </c>
      <c r="K92" s="211"/>
    </row>
    <row r="93" spans="2:11" ht="16.5" customHeight="1">
      <c r="B93" s="1202">
        <v>75</v>
      </c>
      <c r="C93" s="1242" t="str">
        <f>Master!BU3</f>
        <v xml:space="preserve">Jangalia 33MW PP (Summit) </v>
      </c>
      <c r="D93" s="1207" t="str">
        <f>VLOOKUP(C93,Forecast!$C$9:$E$181,3,0)</f>
        <v>Gas</v>
      </c>
      <c r="E93" s="1211" t="str">
        <f>Master!BU4</f>
        <v>SIPP, PDB</v>
      </c>
      <c r="F93" s="1243" t="str">
        <f>Master!BU6</f>
        <v>4*8.73</v>
      </c>
      <c r="G93" s="1205">
        <f>Master!BU8</f>
        <v>33</v>
      </c>
      <c r="H93" s="1209">
        <f>YesterdayGen!BU34</f>
        <v>33</v>
      </c>
      <c r="I93" s="1214">
        <f>YesterdayGen!BU31</f>
        <v>767300</v>
      </c>
      <c r="J93" s="1311" t="str">
        <f>IF(EvReport!L93 = 0, " ",EvReport!L93)</f>
        <v xml:space="preserve"> </v>
      </c>
      <c r="K93" s="211"/>
    </row>
    <row r="94" spans="2:11" ht="16.5" customHeight="1">
      <c r="B94" s="1202">
        <v>76</v>
      </c>
      <c r="C94" s="1242" t="str">
        <f>Master!BR3</f>
        <v>Jangalia 52 MW PP (Lakdanavi)</v>
      </c>
      <c r="D94" s="1207" t="str">
        <f>VLOOKUP(C94,Forecast!$C$9:$E$181,3,0)</f>
        <v>HFO</v>
      </c>
      <c r="E94" s="1221" t="str">
        <f>Master!BR4</f>
        <v>IPP</v>
      </c>
      <c r="F94" s="1243" t="str">
        <f>Master!BR6</f>
        <v>6*8.92</v>
      </c>
      <c r="G94" s="1205">
        <f>Master!BR8</f>
        <v>52</v>
      </c>
      <c r="H94" s="1209">
        <f>YesterdayGen!BR34</f>
        <v>43</v>
      </c>
      <c r="I94" s="1214">
        <f>YesterdayGen!BR31</f>
        <v>422918</v>
      </c>
      <c r="J94" s="1311" t="str">
        <f>IF(EvReport!L94 = 0, " ",EvReport!L94)</f>
        <v>Fuel shortage</v>
      </c>
      <c r="K94" s="211"/>
    </row>
    <row r="95" spans="2:11" ht="16.5" customHeight="1">
      <c r="B95" s="1202">
        <v>77</v>
      </c>
      <c r="C95" s="1250" t="str">
        <f>Master!BV3</f>
        <v>Cumilla 25 MW PP (Summit)</v>
      </c>
      <c r="D95" s="1207" t="str">
        <f>VLOOKUP(C95,Forecast!$C$9:$E$181,3,0)</f>
        <v>Gas</v>
      </c>
      <c r="E95" s="1228" t="str">
        <f>Master!BV4</f>
        <v>SIPP, REB</v>
      </c>
      <c r="F95" s="1244" t="str">
        <f>Master!BV6</f>
        <v>3*3.67+2*6.97</v>
      </c>
      <c r="G95" s="1228">
        <f>Master!BV8</f>
        <v>25</v>
      </c>
      <c r="H95" s="1232">
        <f>YesterdayGen!BV34</f>
        <v>20</v>
      </c>
      <c r="I95" s="1229">
        <f>YesterdayGen!BV31</f>
        <v>487130</v>
      </c>
      <c r="J95" s="1311" t="str">
        <f>IF(EvReport!L95 = 0, " ",EvReport!L95)</f>
        <v>Engine problem</v>
      </c>
      <c r="K95" s="211"/>
    </row>
    <row r="96" spans="2:11" ht="16.5" customHeight="1">
      <c r="B96" s="1202">
        <v>78</v>
      </c>
      <c r="C96" s="2935" t="str">
        <f>Master!CR3</f>
        <v>Daudkandi 200 MW PP (B.Trac)</v>
      </c>
      <c r="D96" s="1207" t="str">
        <f>VLOOKUP(C96,Forecast!$C$9:$E$181,3,0)</f>
        <v>HSD</v>
      </c>
      <c r="E96" s="2929" t="str">
        <f>Master!CR4</f>
        <v>IPP</v>
      </c>
      <c r="F96" s="2939" t="str">
        <f>Master!CR6</f>
        <v>154*1.4</v>
      </c>
      <c r="G96" s="2929">
        <f>Master!CR8</f>
        <v>200</v>
      </c>
      <c r="H96" s="2938">
        <f>YesterdayGen!CR34</f>
        <v>195</v>
      </c>
      <c r="I96" s="2937">
        <f>YesterdayGen!CR31</f>
        <v>1072896</v>
      </c>
      <c r="J96" s="2926" t="str">
        <f>IF(EvReport!L96= 0, " ",EvReport!L96)</f>
        <v xml:space="preserve"> </v>
      </c>
      <c r="K96" s="211"/>
    </row>
    <row r="97" spans="2:11" ht="16.5" customHeight="1">
      <c r="B97" s="2936">
        <v>79</v>
      </c>
      <c r="C97" s="2935" t="str">
        <f>Master!DK3</f>
        <v>Feni Lanka Power</v>
      </c>
      <c r="D97" s="1207" t="str">
        <f>VLOOKUP(C97,Forecast!$C$9:$E$181,3,0)</f>
        <v>HFO</v>
      </c>
      <c r="E97" s="2710" t="str">
        <f>Master!DK4</f>
        <v>IPP</v>
      </c>
      <c r="F97" s="2934" t="str">
        <f>Master!DK6</f>
        <v>7*18.415+1*9.78</v>
      </c>
      <c r="G97" s="2710">
        <f>Master!DK8</f>
        <v>114</v>
      </c>
      <c r="H97" s="2933">
        <f>YesterdayGen!DK34</f>
        <v>114</v>
      </c>
      <c r="I97" s="2932">
        <f>YesterdayGen!DK31</f>
        <v>1089840</v>
      </c>
      <c r="J97" s="2931" t="str">
        <f>IF(EvReport!L97= 0, " ",EvReport!L97)</f>
        <v xml:space="preserve"> </v>
      </c>
      <c r="K97" s="211"/>
    </row>
    <row r="98" spans="2:11" ht="16.5" customHeight="1">
      <c r="B98" s="2929">
        <v>80</v>
      </c>
      <c r="C98" s="2930" t="str">
        <f>Master!DL3</f>
        <v>Chowmuhani 113 MW</v>
      </c>
      <c r="D98" s="1207" t="str">
        <f>VLOOKUP(C98,Forecast!$C$9:$E$181,3,0)</f>
        <v>HFO</v>
      </c>
      <c r="E98" s="2929" t="str">
        <f>Master!DL4</f>
        <v>IPP</v>
      </c>
      <c r="F98" s="2929" t="str">
        <f>Master!DL6</f>
        <v>12*9.78+2*3.1</v>
      </c>
      <c r="G98" s="2929">
        <f>Master!DL8</f>
        <v>113</v>
      </c>
      <c r="H98" s="2928">
        <f>YesterdayGen!DL34</f>
        <v>115</v>
      </c>
      <c r="I98" s="2927">
        <f>YesterdayGen!DL31</f>
        <v>1700160</v>
      </c>
      <c r="J98" s="2926" t="str">
        <f>IF(EvReport!L98= 0, " ",EvReport!L98)</f>
        <v xml:space="preserve"> </v>
      </c>
      <c r="K98" s="211"/>
    </row>
    <row r="99" spans="2:11" ht="16.5" customHeight="1" thickBot="1">
      <c r="B99" s="2924">
        <v>81</v>
      </c>
      <c r="C99" s="2925" t="str">
        <f>Master!DT3</f>
        <v>Bhairob 54.5 MW</v>
      </c>
      <c r="D99" s="1207" t="str">
        <f>VLOOKUP(C99,Forecast!$C$9:$E$181,3,0)</f>
        <v>HFO</v>
      </c>
      <c r="E99" s="2924" t="str">
        <f>Master!DT4</f>
        <v>IPP</v>
      </c>
      <c r="F99" s="2924" t="str">
        <f>Master!DT6</f>
        <v>3*18.2</v>
      </c>
      <c r="G99" s="2924">
        <f>Master!DT8</f>
        <v>54</v>
      </c>
      <c r="H99" s="2923">
        <f>YesterdayGen!DT34</f>
        <v>6</v>
      </c>
      <c r="I99" s="2922">
        <f>YesterdayGen!DT31</f>
        <v>849960</v>
      </c>
      <c r="J99" s="2921" t="str">
        <f>IF(EvReport!L99= 0, " ",EvReport!L99)</f>
        <v>33 kV feeder problem.</v>
      </c>
      <c r="K99" s="211"/>
    </row>
    <row r="100" spans="2:11" ht="16.5" customHeight="1" thickBot="1">
      <c r="B100" s="1706">
        <v>82</v>
      </c>
      <c r="C100" s="3016" t="str">
        <f>Master!DV3</f>
        <v xml:space="preserve">Chandpur 115(Doreen) </v>
      </c>
      <c r="D100" s="1207" t="str">
        <f>VLOOKUP(C100,Forecast!$C$9:$E$181,3,0)</f>
        <v>HFO</v>
      </c>
      <c r="E100" s="3115" t="str">
        <f>Master!DV4</f>
        <v>IPP</v>
      </c>
      <c r="F100" s="3116" t="str">
        <f>Master!DV6</f>
        <v>4*18.5+2*22.5</v>
      </c>
      <c r="G100" s="1706">
        <f>Master!DV8</f>
        <v>115</v>
      </c>
      <c r="H100" s="3018">
        <f>YesterdayGen!DV34</f>
        <v>75</v>
      </c>
      <c r="I100" s="3019">
        <f>YesterdayGen!DV31</f>
        <v>1683840</v>
      </c>
      <c r="J100" s="1462" t="str">
        <f>IF(EvReport!L100= 0, " ",EvReport!L100)</f>
        <v>Fuel shortage</v>
      </c>
      <c r="K100" s="211"/>
    </row>
    <row r="101" spans="2:11" ht="16.5" customHeight="1" thickBot="1">
      <c r="B101" s="2709"/>
      <c r="C101" s="1234" t="s">
        <v>860</v>
      </c>
      <c r="D101" s="1207">
        <f>VLOOKUP(C101,Forecast!$C$9:$E$181,3,0)</f>
        <v>0</v>
      </c>
      <c r="E101" s="1235"/>
      <c r="F101" s="1251"/>
      <c r="G101" s="1236">
        <f>SUM(G75:G100)</f>
        <v>3169</v>
      </c>
      <c r="H101" s="1236">
        <f>SUM(H75:H100)</f>
        <v>2086</v>
      </c>
      <c r="I101" s="1236">
        <f>SUM(I75:I100)</f>
        <v>43853462</v>
      </c>
      <c r="J101" s="1237" t="str">
        <f>IF(EvReport!L101 = 0, " ",EvReport!L101)</f>
        <v xml:space="preserve"> </v>
      </c>
      <c r="K101" s="211"/>
    </row>
    <row r="102" spans="2:11" ht="16.5" customHeight="1">
      <c r="B102" s="1202">
        <v>83</v>
      </c>
      <c r="C102" s="1238" t="str">
        <f>Master!BX3</f>
        <v>RPCL 210MW CCPP</v>
      </c>
      <c r="D102" s="1207" t="str">
        <f>VLOOKUP(C102,Forecast!$C$9:$E$181,3,0)</f>
        <v>Gas</v>
      </c>
      <c r="E102" s="1202" t="str">
        <f>Master!BX4</f>
        <v>IPP</v>
      </c>
      <c r="F102" s="1202" t="str">
        <f>Master!BX6</f>
        <v>4*35+1*70</v>
      </c>
      <c r="G102" s="1202">
        <f>Master!BX8</f>
        <v>202</v>
      </c>
      <c r="H102" s="1203">
        <f>YesterdayGen!BX34</f>
        <v>100</v>
      </c>
      <c r="I102" s="1252">
        <f>YesterdayGen!BX31</f>
        <v>2149440</v>
      </c>
      <c r="J102" s="1310" t="str">
        <f>IF(EvReport!L102 = 0, " ",EvReport!L102)</f>
        <v>Gas shortage</v>
      </c>
      <c r="K102" s="211"/>
    </row>
    <row r="103" spans="2:11" ht="16.5" customHeight="1">
      <c r="B103" s="1202">
        <v>84</v>
      </c>
      <c r="C103" s="1242" t="str">
        <f>Master!BZ3</f>
        <v>Tangail  22 MW PP (Doreen)</v>
      </c>
      <c r="D103" s="1207" t="str">
        <f>VLOOKUP(C103,Forecast!$C$9:$E$181,3,0)</f>
        <v>Gas</v>
      </c>
      <c r="E103" s="1225" t="str">
        <f>Master!BZ4</f>
        <v>SIPP, PDB</v>
      </c>
      <c r="F103" s="1225" t="str">
        <f>Master!BZ6</f>
        <v>8*2.90</v>
      </c>
      <c r="G103" s="1228">
        <f>Master!BZ8</f>
        <v>22</v>
      </c>
      <c r="H103" s="1232">
        <f>YesterdayGen!BZ34</f>
        <v>20</v>
      </c>
      <c r="I103" s="1229">
        <f>YesterdayGen!BZ31</f>
        <v>441756</v>
      </c>
      <c r="J103" s="1311" t="str">
        <f>IF(EvReport!L103 = 0, " ",EvReport!L103)</f>
        <v xml:space="preserve"> </v>
      </c>
      <c r="K103" s="211"/>
    </row>
    <row r="104" spans="2:11" ht="16.5" customHeight="1">
      <c r="B104" s="1202">
        <v>85</v>
      </c>
      <c r="C104" s="1241" t="str">
        <f>Master!BY3</f>
        <v>Jamalpur 95 MW PP(Powerpac)</v>
      </c>
      <c r="D104" s="1207" t="str">
        <f>VLOOKUP(C104,Forecast!$C$9:$E$181,3,0)</f>
        <v>HFO</v>
      </c>
      <c r="E104" s="1253" t="str">
        <f>Master!BY4</f>
        <v>IPP</v>
      </c>
      <c r="F104" s="1225" t="str">
        <f>Master!BY6</f>
        <v>12*8.924</v>
      </c>
      <c r="G104" s="1228">
        <f>Master!BY8</f>
        <v>0</v>
      </c>
      <c r="H104" s="1232">
        <f>YesterdayGen!BY34</f>
        <v>0</v>
      </c>
      <c r="I104" s="1229">
        <f>YesterdayGen!BY31</f>
        <v>0</v>
      </c>
      <c r="J104" s="1311" t="str">
        <f>IF(EvReport!L104 = 0, " ",EvReport!L104)</f>
        <v>Under maint.</v>
      </c>
      <c r="K104" s="211"/>
    </row>
    <row r="105" spans="2:11" ht="16.5" customHeight="1">
      <c r="B105" s="1202">
        <v>86</v>
      </c>
      <c r="C105" s="1250" t="str">
        <f>Master!CA3</f>
        <v>Sarishabari 3 MW Solar Plant</v>
      </c>
      <c r="D105" s="1207" t="str">
        <f>VLOOKUP(C105,Forecast!$C$9:$E$181,3,0)</f>
        <v>Solar</v>
      </c>
      <c r="E105" s="1254" t="str">
        <f>Master!CA4</f>
        <v>IPP</v>
      </c>
      <c r="F105" s="1254" t="str">
        <f>Master!CA6</f>
        <v>1*3</v>
      </c>
      <c r="G105" s="1255">
        <f>Master!CA8</f>
        <v>3</v>
      </c>
      <c r="H105" s="1256">
        <f>YesterdayGen!CA34</f>
        <v>0</v>
      </c>
      <c r="I105" s="1257">
        <f>YesterdayGen!CA31</f>
        <v>16000</v>
      </c>
      <c r="J105" s="2926" t="str">
        <f>IF(EvReport!L105 = 0, " ",EvReport!L105)</f>
        <v xml:space="preserve"> </v>
      </c>
      <c r="K105" s="211"/>
    </row>
    <row r="106" spans="2:11" ht="16.5" customHeight="1">
      <c r="B106" s="2940">
        <v>87</v>
      </c>
      <c r="C106" s="2935" t="str">
        <f>Master!CV3</f>
        <v xml:space="preserve"> Mymensingh 200 MW PP (United)</v>
      </c>
      <c r="D106" s="1207" t="str">
        <f>VLOOKUP(C106,Forecast!$C$9:$E$181,3,0)</f>
        <v>HFO</v>
      </c>
      <c r="E106" s="1630" t="str">
        <f>Master!CV4</f>
        <v>IPP</v>
      </c>
      <c r="F106" s="2944" t="str">
        <f>Master!CV6</f>
        <v>9.78*21</v>
      </c>
      <c r="G106" s="1624">
        <f>Master!CV8</f>
        <v>200</v>
      </c>
      <c r="H106" s="2938">
        <f>YesterdayGen!CV34</f>
        <v>154</v>
      </c>
      <c r="I106" s="2937">
        <f>YesterdayGen!CV31</f>
        <v>1812000</v>
      </c>
      <c r="J106" s="1625" t="str">
        <f>IF(EvReport!L106 = 0, " ",EvReport!L106)</f>
        <v>Engine problem</v>
      </c>
      <c r="K106" s="211"/>
    </row>
    <row r="107" spans="2:11" ht="16.5" customHeight="1">
      <c r="B107" s="2936">
        <v>88</v>
      </c>
      <c r="C107" s="2935" t="str">
        <f>Master!DD3</f>
        <v>Jamalpur 115 MW PP (United)</v>
      </c>
      <c r="D107" s="1207" t="str">
        <f>VLOOKUP(C107,Forecast!$C$9:$E$181,3,0)</f>
        <v>HFO</v>
      </c>
      <c r="E107" s="1628" t="str">
        <f>Master!DD4</f>
        <v>IPP</v>
      </c>
      <c r="F107" s="2946" t="str">
        <f>Master!DD6</f>
        <v>9.78*12</v>
      </c>
      <c r="G107" s="1629">
        <f>Master!DD8</f>
        <v>115</v>
      </c>
      <c r="H107" s="2933">
        <f>YesterdayGen!DD34</f>
        <v>106</v>
      </c>
      <c r="I107" s="2932">
        <f>YesterdayGen!DD31</f>
        <v>1368000</v>
      </c>
      <c r="J107" s="2926" t="str">
        <f>IF(EvReport!L107 = 0, " ",EvReport!L107)</f>
        <v>Engine problem</v>
      </c>
      <c r="K107" s="211"/>
    </row>
    <row r="108" spans="2:11" ht="16.5" customHeight="1">
      <c r="B108" s="2929">
        <v>89</v>
      </c>
      <c r="C108" s="2930" t="str">
        <f>Master!DP3</f>
        <v>Sutiakhali 50 MW Solar PP</v>
      </c>
      <c r="D108" s="1207" t="str">
        <f>VLOOKUP(C108,Forecast!$C$9:$E$181,3,0)</f>
        <v>Solar</v>
      </c>
      <c r="E108" s="2943" t="str">
        <f>Master!DP4</f>
        <v>IPP</v>
      </c>
      <c r="F108" s="2943">
        <f>Master!DP6</f>
        <v>50</v>
      </c>
      <c r="G108" s="2929">
        <f>Master!DP8</f>
        <v>50</v>
      </c>
      <c r="H108" s="2928">
        <f>YesterdayGen!DP34</f>
        <v>0</v>
      </c>
      <c r="I108" s="2927">
        <f>YesterdayGen!DP31</f>
        <v>400130</v>
      </c>
      <c r="J108" s="2926" t="str">
        <f>IF(EvReport!L108 = 0, " ",EvReport!L108)</f>
        <v xml:space="preserve"> </v>
      </c>
      <c r="K108" s="211"/>
    </row>
    <row r="109" spans="2:11" ht="16.5" customHeight="1" thickBot="1">
      <c r="B109" s="2924">
        <v>90</v>
      </c>
      <c r="C109" s="2925" t="str">
        <f>Master!AV3</f>
        <v>Tangail Palli Power Gen 22 MW</v>
      </c>
      <c r="D109" s="1207" t="str">
        <f>VLOOKUP(C109,Forecast!$C$9:$E$181,3,0)</f>
        <v>HFO</v>
      </c>
      <c r="E109" s="2949" t="str">
        <f>Master!AV4</f>
        <v>IPP</v>
      </c>
      <c r="F109" s="2949" t="str">
        <f>Master!AV6</f>
        <v>4*6.7</v>
      </c>
      <c r="G109" s="2924">
        <f>Master!AV8</f>
        <v>22</v>
      </c>
      <c r="H109" s="2923">
        <f>YesterdayGen!AV34</f>
        <v>6</v>
      </c>
      <c r="I109" s="2922">
        <f>YesterdayGen!AV31</f>
        <v>37680</v>
      </c>
      <c r="J109" s="2926" t="str">
        <f>IF(EvReport!L109 = 0, " ",EvReport!L109)</f>
        <v>Engine problem</v>
      </c>
      <c r="K109" s="211"/>
    </row>
    <row r="110" spans="2:11" ht="16.5" customHeight="1" thickBot="1">
      <c r="B110" s="1233"/>
      <c r="C110" s="1234" t="s">
        <v>122</v>
      </c>
      <c r="D110" s="1207">
        <f>VLOOKUP(C110,Forecast!$C$9:$E$181,3,0)</f>
        <v>0</v>
      </c>
      <c r="E110" s="1235"/>
      <c r="F110" s="1251"/>
      <c r="G110" s="1236">
        <f>SUM(G102:G109)</f>
        <v>614</v>
      </c>
      <c r="H110" s="1236">
        <f>SUM(H102:H109)</f>
        <v>386</v>
      </c>
      <c r="I110" s="1236">
        <f>SUM(I102:I109)</f>
        <v>6225006</v>
      </c>
      <c r="J110" s="1237" t="s">
        <v>18</v>
      </c>
      <c r="K110" s="211"/>
    </row>
    <row r="111" spans="2:11" ht="16.5" customHeight="1">
      <c r="B111" s="1202">
        <v>91</v>
      </c>
      <c r="C111" s="1238" t="str">
        <f>Master!CB3</f>
        <v>Fenchugonj CCPP Phase-1</v>
      </c>
      <c r="D111" s="1207" t="str">
        <f>VLOOKUP(C111,Forecast!$C$9:$E$181,3,0)</f>
        <v>Gas</v>
      </c>
      <c r="E111" s="1239" t="str">
        <f>Master!CB4</f>
        <v>PDB</v>
      </c>
      <c r="F111" s="1247" t="str">
        <f>Master!CB6</f>
        <v>2*32+1*33</v>
      </c>
      <c r="G111" s="1202">
        <f>Master!CB8</f>
        <v>70</v>
      </c>
      <c r="H111" s="1203">
        <f>YesterdayGen!CB34</f>
        <v>44</v>
      </c>
      <c r="I111" s="1252">
        <f>YesterdayGen!CB31</f>
        <v>1015000</v>
      </c>
      <c r="J111" s="1310" t="str">
        <f>IF(EvReport!L111 = 0, " ",EvReport!L111)</f>
        <v>Machine problem</v>
      </c>
      <c r="K111" s="211"/>
    </row>
    <row r="112" spans="2:11" ht="15.75" customHeight="1">
      <c r="B112" s="1202">
        <v>92</v>
      </c>
      <c r="C112" s="1241" t="str">
        <f>Master!CC3</f>
        <v>Fenchugonj CCPP Phase-2</v>
      </c>
      <c r="D112" s="1207" t="str">
        <f>VLOOKUP(C112,Forecast!$C$9:$E$181,3,0)</f>
        <v>Gas</v>
      </c>
      <c r="E112" s="1211" t="str">
        <f>Master!CC4</f>
        <v>PDB</v>
      </c>
      <c r="F112" s="1248" t="str">
        <f>Master!CC6</f>
        <v>2*35+1*35</v>
      </c>
      <c r="G112" s="1205">
        <f>Master!CC8</f>
        <v>90</v>
      </c>
      <c r="H112" s="1203">
        <f>YesterdayGen!CC34</f>
        <v>41</v>
      </c>
      <c r="I112" s="1214">
        <f>YesterdayGen!CC31</f>
        <v>967424</v>
      </c>
      <c r="J112" s="1311" t="str">
        <f>IF(EvReport!L112 = 0, " ",EvReport!L112)</f>
        <v>Machine problem</v>
      </c>
      <c r="K112" s="211"/>
    </row>
    <row r="113" spans="2:11" ht="15.75" customHeight="1">
      <c r="B113" s="1202">
        <v>93</v>
      </c>
      <c r="C113" s="1241" t="str">
        <f>Master!CF3</f>
        <v>Kushiara 163 MW CCPP (KP)</v>
      </c>
      <c r="D113" s="1207" t="str">
        <f>VLOOKUP(C113,Forecast!$C$9:$E$181,3,0)</f>
        <v>Gas</v>
      </c>
      <c r="E113" s="1211" t="str">
        <f>Master!CF4</f>
        <v>IPP</v>
      </c>
      <c r="F113" s="1248" t="str">
        <f>Master!CF6</f>
        <v>1*109+1*54</v>
      </c>
      <c r="G113" s="1205">
        <f>Master!CF8</f>
        <v>163</v>
      </c>
      <c r="H113" s="1203">
        <f>YesterdayGen!CF34</f>
        <v>110</v>
      </c>
      <c r="I113" s="1214">
        <f>YesterdayGen!CF31</f>
        <v>2542336</v>
      </c>
      <c r="J113" s="1311" t="str">
        <f>IF(EvReport!L113 = 0, " ",EvReport!L113)</f>
        <v>ST under maint.</v>
      </c>
      <c r="K113" s="211"/>
    </row>
    <row r="114" spans="2:11" ht="15.75" customHeight="1">
      <c r="B114" s="1202">
        <v>94</v>
      </c>
      <c r="C114" s="1241" t="str">
        <f>Master!CG3</f>
        <v>Shajibazar 330 MW CCPP</v>
      </c>
      <c r="D114" s="1207" t="str">
        <f>VLOOKUP(C114,Forecast!$C$9:$E$181,3,0)</f>
        <v>Gas</v>
      </c>
      <c r="E114" s="1211" t="str">
        <f>Master!CG4</f>
        <v>PDB</v>
      </c>
      <c r="F114" s="1248" t="str">
        <f>Master!CG6</f>
        <v>3*110</v>
      </c>
      <c r="G114" s="1205">
        <f>Master!CG8</f>
        <v>330</v>
      </c>
      <c r="H114" s="1203">
        <f>YesterdayGen!CG34</f>
        <v>0</v>
      </c>
      <c r="I114" s="1214">
        <f>YesterdayGen!CG31</f>
        <v>0</v>
      </c>
      <c r="J114" s="1311" t="str">
        <f>IF(EvReport!L114 = 0, " ",EvReport!L114)</f>
        <v>Under maint.</v>
      </c>
      <c r="K114" s="211"/>
    </row>
    <row r="115" spans="2:11" ht="16.5" customHeight="1">
      <c r="B115" s="1202">
        <v>95</v>
      </c>
      <c r="C115" s="1242" t="str">
        <f>Master!CD3</f>
        <v xml:space="preserve">Fenchugonj 51 MW PP  (Barakatullah) </v>
      </c>
      <c r="D115" s="1207" t="str">
        <f>VLOOKUP(C115,Forecast!$C$9:$E$181,3,0)</f>
        <v>Gas</v>
      </c>
      <c r="E115" s="1211" t="str">
        <f>Master!CD4</f>
        <v xml:space="preserve">RPP </v>
      </c>
      <c r="F115" s="1243" t="str">
        <f>Master!CD6</f>
        <v>19*2.90</v>
      </c>
      <c r="G115" s="1205">
        <f>Master!CD8</f>
        <v>51</v>
      </c>
      <c r="H115" s="1209">
        <f>YesterdayGen!CD34</f>
        <v>53</v>
      </c>
      <c r="I115" s="1214">
        <f>YesterdayGen!CD31</f>
        <v>997800</v>
      </c>
      <c r="J115" s="1311" t="str">
        <f>IF(EvReport!L115 = 0, " ",EvReport!L115)</f>
        <v xml:space="preserve"> </v>
      </c>
      <c r="K115" s="211"/>
    </row>
    <row r="116" spans="2:11" ht="16.5" customHeight="1">
      <c r="B116" s="1202"/>
      <c r="C116" s="1242" t="str">
        <f>Master!CE3</f>
        <v>Fenchuganj  44MW (Energyprima)</v>
      </c>
      <c r="D116" s="1207" t="str">
        <f>VLOOKUP(C116,Forecast!$C$9:$E$181,3,0)</f>
        <v>Gas</v>
      </c>
      <c r="E116" s="1211" t="str">
        <f>Master!CE4</f>
        <v>NENP</v>
      </c>
      <c r="F116" s="1243" t="str">
        <f>Master!CE6</f>
        <v>12*3.3+5*2</v>
      </c>
      <c r="G116" s="1205">
        <f>Master!CE8</f>
        <v>50</v>
      </c>
      <c r="H116" s="1209">
        <f>YesterdayGen!CE34</f>
        <v>48</v>
      </c>
      <c r="I116" s="1214">
        <f>YesterdayGen!CE31</f>
        <v>925488</v>
      </c>
      <c r="J116" s="1311" t="str">
        <f>IF(EvReport!L116 = 0, " ",EvReport!L116)</f>
        <v xml:space="preserve"> </v>
      </c>
      <c r="K116" s="211"/>
    </row>
    <row r="117" spans="2:11" ht="16.5" customHeight="1">
      <c r="B117" s="1202">
        <v>96</v>
      </c>
      <c r="C117" s="1242" t="str">
        <f>Master!CQ3</f>
        <v>Hobiganj  11MW PP Cofidence-E</v>
      </c>
      <c r="D117" s="1207" t="str">
        <f>VLOOKUP(C117,Forecast!$C$9:$E$181,3,0)</f>
        <v>Gas</v>
      </c>
      <c r="E117" s="1221" t="str">
        <f>Master!CQ4</f>
        <v>SIPP, REB</v>
      </c>
      <c r="F117" s="1243" t="str">
        <f>Master!CQ6</f>
        <v>4*2.90</v>
      </c>
      <c r="G117" s="1205">
        <f>Master!CQ8</f>
        <v>11</v>
      </c>
      <c r="H117" s="1209">
        <f>YesterdayGen!CQ34</f>
        <v>0</v>
      </c>
      <c r="I117" s="1214">
        <f>YesterdayGen!CQ31</f>
        <v>0</v>
      </c>
      <c r="J117" s="1311" t="str">
        <f>IF(EvReport!L117 = 0, " ",EvReport!L117)</f>
        <v xml:space="preserve"> </v>
      </c>
      <c r="K117" s="211"/>
    </row>
    <row r="118" spans="2:11" ht="16.5" customHeight="1">
      <c r="B118" s="1202">
        <v>97</v>
      </c>
      <c r="C118" s="1241" t="str">
        <f>Master!CH3</f>
        <v xml:space="preserve">Shahjibazar GTPP Unit- 8 &amp; 9 </v>
      </c>
      <c r="D118" s="1207" t="str">
        <f>VLOOKUP(C118,Forecast!$C$9:$E$181,3,0)</f>
        <v>Gas</v>
      </c>
      <c r="E118" s="1211" t="str">
        <f>Master!CH4</f>
        <v>PDB</v>
      </c>
      <c r="F118" s="1248" t="str">
        <f>Master!CH6</f>
        <v>2*35</v>
      </c>
      <c r="G118" s="1216">
        <f>Master!CH8</f>
        <v>66</v>
      </c>
      <c r="H118" s="1209">
        <f>YesterdayGen!CH34</f>
        <v>56</v>
      </c>
      <c r="I118" s="1210">
        <f>YesterdayGen!CH31</f>
        <v>1423008</v>
      </c>
      <c r="J118" s="1311" t="str">
        <f>IF(EvReport!L118 = 0, " ",EvReport!L118)</f>
        <v xml:space="preserve"> </v>
      </c>
      <c r="K118" s="211"/>
    </row>
    <row r="119" spans="2:11" ht="16.5" customHeight="1">
      <c r="B119" s="1202">
        <v>98</v>
      </c>
      <c r="C119" s="1241" t="str">
        <f>Master!CI3</f>
        <v>Shahjibazar 86MW PP (Shahjibazar)</v>
      </c>
      <c r="D119" s="1207" t="str">
        <f>VLOOKUP(C119,Forecast!$C$9:$E$181,3,0)</f>
        <v>Gas</v>
      </c>
      <c r="E119" s="1211" t="str">
        <f>Master!CI4</f>
        <v xml:space="preserve">RPP </v>
      </c>
      <c r="F119" s="1248" t="str">
        <f>Master!CI6</f>
        <v>32*2.90</v>
      </c>
      <c r="G119" s="1216">
        <f>Master!CI8</f>
        <v>86</v>
      </c>
      <c r="H119" s="1209">
        <f>YesterdayGen!CI34</f>
        <v>81</v>
      </c>
      <c r="I119" s="1214">
        <f>YesterdayGen!CI31</f>
        <v>857280</v>
      </c>
      <c r="J119" s="1311" t="str">
        <f>IF(EvReport!L119 = 0, " ",EvReport!L119)</f>
        <v>Engine problem</v>
      </c>
      <c r="K119" s="211"/>
    </row>
    <row r="120" spans="2:11" ht="16.5" customHeight="1">
      <c r="B120" s="2671">
        <v>99</v>
      </c>
      <c r="C120" s="2672" t="str">
        <f>Master!DS3</f>
        <v>Shahjibazar 100 MW GTPP</v>
      </c>
      <c r="D120" s="1207" t="str">
        <f>VLOOKUP(C120,Forecast!$C$9:$E$181,3,0)</f>
        <v>Gas</v>
      </c>
      <c r="E120" s="2673" t="str">
        <f>Master!DS4</f>
        <v>PDB</v>
      </c>
      <c r="F120" s="2674" t="str">
        <f>Master!DS6</f>
        <v>1*100</v>
      </c>
      <c r="G120" s="2675">
        <f>Master!DS8</f>
        <v>100</v>
      </c>
      <c r="H120" s="2676">
        <f>YesterdayGen!DS34</f>
        <v>0</v>
      </c>
      <c r="I120" s="2677">
        <f>YesterdayGen!DS31</f>
        <v>0</v>
      </c>
      <c r="J120" s="2678" t="str">
        <f>IF(EvReport!L120= 0, " ",EvReport!L120)</f>
        <v>Under maint.</v>
      </c>
      <c r="K120" s="211"/>
    </row>
    <row r="121" spans="2:11" ht="16.5" customHeight="1">
      <c r="B121" s="1202">
        <v>100</v>
      </c>
      <c r="C121" s="1242" t="str">
        <f>Master!CK3</f>
        <v>Sylhet 225 MW CCPP</v>
      </c>
      <c r="D121" s="1207" t="str">
        <f>VLOOKUP(C121,Forecast!$C$9:$E$181,3,0)</f>
        <v>Gas</v>
      </c>
      <c r="E121" s="1211" t="str">
        <f>Master!CK4</f>
        <v>PDB</v>
      </c>
      <c r="F121" s="1243" t="str">
        <f>Master!CK6</f>
        <v>1*142+1*89</v>
      </c>
      <c r="G121" s="1205">
        <f>Master!CK8</f>
        <v>231</v>
      </c>
      <c r="H121" s="1209">
        <f>YesterdayGen!CK34</f>
        <v>221</v>
      </c>
      <c r="I121" s="1214">
        <f>YesterdayGen!CK31</f>
        <v>5156820</v>
      </c>
      <c r="J121" s="1311" t="str">
        <f>IF(EvReport!L121 = 0, " ",EvReport!L121)</f>
        <v xml:space="preserve"> </v>
      </c>
      <c r="K121" s="211"/>
    </row>
    <row r="122" spans="2:11" ht="16.5" customHeight="1">
      <c r="B122" s="1202">
        <v>101</v>
      </c>
      <c r="C122" s="1241" t="str">
        <f>Master!CL3</f>
        <v>Sylhet  20 MW GTPP</v>
      </c>
      <c r="D122" s="1207" t="str">
        <f>VLOOKUP(C122,Forecast!$C$9:$E$181,3,0)</f>
        <v>Gas</v>
      </c>
      <c r="E122" s="1211" t="str">
        <f>Master!CL4</f>
        <v>PDB</v>
      </c>
      <c r="F122" s="1248" t="str">
        <f>Master!CL6</f>
        <v>1*20</v>
      </c>
      <c r="G122" s="1205">
        <f>Master!CL8</f>
        <v>20</v>
      </c>
      <c r="H122" s="1209">
        <f>YesterdayGen!CL34</f>
        <v>0</v>
      </c>
      <c r="I122" s="1217">
        <f>YesterdayGen!CL31</f>
        <v>0</v>
      </c>
      <c r="J122" s="1311" t="str">
        <f>IF(EvReport!L122 = 0, " ",EvReport!L122)</f>
        <v>Gas shortage</v>
      </c>
      <c r="K122" s="211"/>
    </row>
    <row r="123" spans="2:11" ht="16.5" customHeight="1">
      <c r="B123" s="1202"/>
      <c r="C123" s="1241" t="str">
        <f>Master!CM3</f>
        <v>Sylhet  50MW PP (EPL)</v>
      </c>
      <c r="D123" s="1207" t="str">
        <f>VLOOKUP(C123,Forecast!$C$9:$E$181,3,0)</f>
        <v>Gas</v>
      </c>
      <c r="E123" s="1211" t="str">
        <f>Master!CM4</f>
        <v>NENP</v>
      </c>
      <c r="F123" s="1248" t="str">
        <f>Master!CM6</f>
        <v>27*2</v>
      </c>
      <c r="G123" s="1205">
        <f>Master!CM8</f>
        <v>50</v>
      </c>
      <c r="H123" s="1209">
        <f>YesterdayGen!CM34</f>
        <v>31</v>
      </c>
      <c r="I123" s="1214">
        <f>YesterdayGen!CM31</f>
        <v>718000</v>
      </c>
      <c r="J123" s="1311" t="str">
        <f>IF(EvReport!L123 = 0, " ",EvReport!L123)</f>
        <v>Gas shortage</v>
      </c>
      <c r="K123" s="211"/>
    </row>
    <row r="124" spans="2:11" ht="16.5" customHeight="1">
      <c r="B124" s="1202">
        <v>102</v>
      </c>
      <c r="C124" s="1241" t="str">
        <f>Master!CP3</f>
        <v>Shahjahanulla 25 MW PP</v>
      </c>
      <c r="D124" s="1207" t="str">
        <f>VLOOKUP(C124,Forecast!$C$9:$E$181,3,0)</f>
        <v>Gas</v>
      </c>
      <c r="E124" s="1231" t="str">
        <f>Master!CP4</f>
        <v>SIPP, REB</v>
      </c>
      <c r="F124" s="1243" t="str">
        <f>Master!CP6</f>
        <v>3*9.34</v>
      </c>
      <c r="G124" s="1228">
        <f>Master!CP8</f>
        <v>25</v>
      </c>
      <c r="H124" s="1232">
        <f>YesterdayGen!CP34</f>
        <v>16</v>
      </c>
      <c r="I124" s="1229">
        <f>YesterdayGen!CP31</f>
        <v>238560</v>
      </c>
      <c r="J124" s="1311" t="str">
        <f>IF(EvReport!L124 = 0, " ",EvReport!L124)</f>
        <v>Engine problem</v>
      </c>
      <c r="K124" s="211"/>
    </row>
    <row r="125" spans="2:11" ht="16.5" customHeight="1">
      <c r="B125" s="1202">
        <v>103</v>
      </c>
      <c r="C125" s="2935" t="str">
        <f>Master!CO3</f>
        <v>Bibiana-II 341 MW CCPP (Summit)</v>
      </c>
      <c r="D125" s="1207" t="str">
        <f>VLOOKUP(C125,Forecast!$C$9:$E$181,3,0)</f>
        <v>Gas</v>
      </c>
      <c r="E125" s="2929" t="str">
        <f>Master!CO4</f>
        <v>IPP</v>
      </c>
      <c r="F125" s="2944" t="str">
        <f>Master!CO6</f>
        <v>1*222+1*119</v>
      </c>
      <c r="G125" s="2929">
        <f>Master!CO8</f>
        <v>341</v>
      </c>
      <c r="H125" s="2938">
        <f>YesterdayGen!CO34</f>
        <v>275</v>
      </c>
      <c r="I125" s="2937">
        <f>YesterdayGen!CO31</f>
        <v>7541500</v>
      </c>
      <c r="J125" s="1311" t="str">
        <f>IF(EvReport!L125 = 0, " ",EvReport!L125)</f>
        <v>FGMO</v>
      </c>
      <c r="K125" s="211"/>
    </row>
    <row r="126" spans="2:11" ht="16.5" customHeight="1">
      <c r="B126" s="2936">
        <v>104</v>
      </c>
      <c r="C126" s="2935" t="str">
        <f>Master!DC3</f>
        <v>Bibiyana-III     400 MW CCPP</v>
      </c>
      <c r="D126" s="1207" t="str">
        <f>VLOOKUP(C126,Forecast!$C$9:$E$181,3,0)</f>
        <v>Gas</v>
      </c>
      <c r="E126" s="2710" t="str">
        <f>Master!DC4</f>
        <v>PDB</v>
      </c>
      <c r="F126" s="2946" t="str">
        <f>Master!DC6</f>
        <v>400 MW</v>
      </c>
      <c r="G126" s="2710">
        <f>Master!DC8</f>
        <v>400</v>
      </c>
      <c r="H126" s="2933">
        <f>YesterdayGen!DC34</f>
        <v>402</v>
      </c>
      <c r="I126" s="2932">
        <f>YesterdayGen!DC31</f>
        <v>9456000</v>
      </c>
      <c r="J126" s="1533" t="str">
        <f>IF(EvReport!L126= 0, " ",EvReport!L126)</f>
        <v xml:space="preserve"> </v>
      </c>
      <c r="K126" s="211"/>
    </row>
    <row r="127" spans="2:11" ht="16.5" customHeight="1">
      <c r="B127" s="2929">
        <v>105</v>
      </c>
      <c r="C127" s="2930" t="str">
        <f>Master!CN3</f>
        <v xml:space="preserve">Sylhet 10MW PP (Desh)  </v>
      </c>
      <c r="D127" s="1207" t="str">
        <f>VLOOKUP(C127,Forecast!$C$9:$E$181,3,0)</f>
        <v>Gas</v>
      </c>
      <c r="E127" s="2929" t="str">
        <f>Master!CN4</f>
        <v xml:space="preserve">RPP </v>
      </c>
      <c r="F127" s="2929" t="str">
        <f>Master!CN6</f>
        <v>6*1.95</v>
      </c>
      <c r="G127" s="2929">
        <f>Master!CN8</f>
        <v>10</v>
      </c>
      <c r="H127" s="2928">
        <f>YesterdayGen!CN34</f>
        <v>9</v>
      </c>
      <c r="I127" s="2927">
        <f>YesterdayGen!CN31</f>
        <v>231120</v>
      </c>
      <c r="J127" s="2926" t="str">
        <f>IF(EvReport!L127 = 0, " ",EvReport!L127)</f>
        <v xml:space="preserve"> </v>
      </c>
      <c r="K127" s="211"/>
    </row>
    <row r="128" spans="2:11" ht="16.5" customHeight="1" thickBot="1">
      <c r="B128" s="2924">
        <v>106</v>
      </c>
      <c r="C128" s="2925" t="str">
        <f>Master!DN3</f>
        <v>Bibiyana South 400 MW</v>
      </c>
      <c r="D128" s="1207" t="str">
        <f>VLOOKUP(C128,Forecast!$C$9:$E$181,3,0)</f>
        <v>Gas</v>
      </c>
      <c r="E128" s="2924" t="str">
        <f>Master!DN4</f>
        <v>PDB</v>
      </c>
      <c r="F128" s="2924" t="str">
        <f>Master!DN6</f>
        <v>400 MW</v>
      </c>
      <c r="G128" s="2924">
        <f>Master!DN8</f>
        <v>383</v>
      </c>
      <c r="H128" s="2923">
        <f>YesterdayGen!DN34</f>
        <v>0</v>
      </c>
      <c r="I128" s="2922">
        <f>YesterdayGen!DN31</f>
        <v>0</v>
      </c>
      <c r="J128" s="2921" t="str">
        <f>IF(EvReport!L128= 0, " ",EvReport!L128)</f>
        <v>Under maint.</v>
      </c>
      <c r="K128" s="211"/>
    </row>
    <row r="129" spans="2:11" ht="16.5" customHeight="1" thickBot="1">
      <c r="B129" s="1233"/>
      <c r="C129" s="1234" t="s">
        <v>41</v>
      </c>
      <c r="D129" s="1207">
        <f>VLOOKUP(C129,Forecast!$C$9:$E$181,3,0)</f>
        <v>0</v>
      </c>
      <c r="E129" s="1235"/>
      <c r="F129" s="1251"/>
      <c r="G129" s="1236">
        <f>SUM(G111:G128)</f>
        <v>2477</v>
      </c>
      <c r="H129" s="1236">
        <f>SUM(H111:H128)</f>
        <v>1387</v>
      </c>
      <c r="I129" s="1236">
        <f>SUM(I111:I128)</f>
        <v>32070336</v>
      </c>
      <c r="J129" s="1237" t="s">
        <v>18</v>
      </c>
      <c r="K129" s="211"/>
    </row>
    <row r="130" spans="2:11" ht="16.5" customHeight="1">
      <c r="B130" s="1202">
        <v>107</v>
      </c>
      <c r="C130" s="1238" t="str">
        <f>Master!EA3</f>
        <v>Bheramara GTPP Unit-3</v>
      </c>
      <c r="D130" s="1207" t="str">
        <f>VLOOKUP(C130,Forecast!$C$9:$E$181,3,0)</f>
        <v>HSD</v>
      </c>
      <c r="E130" s="1202" t="str">
        <f>Master!EA4</f>
        <v>PDB</v>
      </c>
      <c r="F130" s="1202" t="str">
        <f>Master!EA6</f>
        <v>1*20</v>
      </c>
      <c r="G130" s="1202">
        <f>Master!EA8</f>
        <v>16</v>
      </c>
      <c r="H130" s="1203">
        <f>YesterdayGen!EA34</f>
        <v>0</v>
      </c>
      <c r="I130" s="1252">
        <f>YesterdayGen!EA31</f>
        <v>0</v>
      </c>
      <c r="J130" s="1310" t="str">
        <f>IF(EvReport!L130 = 0, " ",EvReport!L130)</f>
        <v>Reserve.</v>
      </c>
      <c r="K130" s="211"/>
    </row>
    <row r="131" spans="2:11" ht="16.5" customHeight="1">
      <c r="B131" s="1202" t="s">
        <v>142</v>
      </c>
      <c r="C131" s="1259" t="str">
        <f>Master!DZ3</f>
        <v>Bheramara (HVDC )</v>
      </c>
      <c r="D131" s="1207">
        <f>VLOOKUP(C131,Forecast!$C$9:$E$181,3,0)</f>
        <v>0</v>
      </c>
      <c r="E131" s="1205" t="str">
        <f>Master!DZ4</f>
        <v>Imported power</v>
      </c>
      <c r="F131" s="1205" t="str">
        <f>Master!DZ6</f>
        <v>2*500</v>
      </c>
      <c r="G131" s="1205">
        <f>Master!DZ8</f>
        <v>1000</v>
      </c>
      <c r="H131" s="1203">
        <f>YesterdayGen!DZ34</f>
        <v>909</v>
      </c>
      <c r="I131" s="1214">
        <f>YesterdayGen!DZ31</f>
        <v>22024727</v>
      </c>
      <c r="J131" s="1311" t="str">
        <f>IF(EvReport!L131 = 0, " ",EvReport!L131)</f>
        <v xml:space="preserve"> </v>
      </c>
      <c r="K131" s="211"/>
    </row>
    <row r="132" spans="2:11" ht="16.5" customHeight="1">
      <c r="B132" s="1202">
        <v>108</v>
      </c>
      <c r="C132" s="1241" t="str">
        <f>Master!ED3</f>
        <v>Khulna 115 PP MW (KPCL-2)</v>
      </c>
      <c r="D132" s="1207" t="str">
        <f>VLOOKUP(C132,Forecast!$C$9:$E$181,3,0)</f>
        <v>HFO</v>
      </c>
      <c r="E132" s="1205" t="str">
        <f>Master!ED4</f>
        <v>NENP</v>
      </c>
      <c r="F132" s="1205" t="str">
        <f>Master!ED6</f>
        <v>7*17</v>
      </c>
      <c r="G132" s="1205">
        <f>Master!ED8</f>
        <v>115</v>
      </c>
      <c r="H132" s="1209">
        <f>YesterdayGen!ED34</f>
        <v>32</v>
      </c>
      <c r="I132" s="1214">
        <f>YesterdayGen!ED31</f>
        <v>474240</v>
      </c>
      <c r="J132" s="1311" t="str">
        <f>IF(EvReport!L132 = 0, " ",EvReport!L132)</f>
        <v>Fuel shortage</v>
      </c>
      <c r="K132" s="211"/>
    </row>
    <row r="133" spans="2:11" ht="16.5" customHeight="1">
      <c r="B133" s="1202">
        <v>109</v>
      </c>
      <c r="C133" s="1241" t="str">
        <f>Master!EH3</f>
        <v>Faridpur 50 MW Peaking PP</v>
      </c>
      <c r="D133" s="1207" t="str">
        <f>VLOOKUP(C133,Forecast!$C$9:$E$181,3,0)</f>
        <v>HFO</v>
      </c>
      <c r="E133" s="1205" t="str">
        <f>Master!EH4</f>
        <v>PDB</v>
      </c>
      <c r="F133" s="1205" t="str">
        <f>Master!EH6</f>
        <v>8*6.89</v>
      </c>
      <c r="G133" s="1205">
        <f>Master!EH8</f>
        <v>54</v>
      </c>
      <c r="H133" s="1209">
        <f>YesterdayGen!EH34</f>
        <v>38</v>
      </c>
      <c r="I133" s="1214">
        <f>YesterdayGen!EH31</f>
        <v>304800</v>
      </c>
      <c r="J133" s="1311" t="str">
        <f>IF(EvReport!L133 = 0, " ",EvReport!L133)</f>
        <v>Engine problem</v>
      </c>
      <c r="K133" s="211"/>
    </row>
    <row r="134" spans="2:11" ht="16.5" customHeight="1">
      <c r="B134" s="1202">
        <v>110</v>
      </c>
      <c r="C134" s="1241" t="str">
        <f>Master!EE3</f>
        <v>Khulna  225 MW CCPP</v>
      </c>
      <c r="D134" s="1207" t="str">
        <f>VLOOKUP(C134,Forecast!$C$9:$E$181,3,0)</f>
        <v>HSD</v>
      </c>
      <c r="E134" s="1205" t="str">
        <f>Master!EE4</f>
        <v>NWPGCL</v>
      </c>
      <c r="F134" s="1205" t="str">
        <f>Master!EE6</f>
        <v>1*150+1*75</v>
      </c>
      <c r="G134" s="1216">
        <f>Master!EE8</f>
        <v>230</v>
      </c>
      <c r="H134" s="1209">
        <f>YesterdayGen!EE34</f>
        <v>228</v>
      </c>
      <c r="I134" s="1214">
        <f>YesterdayGen!EE31</f>
        <v>5425920</v>
      </c>
      <c r="J134" s="1311" t="str">
        <f>IF(EvReport!L134 = 0, " ",EvReport!L134)</f>
        <v xml:space="preserve"> </v>
      </c>
      <c r="K134" s="211"/>
    </row>
    <row r="135" spans="2:11" ht="16.5" customHeight="1">
      <c r="B135" s="1202">
        <v>111</v>
      </c>
      <c r="C135" s="1241" t="str">
        <f>Master!EI3</f>
        <v>Gopalganj 100 MW Peaking PP</v>
      </c>
      <c r="D135" s="1207" t="str">
        <f>VLOOKUP(C135,Forecast!$C$9:$E$181,3,0)</f>
        <v>HFO</v>
      </c>
      <c r="E135" s="1205" t="str">
        <f>Master!EI4</f>
        <v>PDB</v>
      </c>
      <c r="F135" s="1205" t="str">
        <f>Master!EI6</f>
        <v>16*6.98</v>
      </c>
      <c r="G135" s="1260">
        <f>Master!EI8</f>
        <v>109</v>
      </c>
      <c r="H135" s="1209">
        <f>YesterdayGen!EI34</f>
        <v>72</v>
      </c>
      <c r="I135" s="1214">
        <f>YesterdayGen!EI31</f>
        <v>715392</v>
      </c>
      <c r="J135" s="1311" t="str">
        <f>IF(EvReport!L135 = 0, " ",EvReport!L135)</f>
        <v>Line O/L</v>
      </c>
      <c r="K135" s="211"/>
    </row>
    <row r="136" spans="2:11" ht="16.5" customHeight="1">
      <c r="B136" s="1202">
        <v>112</v>
      </c>
      <c r="C136" s="1261" t="str">
        <f>Master!EB3</f>
        <v>Bheramara 410 MW CCPP</v>
      </c>
      <c r="D136" s="1207" t="str">
        <f>VLOOKUP(C136,Forecast!$C$9:$E$181,3,0)</f>
        <v>Gas</v>
      </c>
      <c r="E136" s="1205" t="str">
        <f>Master!EB4</f>
        <v>NWPGCL</v>
      </c>
      <c r="F136" s="1205" t="str">
        <f>Master!EB6</f>
        <v>1*278+1*132</v>
      </c>
      <c r="G136" s="1216">
        <f>Master!EB8</f>
        <v>410</v>
      </c>
      <c r="H136" s="1209">
        <f>YesterdayGen!EB34</f>
        <v>150</v>
      </c>
      <c r="I136" s="1214">
        <f>YesterdayGen!EB31</f>
        <v>3726432</v>
      </c>
      <c r="J136" s="1311" t="str">
        <f>IF(EvReport!L136 = 0, " ",EvReport!L136)</f>
        <v>Gas shortage.</v>
      </c>
      <c r="K136" s="211"/>
    </row>
    <row r="137" spans="2:11" ht="16.5" customHeight="1">
      <c r="B137" s="1202"/>
      <c r="C137" s="2935" t="str">
        <f>Master!EJ3</f>
        <v>Noapara 40 MW PP (Khanjahan Ali)</v>
      </c>
      <c r="D137" s="1207" t="str">
        <f>VLOOKUP(C137,Forecast!$C$9:$E$181,3,0)</f>
        <v>HFO</v>
      </c>
      <c r="E137" s="2929" t="str">
        <f>Master!EJ4</f>
        <v>NENP</v>
      </c>
      <c r="F137" s="2939" t="str">
        <f>Master!EJ6</f>
        <v>5*8.5</v>
      </c>
      <c r="G137" s="2950">
        <f>Master!EJ8</f>
        <v>40</v>
      </c>
      <c r="H137" s="2938">
        <f>YesterdayGen!EJ34</f>
        <v>8</v>
      </c>
      <c r="I137" s="2937">
        <f>YesterdayGen!EJ31</f>
        <v>118500</v>
      </c>
      <c r="J137" s="1311" t="str">
        <f>IF(EvReport!L137 = 0, " ",EvReport!L137)</f>
        <v>Fuel shortage</v>
      </c>
      <c r="K137" s="211"/>
    </row>
    <row r="138" spans="2:11" ht="16.5" customHeight="1">
      <c r="B138" s="2936">
        <v>113</v>
      </c>
      <c r="C138" s="2935" t="str">
        <f>Master!FL3</f>
        <v xml:space="preserve"> Noapara 100 MW PP (Bangla Trac)</v>
      </c>
      <c r="D138" s="1207" t="str">
        <f>VLOOKUP(C138,Forecast!$C$9:$E$181,3,0)</f>
        <v>HSD</v>
      </c>
      <c r="E138" s="2710" t="str">
        <f>Master!FL4</f>
        <v>IPP</v>
      </c>
      <c r="F138" s="2934" t="str">
        <f>Master!FL6</f>
        <v>70*1.4</v>
      </c>
      <c r="G138" s="2951">
        <f>Master!FL8</f>
        <v>100</v>
      </c>
      <c r="H138" s="2933">
        <f>YesterdayGen!FL34</f>
        <v>96</v>
      </c>
      <c r="I138" s="2932">
        <f>YesterdayGen!FL31</f>
        <v>578880</v>
      </c>
      <c r="J138" s="2931" t="str">
        <f>IF(EvReport!L138= 0, " ",EvReport!L138)</f>
        <v xml:space="preserve"> </v>
      </c>
      <c r="K138" s="211"/>
    </row>
    <row r="139" spans="2:11" ht="16.5" customHeight="1">
      <c r="B139" s="2929">
        <v>114</v>
      </c>
      <c r="C139" s="2930" t="str">
        <f>Master!FP3</f>
        <v>Rupsha 105 MW PP (Orion rupsha)</v>
      </c>
      <c r="D139" s="1207" t="str">
        <f>VLOOKUP(C139,Forecast!$C$9:$E$181,3,0)</f>
        <v>HFO</v>
      </c>
      <c r="E139" s="2929" t="str">
        <f>Master!FP4</f>
        <v>IPP</v>
      </c>
      <c r="F139" s="2929" t="str">
        <f>Master!FP6</f>
        <v>6*18.445</v>
      </c>
      <c r="G139" s="2950">
        <f>Master!FP8</f>
        <v>105</v>
      </c>
      <c r="H139" s="2928">
        <f>YesterdayGen!FP34</f>
        <v>53</v>
      </c>
      <c r="I139" s="2927">
        <f>YesterdayGen!FP31</f>
        <v>360960</v>
      </c>
      <c r="J139" s="2926" t="str">
        <f>IF(EvReport!L139= 0, " ",EvReport!L139)</f>
        <v>Fuel shortage</v>
      </c>
      <c r="K139" s="211"/>
    </row>
    <row r="140" spans="2:11" ht="16.5" customHeight="1" thickBot="1">
      <c r="B140" s="2924">
        <v>115</v>
      </c>
      <c r="C140" s="2925" t="str">
        <f>Master!FS3</f>
        <v>Madhumati 100 MW PP</v>
      </c>
      <c r="D140" s="1207" t="str">
        <f>VLOOKUP(C140,Forecast!$C$9:$E$181,3,0)</f>
        <v>HFO</v>
      </c>
      <c r="E140" s="2924" t="str">
        <f>Master!FS4</f>
        <v>NWPGCL</v>
      </c>
      <c r="F140" s="2924" t="str">
        <f>Master!FS6</f>
        <v>6*18</v>
      </c>
      <c r="G140" s="2952">
        <f>Master!FS8</f>
        <v>105</v>
      </c>
      <c r="H140" s="2923">
        <f>YesterdayGen!FS34</f>
        <v>105</v>
      </c>
      <c r="I140" s="2922">
        <f>YesterdayGen!FS31</f>
        <v>2308032</v>
      </c>
      <c r="J140" s="2921" t="str">
        <f>IF(EvReport!L140= 0, " ",EvReport!L140)</f>
        <v xml:space="preserve"> </v>
      </c>
      <c r="K140" s="211"/>
    </row>
    <row r="141" spans="2:11" ht="16.5" customHeight="1" thickBot="1">
      <c r="B141" s="3145">
        <v>116</v>
      </c>
      <c r="C141" s="3146" t="str">
        <f>Master!GC3</f>
        <v>Mongla Orion 100 MW Solar PP</v>
      </c>
      <c r="D141" s="1207" t="str">
        <f>VLOOKUP(C141,Forecast!$C$9:$E$181,3,0)</f>
        <v>Solar</v>
      </c>
      <c r="E141" s="3145" t="str">
        <f>Master!GC4</f>
        <v>IPP</v>
      </c>
      <c r="F141" s="3140">
        <f>Master!GC6</f>
        <v>100</v>
      </c>
      <c r="G141" s="3141">
        <f>Master!GC8</f>
        <v>100</v>
      </c>
      <c r="H141" s="3142">
        <f>YesterdayGen!GC34</f>
        <v>0</v>
      </c>
      <c r="I141" s="3143">
        <f>YesterdayGen!GC31</f>
        <v>636480</v>
      </c>
      <c r="J141" s="3144" t="str">
        <f>IF(EvReport!L141= 0, " ",EvReport!L141)</f>
        <v xml:space="preserve"> </v>
      </c>
      <c r="K141" s="211"/>
    </row>
    <row r="142" spans="2:11" ht="16.5" customHeight="1" thickBot="1">
      <c r="B142" s="3015"/>
      <c r="C142" s="3016" t="str">
        <f>Master!GE3</f>
        <v>Khulna 330 MW CCPP (OIL)</v>
      </c>
      <c r="D142" s="1207" t="str">
        <f>VLOOKUP(C142,Forecast!$C$9:$E$181,3,0)</f>
        <v>Gas/HSD</v>
      </c>
      <c r="E142" s="3115" t="str">
        <f>Master!GE4</f>
        <v>BPDB</v>
      </c>
      <c r="F142" s="3115" t="str">
        <f>Master!GE6</f>
        <v>1*220+1*110</v>
      </c>
      <c r="G142" s="4732">
        <f>Master!GE8</f>
        <v>0</v>
      </c>
      <c r="H142" s="3018">
        <f>YesterdayGen!GE34</f>
        <v>0</v>
      </c>
      <c r="I142" s="3019">
        <f>YesterdayGen!GE31</f>
        <v>0</v>
      </c>
      <c r="J142" s="1462" t="str">
        <f>IF(EvReport!L142= 0, " ",EvReport!L142)</f>
        <v>On test.</v>
      </c>
      <c r="K142" s="211"/>
    </row>
    <row r="143" spans="2:11" ht="16.5" customHeight="1" thickBot="1">
      <c r="B143" s="1233"/>
      <c r="C143" s="1234" t="s">
        <v>42</v>
      </c>
      <c r="D143" s="1207">
        <f>VLOOKUP(C143,Forecast!$C$9:$E$181,3,0)</f>
        <v>0</v>
      </c>
      <c r="E143" s="1235"/>
      <c r="F143" s="1235"/>
      <c r="G143" s="1236">
        <f>SUM(G130:G142)</f>
        <v>2384</v>
      </c>
      <c r="H143" s="1236">
        <f>SUM(H130:H142)</f>
        <v>1691</v>
      </c>
      <c r="I143" s="1236">
        <f>SUM(I130:I142)</f>
        <v>36674363</v>
      </c>
      <c r="J143" s="1237" t="s">
        <v>18</v>
      </c>
      <c r="K143" s="211"/>
    </row>
    <row r="144" spans="2:11" ht="16.5" customHeight="1">
      <c r="B144" s="1202">
        <v>117</v>
      </c>
      <c r="C144" s="1238" t="str">
        <f>Master!EM3</f>
        <v>Barisal 110 MW PP (Summit )</v>
      </c>
      <c r="D144" s="1207" t="str">
        <f>VLOOKUP(C144,Forecast!$C$9:$E$181,3,0)</f>
        <v>HFO</v>
      </c>
      <c r="E144" s="1239" t="str">
        <f>Master!EM4</f>
        <v>IPP</v>
      </c>
      <c r="F144" s="1240" t="str">
        <f>Master!EM6</f>
        <v>7*17.076</v>
      </c>
      <c r="G144" s="1202">
        <f>Master!EM8</f>
        <v>110</v>
      </c>
      <c r="H144" s="1262">
        <f>YesterdayGen!EM34</f>
        <v>64</v>
      </c>
      <c r="I144" s="1313">
        <f>YesterdayGen!EM31</f>
        <v>1071648</v>
      </c>
      <c r="J144" s="1310" t="str">
        <f>IF(EvReport!L144 = 0, " ",EvReport!L144)</f>
        <v>Line O/L</v>
      </c>
      <c r="K144" s="211"/>
    </row>
    <row r="145" spans="2:11" ht="16.5" customHeight="1">
      <c r="B145" s="1202">
        <v>118</v>
      </c>
      <c r="C145" s="1241" t="str">
        <f>Master!EL3</f>
        <v>Bhola  33 MW PP (Venture)</v>
      </c>
      <c r="D145" s="1207" t="str">
        <f>VLOOKUP(C145,Forecast!$C$9:$E$181,3,0)</f>
        <v>Gas</v>
      </c>
      <c r="E145" s="1231" t="str">
        <f>Master!EL4</f>
        <v>NENP</v>
      </c>
      <c r="F145" s="1258" t="str">
        <f>Master!EL6</f>
        <v>1*34.50</v>
      </c>
      <c r="G145" s="1228">
        <f>Master!EL8</f>
        <v>40</v>
      </c>
      <c r="H145" s="1264">
        <f>YesterdayGen!EL34</f>
        <v>33</v>
      </c>
      <c r="I145" s="1314">
        <f>YesterdayGen!EL31</f>
        <v>621013</v>
      </c>
      <c r="J145" s="1311" t="str">
        <f>IF(EvReport!L145 = 0, " ",EvReport!L145)</f>
        <v>Engine problem</v>
      </c>
      <c r="K145" s="211"/>
    </row>
    <row r="146" spans="2:11" ht="16.5" customHeight="1">
      <c r="B146" s="1202">
        <v>119</v>
      </c>
      <c r="C146" s="1250" t="str">
        <f>Master!EK3</f>
        <v>Bhola 225 MW  CCPP</v>
      </c>
      <c r="D146" s="1207" t="str">
        <f>VLOOKUP(C146,Forecast!$C$9:$E$181,3,0)</f>
        <v>Gas</v>
      </c>
      <c r="E146" s="1231" t="str">
        <f>Master!EK4</f>
        <v>PDB</v>
      </c>
      <c r="F146" s="1258" t="str">
        <f>Master!EK6</f>
        <v>2*63+1*68</v>
      </c>
      <c r="G146" s="1228">
        <f>Master!EK8</f>
        <v>194</v>
      </c>
      <c r="H146" s="1264">
        <f>YesterdayGen!EK34</f>
        <v>88</v>
      </c>
      <c r="I146" s="1314">
        <f>YesterdayGen!EK31</f>
        <v>2063252</v>
      </c>
      <c r="J146" s="1311" t="str">
        <f>IF(EvReport!L146 = 0, " ",EvReport!L146)</f>
        <v>ST under S/D</v>
      </c>
      <c r="K146" s="211"/>
    </row>
    <row r="147" spans="2:11" ht="16.5" customHeight="1">
      <c r="B147" s="1202">
        <v>120</v>
      </c>
      <c r="C147" s="2935" t="str">
        <f>Master!FK3</f>
        <v>Bhola 95 MW PP (Aggreko)</v>
      </c>
      <c r="D147" s="1207" t="str">
        <f>VLOOKUP(C147,Forecast!$C$9:$E$181,3,0)</f>
        <v>Gas</v>
      </c>
      <c r="E147" s="2929" t="str">
        <f>Master!FK4</f>
        <v>QRPP</v>
      </c>
      <c r="F147" s="2939" t="str">
        <f>Master!FK6</f>
        <v>96*1.10</v>
      </c>
      <c r="G147" s="2929">
        <f>Master!FK8</f>
        <v>0</v>
      </c>
      <c r="H147" s="2938">
        <f>YesterdayGen!FK34</f>
        <v>0</v>
      </c>
      <c r="I147" s="2937">
        <f>YesterdayGen!FK31</f>
        <v>0</v>
      </c>
      <c r="J147" s="2926" t="str">
        <f>IF(EvReport!L147= 0, " ",EvReport!L147)</f>
        <v>Contract Expired</v>
      </c>
      <c r="K147" s="211"/>
    </row>
    <row r="148" spans="2:11" ht="16.5" customHeight="1">
      <c r="B148" s="2936">
        <v>121</v>
      </c>
      <c r="C148" s="2935" t="str">
        <f>Master!FX3</f>
        <v>Payra 1320 MW</v>
      </c>
      <c r="D148" s="1207" t="str">
        <f>VLOOKUP(C148,Forecast!$C$9:$E$181,3,0)</f>
        <v>Coal</v>
      </c>
      <c r="E148" s="2710" t="str">
        <f>Master!FX4</f>
        <v>BCPCL</v>
      </c>
      <c r="F148" s="2934" t="str">
        <f>Master!FX6</f>
        <v>2*622</v>
      </c>
      <c r="G148" s="2710">
        <f>Master!FX8</f>
        <v>1244</v>
      </c>
      <c r="H148" s="2933">
        <f>YesterdayGen!FX34</f>
        <v>800</v>
      </c>
      <c r="I148" s="2932">
        <f>YesterdayGen!FX31</f>
        <v>22699900</v>
      </c>
      <c r="J148" s="2931" t="str">
        <f>IF(EvReport!L148= 0, " ",EvReport!L148)</f>
        <v>Coal shortage</v>
      </c>
      <c r="K148" s="211"/>
    </row>
    <row r="149" spans="2:11" ht="16.5" customHeight="1">
      <c r="B149" s="2929">
        <v>122</v>
      </c>
      <c r="C149" s="2953" t="s">
        <v>1179</v>
      </c>
      <c r="D149" s="1207" t="str">
        <f>VLOOKUP(C149,Forecast!$C$9:$E$181,3,0)</f>
        <v>Gas</v>
      </c>
      <c r="E149" s="2929" t="str">
        <f>Master!FY4</f>
        <v>IPP</v>
      </c>
      <c r="F149" s="2929">
        <f>Master!FY6</f>
        <v>220</v>
      </c>
      <c r="G149" s="2929">
        <f>Master!FY8</f>
        <v>220</v>
      </c>
      <c r="H149" s="2928">
        <f>YesterdayGen!FY34</f>
        <v>187</v>
      </c>
      <c r="I149" s="2927">
        <f>YesterdayGen!FY31</f>
        <v>5164336</v>
      </c>
      <c r="J149" s="2926" t="str">
        <f>IF(EvReport!L149= 0, " ",EvReport!L149)</f>
        <v xml:space="preserve"> </v>
      </c>
      <c r="K149" s="211"/>
    </row>
    <row r="150" spans="2:11" ht="16.5" customHeight="1" thickBot="1">
      <c r="B150" s="2924">
        <v>123</v>
      </c>
      <c r="C150" s="2954" t="str">
        <f>Master!GA3</f>
        <v>United Payra Power Ltd.</v>
      </c>
      <c r="D150" s="1207" t="str">
        <f>VLOOKUP(C150,Forecast!$C$9:$E$181,3,0)</f>
        <v>HFO</v>
      </c>
      <c r="E150" s="2924" t="str">
        <f>Master!GA4</f>
        <v>IPP</v>
      </c>
      <c r="F150" s="2924" t="str">
        <f>Master!GA6</f>
        <v>8*18.5+1*9.5</v>
      </c>
      <c r="G150" s="2924">
        <f>Master!GA8</f>
        <v>150</v>
      </c>
      <c r="H150" s="2923">
        <f>YesterdayGen!GA34</f>
        <v>150</v>
      </c>
      <c r="I150" s="2922">
        <f>YesterdayGen!GA31</f>
        <v>945600</v>
      </c>
      <c r="J150" s="2921" t="str">
        <f>IF(EvReport!L150= 0, " ",EvReport!L150)</f>
        <v xml:space="preserve"> </v>
      </c>
      <c r="K150" s="211"/>
    </row>
    <row r="151" spans="2:11" ht="16.5" customHeight="1" thickBot="1">
      <c r="B151" s="1233"/>
      <c r="C151" s="1234" t="s">
        <v>43</v>
      </c>
      <c r="D151" s="1207">
        <f>VLOOKUP(C151,Forecast!$C$9:$E$181,3,0)</f>
        <v>0</v>
      </c>
      <c r="E151" s="1235"/>
      <c r="F151" s="1235"/>
      <c r="G151" s="1236">
        <f>SUM(G144:G150)</f>
        <v>1958</v>
      </c>
      <c r="H151" s="1236">
        <f>SUM(H144:H150)</f>
        <v>1322</v>
      </c>
      <c r="I151" s="1236">
        <f>SUM(I144:I150)</f>
        <v>32565749</v>
      </c>
      <c r="J151" s="1237" t="s">
        <v>18</v>
      </c>
      <c r="K151" s="211"/>
    </row>
    <row r="152" spans="2:11" ht="16.5" customHeight="1">
      <c r="B152" s="1202">
        <v>124</v>
      </c>
      <c r="C152" s="1238" t="str">
        <f>Master!EP3</f>
        <v>Baghabari 71 MW GTPP</v>
      </c>
      <c r="D152" s="1207" t="str">
        <f>VLOOKUP(C152,Forecast!$C$9:$E$181,3,0)</f>
        <v>Gas</v>
      </c>
      <c r="E152" s="1239" t="str">
        <f>Master!EP4</f>
        <v>PDB</v>
      </c>
      <c r="F152" s="1240" t="str">
        <f>Master!EP6</f>
        <v>1*71</v>
      </c>
      <c r="G152" s="1202">
        <f>Master!EP8</f>
        <v>71</v>
      </c>
      <c r="H152" s="1263">
        <f>YesterdayGen!EP34</f>
        <v>0</v>
      </c>
      <c r="I152" s="1252">
        <f>YesterdayGen!EP31</f>
        <v>0</v>
      </c>
      <c r="J152" s="1310" t="str">
        <f>IF(EvReport!L152 = 0, " ",EvReport!L152)</f>
        <v>Gas shortage</v>
      </c>
      <c r="K152" s="211"/>
    </row>
    <row r="153" spans="2:11" ht="16.5" customHeight="1">
      <c r="B153" s="1202"/>
      <c r="C153" s="1241" t="str">
        <f>Master!EO3</f>
        <v>Baghabari  100 MW GTPP</v>
      </c>
      <c r="D153" s="1207" t="str">
        <f>VLOOKUP(C153,Forecast!$C$9:$E$181,3,0)</f>
        <v>Gas</v>
      </c>
      <c r="E153" s="1211" t="str">
        <f>Master!EO4</f>
        <v>PDB</v>
      </c>
      <c r="F153" s="1248" t="str">
        <f>Master!EO6</f>
        <v>1*100</v>
      </c>
      <c r="G153" s="1205">
        <f>Master!EO8</f>
        <v>100</v>
      </c>
      <c r="H153" s="1265">
        <f>YesterdayGen!EO34</f>
        <v>0</v>
      </c>
      <c r="I153" s="1214">
        <f>YesterdayGen!EO31</f>
        <v>0</v>
      </c>
      <c r="J153" s="1311" t="str">
        <f>IF(EvReport!L153 = 0, " ",EvReport!L153)</f>
        <v>Gas shortage</v>
      </c>
      <c r="K153" s="211"/>
    </row>
    <row r="154" spans="2:11" ht="15.75" customHeight="1">
      <c r="B154" s="1202">
        <v>125</v>
      </c>
      <c r="C154" s="1241" t="str">
        <f>Master!EQ3</f>
        <v>Baghabari  50 MW Peaking PP</v>
      </c>
      <c r="D154" s="1207" t="str">
        <f>VLOOKUP(C154,Forecast!$C$9:$E$181,3,0)</f>
        <v>HFO</v>
      </c>
      <c r="E154" s="1211" t="str">
        <f>Master!EQ4</f>
        <v>PDB</v>
      </c>
      <c r="F154" s="1248" t="str">
        <f>Master!EQ6</f>
        <v>6*8.9</v>
      </c>
      <c r="G154" s="1205">
        <f>Master!EQ8</f>
        <v>52</v>
      </c>
      <c r="H154" s="1265">
        <f>YesterdayGen!EQ34</f>
        <v>32</v>
      </c>
      <c r="I154" s="1214">
        <f>YesterdayGen!EQ31</f>
        <v>654048</v>
      </c>
      <c r="J154" s="1311" t="str">
        <f>IF(EvReport!L154 = 0, " ",EvReport!L154)</f>
        <v>Engine problem</v>
      </c>
      <c r="K154" s="211"/>
    </row>
    <row r="155" spans="2:11" ht="15.75" customHeight="1">
      <c r="B155" s="1202">
        <v>126</v>
      </c>
      <c r="C155" s="1241" t="str">
        <f>Master!ER3</f>
        <v>Bera 70 MW Peaking PP</v>
      </c>
      <c r="D155" s="1207" t="str">
        <f>VLOOKUP(C155,Forecast!$C$9:$E$181,3,0)</f>
        <v>HFO</v>
      </c>
      <c r="E155" s="1231" t="str">
        <f>Master!ER4</f>
        <v>PDB</v>
      </c>
      <c r="F155" s="1258" t="str">
        <f>Master!ER6</f>
        <v>9*8.29</v>
      </c>
      <c r="G155" s="1228">
        <f>Master!ER8</f>
        <v>71</v>
      </c>
      <c r="H155" s="1265">
        <f>YesterdayGen!ER34</f>
        <v>25</v>
      </c>
      <c r="I155" s="1229">
        <f>YesterdayGen!ER31</f>
        <v>409522</v>
      </c>
      <c r="J155" s="1311" t="str">
        <f>IF(EvReport!L155 = 0, " ",EvReport!L155)</f>
        <v>Engine problem</v>
      </c>
      <c r="K155" s="211"/>
    </row>
    <row r="156" spans="2:11" ht="16.5" customHeight="1">
      <c r="B156" s="1202">
        <v>127</v>
      </c>
      <c r="C156" s="1241" t="str">
        <f>Master!ET3</f>
        <v>Amnura 50 MW PP(Sinha)</v>
      </c>
      <c r="D156" s="1207" t="str">
        <f>VLOOKUP(C156,Forecast!$C$9:$E$181,3,0)</f>
        <v>HFO</v>
      </c>
      <c r="E156" s="1231" t="str">
        <f>Master!ET4</f>
        <v>QRPP</v>
      </c>
      <c r="F156" s="1258" t="str">
        <f>Master!ET6</f>
        <v>7*7.79</v>
      </c>
      <c r="G156" s="1266">
        <f>Master!ET8</f>
        <v>0</v>
      </c>
      <c r="H156" s="1265">
        <f>YesterdayGen!ET34</f>
        <v>0</v>
      </c>
      <c r="I156" s="1229">
        <f>YesterdayGen!ET31</f>
        <v>0</v>
      </c>
      <c r="J156" s="1311" t="str">
        <f>IF(EvReport!L156 = 0, " ",EvReport!L156)</f>
        <v>Contract Expired</v>
      </c>
      <c r="K156" s="211"/>
    </row>
    <row r="157" spans="2:11" ht="16.5" customHeight="1">
      <c r="B157" s="1202">
        <v>128</v>
      </c>
      <c r="C157" s="1241" t="str">
        <f>Master!EU3</f>
        <v>Katakhali 50 MW PP (Northern)</v>
      </c>
      <c r="D157" s="1207" t="str">
        <f>VLOOKUP(C157,Forecast!$C$9:$E$181,3,0)</f>
        <v>HFO</v>
      </c>
      <c r="E157" s="1231" t="str">
        <f>Master!EU4</f>
        <v>QRPP</v>
      </c>
      <c r="F157" s="1258" t="str">
        <f>Master!EU6</f>
        <v>6*8.9</v>
      </c>
      <c r="G157" s="1266">
        <f>Master!EU8</f>
        <v>50</v>
      </c>
      <c r="H157" s="1265">
        <f>YesterdayGen!EU34</f>
        <v>0</v>
      </c>
      <c r="I157" s="1229">
        <f>YesterdayGen!EU31</f>
        <v>334004</v>
      </c>
      <c r="J157" s="1311" t="str">
        <f>IF(EvReport!L157 = 0, " ",EvReport!L157)</f>
        <v>Engine problem</v>
      </c>
      <c r="K157" s="211"/>
    </row>
    <row r="158" spans="2:11" ht="16.5" customHeight="1">
      <c r="B158" s="1202">
        <v>129</v>
      </c>
      <c r="C158" s="1241" t="str">
        <f>Master!EV3</f>
        <v>Katakhali 50 MW Peaking PP</v>
      </c>
      <c r="D158" s="1207" t="str">
        <f>VLOOKUP(C158,Forecast!$C$9:$E$181,3,0)</f>
        <v>HFO</v>
      </c>
      <c r="E158" s="1231" t="str">
        <f>Master!EV4</f>
        <v>PDB</v>
      </c>
      <c r="F158" s="1258" t="str">
        <f>Master!EV6</f>
        <v>6*8.7</v>
      </c>
      <c r="G158" s="1266">
        <f>Master!EV8</f>
        <v>50</v>
      </c>
      <c r="H158" s="1265">
        <f>YesterdayGen!EV34</f>
        <v>32</v>
      </c>
      <c r="I158" s="1229">
        <f>YesterdayGen!EV31</f>
        <v>620200</v>
      </c>
      <c r="J158" s="1311" t="str">
        <f>IF(EvReport!L158 = 0, " ",EvReport!L158)</f>
        <v>Engine problem</v>
      </c>
      <c r="K158" s="211"/>
    </row>
    <row r="159" spans="2:11" ht="16.5" customHeight="1">
      <c r="B159" s="1202">
        <v>130</v>
      </c>
      <c r="C159" s="1241" t="s">
        <v>811</v>
      </c>
      <c r="D159" s="1207" t="e">
        <f>VLOOKUP(C159,Forecast!$C$9:$E$181,3,0)</f>
        <v>#N/A</v>
      </c>
      <c r="E159" s="1231" t="str">
        <f>Master!FG4</f>
        <v>NWPGCL</v>
      </c>
      <c r="F159" s="1258" t="str">
        <f>Master!FG6</f>
        <v>1*150+1*75</v>
      </c>
      <c r="G159" s="1266">
        <f>Master!FG8</f>
        <v>210</v>
      </c>
      <c r="H159" s="1265">
        <f>YesterdayGen!FG34+YesterdayGen!FH34</f>
        <v>170</v>
      </c>
      <c r="I159" s="1229">
        <f>YesterdayGen!FG31</f>
        <v>4398755</v>
      </c>
      <c r="J159" s="1311" t="str">
        <f>IF(EvReport!L159 = 0, " ",EvReport!L159)</f>
        <v>Gas shortage</v>
      </c>
      <c r="K159" s="211"/>
    </row>
    <row r="160" spans="2:11" ht="16.5" customHeight="1">
      <c r="B160" s="1202">
        <v>131</v>
      </c>
      <c r="C160" s="1241" t="s">
        <v>812</v>
      </c>
      <c r="D160" s="1207" t="e">
        <f>VLOOKUP(C160,Forecast!$C$9:$E$181,3,0)</f>
        <v>#N/A</v>
      </c>
      <c r="E160" s="1231" t="str">
        <f>Master!FI4</f>
        <v>NWPGCL</v>
      </c>
      <c r="F160" s="1258" t="str">
        <f>Master!FI6</f>
        <v>1*150+1*75</v>
      </c>
      <c r="G160" s="1266">
        <f>Master!FI8</f>
        <v>220</v>
      </c>
      <c r="H160" s="1265">
        <f>YesterdayGen!FI34+YesterdayGen!FJ34</f>
        <v>213</v>
      </c>
      <c r="I160" s="3526">
        <f>YesterdayGen!FJ31+YesterdayGen!FI31</f>
        <v>5094618</v>
      </c>
      <c r="J160" s="1311"/>
      <c r="K160" s="211"/>
    </row>
    <row r="161" spans="2:11" ht="16.5" customHeight="1">
      <c r="B161" s="1202">
        <v>132</v>
      </c>
      <c r="C161" s="1241" t="s">
        <v>833</v>
      </c>
      <c r="D161" s="1207" t="e">
        <f>VLOOKUP(C161,Forecast!$C$9:$E$181,3,0)</f>
        <v>#N/A</v>
      </c>
      <c r="E161" s="1231" t="str">
        <f>Master!FM4</f>
        <v>NWPGCL</v>
      </c>
      <c r="F161" s="1258" t="str">
        <f>Master!FM6</f>
        <v>1*141</v>
      </c>
      <c r="G161" s="1266">
        <f>Master!FM8</f>
        <v>220</v>
      </c>
      <c r="H161" s="1265">
        <f>YesterdayGen!FM34+YesterdayGen!FN34</f>
        <v>143</v>
      </c>
      <c r="I161" s="1229">
        <f>YesterdayGen!FM31</f>
        <v>3678527</v>
      </c>
      <c r="J161" s="1311" t="str">
        <f>IF(EvReport!L161= 0, " ",EvReport!L161)</f>
        <v>Gas shortage</v>
      </c>
      <c r="K161" s="211"/>
    </row>
    <row r="162" spans="2:11" ht="16.5" customHeight="1">
      <c r="B162" s="1202">
        <v>133</v>
      </c>
      <c r="C162" s="1241" t="str">
        <f>Master!FO3</f>
        <v>Sirajgonj 400 MW CCPP Unit-4</v>
      </c>
      <c r="D162" s="1207" t="str">
        <f>VLOOKUP(C162,Forecast!$C$9:$E$181,3,0)</f>
        <v>Gas/HSD</v>
      </c>
      <c r="E162" s="1231" t="str">
        <f>Master!FO4</f>
        <v>SNWPGCL</v>
      </c>
      <c r="F162" s="1258" t="str">
        <f>Master!FO6</f>
        <v>1*282+1*132</v>
      </c>
      <c r="G162" s="1266">
        <f>Master!FO8</f>
        <v>414</v>
      </c>
      <c r="H162" s="1265">
        <f>YesterdayGen!FO34+YesterdayGen!FU34</f>
        <v>286</v>
      </c>
      <c r="I162" s="1229">
        <f>YesterdayGen!FO31</f>
        <v>6858181</v>
      </c>
      <c r="J162" s="1311" t="str">
        <f>IF(EvReport!L162= 0, " ",EvReport!L162)</f>
        <v>Gas shortage</v>
      </c>
      <c r="K162" s="211"/>
    </row>
    <row r="163" spans="2:11" ht="16.5" customHeight="1">
      <c r="B163" s="1202">
        <v>134</v>
      </c>
      <c r="C163" s="1241" t="str">
        <f>Master!EX3</f>
        <v>Santahar  50 MW Peaking PP</v>
      </c>
      <c r="D163" s="1207" t="str">
        <f>VLOOKUP(C163,Forecast!$C$9:$E$181,3,0)</f>
        <v>HFO</v>
      </c>
      <c r="E163" s="1231" t="str">
        <f>Master!EX4</f>
        <v>PDB</v>
      </c>
      <c r="F163" s="1258" t="str">
        <f>Master!EX6</f>
        <v>6*8.7</v>
      </c>
      <c r="G163" s="1266">
        <f>Master!EX8</f>
        <v>50</v>
      </c>
      <c r="H163" s="1265">
        <f>YesterdayGen!EX34</f>
        <v>34</v>
      </c>
      <c r="I163" s="1229">
        <f>YesterdayGen!EX31</f>
        <v>613170</v>
      </c>
      <c r="J163" s="1311" t="str">
        <f>IF(EvReport!L163 = 0, " ",EvReport!L163)</f>
        <v>Engine problem</v>
      </c>
      <c r="K163" s="211"/>
    </row>
    <row r="164" spans="2:11" ht="16.5" customHeight="1">
      <c r="B164" s="1202">
        <v>135</v>
      </c>
      <c r="C164" s="1267" t="str">
        <f>Master!EY3</f>
        <v>Bogra 22 MW PP (GBB)</v>
      </c>
      <c r="D164" s="1207" t="str">
        <f>VLOOKUP(C164,Forecast!$C$9:$E$181,3,0)</f>
        <v>Gas</v>
      </c>
      <c r="E164" s="1231" t="str">
        <f>Master!EY4</f>
        <v xml:space="preserve">RPP </v>
      </c>
      <c r="F164" s="1258" t="str">
        <f>Master!EY6</f>
        <v>6*4</v>
      </c>
      <c r="G164" s="1266">
        <f>Master!EY8</f>
        <v>22</v>
      </c>
      <c r="H164" s="1265">
        <f>YesterdayGen!EY34</f>
        <v>21</v>
      </c>
      <c r="I164" s="1229">
        <f>YesterdayGen!EY31</f>
        <v>446640</v>
      </c>
      <c r="J164" s="1311" t="str">
        <f>IF(EvReport!L164 = 0, " ",EvReport!L164)</f>
        <v xml:space="preserve"> </v>
      </c>
      <c r="K164" s="225"/>
    </row>
    <row r="165" spans="2:11" ht="16.5" customHeight="1">
      <c r="B165" s="1202">
        <v>136</v>
      </c>
      <c r="C165" s="1267" t="str">
        <f>Master!EZ3</f>
        <v>Bogura 20 MW PP (Energyprima)</v>
      </c>
      <c r="D165" s="1207" t="str">
        <f>VLOOKUP(C165,Forecast!$C$9:$E$181,3,0)</f>
        <v>Gas</v>
      </c>
      <c r="E165" s="1231" t="str">
        <f>Master!EZ4</f>
        <v>NENP</v>
      </c>
      <c r="F165" s="1258" t="str">
        <f>Master!EZ6</f>
        <v>5*3.3+5*2</v>
      </c>
      <c r="G165" s="1228">
        <f>Master!EZ8</f>
        <v>0</v>
      </c>
      <c r="H165" s="1264">
        <f>YesterdayGen!EZ34</f>
        <v>0</v>
      </c>
      <c r="I165" s="1229">
        <f>YesterdayGen!EZ31</f>
        <v>0</v>
      </c>
      <c r="J165" s="1311" t="str">
        <f>IF(EvReport!L165 = 0, " ",EvReport!L165)</f>
        <v>.</v>
      </c>
      <c r="K165" s="225"/>
    </row>
    <row r="166" spans="2:11" ht="16.5" customHeight="1">
      <c r="B166" s="1202">
        <v>137</v>
      </c>
      <c r="C166" s="1241" t="str">
        <f>Master!FA3</f>
        <v>Ullapara 11 MW PP  (Summit)</v>
      </c>
      <c r="D166" s="1207" t="str">
        <f>VLOOKUP(C166,Forecast!$C$9:$E$181,3,0)</f>
        <v>Gas</v>
      </c>
      <c r="E166" s="1231" t="str">
        <f>Master!FA4</f>
        <v>SIPP, REB</v>
      </c>
      <c r="F166" s="1258" t="str">
        <f>Master!FA6</f>
        <v>4*2.90</v>
      </c>
      <c r="G166" s="1228">
        <f>Master!FA8</f>
        <v>11</v>
      </c>
      <c r="H166" s="1264">
        <f>YesterdayGen!FA34</f>
        <v>11</v>
      </c>
      <c r="I166" s="1229">
        <f>YesterdayGen!FA31</f>
        <v>232254</v>
      </c>
      <c r="J166" s="1311" t="str">
        <f>IF(EvReport!L166 = 0, " ",EvReport!L166)</f>
        <v xml:space="preserve"> </v>
      </c>
      <c r="K166" s="225"/>
    </row>
    <row r="167" spans="2:11" ht="16.5" customHeight="1">
      <c r="B167" s="1202">
        <v>138</v>
      </c>
      <c r="C167" s="1241" t="str">
        <f>Master!EW3</f>
        <v xml:space="preserve">Natore 52 MW PP (Rajlanka) </v>
      </c>
      <c r="D167" s="1207" t="str">
        <f>VLOOKUP(C167,Forecast!$C$9:$E$181,3,0)</f>
        <v>HFO</v>
      </c>
      <c r="E167" s="1227" t="str">
        <f>Master!EW4</f>
        <v>IPP</v>
      </c>
      <c r="F167" s="1244" t="str">
        <f>Master!EW6</f>
        <v>6*8.92</v>
      </c>
      <c r="G167" s="1228">
        <f>Master!EW8</f>
        <v>52</v>
      </c>
      <c r="H167" s="1264">
        <f>YesterdayGen!EW34</f>
        <v>52</v>
      </c>
      <c r="I167" s="1229">
        <f>YesterdayGen!EW31</f>
        <v>391200</v>
      </c>
      <c r="J167" s="1311" t="str">
        <f>IF(EvReport!L167 = 0, " ",EvReport!L167)</f>
        <v xml:space="preserve"> </v>
      </c>
      <c r="K167" s="225"/>
    </row>
    <row r="168" spans="2:11" ht="16.5" customHeight="1">
      <c r="B168" s="1202">
        <v>139</v>
      </c>
      <c r="C168" s="2935" t="str">
        <f>Master!ES3</f>
        <v>Chapainawabganj 100 MW Peaking PP</v>
      </c>
      <c r="D168" s="1207" t="str">
        <f>VLOOKUP(C168,Forecast!$C$9:$E$181,3,0)</f>
        <v>HFO</v>
      </c>
      <c r="E168" s="2943" t="str">
        <f>Master!ES4</f>
        <v>PDB</v>
      </c>
      <c r="F168" s="2944" t="str">
        <f>Master!ES6</f>
        <v>12*8.924</v>
      </c>
      <c r="G168" s="2929">
        <f>Master!ES8</f>
        <v>104</v>
      </c>
      <c r="H168" s="2938">
        <f>YesterdayGen!ES34</f>
        <v>80</v>
      </c>
      <c r="I168" s="2937">
        <f>YesterdayGen!ES31</f>
        <v>1506936</v>
      </c>
      <c r="J168" s="2926" t="str">
        <f>IF(EvReport!L168 = 0, " ",EvReport!L168)</f>
        <v>Engine problem</v>
      </c>
      <c r="K168" s="225"/>
    </row>
    <row r="169" spans="2:11" ht="16.5" customHeight="1">
      <c r="B169" s="2936">
        <v>140</v>
      </c>
      <c r="C169" s="2935" t="str">
        <f>Master!FQ3</f>
        <v>Baghabari 200 MW PP (Paramount)</v>
      </c>
      <c r="D169" s="1207" t="str">
        <f>VLOOKUP(C169,Forecast!$C$9:$E$181,3,0)</f>
        <v>HSD</v>
      </c>
      <c r="E169" s="2945" t="str">
        <f>Master!FQ4</f>
        <v>IPP</v>
      </c>
      <c r="F169" s="2946" t="str">
        <f>Master!FQ6</f>
        <v>135*1.6</v>
      </c>
      <c r="G169" s="2710">
        <f>Master!FQ8</f>
        <v>200</v>
      </c>
      <c r="H169" s="2933">
        <f>YesterdayGen!FQ34</f>
        <v>172</v>
      </c>
      <c r="I169" s="2932">
        <f>YesterdayGen!FQ31</f>
        <v>1027096</v>
      </c>
      <c r="J169" s="2931" t="str">
        <f>IF(EvReport!L169= 0, " ",EvReport!L169)</f>
        <v>Fuel conservation</v>
      </c>
      <c r="K169" s="225"/>
    </row>
    <row r="170" spans="2:11" ht="16.5" customHeight="1">
      <c r="B170" s="2929">
        <v>141</v>
      </c>
      <c r="C170" s="2930" t="str">
        <f>Master!FR3</f>
        <v>Bagura 113 MW PP (Confidence)-2</v>
      </c>
      <c r="D170" s="1207" t="str">
        <f>VLOOKUP(C170,Forecast!$C$9:$E$181,3,0)</f>
        <v>HFO</v>
      </c>
      <c r="E170" s="2943" t="str">
        <f>Master!FR4</f>
        <v>IPP</v>
      </c>
      <c r="F170" s="2943" t="str">
        <f>Master!FR6</f>
        <v>6*18.55+7.2</v>
      </c>
      <c r="G170" s="2929">
        <f>Master!FR8</f>
        <v>113</v>
      </c>
      <c r="H170" s="2928">
        <f>YesterdayGen!FR34</f>
        <v>94</v>
      </c>
      <c r="I170" s="2927">
        <f>YesterdayGen!FR31</f>
        <v>1698432</v>
      </c>
      <c r="J170" s="2926" t="str">
        <f>IF(EvReport!L170= 0, " ",EvReport!L170)</f>
        <v>Engine problem</v>
      </c>
      <c r="K170" s="225"/>
    </row>
    <row r="171" spans="2:11" ht="16.5" customHeight="1" thickBot="1">
      <c r="B171" s="2924">
        <v>142</v>
      </c>
      <c r="C171" s="2925" t="str">
        <f>Master!FW3</f>
        <v>Confidence Power Bogura Unit-1 113 MW</v>
      </c>
      <c r="D171" s="1207" t="str">
        <f>VLOOKUP(C171,Forecast!$C$9:$E$181,3,0)</f>
        <v>HFO</v>
      </c>
      <c r="E171" s="2949" t="str">
        <f>Master!FW4</f>
        <v>IPP</v>
      </c>
      <c r="F171" s="2949" t="str">
        <f>Master!FW6</f>
        <v>6*18.55</v>
      </c>
      <c r="G171" s="2924">
        <f>Master!FW8</f>
        <v>113</v>
      </c>
      <c r="H171" s="2923">
        <f>YesterdayGen!FW34</f>
        <v>95</v>
      </c>
      <c r="I171" s="2922">
        <f>YesterdayGen!FW31</f>
        <v>1647840</v>
      </c>
      <c r="J171" s="2921" t="str">
        <f>IF(EvReport!L171= 0, " ",EvReport!L171)</f>
        <v>Engine problem</v>
      </c>
      <c r="K171" s="225"/>
    </row>
    <row r="172" spans="2:11" ht="16.5" customHeight="1" thickBot="1">
      <c r="B172" s="3015">
        <v>143</v>
      </c>
      <c r="C172" s="3016" t="str">
        <f>Master!GB3</f>
        <v xml:space="preserve"> Sirajgonj 6.55 MW Solar</v>
      </c>
      <c r="D172" s="1207" t="str">
        <f>VLOOKUP(C172,Forecast!$C$9:$E$181,3,0)</f>
        <v>Solar</v>
      </c>
      <c r="E172" s="3017" t="str">
        <f>Master!GB4</f>
        <v>NWPGCL</v>
      </c>
      <c r="F172" s="3017" t="str">
        <f>Master!GB6</f>
        <v>1*6</v>
      </c>
      <c r="G172" s="1706">
        <f>Master!GB8</f>
        <v>6</v>
      </c>
      <c r="H172" s="3018">
        <f>YesterdayGen!GB34</f>
        <v>0</v>
      </c>
      <c r="I172" s="3019">
        <f>YesterdayGen!GB31</f>
        <v>38340</v>
      </c>
      <c r="J172" s="1462" t="str">
        <f>IF(EvReport!L172= 0, " ",EvReport!L172)</f>
        <v xml:space="preserve"> </v>
      </c>
      <c r="K172" s="225"/>
    </row>
    <row r="173" spans="2:11" ht="16.5" customHeight="1" thickBot="1">
      <c r="B173" s="1233"/>
      <c r="C173" s="1234" t="s">
        <v>44</v>
      </c>
      <c r="D173" s="1207">
        <f>VLOOKUP(C173,Forecast!$C$9:$E$181,3,0)</f>
        <v>0</v>
      </c>
      <c r="E173" s="1235"/>
      <c r="F173" s="1235"/>
      <c r="G173" s="1236">
        <f>SUM(G152:G172)</f>
        <v>2129</v>
      </c>
      <c r="H173" s="1236">
        <f>SUM(H152:H172)</f>
        <v>1460</v>
      </c>
      <c r="I173" s="1236">
        <f>SUM(I152:I172)</f>
        <v>29649763</v>
      </c>
      <c r="J173" s="1237" t="s">
        <v>18</v>
      </c>
      <c r="K173" s="225"/>
    </row>
    <row r="174" spans="2:11" ht="16.5" customHeight="1">
      <c r="B174" s="1202">
        <v>144</v>
      </c>
      <c r="C174" s="1268" t="str">
        <f>Master!FB3</f>
        <v xml:space="preserve">Barapukuria TPP Unit-1 </v>
      </c>
      <c r="D174" s="1207" t="str">
        <f>VLOOKUP(C174,Forecast!$C$9:$E$181,3,0)</f>
        <v>Coal</v>
      </c>
      <c r="E174" s="1269" t="str">
        <f>Master!FB4</f>
        <v>PDB</v>
      </c>
      <c r="F174" s="1270" t="str">
        <f>Master!FB6</f>
        <v>1*125</v>
      </c>
      <c r="G174" s="1271">
        <f>Master!FB8</f>
        <v>85</v>
      </c>
      <c r="H174" s="1272">
        <f>YesterdayGen!FB34</f>
        <v>0</v>
      </c>
      <c r="I174" s="1273">
        <f>YesterdayGen!FB31</f>
        <v>0</v>
      </c>
      <c r="J174" s="1310" t="str">
        <f>IF(EvReport!L174 = 0, " ",EvReport!L174)</f>
        <v>Coal shortage</v>
      </c>
      <c r="K174" s="225"/>
    </row>
    <row r="175" spans="2:11" ht="16.5" customHeight="1">
      <c r="B175" s="1202"/>
      <c r="C175" s="1267" t="str">
        <f>Master!FC3</f>
        <v>Barapukuria TPP  Unit-2</v>
      </c>
      <c r="D175" s="1207" t="str">
        <f>VLOOKUP(C175,Forecast!$C$9:$E$181,3,0)</f>
        <v>Coal</v>
      </c>
      <c r="E175" s="1274" t="str">
        <f>Master!FC4</f>
        <v>PDB</v>
      </c>
      <c r="F175" s="1275" t="str">
        <f>Master!FC6</f>
        <v>1*125</v>
      </c>
      <c r="G175" s="1276">
        <f>Master!FC8</f>
        <v>85</v>
      </c>
      <c r="H175" s="1277">
        <f>YesterdayGen!FC34</f>
        <v>0</v>
      </c>
      <c r="I175" s="1278">
        <f>YesterdayGen!FC31</f>
        <v>0</v>
      </c>
      <c r="J175" s="1311" t="str">
        <f>IF(EvReport!L175 = 0, " ",EvReport!L175)</f>
        <v>Under maint.</v>
      </c>
      <c r="K175" s="225"/>
    </row>
    <row r="176" spans="2:11" ht="16.5" customHeight="1">
      <c r="B176" s="1202">
        <v>145</v>
      </c>
      <c r="C176" s="1267" t="str">
        <f>Master!FD3</f>
        <v>Barapukuria 275 MW TPP Unit-3</v>
      </c>
      <c r="D176" s="1207" t="str">
        <f>VLOOKUP(C176,Forecast!$C$9:$E$181,3,0)</f>
        <v>Coal</v>
      </c>
      <c r="E176" s="1239" t="str">
        <f>Master!FD4</f>
        <v>PDB</v>
      </c>
      <c r="F176" s="1240" t="str">
        <f>Master!FD6</f>
        <v>1*275</v>
      </c>
      <c r="G176" s="1202">
        <f>Master!FD8</f>
        <v>274</v>
      </c>
      <c r="H176" s="1263">
        <f>YesterdayGen!FD34</f>
        <v>240</v>
      </c>
      <c r="I176" s="1252">
        <f>YesterdayGen!FD31</f>
        <v>5122600</v>
      </c>
      <c r="J176" s="1311" t="str">
        <f>IF(EvReport!L176 = 0, " ",EvReport!L176)</f>
        <v>Coal shortage</v>
      </c>
      <c r="K176" s="228"/>
    </row>
    <row r="177" spans="1:11" ht="16.5" customHeight="1">
      <c r="B177" s="1202">
        <v>146</v>
      </c>
      <c r="C177" s="1267" t="str">
        <f>Master!FE3</f>
        <v>Rangpur 20 MW  GTPP</v>
      </c>
      <c r="D177" s="1207" t="str">
        <f>VLOOKUP(C177,Forecast!$C$9:$E$181,3,0)</f>
        <v>HSD</v>
      </c>
      <c r="E177" s="1239" t="str">
        <f>Master!FE4</f>
        <v>PDB</v>
      </c>
      <c r="F177" s="1240" t="str">
        <f>Master!FE6</f>
        <v>1*20</v>
      </c>
      <c r="G177" s="1202">
        <f>Master!FE8</f>
        <v>20</v>
      </c>
      <c r="H177" s="1263">
        <f>YesterdayGen!FE34</f>
        <v>0</v>
      </c>
      <c r="I177" s="1252">
        <f>YesterdayGen!FE31</f>
        <v>0</v>
      </c>
      <c r="J177" s="1311" t="str">
        <f>IF(EvReport!L177 = 0, " ",EvReport!L177)</f>
        <v xml:space="preserve"> </v>
      </c>
      <c r="K177" s="229"/>
    </row>
    <row r="178" spans="1:11" ht="16.5" customHeight="1">
      <c r="B178" s="1202">
        <v>147</v>
      </c>
      <c r="C178" s="1801" t="str">
        <f>Master!FF3</f>
        <v>Saidpur 20 MW GTPP</v>
      </c>
      <c r="D178" s="1207" t="str">
        <f>VLOOKUP(C178,Forecast!$C$9:$E$181,3,0)</f>
        <v>HSD</v>
      </c>
      <c r="E178" s="1800" t="str">
        <f>Master!FF4</f>
        <v>PDB</v>
      </c>
      <c r="F178" s="1799" t="str">
        <f>Master!FF6</f>
        <v>1*20</v>
      </c>
      <c r="G178" s="1798">
        <f>Master!FF8</f>
        <v>20</v>
      </c>
      <c r="H178" s="1797">
        <f>YesterdayGen!FF34</f>
        <v>0</v>
      </c>
      <c r="I178" s="1796">
        <f>YesterdayGen!FF31</f>
        <v>0</v>
      </c>
      <c r="J178" s="1795" t="str">
        <f>IF(EvReport!L178 = 0, " ",EvReport!L178)</f>
        <v xml:space="preserve"> </v>
      </c>
      <c r="K178" s="229"/>
    </row>
    <row r="179" spans="1:11" ht="16.5" customHeight="1" thickBot="1">
      <c r="B179" s="1202">
        <v>148</v>
      </c>
      <c r="C179" s="1794" t="str">
        <f>Master!FT3</f>
        <v xml:space="preserve">Rangpur 113 MW PP (Confidence)  </v>
      </c>
      <c r="D179" s="1207" t="str">
        <f>VLOOKUP(C179,Forecast!$C$9:$E$181,3,0)</f>
        <v>HFO</v>
      </c>
      <c r="E179" s="1793" t="str">
        <f>Master!FT4</f>
        <v>IPP</v>
      </c>
      <c r="F179" s="1792" t="str">
        <f>Master!FT6</f>
        <v>9*6.984+7*7.015+3.15*2</v>
      </c>
      <c r="G179" s="1791">
        <f>Master!FT8</f>
        <v>113</v>
      </c>
      <c r="H179" s="1790">
        <f>YesterdayGen!FT34</f>
        <v>91</v>
      </c>
      <c r="I179" s="1789">
        <f>YesterdayGen!FT31</f>
        <v>1605427</v>
      </c>
      <c r="J179" s="1788" t="str">
        <f>IF(EvReport!L179= 0, " ",EvReport!L179)</f>
        <v>Engine problem</v>
      </c>
      <c r="K179" s="229"/>
    </row>
    <row r="180" spans="1:11" ht="16.5" customHeight="1" thickBot="1">
      <c r="B180" s="1247">
        <v>149</v>
      </c>
      <c r="C180" s="1787" t="str">
        <f>Master!FV3</f>
        <v>Sympa Solar Power 8MW</v>
      </c>
      <c r="D180" s="1207" t="str">
        <f>VLOOKUP(C180,Forecast!$C$9:$E$181,3,0)</f>
        <v>Solar</v>
      </c>
      <c r="E180" s="1706" t="str">
        <f>Master!FV4</f>
        <v>IPP</v>
      </c>
      <c r="F180" s="1706" t="str">
        <f>Master!FV6</f>
        <v>8 MW</v>
      </c>
      <c r="G180" s="1230">
        <f>Master!FV8</f>
        <v>8</v>
      </c>
      <c r="H180" s="987">
        <f>YesterdayGen!FV34</f>
        <v>0</v>
      </c>
      <c r="I180" s="1703">
        <f>YesterdayGen!FV31</f>
        <v>61492</v>
      </c>
      <c r="J180" s="1705" t="str">
        <f>IF(EvReport!L180= 0, " ",EvReport!L180)</f>
        <v xml:space="preserve"> </v>
      </c>
      <c r="K180" s="229"/>
    </row>
    <row r="181" spans="1:11" ht="16.5" customHeight="1" thickBot="1">
      <c r="B181" s="1247">
        <v>150</v>
      </c>
      <c r="C181" s="3181" t="str">
        <f>Master!GD3</f>
        <v>Energypac Power Venture Thakurgaon Ltd.</v>
      </c>
      <c r="D181" s="1207" t="str">
        <f>VLOOKUP(C181,Forecast!$C$9:$E$181,3,0)</f>
        <v>HFO</v>
      </c>
      <c r="E181" s="3182" t="str">
        <f>Master!GD4</f>
        <v>IPP</v>
      </c>
      <c r="F181" s="3182">
        <f>Master!GD6</f>
        <v>115</v>
      </c>
      <c r="G181" s="1230">
        <f>Master!GD8</f>
        <v>115</v>
      </c>
      <c r="H181" s="987">
        <f>YesterdayGen!GD34</f>
        <v>90</v>
      </c>
      <c r="I181" s="1703">
        <f>YesterdayGen!GD31</f>
        <v>1260288</v>
      </c>
      <c r="J181" s="1705" t="str">
        <f>IF(EvReport!L181= 0, " ",EvReport!L181)</f>
        <v>Fuel shortage</v>
      </c>
      <c r="K181" s="229"/>
    </row>
    <row r="182" spans="1:11" ht="16.5" customHeight="1" thickBot="1">
      <c r="B182" s="1233"/>
      <c r="C182" s="1279" t="s">
        <v>46</v>
      </c>
      <c r="D182" s="1207" t="e">
        <f>VLOOKUP(C182,Forecast!$C$9:$E$181,3,0)</f>
        <v>#N/A</v>
      </c>
      <c r="E182" s="1280"/>
      <c r="F182" s="1280"/>
      <c r="G182" s="1281">
        <f>SUM(G174:G181)</f>
        <v>720</v>
      </c>
      <c r="H182" s="1309">
        <f>SUM(H174:H181)</f>
        <v>421</v>
      </c>
      <c r="I182" s="1309">
        <f>SUM(I174:I181)</f>
        <v>8049807</v>
      </c>
      <c r="J182" s="1282"/>
      <c r="K182" s="230"/>
    </row>
    <row r="183" spans="1:11" ht="16.5" customHeight="1" thickBot="1">
      <c r="B183" s="1233"/>
      <c r="C183" s="1234" t="s">
        <v>47</v>
      </c>
      <c r="D183" s="1207" t="e">
        <f>VLOOKUP(C183,Forecast!$C$9:$E$181,3,0)</f>
        <v>#N/A</v>
      </c>
      <c r="E183" s="1235"/>
      <c r="F183" s="1235"/>
      <c r="G183" s="1236">
        <f>G51+G74+G101+G110+G129+G143+G151+G173+G182</f>
        <v>21680</v>
      </c>
      <c r="H183" s="1236">
        <f>H51+H74+H101+H110+H129+H143+H151+H173+H182</f>
        <v>13227</v>
      </c>
      <c r="I183" s="1236">
        <f>I51+I74+I101+I110+I129+I143+I151+I173+I182</f>
        <v>268039474</v>
      </c>
      <c r="J183" s="1283"/>
      <c r="K183" s="231"/>
    </row>
    <row r="184" spans="1:11" s="258" customFormat="1" ht="16.5" customHeight="1" thickBot="1">
      <c r="A184" s="427"/>
      <c r="B184" s="1284"/>
      <c r="C184" s="1285" t="s">
        <v>497</v>
      </c>
      <c r="D184" s="1207" t="e">
        <f>VLOOKUP(C184,Forecast!$C$9:$E$181,3,0)</f>
        <v>#N/A</v>
      </c>
      <c r="E184" s="1285"/>
      <c r="F184" s="1285"/>
      <c r="G184" s="1285"/>
      <c r="H184" s="1285"/>
      <c r="I184" s="1285"/>
      <c r="J184" s="1286"/>
      <c r="K184" s="257"/>
    </row>
    <row r="185" spans="1:11" ht="16.5" customHeight="1" thickBot="1">
      <c r="A185" s="427"/>
      <c r="B185" s="1287"/>
      <c r="C185" s="1288" t="s">
        <v>498</v>
      </c>
      <c r="D185" s="1207" t="e">
        <f>VLOOKUP(C185,Forecast!$C$9:$E$181,3,0)</f>
        <v>#N/A</v>
      </c>
      <c r="E185" s="1288"/>
      <c r="F185" s="1288"/>
      <c r="G185" s="1289">
        <f>G51+G74+G101+G110+G129</f>
        <v>14489</v>
      </c>
      <c r="H185" s="1289">
        <f>H51+H74+H101+H110+H129</f>
        <v>8333</v>
      </c>
      <c r="I185" s="1289">
        <f>I51+I74+I101+I110+I129</f>
        <v>161099792</v>
      </c>
      <c r="J185" s="1290"/>
      <c r="K185" s="252"/>
    </row>
    <row r="186" spans="1:11" ht="21.95" customHeight="1" thickBot="1">
      <c r="A186" s="427"/>
      <c r="B186" s="1287"/>
      <c r="C186" s="1288" t="s">
        <v>499</v>
      </c>
      <c r="D186" s="1207" t="e">
        <f>VLOOKUP(C186,Forecast!$C$9:$E$181,3,0)</f>
        <v>#N/A</v>
      </c>
      <c r="E186" s="1288"/>
      <c r="F186" s="1288"/>
      <c r="G186" s="1289">
        <f>G143+G151+G173+G182</f>
        <v>7191</v>
      </c>
      <c r="H186" s="1289">
        <f>H143+H151+H173+H182</f>
        <v>4894</v>
      </c>
      <c r="I186" s="1289">
        <f>I143+I151+I173+I182</f>
        <v>106939682</v>
      </c>
      <c r="J186" s="1290"/>
      <c r="K186" s="278"/>
    </row>
    <row r="187" spans="1:11" ht="21.95" customHeight="1" thickBot="1">
      <c r="A187" s="632"/>
      <c r="B187" s="1287"/>
      <c r="C187" s="1288" t="s">
        <v>500</v>
      </c>
      <c r="D187" s="1207" t="e">
        <f>VLOOKUP(C187,Forecast!$C$9:$E$181,3,0)</f>
        <v>#N/A</v>
      </c>
      <c r="E187" s="1288"/>
      <c r="F187" s="1288"/>
      <c r="G187" s="1289">
        <f>G185+G186</f>
        <v>21680</v>
      </c>
      <c r="H187" s="1289">
        <f>H185+H186</f>
        <v>13227</v>
      </c>
      <c r="I187" s="1289">
        <f>I185+I186</f>
        <v>268039474</v>
      </c>
      <c r="J187" s="1290"/>
      <c r="K187" s="252"/>
    </row>
    <row r="188" spans="1:11" ht="21.95" customHeight="1">
      <c r="A188" s="232"/>
      <c r="B188" s="1432"/>
      <c r="C188" s="428"/>
      <c r="D188" s="428"/>
      <c r="E188" s="429"/>
      <c r="F188" s="430"/>
      <c r="G188" s="430"/>
      <c r="H188" s="431"/>
      <c r="I188" s="432"/>
      <c r="J188" s="1433"/>
      <c r="K188" s="252"/>
    </row>
    <row r="189" spans="1:11" ht="21.95" customHeight="1">
      <c r="A189" s="232"/>
      <c r="B189" s="1434" t="s">
        <v>501</v>
      </c>
      <c r="C189" s="426"/>
      <c r="D189" s="426"/>
      <c r="E189" s="425"/>
      <c r="F189" s="424"/>
      <c r="G189" s="434"/>
      <c r="H189" s="435"/>
      <c r="I189" s="432" t="s">
        <v>18</v>
      </c>
      <c r="J189" s="1433"/>
      <c r="K189" s="281"/>
    </row>
    <row r="190" spans="1:11" ht="21.95" customHeight="1">
      <c r="B190" s="1435"/>
      <c r="C190" s="1050"/>
      <c r="D190" s="1050"/>
      <c r="E190" s="1050"/>
      <c r="F190" s="1050"/>
      <c r="G190" s="1050"/>
      <c r="H190" s="699"/>
      <c r="I190" s="1050"/>
      <c r="J190" s="1436"/>
      <c r="K190" s="281"/>
    </row>
    <row r="191" spans="1:11" ht="21.95" customHeight="1">
      <c r="B191" s="1435"/>
      <c r="C191" s="1050"/>
      <c r="D191" s="1050"/>
      <c r="E191" s="1050"/>
      <c r="F191" s="1050"/>
      <c r="G191" s="1050"/>
      <c r="H191" s="1291"/>
      <c r="I191" s="1292" t="s">
        <v>375</v>
      </c>
      <c r="J191" s="1436"/>
      <c r="K191" s="281"/>
    </row>
    <row r="192" spans="1:11" ht="21.95" customHeight="1" thickBot="1">
      <c r="B192" s="1437"/>
      <c r="C192" s="1438"/>
      <c r="D192" s="1438"/>
      <c r="E192" s="1438"/>
      <c r="F192" s="1438"/>
      <c r="G192" s="1438"/>
      <c r="H192" s="1439"/>
      <c r="I192" s="1440" t="s">
        <v>377</v>
      </c>
      <c r="J192" s="1602"/>
      <c r="K192" s="281"/>
    </row>
    <row r="193" spans="8:11" ht="21.95" customHeight="1">
      <c r="H193" s="280"/>
      <c r="K193" s="281"/>
    </row>
    <row r="194" spans="8:11" ht="21.95" customHeight="1">
      <c r="H194" s="280"/>
      <c r="J194" s="1603" t="s">
        <v>874</v>
      </c>
      <c r="K194" s="281"/>
    </row>
    <row r="195" spans="8:11" ht="21.95" customHeight="1">
      <c r="H195" s="280"/>
      <c r="K195" s="281"/>
    </row>
    <row r="196" spans="8:11" ht="21.95" customHeight="1">
      <c r="H196" s="280"/>
    </row>
    <row r="197" spans="8:11" ht="21.95" customHeight="1">
      <c r="H197" s="280"/>
    </row>
    <row r="198" spans="8:11" ht="21.95" customHeight="1"/>
    <row r="199" spans="8:11" ht="21.95" customHeight="1"/>
    <row r="200" spans="8:11" ht="21.95" customHeight="1"/>
    <row r="201" spans="8:11" ht="21.95" customHeight="1"/>
    <row r="202" spans="8:11" ht="21.95" customHeight="1"/>
    <row r="203" spans="8:11" ht="21.95" customHeight="1"/>
    <row r="204" spans="8:11" ht="21.95" customHeight="1"/>
    <row r="205" spans="8:11" ht="21.95" customHeight="1"/>
    <row r="206" spans="8:11" ht="21.95" customHeight="1"/>
    <row r="207" spans="8:11" ht="21.95" customHeight="1"/>
    <row r="208" spans="8:11" ht="21.95" customHeight="1"/>
    <row r="209" spans="2:2" ht="21.95" customHeight="1"/>
    <row r="210" spans="2:2" ht="21.95" customHeight="1"/>
    <row r="211" spans="2:2" ht="21.95" customHeight="1"/>
    <row r="212" spans="2:2" ht="21.95" customHeight="1"/>
    <row r="213" spans="2:2" ht="21.95" customHeight="1"/>
    <row r="214" spans="2:2" ht="21.95" customHeight="1"/>
    <row r="215" spans="2:2" ht="21.95" customHeight="1"/>
    <row r="216" spans="2:2">
      <c r="B216" s="175" t="str">
        <f>IF(EvReport!L216= 0, " ",EvReport!L216)</f>
        <v xml:space="preserve"> </v>
      </c>
    </row>
    <row r="233" spans="2:2">
      <c r="B233" s="175" t="str">
        <f>IF(EvReport!L233= 0, " ",EvReport!L233)</f>
        <v xml:space="preserve"> </v>
      </c>
    </row>
  </sheetData>
  <customSheetViews>
    <customSheetView guid="{751D391F-C74F-4B53-B5B5-25E01AC12EA4}" scale="85" showPageBreaks="1" printArea="1">
      <pane xSplit="3" ySplit="6" topLeftCell="D7" activePane="bottomRight" state="frozen"/>
      <selection pane="bottomRight" sqref="A1:J190"/>
      <rowBreaks count="1" manualBreakCount="1">
        <brk id="108" min="1" max="9" man="1"/>
      </rowBreaks>
      <pageMargins left="0.21" right="0.33" top="0.16" bottom="0.16" header="0.16" footer="0.16"/>
      <printOptions horizontalCentered="1"/>
      <pageSetup paperSize="9" scale="44" orientation="portrait" horizontalDpi="4294967295" verticalDpi="4294967295" r:id="rId1"/>
    </customSheetView>
    <customSheetView guid="{5A803268-F6C5-4035-B3E1-A94CB9AA8994}" showPageBreaks="1" printArea="1" topLeftCell="A2">
      <selection activeCell="A70" sqref="A70:XFD70"/>
      <rowBreaks count="1" manualBreakCount="1">
        <brk id="109" min="1" max="9" man="1"/>
      </rowBreaks>
      <pageMargins left="0.21" right="0.21" top="0.16" bottom="0.16" header="0.16" footer="0.16"/>
      <printOptions horizontalCentered="1"/>
      <pageSetup paperSize="9" scale="43" orientation="portrait" r:id="rId2"/>
    </customSheetView>
    <customSheetView guid="{917057C8-5E5F-4164-B84C-85103677A2E5}" scale="85">
      <pane ySplit="5" topLeftCell="A51" activePane="bottomLeft" state="frozen"/>
      <selection pane="bottomLeft" sqref="A1:J181"/>
      <rowBreaks count="1" manualBreakCount="1">
        <brk id="102" min="1" max="9" man="1"/>
      </rowBreaks>
      <pageMargins left="0.21" right="0.33" top="0.16" bottom="0.16" header="0.16" footer="0.16"/>
      <printOptions horizontalCentered="1"/>
      <pageSetup paperSize="9" scale="47" orientation="portrait" r:id="rId3"/>
    </customSheetView>
    <customSheetView guid="{4593F3EE-0998-4E0E-994A-E02D6BAF3A4B}" scale="85" showPageBreaks="1" printArea="1">
      <selection activeCell="H144" sqref="H144"/>
      <rowBreaks count="1" manualBreakCount="1">
        <brk id="99" min="1" max="9" man="1"/>
      </rowBreaks>
      <pageMargins left="0.21" right="0.33" top="0.16" bottom="0.16" header="0.16" footer="0.16"/>
      <printOptions horizontalCentered="1"/>
      <pageSetup paperSize="9" scale="47" orientation="portrait" r:id="rId4"/>
    </customSheetView>
    <customSheetView guid="{23F4DC00-BC97-4745-AA5C-F05D469CB1EF}" showPageBreaks="1" printArea="1" topLeftCell="A2">
      <selection activeCell="A137" sqref="A137:XFD137"/>
      <rowBreaks count="1" manualBreakCount="1">
        <brk id="108" min="1" max="9" man="1"/>
      </rowBreaks>
      <pageMargins left="0.21" right="0.21" top="0.16" bottom="0.16" header="0.16" footer="0.16"/>
      <printOptions horizontalCentered="1"/>
      <pageSetup paperSize="9" scale="43" orientation="portrait" r:id="rId5"/>
    </customSheetView>
    <customSheetView guid="{B91C2E87-5EDA-40AE-AC27-0E2C17E803CE}" scale="85" showPageBreaks="1" printArea="1">
      <selection activeCell="K18" sqref="K18"/>
      <rowBreaks count="1" manualBreakCount="1">
        <brk id="100" max="9" man="1"/>
      </rowBreaks>
      <pageMargins left="0.21" right="0.33" top="0.16" bottom="0.16" header="0.16" footer="0.16"/>
      <printOptions horizontalCentered="1"/>
      <pageSetup paperSize="9" scale="46" orientation="portrait" r:id="rId6"/>
    </customSheetView>
    <customSheetView guid="{7C71EF2A-5ADA-494C-8F58-DDA71753DD90}" showPageBreaks="1" printArea="1">
      <pane xSplit="4" ySplit="7" topLeftCell="E36" activePane="bottomRight" state="frozen"/>
      <selection pane="bottomRight" activeCell="B32" sqref="B32"/>
      <rowBreaks count="1" manualBreakCount="1">
        <brk id="100" min="1" max="9" man="1"/>
      </rowBreaks>
      <pageMargins left="0.21" right="0.33" top="0.16" bottom="0.16" header="0.16" footer="0.16"/>
      <printOptions horizontalCentered="1"/>
      <pageSetup paperSize="9" scale="47" orientation="portrait" horizontalDpi="4294967295" verticalDpi="4294967295" r:id="rId7"/>
    </customSheetView>
    <customSheetView guid="{4DB6C640-CE65-4513-9E5A-F6CDD1F4B8AF}" scale="85" showPageBreaks="1">
      <pane xSplit="3" ySplit="6" topLeftCell="D7" activePane="bottomRight" state="frozen"/>
      <selection pane="bottomRight" activeCell="A81" sqref="A81:XFD81"/>
      <rowBreaks count="1" manualBreakCount="1">
        <brk id="110" min="1" max="9" man="1"/>
      </rowBreaks>
      <pageMargins left="0.21" right="0.33" top="0.16" bottom="0.16" header="0.16" footer="0.16"/>
      <printOptions horizontalCentered="1"/>
      <pageSetup paperSize="9" scale="44" orientation="portrait" horizontalDpi="4294967295" verticalDpi="4294967295" r:id="rId8"/>
    </customSheetView>
    <customSheetView guid="{D1D1E152-95AB-45D3-AC07-4EC0834D3E0C}" scale="85">
      <pane xSplit="3" ySplit="6" topLeftCell="D83" activePane="bottomRight" state="frozen"/>
      <selection pane="bottomRight" activeCell="A143" sqref="A143:XFD143"/>
      <rowBreaks count="1" manualBreakCount="1">
        <brk id="109" min="1" max="9" man="1"/>
      </rowBreaks>
      <pageMargins left="0.21" right="0.33" top="0.16" bottom="0.16" header="0.16" footer="0.16"/>
      <printOptions horizontalCentered="1"/>
      <pageSetup paperSize="9" scale="44" orientation="portrait" horizontalDpi="4294967295" verticalDpi="4294967295" r:id="rId9"/>
    </customSheetView>
    <customSheetView guid="{C3348F62-02F2-4500-9BF2-19F2DEA57A8D}" scale="83" showPageBreaks="1" printArea="1">
      <pane xSplit="3" ySplit="6" topLeftCell="D7" activePane="bottomRight" state="frozen"/>
      <selection pane="bottomRight" sqref="A1:J194"/>
      <rowBreaks count="1" manualBreakCount="1">
        <brk id="109" min="1" max="9" man="1"/>
      </rowBreaks>
      <pageMargins left="0.21" right="0.33" top="0.16" bottom="0.16" header="0.16" footer="0.16"/>
      <printOptions horizontalCentered="1"/>
      <pageSetup paperSize="9" scale="44" orientation="portrait" horizontalDpi="4294967295" verticalDpi="4294967295" r:id="rId10"/>
    </customSheetView>
  </customSheetViews>
  <printOptions horizontalCentered="1"/>
  <pageMargins left="0.21" right="0.33" top="0.16" bottom="0.16" header="0.16" footer="0.16"/>
  <pageSetup paperSize="9" scale="44" orientation="portrait" horizontalDpi="4294967295" verticalDpi="4294967295" r:id="rId11"/>
  <rowBreaks count="1" manualBreakCount="1">
    <brk id="109" min="1" max="9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F0"/>
  </sheetPr>
  <dimension ref="A1:P122"/>
  <sheetViews>
    <sheetView topLeftCell="A16" workbookViewId="0">
      <selection activeCell="B52" sqref="B52"/>
    </sheetView>
  </sheetViews>
  <sheetFormatPr defaultColWidth="9.140625" defaultRowHeight="15"/>
  <cols>
    <col min="1" max="1" width="20" style="5" customWidth="1"/>
    <col min="2" max="2" width="10.28515625" style="5" customWidth="1"/>
    <col min="3" max="3" width="14.28515625" style="5" customWidth="1"/>
    <col min="4" max="4" width="7.85546875" style="5" customWidth="1"/>
    <col min="5" max="5" width="12.28515625" style="5" customWidth="1"/>
    <col min="6" max="6" width="8.140625" style="5" customWidth="1"/>
    <col min="7" max="7" width="10" style="5" customWidth="1"/>
    <col min="8" max="8" width="6.7109375" style="5" customWidth="1"/>
    <col min="9" max="9" width="12.5703125" style="5" customWidth="1"/>
    <col min="10" max="10" width="34.28515625" style="5" customWidth="1"/>
    <col min="11" max="11" width="6.7109375" style="5" customWidth="1"/>
    <col min="12" max="14" width="9.140625" style="5" customWidth="1"/>
    <col min="15" max="16384" width="9.140625" style="5"/>
  </cols>
  <sheetData>
    <row r="1" spans="1:16">
      <c r="A1" s="284"/>
      <c r="B1" s="284" t="s">
        <v>18</v>
      </c>
      <c r="C1" s="284"/>
      <c r="D1" s="284"/>
      <c r="E1" s="284"/>
      <c r="F1" s="284"/>
      <c r="G1" s="284"/>
      <c r="H1" s="284"/>
      <c r="I1" s="284"/>
      <c r="J1" s="284"/>
      <c r="K1" s="284"/>
      <c r="L1" s="284"/>
    </row>
    <row r="2" spans="1:16" ht="18">
      <c r="A2" s="232"/>
      <c r="B2" s="232"/>
      <c r="C2" s="285"/>
      <c r="D2" s="286" t="s">
        <v>378</v>
      </c>
      <c r="E2" s="287"/>
      <c r="F2" s="232"/>
      <c r="G2" s="232"/>
      <c r="H2" s="288"/>
      <c r="I2" s="289"/>
      <c r="J2" s="288"/>
      <c r="K2" s="284"/>
      <c r="L2" s="284"/>
      <c r="P2" s="1303"/>
    </row>
    <row r="3" spans="1:16">
      <c r="A3" s="232"/>
      <c r="B3" s="232"/>
      <c r="C3" s="269"/>
      <c r="D3" s="269"/>
      <c r="E3" s="285"/>
      <c r="F3" s="232"/>
      <c r="G3" s="232"/>
      <c r="H3" s="288"/>
      <c r="I3" s="288"/>
      <c r="J3" s="232"/>
      <c r="K3" s="284"/>
      <c r="L3" s="284"/>
      <c r="P3" s="1303"/>
    </row>
    <row r="4" spans="1:16">
      <c r="A4" s="232"/>
      <c r="B4" s="232"/>
      <c r="C4" s="232"/>
      <c r="D4" s="232"/>
      <c r="E4" s="232"/>
      <c r="F4" s="232"/>
      <c r="G4" s="232"/>
      <c r="H4" s="232"/>
      <c r="I4" s="189"/>
      <c r="J4" s="232"/>
      <c r="K4" s="284"/>
      <c r="L4" s="284"/>
      <c r="P4" s="1303"/>
    </row>
    <row r="5" spans="1:16">
      <c r="A5" s="232"/>
      <c r="B5" s="232"/>
      <c r="C5" s="440" t="s">
        <v>379</v>
      </c>
      <c r="D5" s="232"/>
      <c r="E5" s="232"/>
      <c r="F5" s="232"/>
      <c r="G5" s="232"/>
      <c r="H5" s="232"/>
      <c r="I5" s="288"/>
      <c r="J5" s="232"/>
      <c r="K5" s="284"/>
      <c r="L5" s="290"/>
      <c r="P5" s="1303"/>
    </row>
    <row r="6" spans="1:16" ht="15.75">
      <c r="A6" s="232"/>
      <c r="B6" s="232"/>
      <c r="C6" s="443"/>
      <c r="D6" s="232"/>
      <c r="E6" s="232"/>
      <c r="F6" s="232"/>
      <c r="G6" s="291"/>
      <c r="H6" s="529" t="s">
        <v>380</v>
      </c>
      <c r="I6" s="705">
        <f>YesterdayGen!A2</f>
        <v>43318</v>
      </c>
      <c r="J6" s="232"/>
      <c r="K6" s="284"/>
      <c r="L6" s="290"/>
      <c r="P6" s="1303"/>
    </row>
    <row r="7" spans="1:16">
      <c r="A7" s="291"/>
      <c r="B7" s="291"/>
      <c r="C7" s="706" t="s">
        <v>381</v>
      </c>
      <c r="D7" s="291"/>
      <c r="E7" s="292">
        <f>EvReport!D184</f>
        <v>14200</v>
      </c>
      <c r="F7" s="704" t="s">
        <v>382</v>
      </c>
      <c r="G7" s="707">
        <f>EvReport!L6</f>
        <v>0.875</v>
      </c>
      <c r="H7" s="707"/>
      <c r="I7" s="291"/>
      <c r="J7" s="291"/>
      <c r="K7" s="284"/>
      <c r="L7" s="290"/>
      <c r="P7" s="1303"/>
    </row>
    <row r="8" spans="1:16">
      <c r="A8" s="291"/>
      <c r="B8" s="291"/>
      <c r="C8" s="706" t="s">
        <v>383</v>
      </c>
      <c r="D8" s="291"/>
      <c r="E8" s="292">
        <f>EvReport!D185</f>
        <v>13227</v>
      </c>
      <c r="F8" s="704" t="s">
        <v>382</v>
      </c>
      <c r="G8" s="708" t="s">
        <v>384</v>
      </c>
      <c r="H8" s="291"/>
      <c r="I8" s="291"/>
      <c r="J8" s="291"/>
      <c r="K8" s="284"/>
      <c r="L8" s="290"/>
      <c r="P8" s="1303"/>
    </row>
    <row r="9" spans="1:16">
      <c r="A9" s="291"/>
      <c r="B9" s="291"/>
      <c r="C9" s="706" t="s">
        <v>385</v>
      </c>
      <c r="D9" s="291"/>
      <c r="E9" s="292">
        <f>G23</f>
        <v>897</v>
      </c>
      <c r="F9" s="704" t="s">
        <v>382</v>
      </c>
      <c r="G9" s="709" t="s">
        <v>384</v>
      </c>
      <c r="H9" s="291"/>
      <c r="I9" s="291"/>
      <c r="J9" s="291"/>
      <c r="K9" s="284"/>
      <c r="L9" s="290"/>
      <c r="P9" s="1303"/>
    </row>
    <row r="10" spans="1:16">
      <c r="A10" s="291"/>
      <c r="B10" s="291"/>
      <c r="C10" s="706" t="s">
        <v>386</v>
      </c>
      <c r="D10" s="291"/>
      <c r="E10" s="293">
        <f>E9/E8</f>
        <v>6.7815831254252668E-2</v>
      </c>
      <c r="F10" s="291"/>
      <c r="G10" s="291"/>
      <c r="H10" s="291"/>
      <c r="I10" s="291"/>
      <c r="J10" s="291"/>
      <c r="K10" s="284"/>
      <c r="L10" s="290"/>
      <c r="P10" s="1303"/>
    </row>
    <row r="11" spans="1:16">
      <c r="A11" s="291"/>
      <c r="B11" s="291"/>
      <c r="C11" s="294"/>
      <c r="D11" s="291"/>
      <c r="E11" s="291"/>
      <c r="F11" s="291"/>
      <c r="G11" s="291"/>
      <c r="H11" s="291"/>
      <c r="I11" s="291"/>
      <c r="J11" s="291"/>
      <c r="K11" s="284"/>
      <c r="L11" s="284"/>
      <c r="P11" s="1303"/>
    </row>
    <row r="12" spans="1:16" ht="15.75">
      <c r="A12" s="710" t="s">
        <v>52</v>
      </c>
      <c r="B12" s="711"/>
      <c r="C12" s="712" t="s">
        <v>387</v>
      </c>
      <c r="D12" s="713"/>
      <c r="E12" s="714" t="s">
        <v>388</v>
      </c>
      <c r="F12" s="713"/>
      <c r="G12" s="715" t="s">
        <v>389</v>
      </c>
      <c r="H12" s="713"/>
      <c r="I12" s="714" t="s">
        <v>390</v>
      </c>
      <c r="J12" s="716"/>
      <c r="K12" s="284"/>
      <c r="L12" s="284"/>
      <c r="P12" s="1303"/>
    </row>
    <row r="13" spans="1:16" ht="15.75">
      <c r="A13" s="717"/>
      <c r="B13" s="718"/>
      <c r="C13" s="719" t="s">
        <v>36</v>
      </c>
      <c r="D13" s="720"/>
      <c r="E13" s="721" t="s">
        <v>36</v>
      </c>
      <c r="F13" s="722"/>
      <c r="G13" s="721" t="s">
        <v>36</v>
      </c>
      <c r="H13" s="723"/>
      <c r="I13" s="718"/>
      <c r="J13" s="724"/>
      <c r="K13" s="284"/>
      <c r="L13" s="284"/>
      <c r="P13" s="1303"/>
    </row>
    <row r="14" spans="1:16" ht="15.75">
      <c r="A14" s="725" t="s">
        <v>10</v>
      </c>
      <c r="B14" s="726"/>
      <c r="C14" s="302">
        <f>EvReport!H193</f>
        <v>4991.78</v>
      </c>
      <c r="D14" s="727"/>
      <c r="E14" s="302">
        <f>EvReport!E193</f>
        <v>4821.78</v>
      </c>
      <c r="F14" s="727"/>
      <c r="G14" s="302">
        <f>EvReport!J193</f>
        <v>170</v>
      </c>
      <c r="H14" s="727"/>
      <c r="I14" s="728">
        <f t="shared" ref="I14:I22" si="0">IF(L14/C14&gt;0,L14/C14,"-")</f>
        <v>3.4055988044344905E-2</v>
      </c>
      <c r="J14" s="729"/>
      <c r="K14" s="284"/>
      <c r="L14" s="295">
        <f>Ch!C14-Ch!E14</f>
        <v>170</v>
      </c>
      <c r="P14" s="1303"/>
    </row>
    <row r="15" spans="1:16" ht="15.75">
      <c r="A15" s="730" t="s">
        <v>16</v>
      </c>
      <c r="B15" s="731"/>
      <c r="C15" s="302">
        <f>EvReport!H194</f>
        <v>1295.5</v>
      </c>
      <c r="D15" s="732"/>
      <c r="E15" s="302">
        <f>EvReport!E194</f>
        <v>1245.5</v>
      </c>
      <c r="F15" s="732"/>
      <c r="G15" s="302">
        <f>EvReport!J194</f>
        <v>50</v>
      </c>
      <c r="H15" s="732"/>
      <c r="I15" s="728">
        <f t="shared" si="0"/>
        <v>3.8595137012736397E-2</v>
      </c>
      <c r="J15" s="729"/>
      <c r="K15" s="284"/>
      <c r="L15" s="295">
        <f>Ch!C15-Ch!E15</f>
        <v>50</v>
      </c>
      <c r="O15" s="5" t="s">
        <v>18</v>
      </c>
      <c r="P15" s="1303"/>
    </row>
    <row r="16" spans="1:16" ht="15.75">
      <c r="A16" s="730" t="s">
        <v>331</v>
      </c>
      <c r="B16" s="731"/>
      <c r="C16" s="302">
        <f>EvReport!H195</f>
        <v>1640</v>
      </c>
      <c r="D16" s="732"/>
      <c r="E16" s="302">
        <f>EvReport!E195</f>
        <v>1480</v>
      </c>
      <c r="F16" s="732"/>
      <c r="G16" s="302">
        <f>EvReport!J195</f>
        <v>160</v>
      </c>
      <c r="H16" s="732"/>
      <c r="I16" s="728">
        <f t="shared" si="0"/>
        <v>9.7560975609756101E-2</v>
      </c>
      <c r="J16" s="729"/>
      <c r="K16" s="284"/>
      <c r="L16" s="295">
        <f>Ch!C16-Ch!E16</f>
        <v>160</v>
      </c>
      <c r="P16" s="1303"/>
    </row>
    <row r="17" spans="1:16" ht="15.75">
      <c r="A17" s="730" t="s">
        <v>55</v>
      </c>
      <c r="B17" s="731"/>
      <c r="C17" s="302">
        <f>EvReport!H196</f>
        <v>1371.4</v>
      </c>
      <c r="D17" s="732"/>
      <c r="E17" s="302">
        <f>EvReport!E196</f>
        <v>1251.4000000000001</v>
      </c>
      <c r="F17" s="732"/>
      <c r="G17" s="302">
        <f>EvReport!J196</f>
        <v>120</v>
      </c>
      <c r="H17" s="732"/>
      <c r="I17" s="728">
        <f t="shared" si="0"/>
        <v>8.7501822954644884E-2</v>
      </c>
      <c r="J17" s="729"/>
      <c r="K17" s="284"/>
      <c r="L17" s="295">
        <f>Ch!C17-Ch!E17</f>
        <v>120</v>
      </c>
      <c r="P17" s="1303"/>
    </row>
    <row r="18" spans="1:16" ht="15.75">
      <c r="A18" s="730" t="s">
        <v>9</v>
      </c>
      <c r="B18" s="731"/>
      <c r="C18" s="302">
        <f>EvReport!H197</f>
        <v>1268</v>
      </c>
      <c r="D18" s="732"/>
      <c r="E18" s="302">
        <f>EvReport!E197</f>
        <v>1168</v>
      </c>
      <c r="F18" s="732"/>
      <c r="G18" s="302">
        <f>EvReport!J197</f>
        <v>100</v>
      </c>
      <c r="H18" s="732"/>
      <c r="I18" s="728">
        <f t="shared" si="0"/>
        <v>7.8864353312302835E-2</v>
      </c>
      <c r="J18" s="729"/>
      <c r="K18" s="284"/>
      <c r="L18" s="295">
        <f>Ch!C18-Ch!E18</f>
        <v>100</v>
      </c>
      <c r="P18" s="1303"/>
    </row>
    <row r="19" spans="1:16" ht="15.75">
      <c r="A19" s="730" t="s">
        <v>106</v>
      </c>
      <c r="B19" s="731"/>
      <c r="C19" s="302">
        <f>EvReport!H198</f>
        <v>1019</v>
      </c>
      <c r="D19" s="732"/>
      <c r="E19" s="302">
        <f>EvReport!E198</f>
        <v>839</v>
      </c>
      <c r="F19" s="732"/>
      <c r="G19" s="302">
        <f>EvReport!J198</f>
        <v>180</v>
      </c>
      <c r="H19" s="732"/>
      <c r="I19" s="728">
        <f t="shared" si="0"/>
        <v>0.17664376840039253</v>
      </c>
      <c r="J19" s="733"/>
      <c r="K19" s="284"/>
      <c r="L19" s="295">
        <f>Ch!C19-Ch!E19</f>
        <v>180</v>
      </c>
      <c r="P19" s="1303"/>
    </row>
    <row r="20" spans="1:16" ht="15.75">
      <c r="A20" s="730" t="s">
        <v>4</v>
      </c>
      <c r="B20" s="731"/>
      <c r="C20" s="302">
        <f>EvReport!H199</f>
        <v>568</v>
      </c>
      <c r="D20" s="732"/>
      <c r="E20" s="302">
        <f>EvReport!E199</f>
        <v>488</v>
      </c>
      <c r="F20" s="732"/>
      <c r="G20" s="302">
        <f>EvReport!J199</f>
        <v>80</v>
      </c>
      <c r="H20" s="732"/>
      <c r="I20" s="728">
        <f t="shared" si="0"/>
        <v>0.14084507042253522</v>
      </c>
      <c r="J20" s="729"/>
      <c r="K20" s="284"/>
      <c r="L20" s="295">
        <f>Ch!C20-Ch!E20</f>
        <v>80</v>
      </c>
      <c r="P20" s="1303"/>
    </row>
    <row r="21" spans="1:16" ht="15.75">
      <c r="A21" s="734" t="s">
        <v>56</v>
      </c>
      <c r="B21" s="731"/>
      <c r="C21" s="302">
        <f>EvReport!H200</f>
        <v>401.86</v>
      </c>
      <c r="D21" s="732"/>
      <c r="E21" s="302">
        <f>EvReport!E200</f>
        <v>401.86</v>
      </c>
      <c r="F21" s="732"/>
      <c r="G21" s="302">
        <f>EvReport!J200</f>
        <v>0</v>
      </c>
      <c r="H21" s="732"/>
      <c r="I21" s="728" t="str">
        <f t="shared" si="0"/>
        <v>-</v>
      </c>
      <c r="J21" s="733"/>
      <c r="K21" s="284"/>
      <c r="L21" s="295">
        <f>Ch!C21-Ch!E21</f>
        <v>0</v>
      </c>
      <c r="P21" s="1303"/>
    </row>
    <row r="22" spans="1:16" ht="15.75">
      <c r="A22" s="730" t="s">
        <v>6</v>
      </c>
      <c r="B22" s="735"/>
      <c r="C22" s="302">
        <f>EvReport!H201</f>
        <v>945</v>
      </c>
      <c r="D22" s="736"/>
      <c r="E22" s="302">
        <f>EvReport!E201</f>
        <v>908</v>
      </c>
      <c r="F22" s="736"/>
      <c r="G22" s="302">
        <f>EvReport!J201</f>
        <v>37</v>
      </c>
      <c r="H22" s="737"/>
      <c r="I22" s="728">
        <f t="shared" si="0"/>
        <v>3.9153439153439155E-2</v>
      </c>
      <c r="J22" s="729"/>
      <c r="K22" s="284"/>
      <c r="L22" s="295">
        <f>Ch!C22-Ch!E22</f>
        <v>37</v>
      </c>
      <c r="P22" s="1303"/>
    </row>
    <row r="23" spans="1:16" ht="15.75">
      <c r="A23" s="738" t="s">
        <v>12</v>
      </c>
      <c r="B23" s="718"/>
      <c r="C23" s="302">
        <f>SUM(C14:C22)</f>
        <v>13500.54</v>
      </c>
      <c r="D23" s="723"/>
      <c r="E23" s="302">
        <f>SUM(E14:E22)</f>
        <v>12603.54</v>
      </c>
      <c r="F23" s="302"/>
      <c r="G23" s="302">
        <f>SUM(G14:G22)</f>
        <v>897</v>
      </c>
      <c r="H23" s="723"/>
      <c r="I23" s="728"/>
      <c r="J23" s="739"/>
      <c r="K23" s="657"/>
      <c r="L23" s="296">
        <f>SUM(L14:L22)</f>
        <v>897</v>
      </c>
      <c r="M23" s="5">
        <f>SUM(E14:E22)</f>
        <v>12603.54</v>
      </c>
      <c r="P23" s="1303"/>
    </row>
    <row r="24" spans="1:16">
      <c r="A24" s="740"/>
      <c r="B24" s="741"/>
      <c r="C24" s="742"/>
      <c r="D24" s="741"/>
      <c r="E24" s="743"/>
      <c r="F24" s="741"/>
      <c r="G24" s="742"/>
      <c r="H24" s="741"/>
      <c r="I24" s="744"/>
      <c r="J24" s="741"/>
      <c r="K24" s="284"/>
      <c r="L24" s="296">
        <f>K23-M23</f>
        <v>-12603.54</v>
      </c>
      <c r="P24" s="1303"/>
    </row>
    <row r="25" spans="1:16">
      <c r="A25" s="208"/>
      <c r="B25" s="534"/>
      <c r="C25" s="745"/>
      <c r="D25" s="534"/>
      <c r="E25" s="745"/>
      <c r="F25" s="534"/>
      <c r="G25" s="745"/>
      <c r="H25" s="534"/>
      <c r="I25" s="746"/>
      <c r="J25" s="534"/>
      <c r="K25" s="284"/>
      <c r="L25" s="296"/>
      <c r="P25" s="1457"/>
    </row>
    <row r="26" spans="1:16" ht="18">
      <c r="A26" s="407"/>
      <c r="B26" s="232"/>
      <c r="C26" s="440" t="s">
        <v>391</v>
      </c>
      <c r="D26" s="443"/>
      <c r="E26" s="443"/>
      <c r="F26" s="443"/>
      <c r="G26" s="443"/>
      <c r="H26" s="443"/>
      <c r="I26" s="232"/>
      <c r="J26" s="232"/>
      <c r="K26" s="284"/>
      <c r="L26" s="284"/>
      <c r="P26" s="1303"/>
    </row>
    <row r="27" spans="1:16">
      <c r="A27" s="423"/>
      <c r="B27" s="443"/>
      <c r="C27" s="443"/>
      <c r="D27" s="443"/>
      <c r="E27" s="747"/>
      <c r="F27" s="443"/>
      <c r="G27" s="747"/>
      <c r="H27" s="443"/>
      <c r="I27" s="232"/>
      <c r="J27" s="232"/>
      <c r="K27" s="284"/>
      <c r="L27" s="284"/>
      <c r="P27" s="1303"/>
    </row>
    <row r="28" spans="1:16" ht="15.75">
      <c r="A28" s="748"/>
      <c r="B28" s="749"/>
      <c r="C28" s="706" t="s">
        <v>392</v>
      </c>
      <c r="D28" s="291"/>
      <c r="E28" s="702">
        <f>Forecast!G206</f>
        <v>14200</v>
      </c>
      <c r="F28" s="703" t="s">
        <v>36</v>
      </c>
      <c r="G28" s="748"/>
      <c r="H28" s="704" t="s">
        <v>380</v>
      </c>
      <c r="I28" s="705">
        <f>Forecast!E3</f>
        <v>43318</v>
      </c>
      <c r="J28" s="291"/>
      <c r="K28" s="284"/>
      <c r="L28" s="284"/>
      <c r="P28" s="1303"/>
    </row>
    <row r="29" spans="1:16" ht="15.75">
      <c r="A29" s="748"/>
      <c r="B29" s="749"/>
      <c r="C29" s="706" t="s">
        <v>393</v>
      </c>
      <c r="D29" s="748"/>
      <c r="E29" s="702">
        <f>Forecast!G207</f>
        <v>13539</v>
      </c>
      <c r="F29" s="703" t="s">
        <v>36</v>
      </c>
      <c r="G29" s="748"/>
      <c r="H29" s="748"/>
      <c r="I29" s="291"/>
      <c r="J29" s="291"/>
      <c r="K29" s="284"/>
      <c r="L29" s="284"/>
      <c r="M29" s="5" t="s">
        <v>394</v>
      </c>
    </row>
    <row r="30" spans="1:16" ht="15.75">
      <c r="A30" s="748"/>
      <c r="B30" s="749"/>
      <c r="C30" s="706" t="s">
        <v>395</v>
      </c>
      <c r="D30" s="748"/>
      <c r="E30" s="702">
        <f>Forecast!O206</f>
        <v>609.62068669853375</v>
      </c>
      <c r="F30" s="703" t="s">
        <v>36</v>
      </c>
      <c r="G30" s="748"/>
      <c r="H30" s="748"/>
      <c r="I30" s="291"/>
      <c r="J30" s="291"/>
      <c r="K30" s="284"/>
      <c r="L30" s="284"/>
    </row>
    <row r="31" spans="1:16" ht="15.75">
      <c r="A31" s="748"/>
      <c r="B31" s="748"/>
      <c r="C31" s="748"/>
      <c r="D31" s="748"/>
      <c r="E31" s="702"/>
      <c r="F31" s="748"/>
      <c r="G31" s="748"/>
      <c r="H31" s="748"/>
      <c r="I31" s="291"/>
      <c r="J31" s="291"/>
      <c r="K31" s="284"/>
      <c r="L31" s="284"/>
    </row>
    <row r="32" spans="1:16" ht="15.75">
      <c r="A32" s="748"/>
      <c r="B32" s="748"/>
      <c r="C32" s="748"/>
      <c r="D32" s="748"/>
      <c r="E32" s="748"/>
      <c r="F32" s="748"/>
      <c r="G32" s="748"/>
      <c r="H32" s="748"/>
      <c r="I32" s="291"/>
      <c r="J32" s="291"/>
      <c r="K32" s="284"/>
      <c r="L32" s="284"/>
    </row>
    <row r="33" spans="1:12" ht="15.75">
      <c r="A33" s="710" t="s">
        <v>52</v>
      </c>
      <c r="B33" s="711"/>
      <c r="C33" s="712" t="s">
        <v>396</v>
      </c>
      <c r="D33" s="713"/>
      <c r="E33" s="715" t="s">
        <v>397</v>
      </c>
      <c r="F33" s="713"/>
      <c r="G33" s="714" t="s">
        <v>398</v>
      </c>
      <c r="H33" s="716"/>
      <c r="I33" s="297" t="s">
        <v>399</v>
      </c>
      <c r="J33" s="298"/>
      <c r="K33" s="284"/>
      <c r="L33" s="284"/>
    </row>
    <row r="34" spans="1:12" ht="15.75">
      <c r="A34" s="750"/>
      <c r="B34" s="751"/>
      <c r="C34" s="752" t="s">
        <v>36</v>
      </c>
      <c r="D34" s="752"/>
      <c r="E34" s="752" t="s">
        <v>36</v>
      </c>
      <c r="F34" s="299"/>
      <c r="G34" s="299"/>
      <c r="H34" s="753"/>
      <c r="I34" s="300"/>
      <c r="J34" s="301"/>
      <c r="K34" s="284"/>
      <c r="L34" s="284"/>
    </row>
    <row r="35" spans="1:12" ht="15.75">
      <c r="A35" s="725" t="s">
        <v>10</v>
      </c>
      <c r="B35" s="726"/>
      <c r="C35" s="302">
        <f>Forecast!W192</f>
        <v>4547.5118374999993</v>
      </c>
      <c r="D35" s="303"/>
      <c r="E35" s="302">
        <f>Forecast!J211</f>
        <v>134.38362184445668</v>
      </c>
      <c r="F35" s="303"/>
      <c r="G35" s="754">
        <f t="shared" ref="G35:G43" si="1">E35/C35</f>
        <v>2.9551021887682268E-2</v>
      </c>
      <c r="H35" s="755"/>
      <c r="I35" s="304"/>
      <c r="J35" s="305"/>
      <c r="K35" s="756"/>
      <c r="L35" s="306">
        <f>IF(E35&gt;0,E35,0)</f>
        <v>134.38362184445668</v>
      </c>
    </row>
    <row r="36" spans="1:12" ht="15.75">
      <c r="A36" s="730" t="s">
        <v>16</v>
      </c>
      <c r="B36" s="731"/>
      <c r="C36" s="302">
        <f>Forecast!W193</f>
        <v>1287.698316</v>
      </c>
      <c r="D36" s="307"/>
      <c r="E36" s="302">
        <f>Forecast!K211</f>
        <v>66.817497273513709</v>
      </c>
      <c r="F36" s="307"/>
      <c r="G36" s="754">
        <f t="shared" si="1"/>
        <v>5.1889092688316998E-2</v>
      </c>
      <c r="H36" s="757"/>
      <c r="I36" s="308"/>
      <c r="J36" s="309"/>
      <c r="K36" s="756"/>
      <c r="L36" s="306">
        <f>IF(E36&gt;0,E36,0)</f>
        <v>66.817497273513709</v>
      </c>
    </row>
    <row r="37" spans="1:12" ht="15.75">
      <c r="A37" s="730" t="s">
        <v>331</v>
      </c>
      <c r="B37" s="731"/>
      <c r="C37" s="302">
        <f>Forecast!W194</f>
        <v>1699.9188135000002</v>
      </c>
      <c r="D37" s="307"/>
      <c r="E37" s="302">
        <f>Forecast!L211</f>
        <v>95.111219877418307</v>
      </c>
      <c r="F37" s="307"/>
      <c r="G37" s="754">
        <f t="shared" si="1"/>
        <v>5.5950448410881301E-2</v>
      </c>
      <c r="H37" s="757"/>
      <c r="I37" s="308"/>
      <c r="J37" s="309"/>
      <c r="K37" s="756"/>
      <c r="L37" s="306">
        <f t="shared" ref="L37:L43" si="2">IF(E37&gt;0,E37,0)</f>
        <v>95.111219877418307</v>
      </c>
    </row>
    <row r="38" spans="1:12" ht="15.75">
      <c r="A38" s="730" t="s">
        <v>55</v>
      </c>
      <c r="B38" s="731"/>
      <c r="C38" s="302">
        <f>Forecast!W195</f>
        <v>1508.8578845</v>
      </c>
      <c r="D38" s="307"/>
      <c r="E38" s="302">
        <f>Forecast!M211</f>
        <v>93.047910739204553</v>
      </c>
      <c r="F38" s="307" t="s">
        <v>18</v>
      </c>
      <c r="G38" s="754">
        <f t="shared" si="1"/>
        <v>6.1667776465268921E-2</v>
      </c>
      <c r="H38" s="757"/>
      <c r="I38" s="308"/>
      <c r="J38" s="309"/>
      <c r="K38" s="756"/>
      <c r="L38" s="306">
        <f t="shared" si="2"/>
        <v>93.047910739204553</v>
      </c>
    </row>
    <row r="39" spans="1:12" ht="15.75">
      <c r="A39" s="730" t="s">
        <v>9</v>
      </c>
      <c r="B39" s="731"/>
      <c r="C39" s="302">
        <f>Forecast!W196</f>
        <v>1283.7724065</v>
      </c>
      <c r="D39" s="307"/>
      <c r="E39" s="302">
        <f>Forecast!N211</f>
        <v>74.906558687179086</v>
      </c>
      <c r="F39" s="307"/>
      <c r="G39" s="754">
        <f t="shared" si="1"/>
        <v>5.8348783871589691E-2</v>
      </c>
      <c r="H39" s="757"/>
      <c r="I39" s="308"/>
      <c r="J39" s="309"/>
      <c r="K39" s="758"/>
      <c r="L39" s="306">
        <f t="shared" si="2"/>
        <v>74.906558687179086</v>
      </c>
    </row>
    <row r="40" spans="1:12" ht="15.75">
      <c r="A40" s="759" t="s">
        <v>106</v>
      </c>
      <c r="B40" s="731"/>
      <c r="C40" s="302">
        <f>Forecast!W197</f>
        <v>1061.3042014999999</v>
      </c>
      <c r="D40" s="307"/>
      <c r="E40" s="302">
        <f>Forecast!O211</f>
        <v>67.710251164347596</v>
      </c>
      <c r="F40" s="307"/>
      <c r="G40" s="754">
        <f t="shared" si="1"/>
        <v>6.3799098381641148E-2</v>
      </c>
      <c r="H40" s="757"/>
      <c r="I40" s="308"/>
      <c r="J40" s="309"/>
      <c r="K40" s="756"/>
      <c r="L40" s="306">
        <f t="shared" si="2"/>
        <v>67.710251164347596</v>
      </c>
    </row>
    <row r="41" spans="1:12" ht="15.75">
      <c r="A41" s="730" t="s">
        <v>4</v>
      </c>
      <c r="B41" s="731"/>
      <c r="C41" s="302">
        <f>Forecast!W198</f>
        <v>473.72641300000004</v>
      </c>
      <c r="D41" s="307"/>
      <c r="E41" s="302">
        <f>Forecast!P211</f>
        <v>24.67774638977113</v>
      </c>
      <c r="F41" s="307"/>
      <c r="G41" s="754">
        <f t="shared" si="1"/>
        <v>5.2092823436828563E-2</v>
      </c>
      <c r="H41" s="757"/>
      <c r="I41" s="308"/>
      <c r="J41" s="309"/>
      <c r="K41" s="756"/>
      <c r="L41" s="306">
        <f t="shared" si="2"/>
        <v>24.67774638977113</v>
      </c>
    </row>
    <row r="42" spans="1:12" ht="15.75">
      <c r="A42" s="760" t="s">
        <v>56</v>
      </c>
      <c r="B42" s="731"/>
      <c r="C42" s="302">
        <f>Forecast!W199</f>
        <v>386.04776750000002</v>
      </c>
      <c r="D42" s="307"/>
      <c r="E42" s="302">
        <f>Forecast!Q211</f>
        <v>0</v>
      </c>
      <c r="F42" s="307"/>
      <c r="G42" s="754">
        <f t="shared" si="1"/>
        <v>0</v>
      </c>
      <c r="H42" s="757"/>
      <c r="I42" s="308"/>
      <c r="J42" s="309"/>
      <c r="K42" s="756"/>
      <c r="L42" s="306">
        <f t="shared" si="2"/>
        <v>0</v>
      </c>
    </row>
    <row r="43" spans="1:12" ht="15.75">
      <c r="A43" s="734" t="s">
        <v>6</v>
      </c>
      <c r="B43" s="761"/>
      <c r="C43" s="302">
        <f>Forecast!W200</f>
        <v>837.52736000000004</v>
      </c>
      <c r="D43" s="310"/>
      <c r="E43" s="302">
        <f>Forecast!R211</f>
        <v>52.965880722642623</v>
      </c>
      <c r="F43" s="310"/>
      <c r="G43" s="754">
        <f t="shared" si="1"/>
        <v>6.3240776662678369E-2</v>
      </c>
      <c r="H43" s="762"/>
      <c r="I43" s="308"/>
      <c r="J43" s="309"/>
      <c r="K43" s="756"/>
      <c r="L43" s="306">
        <f t="shared" si="2"/>
        <v>52.965880722642623</v>
      </c>
    </row>
    <row r="44" spans="1:12" ht="15.75">
      <c r="A44" s="763" t="s">
        <v>12</v>
      </c>
      <c r="B44" s="764"/>
      <c r="C44" s="311">
        <f>SUM(C35:C43)</f>
        <v>13086.365</v>
      </c>
      <c r="D44" s="311"/>
      <c r="E44" s="311">
        <f>SUM(E35:E43)</f>
        <v>609.62068669853375</v>
      </c>
      <c r="F44" s="312"/>
      <c r="G44" s="765"/>
      <c r="H44" s="766"/>
      <c r="I44" s="313"/>
      <c r="J44" s="314"/>
      <c r="K44" s="767"/>
      <c r="L44" s="306">
        <f>SUM(L35:L43)</f>
        <v>609.62068669853375</v>
      </c>
    </row>
    <row r="45" spans="1:12">
      <c r="A45" s="315"/>
      <c r="B45" s="316"/>
      <c r="C45" s="316"/>
      <c r="D45" s="316"/>
      <c r="E45" s="316"/>
      <c r="F45" s="316"/>
      <c r="G45" s="317"/>
      <c r="H45" s="317"/>
      <c r="I45" s="318"/>
      <c r="J45" s="318"/>
      <c r="K45" s="319"/>
      <c r="L45" s="6"/>
    </row>
    <row r="46" spans="1:12" ht="18">
      <c r="A46" s="320"/>
      <c r="B46" s="321"/>
      <c r="C46" s="321"/>
      <c r="D46" s="321"/>
      <c r="E46" s="321"/>
      <c r="F46" s="321"/>
      <c r="G46" s="322"/>
      <c r="H46" s="322"/>
      <c r="I46" s="323"/>
      <c r="J46" s="323"/>
      <c r="K46" s="319"/>
      <c r="L46" s="6"/>
    </row>
    <row r="47" spans="1:12">
      <c r="A47" s="324" t="s">
        <v>400</v>
      </c>
      <c r="B47" s="325"/>
      <c r="C47" s="325"/>
      <c r="D47" s="325"/>
      <c r="E47" s="325"/>
      <c r="F47" s="325"/>
      <c r="G47" s="326"/>
      <c r="H47" s="326"/>
      <c r="I47" s="323"/>
      <c r="J47" s="323"/>
      <c r="K47" s="319"/>
      <c r="L47" s="6"/>
    </row>
    <row r="48" spans="1:12" ht="15.75">
      <c r="A48" s="3052" t="s">
        <v>1901</v>
      </c>
      <c r="B48" s="3054"/>
      <c r="C48" s="3055"/>
      <c r="D48" s="3055"/>
      <c r="E48" s="3055"/>
      <c r="F48" s="3055"/>
      <c r="G48" s="3055"/>
      <c r="H48" s="3055"/>
      <c r="I48" s="3055"/>
      <c r="J48" s="3055"/>
      <c r="K48" s="328"/>
      <c r="L48" s="284"/>
    </row>
    <row r="49" spans="1:12" ht="15.75">
      <c r="A49" s="3053" t="s">
        <v>1935</v>
      </c>
      <c r="B49" s="3056"/>
      <c r="C49" s="3055"/>
      <c r="D49" s="3055"/>
      <c r="E49" s="3055"/>
      <c r="F49" s="3055"/>
      <c r="G49" s="3055"/>
      <c r="H49" s="3055"/>
      <c r="I49" s="3055"/>
      <c r="J49" s="3055"/>
      <c r="K49" s="328"/>
      <c r="L49" s="284"/>
    </row>
    <row r="50" spans="1:12" ht="15.75">
      <c r="A50" s="3110" t="s">
        <v>1932</v>
      </c>
      <c r="B50" s="329"/>
      <c r="C50" s="3057"/>
      <c r="D50" s="3057"/>
      <c r="E50" s="3057"/>
      <c r="F50" s="3057"/>
      <c r="G50" s="3058"/>
      <c r="H50" s="3058"/>
      <c r="I50" s="3058"/>
      <c r="J50" s="3055"/>
      <c r="K50" s="328"/>
      <c r="L50" s="284"/>
    </row>
    <row r="51" spans="1:12">
      <c r="A51" s="2978"/>
      <c r="B51" s="327"/>
      <c r="C51" s="327"/>
      <c r="D51" s="327"/>
      <c r="E51" s="327"/>
      <c r="F51" s="327"/>
      <c r="G51" s="327"/>
      <c r="H51" s="327"/>
      <c r="I51" s="327"/>
      <c r="J51" s="327"/>
      <c r="K51" s="328"/>
      <c r="L51" s="284"/>
    </row>
    <row r="52" spans="1:12">
      <c r="A52" s="2979"/>
      <c r="B52" s="330"/>
      <c r="C52" s="330"/>
      <c r="D52" s="330"/>
      <c r="E52" s="330"/>
      <c r="F52" s="330"/>
      <c r="G52" s="330"/>
      <c r="H52" s="330"/>
      <c r="I52" s="330"/>
      <c r="J52" s="330"/>
      <c r="K52" s="328"/>
      <c r="L52" s="284"/>
    </row>
    <row r="53" spans="1:12">
      <c r="A53" s="2980"/>
      <c r="B53" s="330"/>
      <c r="C53" s="330"/>
      <c r="D53" s="232"/>
      <c r="E53" s="330" t="s">
        <v>401</v>
      </c>
      <c r="F53" s="330" t="s">
        <v>402</v>
      </c>
      <c r="G53" s="330"/>
      <c r="H53" s="330"/>
      <c r="I53" s="330"/>
      <c r="J53" s="330"/>
      <c r="K53" s="328"/>
      <c r="L53" s="284"/>
    </row>
    <row r="54" spans="1:12">
      <c r="A54" s="2981"/>
      <c r="B54" s="330"/>
      <c r="C54" s="330"/>
      <c r="D54" s="330"/>
      <c r="E54" s="330"/>
      <c r="F54" s="330"/>
      <c r="G54" s="330"/>
      <c r="H54" s="330"/>
      <c r="I54" s="330"/>
      <c r="J54" s="330"/>
      <c r="K54" s="328"/>
      <c r="L54" s="284"/>
    </row>
    <row r="55" spans="1:12">
      <c r="A55" s="2979"/>
      <c r="B55" s="330"/>
      <c r="C55" s="330"/>
      <c r="D55" s="330"/>
      <c r="E55" s="330"/>
      <c r="F55" s="330" t="s">
        <v>18</v>
      </c>
      <c r="G55" s="330" t="s">
        <v>403</v>
      </c>
      <c r="H55" s="330"/>
      <c r="I55" s="330"/>
      <c r="J55" s="330"/>
      <c r="K55" s="328"/>
      <c r="L55" s="284"/>
    </row>
    <row r="56" spans="1:12">
      <c r="A56" s="2979"/>
      <c r="B56" s="330"/>
      <c r="C56" s="330"/>
      <c r="D56" s="330" t="s">
        <v>18</v>
      </c>
      <c r="E56" s="330"/>
      <c r="F56" s="232"/>
      <c r="G56" s="331"/>
      <c r="H56" s="332" t="s">
        <v>404</v>
      </c>
      <c r="I56" s="333"/>
      <c r="J56" s="330"/>
      <c r="K56" s="328"/>
      <c r="L56" s="284"/>
    </row>
    <row r="57" spans="1:12">
      <c r="A57" s="2979"/>
      <c r="B57" s="330"/>
      <c r="C57" s="330"/>
      <c r="D57" s="330"/>
      <c r="E57" s="330"/>
      <c r="F57" s="232"/>
      <c r="G57" s="334"/>
      <c r="H57" s="335" t="s">
        <v>377</v>
      </c>
      <c r="I57" s="330"/>
      <c r="J57" s="336"/>
      <c r="K57" s="328"/>
      <c r="L57" s="284"/>
    </row>
    <row r="58" spans="1:12">
      <c r="A58" s="2979"/>
      <c r="B58" s="330"/>
      <c r="C58" s="330"/>
      <c r="D58" s="330"/>
      <c r="E58" s="330"/>
      <c r="F58" s="232"/>
      <c r="G58" s="330"/>
      <c r="H58" s="330"/>
      <c r="I58" s="330"/>
      <c r="J58" s="330"/>
      <c r="K58" s="328"/>
      <c r="L58" s="284"/>
    </row>
    <row r="59" spans="1:12">
      <c r="A59" s="328"/>
      <c r="B59" s="328"/>
      <c r="C59" s="328"/>
      <c r="D59" s="328"/>
      <c r="E59" s="328"/>
      <c r="F59" s="328"/>
      <c r="G59" s="328"/>
      <c r="H59" s="328"/>
      <c r="I59" s="328"/>
      <c r="J59" s="328"/>
      <c r="K59" s="328"/>
      <c r="L59" s="284"/>
    </row>
    <row r="60" spans="1:12">
      <c r="A60" s="337"/>
      <c r="B60" s="337"/>
      <c r="C60" s="338"/>
      <c r="D60" s="328"/>
      <c r="E60" s="328"/>
      <c r="F60" s="328"/>
      <c r="G60" s="328"/>
      <c r="H60" s="328"/>
      <c r="I60" s="328"/>
      <c r="J60" s="328"/>
      <c r="K60" s="328"/>
      <c r="L60" s="284"/>
    </row>
    <row r="61" spans="1:12">
      <c r="A61" s="339"/>
      <c r="B61" s="337"/>
      <c r="C61" s="338"/>
      <c r="D61" s="328"/>
      <c r="E61" s="328"/>
      <c r="F61" s="340"/>
      <c r="G61" s="340"/>
      <c r="H61" s="328"/>
      <c r="I61" s="328"/>
      <c r="J61" s="328"/>
      <c r="K61" s="328"/>
      <c r="L61" s="284"/>
    </row>
    <row r="62" spans="1:12">
      <c r="A62" s="339"/>
      <c r="B62" s="339"/>
      <c r="C62" s="341"/>
      <c r="D62" s="339"/>
      <c r="E62" s="284"/>
      <c r="F62" s="342"/>
      <c r="G62" s="342"/>
      <c r="H62" s="284"/>
      <c r="I62" s="284"/>
      <c r="J62" s="284"/>
      <c r="K62" s="284"/>
      <c r="L62" s="284"/>
    </row>
    <row r="63" spans="1:12">
      <c r="A63" s="339"/>
      <c r="B63" s="339"/>
      <c r="C63" s="341"/>
      <c r="D63" s="339"/>
      <c r="E63" s="284"/>
      <c r="F63" s="342"/>
      <c r="G63" s="342"/>
      <c r="H63" s="284"/>
      <c r="I63" s="343"/>
      <c r="J63" s="284"/>
      <c r="K63" s="284"/>
      <c r="L63" s="284"/>
    </row>
    <row r="64" spans="1:12">
      <c r="A64" s="339"/>
      <c r="B64" s="344"/>
      <c r="C64" s="341"/>
      <c r="D64" s="339"/>
      <c r="E64" s="284" t="s">
        <v>18</v>
      </c>
      <c r="F64" s="284"/>
      <c r="G64" s="284"/>
      <c r="H64" s="284"/>
      <c r="I64" s="343"/>
      <c r="J64" s="284"/>
      <c r="K64" s="284"/>
      <c r="L64" s="284"/>
    </row>
    <row r="82" spans="4:4">
      <c r="D82" s="1323"/>
    </row>
    <row r="122" spans="10:10">
      <c r="J122" s="345"/>
    </row>
  </sheetData>
  <customSheetViews>
    <customSheetView guid="{751D391F-C74F-4B53-B5B5-25E01AC12EA4}" showPageBreaks="1" printArea="1" topLeftCell="A25">
      <selection activeCell="G53" sqref="G53"/>
      <pageMargins left="0.64" right="0.17" top="0.75" bottom="0.75" header="0.3" footer="0.3"/>
      <pageSetup paperSize="9" scale="68" orientation="portrait" horizontalDpi="4294967295" verticalDpi="4294967295" r:id="rId1"/>
    </customSheetView>
    <customSheetView guid="{5A803268-F6C5-4035-B3E1-A94CB9AA8994}" showPageBreaks="1" printArea="1" hiddenColumns="1" topLeftCell="A34">
      <selection activeCell="E44" sqref="E44"/>
      <pageMargins left="0.7" right="0.7" top="0.75" bottom="0.75" header="0.3" footer="0.3"/>
      <pageSetup paperSize="9" scale="71" orientation="portrait" r:id="rId2"/>
    </customSheetView>
    <customSheetView guid="{917057C8-5E5F-4164-B84C-85103677A2E5}">
      <selection activeCell="A4" sqref="A4"/>
      <pageMargins left="0.7" right="0.7" top="0.75" bottom="0.75" header="0.3" footer="0.3"/>
      <pageSetup paperSize="9" scale="63" orientation="portrait" r:id="rId3"/>
    </customSheetView>
    <customSheetView guid="{4593F3EE-0998-4E0E-994A-E02D6BAF3A4B}" showPageBreaks="1" printArea="1" hiddenColumns="1">
      <selection sqref="A1:J59"/>
      <pageMargins left="0.7" right="0.7" top="0.75" bottom="0.75" header="0.3" footer="0.3"/>
      <pageSetup paperSize="9" scale="63" orientation="portrait" r:id="rId4"/>
    </customSheetView>
    <customSheetView guid="{23F4DC00-BC97-4745-AA5C-F05D469CB1EF}" showPageBreaks="1" printArea="1" hiddenColumns="1" topLeftCell="A34">
      <selection activeCell="A77" sqref="A77"/>
      <pageMargins left="0.7" right="0.7" top="0.75" bottom="0.75" header="0.3" footer="0.3"/>
      <pageSetup paperSize="9" scale="71" orientation="portrait" r:id="rId5"/>
    </customSheetView>
    <customSheetView guid="{B91C2E87-5EDA-40AE-AC27-0E2C17E803CE}" showPageBreaks="1" printArea="1" hiddenColumns="1" topLeftCell="A28">
      <selection activeCell="A49" sqref="A49"/>
      <pageMargins left="0.7" right="0.7" top="0.75" bottom="0.75" header="0.3" footer="0.3"/>
      <pageSetup paperSize="9" scale="63" orientation="portrait" r:id="rId6"/>
    </customSheetView>
    <customSheetView guid="{7C71EF2A-5ADA-494C-8F58-DDA71753DD90}" showPageBreaks="1" printArea="1">
      <selection activeCell="B32" sqref="B32"/>
      <pageMargins left="0.64" right="0.17" top="0.75" bottom="0.75" header="0.3" footer="0.3"/>
      <pageSetup paperSize="9" scale="65" orientation="portrait" r:id="rId7"/>
    </customSheetView>
    <customSheetView guid="{4DB6C640-CE65-4513-9E5A-F6CDD1F4B8AF}" showPageBreaks="1" topLeftCell="A22">
      <selection activeCell="B66" sqref="B66"/>
      <pageMargins left="0.64" right="0.17" top="0.75" bottom="0.75" header="0.3" footer="0.3"/>
      <pageSetup paperSize="9" scale="68" orientation="portrait" horizontalDpi="4294967295" verticalDpi="4294967295" r:id="rId8"/>
    </customSheetView>
    <customSheetView guid="{D1D1E152-95AB-45D3-AC07-4EC0834D3E0C}">
      <selection activeCell="D43" sqref="D43"/>
      <pageMargins left="0.64" right="0.17" top="0.75" bottom="0.75" header="0.3" footer="0.3"/>
      <pageSetup paperSize="9" scale="68" orientation="portrait" horizontalDpi="4294967295" verticalDpi="4294967295" r:id="rId9"/>
    </customSheetView>
    <customSheetView guid="{C3348F62-02F2-4500-9BF2-19F2DEA57A8D}" showPageBreaks="1" printArea="1" topLeftCell="A16">
      <selection activeCell="B52" sqref="B52"/>
      <pageMargins left="0.64" right="0.17" top="0.75" bottom="0.75" header="0.3" footer="0.3"/>
      <pageSetup paperSize="9" scale="68" orientation="portrait" horizontalDpi="4294967295" verticalDpi="4294967295" r:id="rId10"/>
    </customSheetView>
  </customSheetViews>
  <pageMargins left="0.64" right="0.17" top="0.75" bottom="0.75" header="0.3" footer="0.3"/>
  <pageSetup paperSize="9" scale="68" orientation="portrait" horizontalDpi="4294967295" verticalDpi="4294967295" r:id="rId1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FF66FF"/>
  </sheetPr>
  <dimension ref="A1:L152"/>
  <sheetViews>
    <sheetView zoomScale="120" workbookViewId="0">
      <selection sqref="A1:G22"/>
    </sheetView>
  </sheetViews>
  <sheetFormatPr defaultColWidth="9.140625" defaultRowHeight="15"/>
  <cols>
    <col min="1" max="1" width="14.85546875" style="5" customWidth="1"/>
    <col min="2" max="2" width="13.85546875" style="5" customWidth="1"/>
    <col min="3" max="3" width="13.42578125" style="5" customWidth="1"/>
    <col min="4" max="4" width="16.42578125" style="5" customWidth="1"/>
    <col min="5" max="5" width="16.85546875" style="5" customWidth="1"/>
    <col min="6" max="6" width="20.5703125" style="5" customWidth="1"/>
    <col min="7" max="7" width="33.7109375" style="5" customWidth="1"/>
    <col min="8" max="16384" width="9.140625" style="5"/>
  </cols>
  <sheetData>
    <row r="1" spans="1:12" ht="15.75">
      <c r="A1" s="217" t="s">
        <v>18</v>
      </c>
      <c r="B1" s="217"/>
      <c r="C1" s="285"/>
      <c r="D1" s="287" t="s">
        <v>427</v>
      </c>
      <c r="E1" s="287"/>
      <c r="F1" s="217"/>
      <c r="G1" s="364"/>
    </row>
    <row r="2" spans="1:12">
      <c r="A2" s="217"/>
      <c r="B2" s="217"/>
      <c r="C2" s="285"/>
      <c r="D2" s="285"/>
      <c r="E2" s="285"/>
      <c r="F2" s="217"/>
      <c r="G2" s="217"/>
    </row>
    <row r="3" spans="1:12">
      <c r="A3" s="217" t="s">
        <v>428</v>
      </c>
      <c r="B3" s="217" t="s">
        <v>429</v>
      </c>
      <c r="C3" s="217"/>
      <c r="D3" s="285"/>
      <c r="E3" s="285"/>
      <c r="F3" s="217"/>
      <c r="G3" s="217"/>
    </row>
    <row r="4" spans="1:12">
      <c r="A4" s="365" t="s">
        <v>380</v>
      </c>
      <c r="B4" s="366">
        <f>YesterdayGen!A2</f>
        <v>43318</v>
      </c>
      <c r="C4" s="367"/>
      <c r="D4" s="368"/>
      <c r="E4" s="368"/>
      <c r="F4" s="368"/>
      <c r="G4" s="368"/>
    </row>
    <row r="5" spans="1:12">
      <c r="A5" s="368"/>
      <c r="B5" s="368"/>
      <c r="C5" s="368"/>
      <c r="D5" s="368"/>
      <c r="E5" s="368"/>
      <c r="F5" s="368" t="s">
        <v>430</v>
      </c>
      <c r="G5" s="369">
        <f>EvReport!L6</f>
        <v>0.875</v>
      </c>
    </row>
    <row r="6" spans="1:12">
      <c r="A6" s="370" t="s">
        <v>52</v>
      </c>
      <c r="B6" s="371"/>
      <c r="C6" s="372" t="s">
        <v>14</v>
      </c>
      <c r="D6" s="372" t="s">
        <v>105</v>
      </c>
      <c r="E6" s="372" t="s">
        <v>327</v>
      </c>
      <c r="F6" s="372" t="s">
        <v>431</v>
      </c>
      <c r="G6" s="372" t="s">
        <v>295</v>
      </c>
    </row>
    <row r="7" spans="1:12">
      <c r="A7" s="373"/>
      <c r="B7" s="374"/>
      <c r="C7" s="375" t="s">
        <v>36</v>
      </c>
      <c r="D7" s="375" t="s">
        <v>36</v>
      </c>
      <c r="E7" s="375" t="s">
        <v>36</v>
      </c>
      <c r="F7" s="375" t="s">
        <v>36</v>
      </c>
      <c r="G7" s="375"/>
    </row>
    <row r="8" spans="1:12" ht="18" customHeight="1">
      <c r="A8" s="376" t="s">
        <v>10</v>
      </c>
      <c r="B8" s="377"/>
      <c r="C8" s="378"/>
      <c r="D8" s="379">
        <f>EvReport!H193</f>
        <v>4991.78</v>
      </c>
      <c r="E8" s="379">
        <f>EvReport!E193</f>
        <v>4821.78</v>
      </c>
      <c r="F8" s="380">
        <f>EvReport!J193</f>
        <v>170</v>
      </c>
      <c r="G8" s="381"/>
      <c r="L8" s="382"/>
    </row>
    <row r="9" spans="1:12" ht="18" customHeight="1">
      <c r="A9" s="383" t="s">
        <v>16</v>
      </c>
      <c r="B9" s="384"/>
      <c r="C9" s="378"/>
      <c r="D9" s="379">
        <f>EvReport!H194</f>
        <v>1295.5</v>
      </c>
      <c r="E9" s="379">
        <f>EvReport!E194</f>
        <v>1245.5</v>
      </c>
      <c r="F9" s="380">
        <f>EvReport!J194</f>
        <v>50</v>
      </c>
      <c r="G9" s="385"/>
      <c r="L9" s="386"/>
    </row>
    <row r="10" spans="1:12" ht="18" customHeight="1">
      <c r="A10" s="383" t="s">
        <v>5</v>
      </c>
      <c r="B10" s="384"/>
      <c r="C10" s="378"/>
      <c r="D10" s="379">
        <f>EvReport!H195</f>
        <v>1640</v>
      </c>
      <c r="E10" s="379">
        <f>EvReport!E195</f>
        <v>1480</v>
      </c>
      <c r="F10" s="380">
        <f>EvReport!J195</f>
        <v>160</v>
      </c>
      <c r="G10" s="387"/>
      <c r="L10" s="345"/>
    </row>
    <row r="11" spans="1:12" ht="18" customHeight="1">
      <c r="A11" s="383" t="s">
        <v>55</v>
      </c>
      <c r="B11" s="384"/>
      <c r="C11" s="378"/>
      <c r="D11" s="379">
        <f>EvReport!H196</f>
        <v>1371.4</v>
      </c>
      <c r="E11" s="379">
        <f>EvReport!E196</f>
        <v>1251.4000000000001</v>
      </c>
      <c r="F11" s="380">
        <f>EvReport!J196</f>
        <v>120</v>
      </c>
      <c r="G11" s="388"/>
      <c r="L11" s="389"/>
    </row>
    <row r="12" spans="1:12" ht="18" customHeight="1">
      <c r="A12" s="383" t="s">
        <v>9</v>
      </c>
      <c r="B12" s="384"/>
      <c r="C12" s="378"/>
      <c r="D12" s="379">
        <f>EvReport!H197</f>
        <v>1268</v>
      </c>
      <c r="E12" s="379">
        <f>EvReport!E197</f>
        <v>1168</v>
      </c>
      <c r="F12" s="380">
        <f>EvReport!J197</f>
        <v>100</v>
      </c>
      <c r="G12" s="390"/>
      <c r="L12" s="389"/>
    </row>
    <row r="13" spans="1:12" ht="18" customHeight="1">
      <c r="A13" s="383" t="s">
        <v>106</v>
      </c>
      <c r="B13" s="384"/>
      <c r="C13" s="378"/>
      <c r="D13" s="379">
        <f>EvReport!H198</f>
        <v>1019</v>
      </c>
      <c r="E13" s="379">
        <f>EvReport!E198</f>
        <v>839</v>
      </c>
      <c r="F13" s="380">
        <f>EvReport!J198</f>
        <v>180</v>
      </c>
      <c r="G13" s="391"/>
    </row>
    <row r="14" spans="1:12" ht="18" customHeight="1">
      <c r="A14" s="383" t="s">
        <v>4</v>
      </c>
      <c r="B14" s="384"/>
      <c r="C14" s="378"/>
      <c r="D14" s="379">
        <f>EvReport!H199</f>
        <v>568</v>
      </c>
      <c r="E14" s="379">
        <f>EvReport!E199</f>
        <v>488</v>
      </c>
      <c r="F14" s="380">
        <f>EvReport!J199</f>
        <v>80</v>
      </c>
      <c r="G14" s="392"/>
    </row>
    <row r="15" spans="1:12" ht="18" customHeight="1">
      <c r="A15" s="383" t="s">
        <v>56</v>
      </c>
      <c r="B15" s="384"/>
      <c r="C15" s="378"/>
      <c r="D15" s="379">
        <f>EvReport!H200</f>
        <v>401.86</v>
      </c>
      <c r="E15" s="379">
        <f>EvReport!E200</f>
        <v>401.86</v>
      </c>
      <c r="F15" s="380">
        <f>EvReport!J200</f>
        <v>0</v>
      </c>
      <c r="G15" s="393"/>
    </row>
    <row r="16" spans="1:12" ht="18" customHeight="1">
      <c r="A16" s="394" t="s">
        <v>6</v>
      </c>
      <c r="B16" s="395"/>
      <c r="C16" s="378"/>
      <c r="D16" s="379">
        <f>EvReport!H201</f>
        <v>945</v>
      </c>
      <c r="E16" s="379">
        <f>EvReport!E201</f>
        <v>908</v>
      </c>
      <c r="F16" s="380">
        <f>EvReport!J201</f>
        <v>37</v>
      </c>
      <c r="G16" s="396"/>
    </row>
    <row r="17" spans="1:7" ht="18" customHeight="1">
      <c r="A17" s="397" t="s">
        <v>12</v>
      </c>
      <c r="B17" s="398"/>
      <c r="C17" s="380">
        <f>EvReport!I183</f>
        <v>13227</v>
      </c>
      <c r="D17" s="379">
        <f>SUM(D8:D16)</f>
        <v>13500.54</v>
      </c>
      <c r="E17" s="379">
        <f>SUM(E8:E16)</f>
        <v>12603.54</v>
      </c>
      <c r="F17" s="380">
        <f>SUM(F8:F16)</f>
        <v>897</v>
      </c>
      <c r="G17" s="399"/>
    </row>
    <row r="18" spans="1:7">
      <c r="A18" s="365"/>
      <c r="B18" s="368"/>
      <c r="C18" s="368"/>
      <c r="D18" s="368"/>
      <c r="E18" s="368"/>
      <c r="F18" s="368"/>
      <c r="G18" s="368"/>
    </row>
    <row r="19" spans="1:7">
      <c r="A19" s="217"/>
      <c r="B19" s="217"/>
      <c r="C19" s="217"/>
      <c r="D19" s="217"/>
      <c r="E19" s="217"/>
      <c r="F19" s="217"/>
      <c r="G19" s="217"/>
    </row>
    <row r="20" spans="1:7">
      <c r="A20" s="217"/>
      <c r="B20" s="217"/>
      <c r="C20" s="217"/>
      <c r="D20" s="217"/>
      <c r="E20" s="217"/>
      <c r="F20" s="400"/>
      <c r="G20" s="217"/>
    </row>
    <row r="21" spans="1:7" ht="15.75">
      <c r="A21" s="217"/>
      <c r="B21" s="217"/>
      <c r="C21" s="217"/>
      <c r="D21" s="217"/>
      <c r="E21" s="217"/>
      <c r="F21" s="401" t="s">
        <v>432</v>
      </c>
      <c r="G21" s="217"/>
    </row>
    <row r="22" spans="1:7" ht="22.15" customHeight="1">
      <c r="A22" s="217"/>
      <c r="B22" s="217"/>
      <c r="C22" s="217"/>
      <c r="D22" s="217"/>
      <c r="E22" s="217"/>
      <c r="F22" s="402" t="s">
        <v>377</v>
      </c>
      <c r="G22" s="217"/>
    </row>
    <row r="23" spans="1:7" ht="18.75">
      <c r="A23" s="403"/>
      <c r="B23" s="403"/>
      <c r="C23" s="403"/>
      <c r="D23" s="403"/>
      <c r="E23" s="403"/>
      <c r="F23" s="403"/>
      <c r="G23" s="403"/>
    </row>
    <row r="24" spans="1:7" ht="18.75">
      <c r="A24" s="403"/>
      <c r="B24" s="403"/>
      <c r="C24" s="403"/>
      <c r="D24" s="403"/>
      <c r="E24" s="403"/>
      <c r="F24" s="403"/>
      <c r="G24" s="403"/>
    </row>
    <row r="25" spans="1:7" ht="18.75">
      <c r="A25" s="403"/>
      <c r="B25" s="403"/>
      <c r="C25" s="403"/>
      <c r="D25" s="403"/>
      <c r="E25" s="403"/>
      <c r="F25" s="403"/>
      <c r="G25" s="403"/>
    </row>
    <row r="26" spans="1:7" ht="18.75">
      <c r="A26" s="403"/>
      <c r="B26" s="403"/>
      <c r="C26" s="403"/>
      <c r="D26" s="403"/>
      <c r="E26" s="403"/>
      <c r="F26" s="403"/>
      <c r="G26" s="404"/>
    </row>
    <row r="27" spans="1:7" ht="18.75">
      <c r="A27" s="403"/>
      <c r="B27" s="403"/>
      <c r="C27" s="403"/>
      <c r="D27" s="403"/>
      <c r="E27" s="403"/>
      <c r="F27" s="403"/>
      <c r="G27" s="404"/>
    </row>
    <row r="28" spans="1:7" ht="18.75">
      <c r="A28" s="403"/>
      <c r="B28" s="403"/>
      <c r="C28" s="403"/>
      <c r="D28" s="403"/>
      <c r="E28" s="403"/>
      <c r="F28" s="403"/>
      <c r="G28" s="404"/>
    </row>
    <row r="29" spans="1:7" ht="18.75">
      <c r="A29" s="403"/>
      <c r="B29" s="403"/>
      <c r="C29" s="403"/>
      <c r="D29" s="403"/>
      <c r="E29" s="403"/>
      <c r="F29" s="403"/>
      <c r="G29" s="403"/>
    </row>
    <row r="30" spans="1:7" ht="18.75">
      <c r="A30" s="403"/>
      <c r="B30" s="403"/>
      <c r="C30" s="403"/>
      <c r="D30" s="403"/>
      <c r="E30" s="403"/>
      <c r="F30" s="403"/>
      <c r="G30" s="404"/>
    </row>
    <row r="31" spans="1:7" ht="18.75">
      <c r="A31" s="403"/>
      <c r="B31" s="403"/>
      <c r="C31" s="403"/>
      <c r="D31" s="403"/>
      <c r="E31" s="403"/>
      <c r="F31" s="403"/>
      <c r="G31" s="404"/>
    </row>
    <row r="32" spans="1:7" ht="18.75">
      <c r="A32" s="403"/>
      <c r="B32" s="403"/>
      <c r="C32" s="403"/>
      <c r="D32" s="403"/>
      <c r="E32" s="403"/>
      <c r="F32" s="403"/>
      <c r="G32" s="403"/>
    </row>
    <row r="33" spans="1:7" ht="18.75">
      <c r="A33" s="403"/>
      <c r="B33" s="403"/>
      <c r="C33" s="403"/>
      <c r="D33" s="403"/>
      <c r="E33" s="403"/>
      <c r="F33" s="403"/>
      <c r="G33" s="404"/>
    </row>
    <row r="34" spans="1:7" ht="18.75">
      <c r="A34" s="403"/>
      <c r="B34" s="403"/>
      <c r="C34" s="403"/>
      <c r="D34" s="403"/>
      <c r="E34" s="403"/>
      <c r="F34" s="403"/>
      <c r="G34" s="404"/>
    </row>
    <row r="35" spans="1:7" ht="18.75">
      <c r="A35" s="403"/>
      <c r="B35" s="403"/>
      <c r="C35" s="403"/>
      <c r="D35" s="403"/>
      <c r="E35" s="403"/>
      <c r="F35" s="403"/>
      <c r="G35" s="404"/>
    </row>
    <row r="65" spans="1:5">
      <c r="A65" s="5" t="s">
        <v>405</v>
      </c>
      <c r="E65" s="5" t="s">
        <v>406</v>
      </c>
    </row>
    <row r="66" spans="1:5">
      <c r="A66" s="5" t="s">
        <v>407</v>
      </c>
      <c r="E66" s="5" t="s">
        <v>408</v>
      </c>
    </row>
    <row r="67" spans="1:5">
      <c r="A67" s="5" t="s">
        <v>409</v>
      </c>
    </row>
    <row r="68" spans="1:5">
      <c r="A68" s="5" t="s">
        <v>410</v>
      </c>
    </row>
    <row r="69" spans="1:5">
      <c r="A69" s="5" t="s">
        <v>411</v>
      </c>
    </row>
    <row r="70" spans="1:5">
      <c r="A70" s="5" t="s">
        <v>412</v>
      </c>
    </row>
    <row r="71" spans="1:5">
      <c r="A71" s="5" t="s">
        <v>413</v>
      </c>
    </row>
    <row r="72" spans="1:5">
      <c r="A72" s="5" t="s">
        <v>414</v>
      </c>
    </row>
    <row r="73" spans="1:5">
      <c r="A73" s="5" t="s">
        <v>415</v>
      </c>
    </row>
    <row r="74" spans="1:5">
      <c r="A74" s="5" t="s">
        <v>416</v>
      </c>
      <c r="E74" s="5" t="s">
        <v>417</v>
      </c>
    </row>
    <row r="75" spans="1:5">
      <c r="A75" s="5" t="s">
        <v>418</v>
      </c>
      <c r="E75" s="5" t="s">
        <v>419</v>
      </c>
    </row>
    <row r="122" spans="10:10">
      <c r="J122" s="345"/>
    </row>
    <row r="145" spans="4:8">
      <c r="D145" s="5">
        <v>35000</v>
      </c>
      <c r="E145" s="5">
        <f t="shared" ref="E145:E152" si="0">0.04*D145</f>
        <v>1400</v>
      </c>
      <c r="F145" s="5">
        <f t="shared" ref="F145:F152" si="1">D145+E145</f>
        <v>36400</v>
      </c>
      <c r="H145" s="5">
        <v>31920</v>
      </c>
    </row>
    <row r="146" spans="4:8">
      <c r="D146" s="5">
        <v>36400</v>
      </c>
      <c r="E146" s="5">
        <f t="shared" si="0"/>
        <v>1456</v>
      </c>
      <c r="F146" s="5">
        <f t="shared" si="1"/>
        <v>37856</v>
      </c>
      <c r="H146" s="5">
        <v>8298</v>
      </c>
    </row>
    <row r="147" spans="4:8">
      <c r="D147" s="5">
        <v>37856</v>
      </c>
      <c r="E147" s="5">
        <f t="shared" si="0"/>
        <v>1514.24</v>
      </c>
      <c r="F147" s="5">
        <f t="shared" si="1"/>
        <v>39370.239999999998</v>
      </c>
    </row>
    <row r="148" spans="4:8">
      <c r="D148" s="5">
        <v>39370</v>
      </c>
      <c r="E148" s="5">
        <f t="shared" si="0"/>
        <v>1574.8</v>
      </c>
      <c r="F148" s="5">
        <f t="shared" si="1"/>
        <v>40944.800000000003</v>
      </c>
    </row>
    <row r="149" spans="4:8">
      <c r="E149" s="5">
        <f t="shared" si="0"/>
        <v>0</v>
      </c>
      <c r="F149" s="5">
        <f t="shared" si="1"/>
        <v>0</v>
      </c>
    </row>
    <row r="150" spans="4:8">
      <c r="E150" s="5">
        <f t="shared" si="0"/>
        <v>0</v>
      </c>
      <c r="F150" s="5">
        <f t="shared" si="1"/>
        <v>0</v>
      </c>
    </row>
    <row r="151" spans="4:8">
      <c r="E151" s="5">
        <f t="shared" si="0"/>
        <v>0</v>
      </c>
      <c r="F151" s="5">
        <f t="shared" si="1"/>
        <v>0</v>
      </c>
    </row>
    <row r="152" spans="4:8">
      <c r="E152" s="5">
        <f t="shared" si="0"/>
        <v>0</v>
      </c>
      <c r="F152" s="5">
        <f t="shared" si="1"/>
        <v>0</v>
      </c>
    </row>
  </sheetData>
  <customSheetViews>
    <customSheetView guid="{751D391F-C74F-4B53-B5B5-25E01AC12EA4}" scale="120" showPageBreaks="1" printArea="1">
      <selection sqref="A1:G22"/>
      <pageMargins left="0.7" right="0.7" top="0.75" bottom="0.75" header="0.3" footer="0.3"/>
      <pageSetup paperSize="9" scale="90" orientation="landscape" horizontalDpi="4294967295" verticalDpi="4294967295" r:id="rId1"/>
    </customSheetView>
    <customSheetView guid="{5A803268-F6C5-4035-B3E1-A94CB9AA8994}" showPageBreaks="1" printArea="1">
      <selection activeCell="E12" sqref="E12"/>
      <pageMargins left="0.7" right="0.7" top="0.75" bottom="0.75" header="0.3" footer="0.3"/>
      <pageSetup scale="90" orientation="landscape" r:id="rId2"/>
    </customSheetView>
    <customSheetView guid="{917057C8-5E5F-4164-B84C-85103677A2E5}">
      <selection sqref="A1:G22"/>
      <pageMargins left="0.7" right="0.7" top="0.75" bottom="0.75" header="0.3" footer="0.3"/>
      <pageSetup scale="90" orientation="landscape" r:id="rId3"/>
    </customSheetView>
    <customSheetView guid="{4593F3EE-0998-4E0E-994A-E02D6BAF3A4B}" showPageBreaks="1" printArea="1">
      <selection sqref="A1:G22"/>
      <pageMargins left="0.7" right="0.7" top="0.75" bottom="0.75" header="0.3" footer="0.3"/>
      <pageSetup scale="90" orientation="landscape" r:id="rId4"/>
    </customSheetView>
    <customSheetView guid="{23F4DC00-BC97-4745-AA5C-F05D469CB1EF}" showPageBreaks="1" printArea="1">
      <selection activeCell="E12" sqref="E12"/>
      <pageMargins left="0.7" right="0.7" top="0.75" bottom="0.75" header="0.3" footer="0.3"/>
      <pageSetup scale="90" orientation="landscape" r:id="rId5"/>
    </customSheetView>
    <customSheetView guid="{B91C2E87-5EDA-40AE-AC27-0E2C17E803CE}" showPageBreaks="1" printArea="1">
      <selection sqref="A1:G22"/>
      <pageMargins left="0.7" right="0.7" top="0.75" bottom="0.75" header="0.3" footer="0.3"/>
      <pageSetup scale="90" orientation="landscape" r:id="rId6"/>
    </customSheetView>
    <customSheetView guid="{7C71EF2A-5ADA-494C-8F58-DDA71753DD90}" scale="120" showPageBreaks="1" printArea="1">
      <selection activeCell="B32" sqref="B32"/>
      <pageMargins left="0.7" right="0.7" top="0.75" bottom="0.75" header="0.3" footer="0.3"/>
      <pageSetup scale="90" orientation="landscape" r:id="rId7"/>
    </customSheetView>
    <customSheetView guid="{4DB6C640-CE65-4513-9E5A-F6CDD1F4B8AF}" scale="120" showPageBreaks="1">
      <selection activeCell="A146" sqref="A146:XFD146"/>
      <pageMargins left="0.7" right="0.7" top="0.75" bottom="0.75" header="0.3" footer="0.3"/>
      <pageSetup paperSize="9" scale="90" orientation="landscape" horizontalDpi="4294967295" verticalDpi="4294967295" r:id="rId8"/>
    </customSheetView>
    <customSheetView guid="{D1D1E152-95AB-45D3-AC07-4EC0834D3E0C}" scale="120">
      <selection sqref="A1:G22"/>
      <pageMargins left="0.7" right="0.7" top="0.75" bottom="0.75" header="0.3" footer="0.3"/>
      <pageSetup paperSize="9" scale="90" orientation="landscape" horizontalDpi="4294967295" verticalDpi="4294967295" r:id="rId9"/>
    </customSheetView>
    <customSheetView guid="{C3348F62-02F2-4500-9BF2-19F2DEA57A8D}" scale="120" showPageBreaks="1" printArea="1">
      <selection sqref="A1:G22"/>
      <pageMargins left="0.7" right="0.7" top="0.75" bottom="0.75" header="0.3" footer="0.3"/>
      <pageSetup paperSize="9" scale="90" orientation="landscape" horizontalDpi="4294967295" verticalDpi="4294967295" r:id="rId10"/>
    </customSheetView>
  </customSheetViews>
  <pageMargins left="0.7" right="0.7" top="0.75" bottom="0.75" header="0.3" footer="0.3"/>
  <pageSetup paperSize="9" scale="90" orientation="landscape" horizontalDpi="4294967295" verticalDpi="4294967295" r:id="rId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6" tint="-0.249977111117893"/>
  </sheetPr>
  <dimension ref="A1:EE1287"/>
  <sheetViews>
    <sheetView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AC195"/>
    </sheetView>
  </sheetViews>
  <sheetFormatPr defaultColWidth="9.140625" defaultRowHeight="15.75"/>
  <cols>
    <col min="1" max="1" width="5.42578125" style="1037" customWidth="1"/>
    <col min="2" max="2" width="31.28515625" style="2092" customWidth="1"/>
    <col min="3" max="8" width="7.7109375" style="1038" customWidth="1"/>
    <col min="9" max="9" width="7.7109375" style="1665" customWidth="1"/>
    <col min="10" max="11" width="7.7109375" style="1038" customWidth="1"/>
    <col min="12" max="12" width="9.7109375" style="1038" customWidth="1"/>
    <col min="13" max="13" width="9.7109375" style="1039" customWidth="1"/>
    <col min="14" max="14" width="8.7109375" style="1038" customWidth="1"/>
    <col min="15" max="15" width="10.7109375" style="1038" customWidth="1"/>
    <col min="16" max="16" width="8.42578125" style="1038" customWidth="1"/>
    <col min="17" max="17" width="8.85546875" style="1038" customWidth="1"/>
    <col min="18" max="18" width="11.5703125" style="1038" customWidth="1"/>
    <col min="19" max="19" width="10.140625" style="1038" customWidth="1"/>
    <col min="20" max="20" width="9.140625" style="1038" customWidth="1"/>
    <col min="21" max="21" width="0.42578125" style="1038" customWidth="1"/>
    <col min="22" max="22" width="10" style="1038" customWidth="1"/>
    <col min="23" max="23" width="9.42578125" style="1038" customWidth="1"/>
    <col min="24" max="24" width="10.140625" style="1038" customWidth="1"/>
    <col min="25" max="25" width="10.7109375" style="1038" customWidth="1"/>
    <col min="26" max="26" width="10.42578125" style="1046" customWidth="1"/>
    <col min="27" max="27" width="10" style="1038" customWidth="1"/>
    <col min="28" max="28" width="11.28515625" style="1038" customWidth="1"/>
    <col min="29" max="29" width="15.5703125" style="2271" customWidth="1"/>
    <col min="30" max="30" width="12.7109375" style="1037" customWidth="1"/>
    <col min="31" max="31" width="5.7109375" style="1037"/>
    <col min="32" max="32" width="9.140625" style="1037"/>
    <col min="33" max="33" width="15.42578125" style="1037" customWidth="1"/>
    <col min="34" max="39" width="9.140625" style="1037"/>
    <col min="40" max="40" width="23.28515625" style="1037" customWidth="1"/>
    <col min="41" max="41" width="11.42578125" style="1037" customWidth="1"/>
    <col min="42" max="16384" width="9.140625" style="1037"/>
  </cols>
  <sheetData>
    <row r="1" spans="1:54" s="1028" customFormat="1" ht="25.5" customHeight="1" thickBot="1">
      <c r="A1" s="1343" t="s">
        <v>1141</v>
      </c>
      <c r="B1" s="1489">
        <v>43318</v>
      </c>
      <c r="C1" s="1344"/>
      <c r="D1" s="1344"/>
      <c r="E1" s="1344"/>
      <c r="F1" s="1344"/>
      <c r="G1" s="1344"/>
      <c r="H1" s="1344"/>
      <c r="I1" s="1639"/>
      <c r="J1" s="1344"/>
      <c r="K1" s="1344"/>
      <c r="L1" s="1344"/>
      <c r="M1" s="1344"/>
      <c r="N1" s="1344"/>
      <c r="O1" s="1344"/>
      <c r="P1" s="1344"/>
      <c r="Q1" s="238"/>
      <c r="R1" s="1246"/>
      <c r="S1" s="238" t="s">
        <v>18</v>
      </c>
      <c r="T1" s="1246"/>
      <c r="U1" s="1246"/>
      <c r="V1" s="1047"/>
      <c r="W1" s="811"/>
      <c r="X1" s="238"/>
      <c r="Y1" s="1344"/>
      <c r="Z1" s="238"/>
      <c r="AA1" s="1345"/>
      <c r="AB1" s="1345"/>
      <c r="AC1" s="2238"/>
      <c r="AD1" s="1040"/>
      <c r="AE1" s="1041"/>
      <c r="AF1" s="1042"/>
      <c r="AG1" s="1042"/>
      <c r="AH1" s="1042"/>
      <c r="AI1" s="1042"/>
    </row>
    <row r="2" spans="1:54" s="3" customFormat="1" ht="24" customHeight="1" thickBot="1">
      <c r="A2" s="1346" t="s">
        <v>776</v>
      </c>
      <c r="B2" s="2072" t="s">
        <v>777</v>
      </c>
      <c r="C2" s="1347">
        <v>4.1666666666666664E-2</v>
      </c>
      <c r="D2" s="1348">
        <v>8.3333333333333329E-2</v>
      </c>
      <c r="E2" s="1348">
        <v>0.125</v>
      </c>
      <c r="F2" s="1348">
        <v>0.16666666666666666</v>
      </c>
      <c r="G2" s="1348">
        <v>0.20833333333333334</v>
      </c>
      <c r="H2" s="1348">
        <v>0.25</v>
      </c>
      <c r="I2" s="1348">
        <v>0.29166666666666669</v>
      </c>
      <c r="J2" s="1348">
        <v>0.33333333333333331</v>
      </c>
      <c r="K2" s="1348">
        <v>0.375</v>
      </c>
      <c r="L2" s="1348">
        <v>0.41666666666666669</v>
      </c>
      <c r="M2" s="1348">
        <v>0.45833333333333331</v>
      </c>
      <c r="N2" s="1348">
        <v>0.5</v>
      </c>
      <c r="O2" s="1348">
        <v>0.54166666666666663</v>
      </c>
      <c r="P2" s="1348">
        <v>0.58333333333333337</v>
      </c>
      <c r="Q2" s="1348">
        <v>0.625</v>
      </c>
      <c r="R2" s="1348">
        <v>0.66666666666666663</v>
      </c>
      <c r="S2" s="1348">
        <v>0.70833333333333337</v>
      </c>
      <c r="T2" s="1348">
        <v>0.75</v>
      </c>
      <c r="U2" s="1348">
        <v>0.77083333333333337</v>
      </c>
      <c r="V2" s="1348">
        <v>0.79166666666666663</v>
      </c>
      <c r="W2" s="1348">
        <v>0.8125</v>
      </c>
      <c r="X2" s="1348">
        <v>0.83333333333333337</v>
      </c>
      <c r="Y2" s="1348">
        <v>0.875</v>
      </c>
      <c r="Z2" s="1348">
        <v>0.91666666666666663</v>
      </c>
      <c r="AA2" s="1348">
        <v>0.95833333333333337</v>
      </c>
      <c r="AB2" s="1349" t="s">
        <v>24</v>
      </c>
      <c r="AC2" s="2239" t="s">
        <v>15</v>
      </c>
      <c r="AD2" s="1025"/>
      <c r="AE2" s="1041"/>
      <c r="AF2" s="1041"/>
      <c r="AG2" s="1041"/>
      <c r="AH2" s="1041"/>
      <c r="AI2" s="1041"/>
    </row>
    <row r="3" spans="1:54" s="1029" customFormat="1" ht="12" customHeight="1">
      <c r="A3" s="1350">
        <v>1</v>
      </c>
      <c r="B3" s="2073" t="s">
        <v>910</v>
      </c>
      <c r="C3" s="1351">
        <v>78</v>
      </c>
      <c r="D3" s="1352">
        <v>78</v>
      </c>
      <c r="E3" s="1352">
        <v>78</v>
      </c>
      <c r="F3" s="1352">
        <v>78</v>
      </c>
      <c r="G3" s="1352">
        <v>79</v>
      </c>
      <c r="H3" s="1352">
        <v>79</v>
      </c>
      <c r="I3" s="1640">
        <v>77</v>
      </c>
      <c r="J3" s="1352">
        <v>79</v>
      </c>
      <c r="K3" s="1352">
        <v>76</v>
      </c>
      <c r="L3" s="1352">
        <v>78</v>
      </c>
      <c r="M3" s="1352">
        <v>79</v>
      </c>
      <c r="N3" s="1352">
        <v>79</v>
      </c>
      <c r="O3" s="1352">
        <v>80</v>
      </c>
      <c r="P3" s="1352">
        <v>80</v>
      </c>
      <c r="Q3" s="1352">
        <v>80</v>
      </c>
      <c r="R3" s="1352">
        <v>81</v>
      </c>
      <c r="S3" s="1352">
        <v>83</v>
      </c>
      <c r="T3" s="1352">
        <v>83</v>
      </c>
      <c r="U3" s="1352"/>
      <c r="V3" s="1352">
        <v>83</v>
      </c>
      <c r="W3" s="1352">
        <v>83</v>
      </c>
      <c r="X3" s="1352">
        <v>83</v>
      </c>
      <c r="Y3" s="1352">
        <v>81</v>
      </c>
      <c r="Z3" s="3188">
        <v>81</v>
      </c>
      <c r="AA3" s="1352">
        <v>81</v>
      </c>
      <c r="AB3" s="1353">
        <v>81</v>
      </c>
      <c r="AC3" s="2240">
        <v>1956567</v>
      </c>
      <c r="AD3" s="89"/>
      <c r="AE3" s="1030"/>
      <c r="BA3" s="1306" t="s">
        <v>816</v>
      </c>
      <c r="BB3" s="1306">
        <v>195</v>
      </c>
    </row>
    <row r="4" spans="1:54" s="1029" customFormat="1" ht="12" customHeight="1">
      <c r="A4" s="1354">
        <v>2</v>
      </c>
      <c r="B4" s="2074" t="s">
        <v>911</v>
      </c>
      <c r="C4" s="1355">
        <v>35</v>
      </c>
      <c r="D4" s="1356">
        <v>35</v>
      </c>
      <c r="E4" s="1356">
        <v>35</v>
      </c>
      <c r="F4" s="1356">
        <v>35</v>
      </c>
      <c r="G4" s="1356">
        <v>35</v>
      </c>
      <c r="H4" s="1356">
        <v>35</v>
      </c>
      <c r="I4" s="1641">
        <v>35</v>
      </c>
      <c r="J4" s="1357">
        <v>35</v>
      </c>
      <c r="K4" s="1357">
        <v>35</v>
      </c>
      <c r="L4" s="1357">
        <v>35</v>
      </c>
      <c r="M4" s="1357">
        <v>35</v>
      </c>
      <c r="N4" s="1357">
        <v>35</v>
      </c>
      <c r="O4" s="1357">
        <v>35</v>
      </c>
      <c r="P4" s="1357">
        <v>35</v>
      </c>
      <c r="Q4" s="1357">
        <v>35</v>
      </c>
      <c r="R4" s="1357">
        <v>35</v>
      </c>
      <c r="S4" s="1357">
        <v>35</v>
      </c>
      <c r="T4" s="1357">
        <v>35</v>
      </c>
      <c r="U4" s="1357"/>
      <c r="V4" s="1357">
        <v>35</v>
      </c>
      <c r="W4" s="1357">
        <v>35</v>
      </c>
      <c r="X4" s="1357">
        <v>35</v>
      </c>
      <c r="Y4" s="1357">
        <v>35</v>
      </c>
      <c r="Z4" s="3189">
        <v>35</v>
      </c>
      <c r="AA4" s="1357">
        <v>35</v>
      </c>
      <c r="AB4" s="1358">
        <v>35</v>
      </c>
      <c r="AC4" s="2241">
        <v>840000</v>
      </c>
      <c r="AD4" s="89"/>
      <c r="AE4" s="1030"/>
    </row>
    <row r="5" spans="1:54" s="1029" customFormat="1" ht="12" customHeight="1">
      <c r="A5" s="1350">
        <v>3</v>
      </c>
      <c r="B5" s="2075" t="s">
        <v>912</v>
      </c>
      <c r="C5" s="1359">
        <v>100</v>
      </c>
      <c r="D5" s="1360">
        <v>100</v>
      </c>
      <c r="E5" s="1360">
        <v>100</v>
      </c>
      <c r="F5" s="1360">
        <v>100</v>
      </c>
      <c r="G5" s="1360">
        <v>100</v>
      </c>
      <c r="H5" s="1360">
        <v>100</v>
      </c>
      <c r="I5" s="1641">
        <v>100</v>
      </c>
      <c r="J5" s="1361">
        <v>100</v>
      </c>
      <c r="K5" s="1361">
        <v>100</v>
      </c>
      <c r="L5" s="1361">
        <v>100</v>
      </c>
      <c r="M5" s="1361">
        <v>100</v>
      </c>
      <c r="N5" s="1361">
        <v>100</v>
      </c>
      <c r="O5" s="1361">
        <v>100</v>
      </c>
      <c r="P5" s="1361">
        <v>100</v>
      </c>
      <c r="Q5" s="1361">
        <v>100</v>
      </c>
      <c r="R5" s="1361">
        <v>98</v>
      </c>
      <c r="S5" s="1361">
        <v>98</v>
      </c>
      <c r="T5" s="1361">
        <v>98</v>
      </c>
      <c r="U5" s="1361"/>
      <c r="V5" s="1361">
        <v>100</v>
      </c>
      <c r="W5" s="1361">
        <v>100</v>
      </c>
      <c r="X5" s="1361">
        <v>100</v>
      </c>
      <c r="Y5" s="1361">
        <v>100</v>
      </c>
      <c r="Z5" s="3190">
        <v>100</v>
      </c>
      <c r="AA5" s="1361">
        <v>100</v>
      </c>
      <c r="AB5" s="1362">
        <v>100</v>
      </c>
      <c r="AC5" s="2242">
        <v>2400000</v>
      </c>
      <c r="AD5" s="89"/>
      <c r="AE5" s="1030"/>
    </row>
    <row r="6" spans="1:54" s="1029" customFormat="1" ht="12" customHeight="1">
      <c r="A6" s="1354">
        <v>4</v>
      </c>
      <c r="B6" s="2076" t="s">
        <v>913</v>
      </c>
      <c r="C6" s="1363"/>
      <c r="D6" s="1364"/>
      <c r="E6" s="1364"/>
      <c r="F6" s="1364"/>
      <c r="G6" s="1364"/>
      <c r="H6" s="1364"/>
      <c r="I6" s="1641"/>
      <c r="J6" s="1365"/>
      <c r="K6" s="1365"/>
      <c r="L6" s="1365"/>
      <c r="M6" s="1365"/>
      <c r="N6" s="1365"/>
      <c r="O6" s="1365"/>
      <c r="P6" s="1365"/>
      <c r="Q6" s="1365"/>
      <c r="R6" s="1365"/>
      <c r="S6" s="1365"/>
      <c r="T6" s="1365"/>
      <c r="U6" s="1365"/>
      <c r="V6" s="1365"/>
      <c r="W6" s="1365"/>
      <c r="X6" s="1365"/>
      <c r="Y6" s="1365"/>
      <c r="Z6" s="3191"/>
      <c r="AA6" s="1365"/>
      <c r="AB6" s="1366"/>
      <c r="AC6" s="2243"/>
      <c r="AD6" s="89"/>
      <c r="AE6" s="1030"/>
      <c r="AN6" s="1052"/>
      <c r="AO6" s="1053"/>
    </row>
    <row r="7" spans="1:54" s="1029" customFormat="1" ht="12" customHeight="1">
      <c r="A7" s="1350">
        <v>5</v>
      </c>
      <c r="B7" s="2077" t="s">
        <v>914</v>
      </c>
      <c r="C7" s="1367">
        <v>0</v>
      </c>
      <c r="D7" s="1368">
        <v>7</v>
      </c>
      <c r="E7" s="1368">
        <v>16</v>
      </c>
      <c r="F7" s="1368">
        <v>16</v>
      </c>
      <c r="G7" s="1368">
        <v>16</v>
      </c>
      <c r="H7" s="1368">
        <v>16</v>
      </c>
      <c r="I7" s="1642">
        <v>16</v>
      </c>
      <c r="J7" s="1368">
        <v>16</v>
      </c>
      <c r="K7" s="1368">
        <v>16</v>
      </c>
      <c r="L7" s="1368">
        <v>0</v>
      </c>
      <c r="M7" s="1368"/>
      <c r="N7" s="1368"/>
      <c r="O7" s="1368"/>
      <c r="P7" s="1368"/>
      <c r="Q7" s="1368"/>
      <c r="R7" s="1368"/>
      <c r="S7" s="1368">
        <v>13</v>
      </c>
      <c r="T7" s="1368">
        <v>25</v>
      </c>
      <c r="U7" s="1368"/>
      <c r="V7" s="1368">
        <v>25</v>
      </c>
      <c r="W7" s="1368">
        <v>25</v>
      </c>
      <c r="X7" s="1368">
        <v>25</v>
      </c>
      <c r="Y7" s="1368">
        <v>25</v>
      </c>
      <c r="Z7" s="3192">
        <v>25</v>
      </c>
      <c r="AA7" s="1368">
        <v>25</v>
      </c>
      <c r="AB7" s="1369">
        <v>25</v>
      </c>
      <c r="AC7" s="2244">
        <v>317142</v>
      </c>
      <c r="AD7" s="89"/>
      <c r="AE7" s="1030"/>
      <c r="AN7" s="1052"/>
      <c r="AO7" s="1053"/>
    </row>
    <row r="8" spans="1:54" s="1029" customFormat="1" ht="12" customHeight="1">
      <c r="A8" s="1354"/>
      <c r="B8" s="2077" t="s">
        <v>969</v>
      </c>
      <c r="C8" s="1510"/>
      <c r="D8" s="1511"/>
      <c r="E8" s="1511"/>
      <c r="F8" s="1511"/>
      <c r="G8" s="1511">
        <v>0</v>
      </c>
      <c r="H8" s="1511">
        <v>1</v>
      </c>
      <c r="I8" s="1643">
        <v>3</v>
      </c>
      <c r="J8" s="1511">
        <v>13</v>
      </c>
      <c r="K8" s="1511">
        <v>13</v>
      </c>
      <c r="L8" s="1511">
        <v>11</v>
      </c>
      <c r="M8" s="1511">
        <v>14</v>
      </c>
      <c r="N8" s="1511">
        <v>14</v>
      </c>
      <c r="O8" s="1511">
        <v>19</v>
      </c>
      <c r="P8" s="1511">
        <v>19</v>
      </c>
      <c r="Q8" s="1511">
        <v>15</v>
      </c>
      <c r="R8" s="1511">
        <v>4</v>
      </c>
      <c r="S8" s="1511">
        <v>5</v>
      </c>
      <c r="T8" s="1511">
        <v>1</v>
      </c>
      <c r="U8" s="1511"/>
      <c r="V8" s="1511"/>
      <c r="W8" s="1511"/>
      <c r="X8" s="1511"/>
      <c r="Y8" s="1511"/>
      <c r="Z8" s="3193"/>
      <c r="AA8" s="1511"/>
      <c r="AB8" s="1512"/>
      <c r="AC8" s="2245">
        <v>116640</v>
      </c>
      <c r="AD8" s="89"/>
      <c r="AE8" s="1030"/>
      <c r="AN8" s="1052"/>
      <c r="AO8" s="1053"/>
    </row>
    <row r="9" spans="1:54" s="1029" customFormat="1" ht="12" customHeight="1">
      <c r="A9" s="1354">
        <v>6</v>
      </c>
      <c r="B9" s="2078" t="s">
        <v>915</v>
      </c>
      <c r="C9" s="1370"/>
      <c r="D9" s="1371"/>
      <c r="E9" s="1371"/>
      <c r="F9" s="1371"/>
      <c r="G9" s="1371"/>
      <c r="H9" s="1371"/>
      <c r="I9" s="1644"/>
      <c r="J9" s="1371"/>
      <c r="K9" s="1371"/>
      <c r="L9" s="1371"/>
      <c r="M9" s="1371"/>
      <c r="N9" s="1371"/>
      <c r="O9" s="1371"/>
      <c r="P9" s="1371"/>
      <c r="Q9" s="1371"/>
      <c r="R9" s="1371"/>
      <c r="S9" s="1371"/>
      <c r="T9" s="1371"/>
      <c r="U9" s="1371"/>
      <c r="V9" s="1371"/>
      <c r="W9" s="1371"/>
      <c r="X9" s="1371"/>
      <c r="Y9" s="1371"/>
      <c r="Z9" s="3194"/>
      <c r="AA9" s="1371"/>
      <c r="AB9" s="1372"/>
      <c r="AC9" s="2246"/>
      <c r="AD9" s="89"/>
      <c r="AE9" s="1030"/>
      <c r="AN9" s="1054"/>
      <c r="AO9" s="1055"/>
    </row>
    <row r="10" spans="1:54" s="1029" customFormat="1" ht="12" customHeight="1">
      <c r="A10" s="1350">
        <v>7</v>
      </c>
      <c r="B10" s="2079" t="s">
        <v>916</v>
      </c>
      <c r="C10" s="1373"/>
      <c r="D10" s="1356"/>
      <c r="E10" s="1356"/>
      <c r="F10" s="1356"/>
      <c r="G10" s="1356"/>
      <c r="H10" s="1356"/>
      <c r="I10" s="1641"/>
      <c r="J10" s="1357"/>
      <c r="K10" s="1357"/>
      <c r="L10" s="1357"/>
      <c r="M10" s="1357"/>
      <c r="N10" s="1357"/>
      <c r="O10" s="1357"/>
      <c r="P10" s="1357"/>
      <c r="Q10" s="1357"/>
      <c r="R10" s="1357"/>
      <c r="S10" s="1357"/>
      <c r="T10" s="1357"/>
      <c r="U10" s="1357"/>
      <c r="V10" s="1357"/>
      <c r="W10" s="1357"/>
      <c r="X10" s="1357"/>
      <c r="Y10" s="1357"/>
      <c r="Z10" s="3189"/>
      <c r="AA10" s="1357"/>
      <c r="AB10" s="1358"/>
      <c r="AC10" s="2241"/>
      <c r="AD10" s="89"/>
      <c r="AE10" s="1030"/>
    </row>
    <row r="11" spans="1:54" s="1029" customFormat="1" ht="12" customHeight="1">
      <c r="A11" s="1354">
        <v>8</v>
      </c>
      <c r="B11" s="2075"/>
      <c r="C11" s="1374"/>
      <c r="D11" s="1360"/>
      <c r="E11" s="1360"/>
      <c r="F11" s="1360"/>
      <c r="G11" s="1360"/>
      <c r="H11" s="1360"/>
      <c r="I11" s="1641"/>
      <c r="J11" s="1361"/>
      <c r="K11" s="1361"/>
      <c r="L11" s="1361"/>
      <c r="M11" s="1361"/>
      <c r="N11" s="1361"/>
      <c r="O11" s="1361"/>
      <c r="P11" s="1361"/>
      <c r="Q11" s="1361"/>
      <c r="R11" s="1361"/>
      <c r="S11" s="1361"/>
      <c r="T11" s="1361"/>
      <c r="U11" s="1361"/>
      <c r="V11" s="1361"/>
      <c r="W11" s="1361"/>
      <c r="X11" s="1361"/>
      <c r="Y11" s="1361"/>
      <c r="Z11" s="3190"/>
      <c r="AA11" s="1361"/>
      <c r="AB11" s="1362"/>
      <c r="AC11" s="2242"/>
      <c r="AD11" s="89"/>
      <c r="AE11" s="1030"/>
    </row>
    <row r="12" spans="1:54" s="1029" customFormat="1" ht="12" customHeight="1">
      <c r="A12" s="1350">
        <v>9</v>
      </c>
      <c r="B12" s="2076" t="s">
        <v>917</v>
      </c>
      <c r="C12" s="1376"/>
      <c r="D12" s="1377"/>
      <c r="E12" s="1377"/>
      <c r="F12" s="1377"/>
      <c r="G12" s="1377"/>
      <c r="H12" s="1377"/>
      <c r="I12" s="1645"/>
      <c r="J12" s="1377"/>
      <c r="K12" s="1377"/>
      <c r="L12" s="1377"/>
      <c r="M12" s="1377"/>
      <c r="N12" s="1377"/>
      <c r="O12" s="1377"/>
      <c r="P12" s="1377"/>
      <c r="Q12" s="1377"/>
      <c r="R12" s="1377"/>
      <c r="S12" s="1377"/>
      <c r="T12" s="1377"/>
      <c r="U12" s="1377"/>
      <c r="V12" s="1377"/>
      <c r="W12" s="1377"/>
      <c r="X12" s="1377"/>
      <c r="Y12" s="1377"/>
      <c r="Z12" s="3195"/>
      <c r="AA12" s="1377"/>
      <c r="AB12" s="1378"/>
      <c r="AC12" s="2247"/>
      <c r="AD12" s="89"/>
      <c r="AE12" s="1030"/>
    </row>
    <row r="13" spans="1:54" s="1029" customFormat="1" ht="12" customHeight="1">
      <c r="A13" s="1354">
        <v>10</v>
      </c>
      <c r="B13" s="2080" t="s">
        <v>918</v>
      </c>
      <c r="C13" s="1376"/>
      <c r="D13" s="1377"/>
      <c r="E13" s="1377"/>
      <c r="F13" s="1377"/>
      <c r="G13" s="1377"/>
      <c r="H13" s="1377"/>
      <c r="I13" s="1645"/>
      <c r="J13" s="1377"/>
      <c r="K13" s="1377"/>
      <c r="L13" s="1377"/>
      <c r="M13" s="1377"/>
      <c r="N13" s="1377"/>
      <c r="O13" s="1377"/>
      <c r="P13" s="1377"/>
      <c r="Q13" s="1377"/>
      <c r="R13" s="1377"/>
      <c r="S13" s="1377"/>
      <c r="T13" s="1377"/>
      <c r="U13" s="1377"/>
      <c r="V13" s="1377"/>
      <c r="W13" s="1377"/>
      <c r="X13" s="1377"/>
      <c r="Y13" s="1377"/>
      <c r="Z13" s="3195"/>
      <c r="AA13" s="1377"/>
      <c r="AB13" s="1378"/>
      <c r="AC13" s="2247"/>
      <c r="AD13" s="89"/>
      <c r="AE13" s="1030"/>
    </row>
    <row r="14" spans="1:54" s="1029" customFormat="1" ht="12" customHeight="1">
      <c r="A14" s="1354"/>
      <c r="B14" s="2080" t="s">
        <v>920</v>
      </c>
      <c r="C14" s="1376">
        <v>51</v>
      </c>
      <c r="D14" s="1377">
        <v>51</v>
      </c>
      <c r="E14" s="1377">
        <v>51</v>
      </c>
      <c r="F14" s="1377">
        <v>17</v>
      </c>
      <c r="G14" s="1377">
        <v>17</v>
      </c>
      <c r="H14" s="1377">
        <v>17</v>
      </c>
      <c r="I14" s="1645">
        <v>17</v>
      </c>
      <c r="J14" s="1377">
        <v>17</v>
      </c>
      <c r="K14" s="1377">
        <v>17</v>
      </c>
      <c r="L14" s="1377">
        <v>17</v>
      </c>
      <c r="M14" s="1377">
        <v>17</v>
      </c>
      <c r="N14" s="1377">
        <v>34</v>
      </c>
      <c r="O14" s="1377">
        <v>51</v>
      </c>
      <c r="P14" s="1377">
        <v>51</v>
      </c>
      <c r="Q14" s="1377">
        <v>51</v>
      </c>
      <c r="R14" s="1377">
        <v>51</v>
      </c>
      <c r="S14" s="1377">
        <v>51</v>
      </c>
      <c r="T14" s="1377">
        <v>51</v>
      </c>
      <c r="U14" s="1377"/>
      <c r="V14" s="1377">
        <v>51</v>
      </c>
      <c r="W14" s="1377">
        <v>51</v>
      </c>
      <c r="X14" s="1377">
        <v>51</v>
      </c>
      <c r="Y14" s="1377">
        <v>51</v>
      </c>
      <c r="Z14" s="3195">
        <v>51</v>
      </c>
      <c r="AA14" s="1377">
        <v>51</v>
      </c>
      <c r="AB14" s="1378">
        <v>51</v>
      </c>
      <c r="AC14" s="2247">
        <v>909799</v>
      </c>
      <c r="AD14" s="89"/>
      <c r="AE14" s="1030"/>
    </row>
    <row r="15" spans="1:54" s="1029" customFormat="1" ht="12" customHeight="1">
      <c r="A15" s="1354">
        <v>12</v>
      </c>
      <c r="B15" s="2074" t="s">
        <v>919</v>
      </c>
      <c r="C15" s="1379">
        <v>26</v>
      </c>
      <c r="D15" s="1357">
        <v>26</v>
      </c>
      <c r="E15" s="1357">
        <v>26</v>
      </c>
      <c r="F15" s="1357">
        <v>26</v>
      </c>
      <c r="G15" s="1357">
        <v>26</v>
      </c>
      <c r="H15" s="1357">
        <v>26</v>
      </c>
      <c r="I15" s="1646">
        <v>26</v>
      </c>
      <c r="J15" s="1357">
        <v>26</v>
      </c>
      <c r="K15" s="1357">
        <v>26</v>
      </c>
      <c r="L15" s="1357">
        <v>26</v>
      </c>
      <c r="M15" s="1357">
        <v>26</v>
      </c>
      <c r="N15" s="1357">
        <v>28</v>
      </c>
      <c r="O15" s="1357">
        <v>26</v>
      </c>
      <c r="P15" s="1357">
        <v>26</v>
      </c>
      <c r="Q15" s="1357">
        <v>26</v>
      </c>
      <c r="R15" s="1357">
        <v>26</v>
      </c>
      <c r="S15" s="1357">
        <v>25</v>
      </c>
      <c r="T15" s="1357">
        <v>26</v>
      </c>
      <c r="U15" s="1357"/>
      <c r="V15" s="1357">
        <v>26</v>
      </c>
      <c r="W15" s="1357">
        <v>34</v>
      </c>
      <c r="X15" s="1357">
        <v>34</v>
      </c>
      <c r="Y15" s="1357">
        <v>34</v>
      </c>
      <c r="Z15" s="3189">
        <v>34</v>
      </c>
      <c r="AA15" s="1357">
        <v>34</v>
      </c>
      <c r="AB15" s="1358">
        <v>34</v>
      </c>
      <c r="AC15" s="2248">
        <v>655824</v>
      </c>
      <c r="AD15" s="89"/>
      <c r="AE15" s="1030"/>
    </row>
    <row r="16" spans="1:54" s="1029" customFormat="1" ht="12" customHeight="1">
      <c r="A16" s="1354"/>
      <c r="B16" s="2074" t="s">
        <v>975</v>
      </c>
      <c r="C16" s="1619">
        <v>87</v>
      </c>
      <c r="D16" s="1682">
        <v>87</v>
      </c>
      <c r="E16" s="1682">
        <v>87</v>
      </c>
      <c r="F16" s="1682">
        <v>81</v>
      </c>
      <c r="G16" s="1682">
        <v>87</v>
      </c>
      <c r="H16" s="1682">
        <v>80</v>
      </c>
      <c r="I16" s="1683">
        <v>87</v>
      </c>
      <c r="J16" s="1684">
        <v>87</v>
      </c>
      <c r="K16" s="1684">
        <v>87</v>
      </c>
      <c r="L16" s="1684">
        <v>87</v>
      </c>
      <c r="M16" s="1684">
        <v>87</v>
      </c>
      <c r="N16" s="1684">
        <v>72</v>
      </c>
      <c r="O16" s="1684">
        <v>74</v>
      </c>
      <c r="P16" s="1684">
        <v>87</v>
      </c>
      <c r="Q16" s="1684">
        <v>87</v>
      </c>
      <c r="R16" s="1684">
        <v>105</v>
      </c>
      <c r="S16" s="1684">
        <v>105</v>
      </c>
      <c r="T16" s="1684">
        <v>105</v>
      </c>
      <c r="U16" s="1684"/>
      <c r="V16" s="1684">
        <v>105</v>
      </c>
      <c r="W16" s="1684">
        <v>105</v>
      </c>
      <c r="X16" s="1684">
        <v>105</v>
      </c>
      <c r="Y16" s="1684">
        <v>105</v>
      </c>
      <c r="Z16" s="3196">
        <v>105</v>
      </c>
      <c r="AA16" s="1684">
        <v>105</v>
      </c>
      <c r="AB16" s="1685">
        <v>92</v>
      </c>
      <c r="AC16" s="2249">
        <v>2221382</v>
      </c>
      <c r="AD16" s="89"/>
      <c r="AE16" s="1030"/>
    </row>
    <row r="17" spans="1:31" s="1029" customFormat="1" ht="12" customHeight="1">
      <c r="A17" s="1354"/>
      <c r="B17" s="2074" t="s">
        <v>963</v>
      </c>
      <c r="C17" s="1355"/>
      <c r="D17" s="1356"/>
      <c r="E17" s="1356"/>
      <c r="F17" s="1356"/>
      <c r="G17" s="1356"/>
      <c r="H17" s="1356"/>
      <c r="I17" s="1641"/>
      <c r="J17" s="1357"/>
      <c r="K17" s="1357"/>
      <c r="L17" s="1357"/>
      <c r="M17" s="1357"/>
      <c r="N17" s="1357"/>
      <c r="O17" s="1357"/>
      <c r="P17" s="1357"/>
      <c r="Q17" s="1357"/>
      <c r="R17" s="1357">
        <v>50</v>
      </c>
      <c r="S17" s="1357">
        <v>50</v>
      </c>
      <c r="T17" s="1357">
        <v>50</v>
      </c>
      <c r="U17" s="1357"/>
      <c r="V17" s="1357">
        <v>195</v>
      </c>
      <c r="W17" s="1357">
        <v>150</v>
      </c>
      <c r="X17" s="1357">
        <v>150</v>
      </c>
      <c r="Y17" s="1357">
        <v>195</v>
      </c>
      <c r="Z17" s="3189">
        <v>140</v>
      </c>
      <c r="AA17" s="1357">
        <v>196</v>
      </c>
      <c r="AB17" s="1358">
        <v>197</v>
      </c>
      <c r="AC17" s="2249">
        <v>1072896</v>
      </c>
      <c r="AD17" s="89"/>
      <c r="AE17" s="1030"/>
    </row>
    <row r="18" spans="1:31" s="1029" customFormat="1" ht="12" customHeight="1">
      <c r="A18" s="1354">
        <v>14</v>
      </c>
      <c r="B18" s="2076" t="s">
        <v>937</v>
      </c>
      <c r="C18" s="1363">
        <v>41</v>
      </c>
      <c r="D18" s="1364">
        <v>41</v>
      </c>
      <c r="E18" s="1364">
        <v>41</v>
      </c>
      <c r="F18" s="1364">
        <v>41</v>
      </c>
      <c r="G18" s="1364">
        <v>41</v>
      </c>
      <c r="H18" s="1364">
        <v>41</v>
      </c>
      <c r="I18" s="1641">
        <v>24</v>
      </c>
      <c r="J18" s="1365">
        <v>24</v>
      </c>
      <c r="K18" s="1365">
        <v>24</v>
      </c>
      <c r="L18" s="1365">
        <v>24</v>
      </c>
      <c r="M18" s="1365">
        <v>24</v>
      </c>
      <c r="N18" s="1365">
        <v>26</v>
      </c>
      <c r="O18" s="1365">
        <v>31</v>
      </c>
      <c r="P18" s="1365">
        <v>30</v>
      </c>
      <c r="Q18" s="1365">
        <v>30</v>
      </c>
      <c r="R18" s="1365">
        <v>30</v>
      </c>
      <c r="S18" s="1365">
        <v>30</v>
      </c>
      <c r="T18" s="1365">
        <v>30</v>
      </c>
      <c r="U18" s="1365"/>
      <c r="V18" s="1365">
        <v>34</v>
      </c>
      <c r="W18" s="1365">
        <v>38</v>
      </c>
      <c r="X18" s="1365">
        <v>38</v>
      </c>
      <c r="Y18" s="1365">
        <v>38</v>
      </c>
      <c r="Z18" s="3191">
        <v>38</v>
      </c>
      <c r="AA18" s="1365">
        <v>38</v>
      </c>
      <c r="AB18" s="1366">
        <v>39</v>
      </c>
      <c r="AC18" s="2243">
        <v>791304</v>
      </c>
      <c r="AD18" s="89"/>
      <c r="AE18" s="1030"/>
    </row>
    <row r="19" spans="1:31" s="1029" customFormat="1" ht="12" customHeight="1">
      <c r="A19" s="1350">
        <v>15</v>
      </c>
      <c r="B19" s="2080" t="s">
        <v>897</v>
      </c>
      <c r="C19" s="1376"/>
      <c r="D19" s="1377"/>
      <c r="E19" s="1377"/>
      <c r="F19" s="1377"/>
      <c r="G19" s="1377"/>
      <c r="H19" s="1377"/>
      <c r="I19" s="1645"/>
      <c r="J19" s="1377"/>
      <c r="K19" s="1377"/>
      <c r="L19" s="1377"/>
      <c r="M19" s="1377"/>
      <c r="N19" s="1377"/>
      <c r="O19" s="1377"/>
      <c r="P19" s="1377"/>
      <c r="Q19" s="1377"/>
      <c r="R19" s="1377"/>
      <c r="S19" s="1377"/>
      <c r="T19" s="1377"/>
      <c r="U19" s="1377"/>
      <c r="V19" s="1377"/>
      <c r="W19" s="1377"/>
      <c r="X19" s="1377"/>
      <c r="Y19" s="1377"/>
      <c r="Z19" s="3195"/>
      <c r="AA19" s="1377"/>
      <c r="AB19" s="1378"/>
      <c r="AC19" s="2247"/>
      <c r="AD19" s="89"/>
      <c r="AE19" s="1030"/>
    </row>
    <row r="20" spans="1:31" s="1029" customFormat="1" ht="12" customHeight="1">
      <c r="A20" s="1354">
        <v>16</v>
      </c>
      <c r="B20" s="2073" t="s">
        <v>898</v>
      </c>
      <c r="C20" s="1370"/>
      <c r="D20" s="1371"/>
      <c r="E20" s="1371"/>
      <c r="F20" s="1371"/>
      <c r="G20" s="1371"/>
      <c r="H20" s="1371"/>
      <c r="I20" s="1644"/>
      <c r="J20" s="1371"/>
      <c r="K20" s="1371"/>
      <c r="L20" s="1371"/>
      <c r="M20" s="1371"/>
      <c r="N20" s="1371"/>
      <c r="O20" s="1371"/>
      <c r="P20" s="1371"/>
      <c r="Q20" s="1371"/>
      <c r="R20" s="1371"/>
      <c r="S20" s="1371"/>
      <c r="T20" s="1371"/>
      <c r="U20" s="1371"/>
      <c r="V20" s="1371"/>
      <c r="W20" s="1371"/>
      <c r="X20" s="1371"/>
      <c r="Y20" s="1371"/>
      <c r="Z20" s="3194"/>
      <c r="AA20" s="1371"/>
      <c r="AB20" s="1372"/>
      <c r="AC20" s="2246"/>
      <c r="AD20" s="89"/>
      <c r="AE20" s="1030"/>
    </row>
    <row r="21" spans="1:31" s="1029" customFormat="1" ht="12" customHeight="1">
      <c r="A21" s="1350">
        <v>17</v>
      </c>
      <c r="B21" s="2074" t="s">
        <v>896</v>
      </c>
      <c r="C21" s="1380"/>
      <c r="D21" s="1381"/>
      <c r="E21" s="1381"/>
      <c r="F21" s="1381"/>
      <c r="G21" s="1381"/>
      <c r="H21" s="1381"/>
      <c r="I21" s="1647"/>
      <c r="J21" s="1382"/>
      <c r="K21" s="1382"/>
      <c r="L21" s="1382"/>
      <c r="M21" s="1382"/>
      <c r="N21" s="1382"/>
      <c r="O21" s="1382"/>
      <c r="P21" s="1382"/>
      <c r="Q21" s="1382"/>
      <c r="R21" s="1382"/>
      <c r="S21" s="1382"/>
      <c r="T21" s="1382"/>
      <c r="U21" s="1382"/>
      <c r="V21" s="1382"/>
      <c r="W21" s="1382"/>
      <c r="X21" s="1382"/>
      <c r="Y21" s="1382"/>
      <c r="Z21" s="3197"/>
      <c r="AA21" s="1382"/>
      <c r="AB21" s="1383"/>
      <c r="AC21" s="2250"/>
      <c r="AD21" s="89"/>
      <c r="AE21" s="1030"/>
    </row>
    <row r="22" spans="1:31" s="1029" customFormat="1" ht="12" customHeight="1">
      <c r="A22" s="1354">
        <v>18</v>
      </c>
      <c r="B22" s="2081" t="s">
        <v>964</v>
      </c>
      <c r="C22" s="1374">
        <v>225</v>
      </c>
      <c r="D22" s="1360">
        <v>200</v>
      </c>
      <c r="E22" s="1360">
        <v>200</v>
      </c>
      <c r="F22" s="1360">
        <v>195</v>
      </c>
      <c r="G22" s="1360">
        <v>198</v>
      </c>
      <c r="H22" s="1360">
        <v>195</v>
      </c>
      <c r="I22" s="1641">
        <v>195</v>
      </c>
      <c r="J22" s="1361">
        <v>195</v>
      </c>
      <c r="K22" s="1361">
        <v>195</v>
      </c>
      <c r="L22" s="1361">
        <v>195</v>
      </c>
      <c r="M22" s="1361">
        <v>195</v>
      </c>
      <c r="N22" s="1361">
        <v>195</v>
      </c>
      <c r="O22" s="1361">
        <v>195</v>
      </c>
      <c r="P22" s="1361">
        <v>195</v>
      </c>
      <c r="Q22" s="1361">
        <v>193</v>
      </c>
      <c r="R22" s="1361">
        <v>195</v>
      </c>
      <c r="S22" s="1361">
        <v>195</v>
      </c>
      <c r="T22" s="1361">
        <v>207</v>
      </c>
      <c r="U22" s="1361"/>
      <c r="V22" s="1361">
        <v>242</v>
      </c>
      <c r="W22" s="1361">
        <v>242</v>
      </c>
      <c r="X22" s="1361">
        <v>242</v>
      </c>
      <c r="Y22" s="1361">
        <v>242</v>
      </c>
      <c r="Z22" s="3190">
        <v>242</v>
      </c>
      <c r="AA22" s="1361">
        <v>242</v>
      </c>
      <c r="AB22" s="1362">
        <v>135</v>
      </c>
      <c r="AC22" s="2242">
        <v>4927852</v>
      </c>
      <c r="AD22" s="89"/>
      <c r="AE22" s="1030"/>
    </row>
    <row r="23" spans="1:31" s="1029" customFormat="1" ht="12" customHeight="1">
      <c r="A23" s="1350">
        <v>19</v>
      </c>
      <c r="B23" s="2082" t="s">
        <v>931</v>
      </c>
      <c r="C23" s="1375">
        <v>8</v>
      </c>
      <c r="D23" s="1364">
        <v>8</v>
      </c>
      <c r="E23" s="1364">
        <v>8</v>
      </c>
      <c r="F23" s="1364">
        <v>8</v>
      </c>
      <c r="G23" s="1364">
        <v>8</v>
      </c>
      <c r="H23" s="1364">
        <v>8</v>
      </c>
      <c r="I23" s="1641">
        <v>8</v>
      </c>
      <c r="J23" s="1365">
        <v>8</v>
      </c>
      <c r="K23" s="1365">
        <v>8</v>
      </c>
      <c r="L23" s="1365">
        <v>8</v>
      </c>
      <c r="M23" s="1365">
        <v>8</v>
      </c>
      <c r="N23" s="1365">
        <v>36</v>
      </c>
      <c r="O23" s="1365">
        <v>55</v>
      </c>
      <c r="P23" s="1365">
        <v>83</v>
      </c>
      <c r="Q23" s="1365">
        <v>83</v>
      </c>
      <c r="R23" s="1365">
        <v>83</v>
      </c>
      <c r="S23" s="1365">
        <v>83</v>
      </c>
      <c r="T23" s="1365">
        <v>83</v>
      </c>
      <c r="U23" s="1365"/>
      <c r="V23" s="1365">
        <v>8</v>
      </c>
      <c r="W23" s="1365">
        <v>8</v>
      </c>
      <c r="X23" s="1365">
        <v>8</v>
      </c>
      <c r="Y23" s="1365">
        <v>8</v>
      </c>
      <c r="Z23" s="3191">
        <v>8</v>
      </c>
      <c r="AA23" s="1365">
        <v>8</v>
      </c>
      <c r="AB23" s="1366">
        <v>8</v>
      </c>
      <c r="AC23" s="2243">
        <v>669090</v>
      </c>
      <c r="AD23" s="89"/>
      <c r="AE23" s="1030"/>
    </row>
    <row r="24" spans="1:31" s="1029" customFormat="1" ht="12" customHeight="1">
      <c r="A24" s="1354">
        <v>20</v>
      </c>
      <c r="B24" s="2080" t="s">
        <v>884</v>
      </c>
      <c r="C24" s="1376"/>
      <c r="D24" s="1377"/>
      <c r="E24" s="1377"/>
      <c r="F24" s="1377"/>
      <c r="G24" s="1377"/>
      <c r="H24" s="1377"/>
      <c r="I24" s="1645"/>
      <c r="J24" s="1377"/>
      <c r="K24" s="1377"/>
      <c r="L24" s="1377"/>
      <c r="M24" s="1377"/>
      <c r="N24" s="1377"/>
      <c r="O24" s="1377"/>
      <c r="P24" s="1377"/>
      <c r="Q24" s="1377"/>
      <c r="R24" s="1377"/>
      <c r="S24" s="1377"/>
      <c r="T24" s="1377"/>
      <c r="U24" s="1377"/>
      <c r="V24" s="1377"/>
      <c r="W24" s="1377"/>
      <c r="X24" s="1377"/>
      <c r="Y24" s="1377"/>
      <c r="Z24" s="3195"/>
      <c r="AA24" s="1377"/>
      <c r="AB24" s="1378"/>
      <c r="AC24" s="2247"/>
      <c r="AD24" s="89"/>
      <c r="AE24" s="1030"/>
    </row>
    <row r="25" spans="1:31" s="1029" customFormat="1" ht="12" customHeight="1">
      <c r="A25" s="1350">
        <v>21</v>
      </c>
      <c r="B25" s="2073" t="s">
        <v>1230</v>
      </c>
      <c r="C25" s="1370"/>
      <c r="D25" s="1371"/>
      <c r="E25" s="1371"/>
      <c r="F25" s="1371"/>
      <c r="G25" s="1371"/>
      <c r="H25" s="1371"/>
      <c r="I25" s="1644"/>
      <c r="J25" s="1371"/>
      <c r="K25" s="1371"/>
      <c r="L25" s="1371"/>
      <c r="M25" s="1371"/>
      <c r="N25" s="1371"/>
      <c r="O25" s="1371"/>
      <c r="P25" s="1371"/>
      <c r="Q25" s="1371"/>
      <c r="R25" s="1371"/>
      <c r="S25" s="1371"/>
      <c r="T25" s="1371"/>
      <c r="U25" s="1371"/>
      <c r="V25" s="1371"/>
      <c r="W25" s="1371"/>
      <c r="X25" s="1371"/>
      <c r="Y25" s="1371"/>
      <c r="Z25" s="3194"/>
      <c r="AA25" s="1371"/>
      <c r="AB25" s="1372"/>
      <c r="AC25" s="2246"/>
      <c r="AD25" s="89"/>
      <c r="AE25" s="1030"/>
    </row>
    <row r="26" spans="1:31" s="1029" customFormat="1" ht="12" customHeight="1">
      <c r="A26" s="1354">
        <v>22</v>
      </c>
      <c r="B26" s="2074" t="s">
        <v>886</v>
      </c>
      <c r="C26" s="1379"/>
      <c r="D26" s="1357"/>
      <c r="E26" s="1357"/>
      <c r="F26" s="1357"/>
      <c r="G26" s="1357"/>
      <c r="H26" s="1357"/>
      <c r="I26" s="1646"/>
      <c r="J26" s="1357"/>
      <c r="K26" s="1357"/>
      <c r="L26" s="1357"/>
      <c r="M26" s="1357"/>
      <c r="N26" s="1357"/>
      <c r="O26" s="1357"/>
      <c r="P26" s="1357"/>
      <c r="Q26" s="1357"/>
      <c r="R26" s="1357"/>
      <c r="S26" s="1357"/>
      <c r="T26" s="1357"/>
      <c r="U26" s="1357"/>
      <c r="V26" s="1357"/>
      <c r="W26" s="1357"/>
      <c r="X26" s="1357"/>
      <c r="Y26" s="1357"/>
      <c r="Z26" s="3189"/>
      <c r="AA26" s="1357"/>
      <c r="AB26" s="1358"/>
      <c r="AC26" s="2248"/>
      <c r="AD26" s="89"/>
      <c r="AE26" s="1030"/>
    </row>
    <row r="27" spans="1:31" s="1029" customFormat="1" ht="12" customHeight="1">
      <c r="A27" s="1350">
        <v>23</v>
      </c>
      <c r="B27" s="2075" t="s">
        <v>887</v>
      </c>
      <c r="C27" s="1384">
        <v>180</v>
      </c>
      <c r="D27" s="1385">
        <v>180</v>
      </c>
      <c r="E27" s="1385">
        <v>180</v>
      </c>
      <c r="F27" s="1385">
        <v>180</v>
      </c>
      <c r="G27" s="1385">
        <v>180</v>
      </c>
      <c r="H27" s="1385">
        <v>180</v>
      </c>
      <c r="I27" s="1648">
        <v>180</v>
      </c>
      <c r="J27" s="1386">
        <v>180</v>
      </c>
      <c r="K27" s="1386">
        <v>180</v>
      </c>
      <c r="L27" s="1386">
        <v>180</v>
      </c>
      <c r="M27" s="1386">
        <v>180</v>
      </c>
      <c r="N27" s="1386">
        <v>180</v>
      </c>
      <c r="O27" s="1386">
        <v>180</v>
      </c>
      <c r="P27" s="1386">
        <v>180</v>
      </c>
      <c r="Q27" s="1386">
        <v>180</v>
      </c>
      <c r="R27" s="1386">
        <v>180</v>
      </c>
      <c r="S27" s="1386">
        <v>180</v>
      </c>
      <c r="T27" s="1386">
        <v>180</v>
      </c>
      <c r="U27" s="1386"/>
      <c r="V27" s="1386">
        <v>180</v>
      </c>
      <c r="W27" s="1386">
        <v>180</v>
      </c>
      <c r="X27" s="1386">
        <v>180</v>
      </c>
      <c r="Y27" s="1386">
        <v>180</v>
      </c>
      <c r="Z27" s="3198">
        <v>180</v>
      </c>
      <c r="AA27" s="1386">
        <v>180</v>
      </c>
      <c r="AB27" s="1387">
        <v>180</v>
      </c>
      <c r="AC27" s="2251">
        <v>4315500</v>
      </c>
      <c r="AD27" s="89"/>
      <c r="AE27" s="1030"/>
    </row>
    <row r="28" spans="1:31" s="1029" customFormat="1" ht="12" customHeight="1">
      <c r="A28" s="1354">
        <v>24</v>
      </c>
      <c r="B28" s="2076"/>
      <c r="C28" s="1363"/>
      <c r="D28" s="1364"/>
      <c r="E28" s="1364"/>
      <c r="F28" s="1364"/>
      <c r="G28" s="1364"/>
      <c r="H28" s="1364"/>
      <c r="I28" s="1641"/>
      <c r="J28" s="1365"/>
      <c r="K28" s="1365"/>
      <c r="L28" s="1365"/>
      <c r="M28" s="1365"/>
      <c r="N28" s="1365"/>
      <c r="O28" s="1365"/>
      <c r="P28" s="1365"/>
      <c r="Q28" s="1365"/>
      <c r="R28" s="1365"/>
      <c r="S28" s="1365"/>
      <c r="T28" s="1365"/>
      <c r="U28" s="1365"/>
      <c r="V28" s="1365"/>
      <c r="W28" s="1365"/>
      <c r="X28" s="1365"/>
      <c r="Y28" s="1365"/>
      <c r="Z28" s="3191"/>
      <c r="AA28" s="1365"/>
      <c r="AB28" s="1366"/>
      <c r="AC28" s="2243"/>
      <c r="AD28" s="89"/>
      <c r="AE28" s="1030"/>
    </row>
    <row r="29" spans="1:31" s="1029" customFormat="1" ht="12" customHeight="1">
      <c r="A29" s="1350">
        <v>25</v>
      </c>
      <c r="B29" s="2080" t="s">
        <v>888</v>
      </c>
      <c r="C29" s="1376"/>
      <c r="D29" s="1377"/>
      <c r="E29" s="1377"/>
      <c r="F29" s="1377"/>
      <c r="G29" s="1377"/>
      <c r="H29" s="1377"/>
      <c r="I29" s="1645"/>
      <c r="J29" s="1377"/>
      <c r="K29" s="1377"/>
      <c r="L29" s="1377"/>
      <c r="M29" s="1377"/>
      <c r="N29" s="1377"/>
      <c r="O29" s="1377"/>
      <c r="P29" s="1377"/>
      <c r="Q29" s="1377"/>
      <c r="R29" s="1377"/>
      <c r="S29" s="1377"/>
      <c r="T29" s="1377"/>
      <c r="U29" s="1377"/>
      <c r="V29" s="1377"/>
      <c r="W29" s="1377"/>
      <c r="X29" s="1377">
        <v>60</v>
      </c>
      <c r="Y29" s="1377">
        <v>200</v>
      </c>
      <c r="Z29" s="3195">
        <v>200</v>
      </c>
      <c r="AA29" s="1377">
        <v>200</v>
      </c>
      <c r="AB29" s="1378">
        <v>200</v>
      </c>
      <c r="AC29" s="2247">
        <v>687100</v>
      </c>
      <c r="AD29" s="89"/>
      <c r="AE29" s="1030"/>
    </row>
    <row r="30" spans="1:31" s="1029" customFormat="1" ht="12" customHeight="1">
      <c r="A30" s="1354">
        <v>26</v>
      </c>
      <c r="B30" s="2073"/>
      <c r="C30" s="1370"/>
      <c r="D30" s="1371"/>
      <c r="E30" s="1371"/>
      <c r="F30" s="1371"/>
      <c r="G30" s="1371"/>
      <c r="H30" s="1371"/>
      <c r="I30" s="1644"/>
      <c r="J30" s="1371"/>
      <c r="K30" s="1371"/>
      <c r="L30" s="1371"/>
      <c r="M30" s="1371"/>
      <c r="N30" s="1371"/>
      <c r="O30" s="1371"/>
      <c r="P30" s="1371"/>
      <c r="Q30" s="1371"/>
      <c r="R30" s="1371"/>
      <c r="S30" s="1371"/>
      <c r="T30" s="1371"/>
      <c r="U30" s="1371"/>
      <c r="V30" s="1371"/>
      <c r="W30" s="1371"/>
      <c r="X30" s="1371"/>
      <c r="Y30" s="1371"/>
      <c r="Z30" s="3194"/>
      <c r="AA30" s="1371"/>
      <c r="AB30" s="1372"/>
      <c r="AC30" s="2246"/>
      <c r="AD30" s="89"/>
      <c r="AE30" s="1030"/>
    </row>
    <row r="31" spans="1:31" s="1029" customFormat="1" ht="12" customHeight="1">
      <c r="A31" s="1354">
        <v>28</v>
      </c>
      <c r="B31" s="2075" t="s">
        <v>925</v>
      </c>
      <c r="C31" s="1374"/>
      <c r="D31" s="1360"/>
      <c r="E31" s="1360"/>
      <c r="F31" s="1360"/>
      <c r="G31" s="1360"/>
      <c r="H31" s="1360"/>
      <c r="I31" s="1641"/>
      <c r="J31" s="1361"/>
      <c r="K31" s="1361"/>
      <c r="L31" s="1361"/>
      <c r="M31" s="1361"/>
      <c r="N31" s="1361"/>
      <c r="O31" s="1361"/>
      <c r="P31" s="1361"/>
      <c r="Q31" s="1361"/>
      <c r="R31" s="1361"/>
      <c r="S31" s="1361"/>
      <c r="T31" s="1361"/>
      <c r="U31" s="1361"/>
      <c r="V31" s="1361"/>
      <c r="W31" s="1361"/>
      <c r="X31" s="1361"/>
      <c r="Y31" s="1361"/>
      <c r="Z31" s="3190"/>
      <c r="AA31" s="1361"/>
      <c r="AB31" s="1362"/>
      <c r="AC31" s="2242"/>
      <c r="AD31" s="89"/>
      <c r="AE31" s="1030"/>
    </row>
    <row r="32" spans="1:31" s="1029" customFormat="1" ht="12" customHeight="1">
      <c r="A32" s="1350">
        <v>29</v>
      </c>
      <c r="B32" s="2076" t="s">
        <v>926</v>
      </c>
      <c r="C32" s="1375"/>
      <c r="D32" s="1364"/>
      <c r="E32" s="1364"/>
      <c r="F32" s="1364"/>
      <c r="G32" s="1364"/>
      <c r="H32" s="1364"/>
      <c r="I32" s="1641"/>
      <c r="J32" s="1365"/>
      <c r="K32" s="1365"/>
      <c r="L32" s="1365"/>
      <c r="M32" s="1365"/>
      <c r="N32" s="1365"/>
      <c r="O32" s="1365"/>
      <c r="P32" s="1365"/>
      <c r="Q32" s="1365"/>
      <c r="R32" s="1365"/>
      <c r="S32" s="1365"/>
      <c r="T32" s="1365"/>
      <c r="U32" s="1365"/>
      <c r="V32" s="1365"/>
      <c r="W32" s="1365"/>
      <c r="X32" s="1365"/>
      <c r="Y32" s="1365"/>
      <c r="Z32" s="3191"/>
      <c r="AA32" s="1365"/>
      <c r="AB32" s="1366"/>
      <c r="AC32" s="2243"/>
      <c r="AD32" s="89"/>
      <c r="AE32" s="1030"/>
    </row>
    <row r="33" spans="1:31" s="1029" customFormat="1" ht="12" customHeight="1">
      <c r="A33" s="1354">
        <v>30</v>
      </c>
      <c r="B33" s="2080" t="s">
        <v>927</v>
      </c>
      <c r="C33" s="1376"/>
      <c r="D33" s="1377"/>
      <c r="E33" s="1377"/>
      <c r="F33" s="1377"/>
      <c r="G33" s="1377"/>
      <c r="H33" s="1377"/>
      <c r="I33" s="1645"/>
      <c r="J33" s="1377"/>
      <c r="K33" s="1377"/>
      <c r="L33" s="1377"/>
      <c r="M33" s="1377"/>
      <c r="N33" s="1377"/>
      <c r="O33" s="1377"/>
      <c r="P33" s="1377"/>
      <c r="Q33" s="1377"/>
      <c r="R33" s="1377"/>
      <c r="S33" s="1377"/>
      <c r="T33" s="1377"/>
      <c r="U33" s="1377"/>
      <c r="V33" s="1377"/>
      <c r="W33" s="1377"/>
      <c r="X33" s="1377"/>
      <c r="Y33" s="1377"/>
      <c r="Z33" s="3195"/>
      <c r="AA33" s="1377"/>
      <c r="AB33" s="1378"/>
      <c r="AC33" s="2247"/>
      <c r="AD33" s="89"/>
      <c r="AE33" s="1030"/>
    </row>
    <row r="34" spans="1:31" s="1029" customFormat="1" ht="12" customHeight="1">
      <c r="A34" s="1354">
        <v>32</v>
      </c>
      <c r="B34" s="2079" t="s">
        <v>933</v>
      </c>
      <c r="C34" s="1379">
        <v>37</v>
      </c>
      <c r="D34" s="1357">
        <v>37</v>
      </c>
      <c r="E34" s="1357">
        <v>37</v>
      </c>
      <c r="F34" s="1357">
        <v>37</v>
      </c>
      <c r="G34" s="1357">
        <v>37</v>
      </c>
      <c r="H34" s="1357">
        <v>35</v>
      </c>
      <c r="I34" s="1646">
        <v>35</v>
      </c>
      <c r="J34" s="1357">
        <v>35</v>
      </c>
      <c r="K34" s="1357">
        <v>31</v>
      </c>
      <c r="L34" s="1357">
        <v>34</v>
      </c>
      <c r="M34" s="1357">
        <v>38</v>
      </c>
      <c r="N34" s="1357">
        <v>35</v>
      </c>
      <c r="O34" s="1357">
        <v>38</v>
      </c>
      <c r="P34" s="1357">
        <v>38</v>
      </c>
      <c r="Q34" s="1357">
        <v>37</v>
      </c>
      <c r="R34" s="1357">
        <v>35</v>
      </c>
      <c r="S34" s="1357">
        <v>37</v>
      </c>
      <c r="T34" s="1357">
        <v>40</v>
      </c>
      <c r="U34" s="1357"/>
      <c r="V34" s="1357">
        <v>38</v>
      </c>
      <c r="W34" s="1357">
        <v>41</v>
      </c>
      <c r="X34" s="1357">
        <v>41</v>
      </c>
      <c r="Y34" s="1357">
        <v>41</v>
      </c>
      <c r="Z34" s="3189">
        <v>42</v>
      </c>
      <c r="AA34" s="1357">
        <v>42</v>
      </c>
      <c r="AB34" s="1358">
        <v>42</v>
      </c>
      <c r="AC34" s="2248">
        <v>876024</v>
      </c>
      <c r="AD34" s="89"/>
      <c r="AE34" s="1030"/>
    </row>
    <row r="35" spans="1:31" s="1029" customFormat="1" ht="12" customHeight="1">
      <c r="A35" s="1350">
        <v>33</v>
      </c>
      <c r="B35" s="2081" t="s">
        <v>930</v>
      </c>
      <c r="C35" s="1384">
        <v>171</v>
      </c>
      <c r="D35" s="1385">
        <v>184</v>
      </c>
      <c r="E35" s="1385">
        <v>182</v>
      </c>
      <c r="F35" s="1385">
        <v>179</v>
      </c>
      <c r="G35" s="1385">
        <v>189</v>
      </c>
      <c r="H35" s="1385">
        <v>188</v>
      </c>
      <c r="I35" s="1648">
        <v>183</v>
      </c>
      <c r="J35" s="1386">
        <v>178</v>
      </c>
      <c r="K35" s="1386">
        <v>166</v>
      </c>
      <c r="L35" s="1386">
        <v>176</v>
      </c>
      <c r="M35" s="1386">
        <v>201</v>
      </c>
      <c r="N35" s="1386">
        <v>188</v>
      </c>
      <c r="O35" s="1386">
        <v>204</v>
      </c>
      <c r="P35" s="1386">
        <v>201</v>
      </c>
      <c r="Q35" s="1386">
        <v>202</v>
      </c>
      <c r="R35" s="1386">
        <v>197</v>
      </c>
      <c r="S35" s="1386">
        <v>198</v>
      </c>
      <c r="T35" s="1386">
        <v>185</v>
      </c>
      <c r="U35" s="1386"/>
      <c r="V35" s="1386">
        <v>202</v>
      </c>
      <c r="W35" s="1386">
        <v>204</v>
      </c>
      <c r="X35" s="1386">
        <v>204</v>
      </c>
      <c r="Y35" s="1386">
        <v>208</v>
      </c>
      <c r="Z35" s="3198">
        <v>206</v>
      </c>
      <c r="AA35" s="1386">
        <v>205</v>
      </c>
      <c r="AB35" s="1387">
        <v>199</v>
      </c>
      <c r="AC35" s="2251">
        <v>4649000</v>
      </c>
      <c r="AD35" s="89"/>
      <c r="AE35" s="1030"/>
    </row>
    <row r="36" spans="1:31" s="1029" customFormat="1" ht="12" customHeight="1">
      <c r="A36" s="1354">
        <v>34</v>
      </c>
      <c r="B36" s="2082" t="s">
        <v>929</v>
      </c>
      <c r="C36" s="1363">
        <v>330</v>
      </c>
      <c r="D36" s="1364">
        <v>290</v>
      </c>
      <c r="E36" s="1364">
        <v>320</v>
      </c>
      <c r="F36" s="1364">
        <v>320</v>
      </c>
      <c r="G36" s="1364">
        <v>330</v>
      </c>
      <c r="H36" s="1364">
        <v>290</v>
      </c>
      <c r="I36" s="1641">
        <v>335</v>
      </c>
      <c r="J36" s="1365">
        <v>275</v>
      </c>
      <c r="K36" s="1365">
        <v>330</v>
      </c>
      <c r="L36" s="1365">
        <v>290</v>
      </c>
      <c r="M36" s="1365">
        <v>330</v>
      </c>
      <c r="N36" s="1365">
        <v>310</v>
      </c>
      <c r="O36" s="1365">
        <v>305</v>
      </c>
      <c r="P36" s="1365">
        <v>320</v>
      </c>
      <c r="Q36" s="1365">
        <v>305</v>
      </c>
      <c r="R36" s="1365">
        <v>290</v>
      </c>
      <c r="S36" s="1365">
        <v>275</v>
      </c>
      <c r="T36" s="1365">
        <v>280</v>
      </c>
      <c r="U36" s="1365"/>
      <c r="V36" s="1365">
        <v>260</v>
      </c>
      <c r="W36" s="1365">
        <v>260</v>
      </c>
      <c r="X36" s="1365">
        <v>260</v>
      </c>
      <c r="Y36" s="1365">
        <v>305</v>
      </c>
      <c r="Z36" s="3191">
        <v>320</v>
      </c>
      <c r="AA36" s="1365">
        <v>320</v>
      </c>
      <c r="AB36" s="1366">
        <v>320</v>
      </c>
      <c r="AC36" s="2243">
        <v>7525000</v>
      </c>
      <c r="AD36" s="89"/>
      <c r="AE36" s="1030"/>
    </row>
    <row r="37" spans="1:31" s="1029" customFormat="1" ht="12" customHeight="1">
      <c r="A37" s="1354"/>
      <c r="B37" s="2077" t="s">
        <v>928</v>
      </c>
      <c r="C37" s="1388">
        <v>345</v>
      </c>
      <c r="D37" s="1389">
        <v>305</v>
      </c>
      <c r="E37" s="1389">
        <v>340</v>
      </c>
      <c r="F37" s="1389">
        <v>335</v>
      </c>
      <c r="G37" s="1389">
        <v>345</v>
      </c>
      <c r="H37" s="1389">
        <v>315</v>
      </c>
      <c r="I37" s="1649">
        <v>350</v>
      </c>
      <c r="J37" s="1390">
        <v>290</v>
      </c>
      <c r="K37" s="1390">
        <v>320</v>
      </c>
      <c r="L37" s="1390">
        <v>305</v>
      </c>
      <c r="M37" s="1390">
        <v>335</v>
      </c>
      <c r="N37" s="1390">
        <v>315</v>
      </c>
      <c r="O37" s="1390">
        <v>310</v>
      </c>
      <c r="P37" s="1390">
        <v>325</v>
      </c>
      <c r="Q37" s="1390">
        <v>320</v>
      </c>
      <c r="R37" s="1390">
        <v>285</v>
      </c>
      <c r="S37" s="1390">
        <v>280</v>
      </c>
      <c r="T37" s="1390">
        <v>280</v>
      </c>
      <c r="U37" s="1390"/>
      <c r="V37" s="1390">
        <v>280</v>
      </c>
      <c r="W37" s="1390">
        <v>280</v>
      </c>
      <c r="X37" s="1390">
        <v>280</v>
      </c>
      <c r="Y37" s="1390">
        <v>320</v>
      </c>
      <c r="Z37" s="3199">
        <v>320</v>
      </c>
      <c r="AA37" s="1390">
        <v>320</v>
      </c>
      <c r="AB37" s="1391">
        <v>320</v>
      </c>
      <c r="AC37" s="2252">
        <v>7969400</v>
      </c>
      <c r="AD37" s="89"/>
      <c r="AE37" s="1030"/>
    </row>
    <row r="38" spans="1:31" s="1029" customFormat="1" ht="12" customHeight="1">
      <c r="A38" s="1354"/>
      <c r="B38" s="2077" t="s">
        <v>1808</v>
      </c>
      <c r="C38" s="4677"/>
      <c r="D38" s="4678"/>
      <c r="E38" s="4678"/>
      <c r="F38" s="4678"/>
      <c r="G38" s="4678"/>
      <c r="H38" s="4678"/>
      <c r="I38" s="4679"/>
      <c r="J38" s="4680"/>
      <c r="K38" s="4680"/>
      <c r="L38" s="4680"/>
      <c r="M38" s="4680"/>
      <c r="N38" s="4680"/>
      <c r="O38" s="4680"/>
      <c r="P38" s="4680"/>
      <c r="Q38" s="4680"/>
      <c r="R38" s="4680"/>
      <c r="S38" s="4680"/>
      <c r="T38" s="4680"/>
      <c r="U38" s="4680"/>
      <c r="V38" s="4680"/>
      <c r="W38" s="4680"/>
      <c r="X38" s="4680"/>
      <c r="Y38" s="4680"/>
      <c r="Z38" s="4681"/>
      <c r="AA38" s="4680"/>
      <c r="AB38" s="4682"/>
      <c r="AC38" s="4683"/>
      <c r="AD38" s="89"/>
      <c r="AE38" s="1030"/>
    </row>
    <row r="39" spans="1:31" s="1029" customFormat="1" ht="12" customHeight="1">
      <c r="A39" s="1350">
        <v>35</v>
      </c>
      <c r="B39" s="2078" t="s">
        <v>934</v>
      </c>
      <c r="C39" s="1370">
        <v>55</v>
      </c>
      <c r="D39" s="1371">
        <v>40</v>
      </c>
      <c r="E39" s="1371">
        <v>40</v>
      </c>
      <c r="F39" s="1371">
        <v>40</v>
      </c>
      <c r="G39" s="1371">
        <v>40</v>
      </c>
      <c r="H39" s="1371">
        <v>40</v>
      </c>
      <c r="I39" s="1644">
        <v>40</v>
      </c>
      <c r="J39" s="1371">
        <v>40</v>
      </c>
      <c r="K39" s="1371">
        <v>40</v>
      </c>
      <c r="L39" s="1371">
        <v>30</v>
      </c>
      <c r="M39" s="1371">
        <v>10</v>
      </c>
      <c r="N39" s="1371">
        <v>0</v>
      </c>
      <c r="O39" s="1371"/>
      <c r="P39" s="1371"/>
      <c r="Q39" s="1371"/>
      <c r="R39" s="1371"/>
      <c r="S39" s="1371"/>
      <c r="T39" s="1371">
        <v>3</v>
      </c>
      <c r="U39" s="1371"/>
      <c r="V39" s="1371">
        <v>15</v>
      </c>
      <c r="W39" s="1371">
        <v>35</v>
      </c>
      <c r="X39" s="1371">
        <v>35</v>
      </c>
      <c r="Y39" s="1371">
        <v>40</v>
      </c>
      <c r="Z39" s="3194">
        <v>49</v>
      </c>
      <c r="AA39" s="1371">
        <v>51</v>
      </c>
      <c r="AB39" s="1372">
        <v>51</v>
      </c>
      <c r="AC39" s="2246">
        <v>702720</v>
      </c>
      <c r="AD39" s="89"/>
      <c r="AE39" s="1030"/>
    </row>
    <row r="40" spans="1:31" s="1029" customFormat="1" ht="12" customHeight="1">
      <c r="A40" s="1354">
        <v>36</v>
      </c>
      <c r="B40" s="2079" t="s">
        <v>932</v>
      </c>
      <c r="C40" s="1355">
        <v>135</v>
      </c>
      <c r="D40" s="1356">
        <v>135</v>
      </c>
      <c r="E40" s="1356">
        <v>141</v>
      </c>
      <c r="F40" s="1356">
        <v>142</v>
      </c>
      <c r="G40" s="1356">
        <v>142</v>
      </c>
      <c r="H40" s="1356">
        <v>142</v>
      </c>
      <c r="I40" s="1641">
        <v>142</v>
      </c>
      <c r="J40" s="1357">
        <v>142</v>
      </c>
      <c r="K40" s="1357">
        <v>137</v>
      </c>
      <c r="L40" s="1357">
        <v>136</v>
      </c>
      <c r="M40" s="1357">
        <v>135</v>
      </c>
      <c r="N40" s="1357">
        <v>135</v>
      </c>
      <c r="O40" s="1357">
        <v>129</v>
      </c>
      <c r="P40" s="1357">
        <v>128</v>
      </c>
      <c r="Q40" s="1357">
        <v>128</v>
      </c>
      <c r="R40" s="1357">
        <v>128</v>
      </c>
      <c r="S40" s="1357">
        <v>128</v>
      </c>
      <c r="T40" s="1357">
        <v>130</v>
      </c>
      <c r="U40" s="1357"/>
      <c r="V40" s="1357">
        <v>128</v>
      </c>
      <c r="W40" s="1357">
        <v>127</v>
      </c>
      <c r="X40" s="1357">
        <v>129</v>
      </c>
      <c r="Y40" s="1357">
        <v>129</v>
      </c>
      <c r="Z40" s="3189">
        <v>129</v>
      </c>
      <c r="AA40" s="1357">
        <v>128</v>
      </c>
      <c r="AB40" s="1358">
        <v>127</v>
      </c>
      <c r="AC40" s="2241">
        <v>3203990</v>
      </c>
      <c r="AD40" s="89"/>
      <c r="AE40" s="1030"/>
    </row>
    <row r="41" spans="1:31" s="1029" customFormat="1" ht="12" customHeight="1">
      <c r="A41" s="1350">
        <v>37</v>
      </c>
      <c r="B41" s="2081" t="s">
        <v>1020</v>
      </c>
      <c r="C41" s="1359"/>
      <c r="D41" s="1360"/>
      <c r="E41" s="1360"/>
      <c r="F41" s="1360"/>
      <c r="G41" s="1360"/>
      <c r="H41" s="1360"/>
      <c r="I41" s="1641"/>
      <c r="J41" s="1361"/>
      <c r="K41" s="1361"/>
      <c r="L41" s="1361"/>
      <c r="M41" s="1361"/>
      <c r="N41" s="1361"/>
      <c r="O41" s="1361"/>
      <c r="P41" s="1361"/>
      <c r="Q41" s="1361"/>
      <c r="R41" s="1361"/>
      <c r="S41" s="1361"/>
      <c r="T41" s="1361"/>
      <c r="U41" s="1361"/>
      <c r="V41" s="1361"/>
      <c r="W41" s="1361"/>
      <c r="X41" s="1361"/>
      <c r="Y41" s="1361"/>
      <c r="Z41" s="3190"/>
      <c r="AA41" s="1361"/>
      <c r="AB41" s="1362"/>
      <c r="AC41" s="2242"/>
      <c r="AD41" s="89"/>
      <c r="AE41" s="1030"/>
    </row>
    <row r="42" spans="1:31" s="1029" customFormat="1" ht="12" customHeight="1">
      <c r="A42" s="1354">
        <v>38</v>
      </c>
      <c r="B42" s="2082" t="s">
        <v>1019</v>
      </c>
      <c r="C42" s="1363"/>
      <c r="D42" s="1364"/>
      <c r="E42" s="1364"/>
      <c r="F42" s="1364"/>
      <c r="G42" s="1364"/>
      <c r="H42" s="1364"/>
      <c r="I42" s="1641"/>
      <c r="J42" s="1365"/>
      <c r="K42" s="1365"/>
      <c r="L42" s="1365"/>
      <c r="M42" s="1365"/>
      <c r="N42" s="1365"/>
      <c r="O42" s="1365"/>
      <c r="P42" s="1365"/>
      <c r="Q42" s="1365"/>
      <c r="R42" s="1365"/>
      <c r="S42" s="1365"/>
      <c r="T42" s="1365"/>
      <c r="U42" s="1365"/>
      <c r="V42" s="1365"/>
      <c r="W42" s="1365"/>
      <c r="X42" s="1365"/>
      <c r="Y42" s="1365"/>
      <c r="Z42" s="3191"/>
      <c r="AA42" s="1365"/>
      <c r="AB42" s="1366"/>
      <c r="AC42" s="2243"/>
      <c r="AD42" s="12"/>
      <c r="AE42" s="1030"/>
    </row>
    <row r="43" spans="1:31" s="1029" customFormat="1" ht="12" customHeight="1">
      <c r="A43" s="1350">
        <v>39</v>
      </c>
      <c r="B43" s="2077" t="s">
        <v>156</v>
      </c>
      <c r="C43" s="1376">
        <v>402</v>
      </c>
      <c r="D43" s="1377">
        <v>403</v>
      </c>
      <c r="E43" s="1377">
        <v>406</v>
      </c>
      <c r="F43" s="1377">
        <v>405</v>
      </c>
      <c r="G43" s="1377">
        <v>407</v>
      </c>
      <c r="H43" s="1377">
        <v>404</v>
      </c>
      <c r="I43" s="1645">
        <v>405</v>
      </c>
      <c r="J43" s="1377">
        <v>403</v>
      </c>
      <c r="K43" s="1377">
        <v>402</v>
      </c>
      <c r="L43" s="1377">
        <v>396</v>
      </c>
      <c r="M43" s="1377">
        <v>397</v>
      </c>
      <c r="N43" s="1377">
        <v>395</v>
      </c>
      <c r="O43" s="1377">
        <v>401</v>
      </c>
      <c r="P43" s="1377">
        <v>403</v>
      </c>
      <c r="Q43" s="1377">
        <v>401</v>
      </c>
      <c r="R43" s="1377">
        <v>400</v>
      </c>
      <c r="S43" s="1377">
        <v>401</v>
      </c>
      <c r="T43" s="1377">
        <v>403</v>
      </c>
      <c r="U43" s="1377"/>
      <c r="V43" s="1377">
        <v>401</v>
      </c>
      <c r="W43" s="1377">
        <v>396</v>
      </c>
      <c r="X43" s="1377">
        <v>397</v>
      </c>
      <c r="Y43" s="1377">
        <v>397</v>
      </c>
      <c r="Z43" s="3195">
        <v>398</v>
      </c>
      <c r="AA43" s="1377">
        <v>399</v>
      </c>
      <c r="AB43" s="1378">
        <v>398</v>
      </c>
      <c r="AC43" s="2247">
        <v>9773060</v>
      </c>
      <c r="AD43" s="12"/>
      <c r="AE43" s="1030"/>
    </row>
    <row r="44" spans="1:31" s="1029" customFormat="1" ht="12" customHeight="1">
      <c r="A44" s="1354">
        <v>40</v>
      </c>
      <c r="B44" s="2078" t="s">
        <v>892</v>
      </c>
      <c r="C44" s="1370">
        <v>225</v>
      </c>
      <c r="D44" s="1371">
        <v>225</v>
      </c>
      <c r="E44" s="1371">
        <v>225</v>
      </c>
      <c r="F44" s="1371">
        <v>225</v>
      </c>
      <c r="G44" s="1371">
        <v>225</v>
      </c>
      <c r="H44" s="1371">
        <v>225</v>
      </c>
      <c r="I44" s="1644">
        <v>225</v>
      </c>
      <c r="J44" s="1371">
        <v>225</v>
      </c>
      <c r="K44" s="1371">
        <v>225</v>
      </c>
      <c r="L44" s="1371">
        <v>225</v>
      </c>
      <c r="M44" s="1371">
        <v>225</v>
      </c>
      <c r="N44" s="1371">
        <v>225</v>
      </c>
      <c r="O44" s="1371">
        <v>225</v>
      </c>
      <c r="P44" s="1371">
        <v>225</v>
      </c>
      <c r="Q44" s="1371">
        <v>225</v>
      </c>
      <c r="R44" s="1371">
        <v>225</v>
      </c>
      <c r="S44" s="1371">
        <v>225</v>
      </c>
      <c r="T44" s="1371">
        <v>225</v>
      </c>
      <c r="U44" s="1371"/>
      <c r="V44" s="1371">
        <v>225</v>
      </c>
      <c r="W44" s="1371">
        <v>225</v>
      </c>
      <c r="X44" s="1371">
        <v>225</v>
      </c>
      <c r="Y44" s="1371">
        <v>225</v>
      </c>
      <c r="Z44" s="3194">
        <v>225</v>
      </c>
      <c r="AA44" s="1371">
        <v>225</v>
      </c>
      <c r="AB44" s="1372">
        <v>225</v>
      </c>
      <c r="AC44" s="2246">
        <v>4975150</v>
      </c>
      <c r="AD44" s="12"/>
      <c r="AE44" s="1030"/>
    </row>
    <row r="45" spans="1:31" s="1029" customFormat="1" ht="12" customHeight="1">
      <c r="A45" s="1350">
        <v>41</v>
      </c>
      <c r="B45" s="2079" t="s">
        <v>891</v>
      </c>
      <c r="C45" s="1373">
        <v>331</v>
      </c>
      <c r="D45" s="1356">
        <v>331</v>
      </c>
      <c r="E45" s="1356">
        <v>327</v>
      </c>
      <c r="F45" s="1356">
        <v>326</v>
      </c>
      <c r="G45" s="1356">
        <v>327</v>
      </c>
      <c r="H45" s="1356">
        <v>327</v>
      </c>
      <c r="I45" s="1641">
        <v>325</v>
      </c>
      <c r="J45" s="1357">
        <v>322</v>
      </c>
      <c r="K45" s="1357">
        <v>321</v>
      </c>
      <c r="L45" s="1357">
        <v>312</v>
      </c>
      <c r="M45" s="1357">
        <v>312</v>
      </c>
      <c r="N45" s="1357">
        <v>312</v>
      </c>
      <c r="O45" s="1357">
        <v>311</v>
      </c>
      <c r="P45" s="1357">
        <v>311</v>
      </c>
      <c r="Q45" s="1357">
        <v>307</v>
      </c>
      <c r="R45" s="1357">
        <v>291</v>
      </c>
      <c r="S45" s="1357">
        <v>288</v>
      </c>
      <c r="T45" s="1357">
        <v>276</v>
      </c>
      <c r="U45" s="1357"/>
      <c r="V45" s="1357">
        <v>278</v>
      </c>
      <c r="W45" s="1357">
        <v>276</v>
      </c>
      <c r="X45" s="1357">
        <v>277</v>
      </c>
      <c r="Y45" s="1357">
        <v>257</v>
      </c>
      <c r="Z45" s="3189">
        <v>247</v>
      </c>
      <c r="AA45" s="1357">
        <v>247</v>
      </c>
      <c r="AB45" s="1358">
        <v>265</v>
      </c>
      <c r="AC45" s="2241">
        <v>7262000</v>
      </c>
      <c r="AD45" s="12"/>
    </row>
    <row r="46" spans="1:31" s="1029" customFormat="1" ht="12" customHeight="1">
      <c r="A46" s="1354">
        <v>42</v>
      </c>
      <c r="B46" s="2081" t="s">
        <v>944</v>
      </c>
      <c r="C46" s="1374">
        <v>101</v>
      </c>
      <c r="D46" s="1360">
        <v>101</v>
      </c>
      <c r="E46" s="1360">
        <v>102</v>
      </c>
      <c r="F46" s="1360">
        <v>102</v>
      </c>
      <c r="G46" s="1360">
        <v>102</v>
      </c>
      <c r="H46" s="1360">
        <v>101</v>
      </c>
      <c r="I46" s="1641">
        <v>102</v>
      </c>
      <c r="J46" s="1361">
        <v>96</v>
      </c>
      <c r="K46" s="1361">
        <v>81</v>
      </c>
      <c r="L46" s="1361">
        <v>81</v>
      </c>
      <c r="M46" s="1361">
        <v>81</v>
      </c>
      <c r="N46" s="1361">
        <v>68</v>
      </c>
      <c r="O46" s="1361">
        <v>68</v>
      </c>
      <c r="P46" s="1361">
        <v>68</v>
      </c>
      <c r="Q46" s="1361">
        <v>68</v>
      </c>
      <c r="R46" s="1361">
        <v>95</v>
      </c>
      <c r="S46" s="1361">
        <v>96</v>
      </c>
      <c r="T46" s="1361">
        <v>96</v>
      </c>
      <c r="U46" s="1361"/>
      <c r="V46" s="1361">
        <v>99</v>
      </c>
      <c r="W46" s="1361">
        <v>100</v>
      </c>
      <c r="X46" s="1361">
        <v>100</v>
      </c>
      <c r="Y46" s="1361">
        <v>100</v>
      </c>
      <c r="Z46" s="3190">
        <v>100</v>
      </c>
      <c r="AA46" s="1361">
        <v>100</v>
      </c>
      <c r="AB46" s="1362">
        <v>100</v>
      </c>
      <c r="AC46" s="2242">
        <v>2149440</v>
      </c>
      <c r="AD46" s="12"/>
    </row>
    <row r="47" spans="1:31" s="1029" customFormat="1" ht="12" customHeight="1">
      <c r="A47" s="1350">
        <v>43</v>
      </c>
      <c r="B47" s="2082" t="s">
        <v>1188</v>
      </c>
      <c r="C47" s="1375"/>
      <c r="D47" s="1364"/>
      <c r="E47" s="1364"/>
      <c r="F47" s="1364"/>
      <c r="G47" s="1364">
        <v>0</v>
      </c>
      <c r="H47" s="1364">
        <v>4</v>
      </c>
      <c r="I47" s="1641">
        <v>15</v>
      </c>
      <c r="J47" s="1365">
        <v>23</v>
      </c>
      <c r="K47" s="1365">
        <v>41</v>
      </c>
      <c r="L47" s="1365">
        <v>51</v>
      </c>
      <c r="M47" s="1365">
        <v>50</v>
      </c>
      <c r="N47" s="1365">
        <v>47</v>
      </c>
      <c r="O47" s="1365">
        <v>56</v>
      </c>
      <c r="P47" s="1365">
        <v>27</v>
      </c>
      <c r="Q47" s="1365">
        <v>34</v>
      </c>
      <c r="R47" s="1365">
        <v>31</v>
      </c>
      <c r="S47" s="1365">
        <v>14</v>
      </c>
      <c r="T47" s="1365">
        <v>3</v>
      </c>
      <c r="U47" s="1365"/>
      <c r="V47" s="1365"/>
      <c r="W47" s="1365"/>
      <c r="X47" s="1365"/>
      <c r="Y47" s="1365"/>
      <c r="Z47" s="3191"/>
      <c r="AA47" s="1365"/>
      <c r="AB47" s="1366"/>
      <c r="AC47" s="2243">
        <v>400130</v>
      </c>
      <c r="AD47" s="12"/>
    </row>
    <row r="48" spans="1:31" s="1029" customFormat="1" ht="12" customHeight="1">
      <c r="A48" s="1354">
        <v>44</v>
      </c>
      <c r="B48" s="2080" t="s">
        <v>947</v>
      </c>
      <c r="C48" s="1376">
        <v>44</v>
      </c>
      <c r="D48" s="1377">
        <v>44</v>
      </c>
      <c r="E48" s="1377">
        <v>43</v>
      </c>
      <c r="F48" s="1377">
        <v>43</v>
      </c>
      <c r="G48" s="1377">
        <v>43</v>
      </c>
      <c r="H48" s="1377">
        <v>43</v>
      </c>
      <c r="I48" s="1645">
        <v>43</v>
      </c>
      <c r="J48" s="1377">
        <v>44</v>
      </c>
      <c r="K48" s="1377">
        <v>43</v>
      </c>
      <c r="L48" s="1377">
        <v>43</v>
      </c>
      <c r="M48" s="1377">
        <v>43</v>
      </c>
      <c r="N48" s="1377">
        <v>43</v>
      </c>
      <c r="O48" s="1377">
        <v>43</v>
      </c>
      <c r="P48" s="1377">
        <v>43</v>
      </c>
      <c r="Q48" s="1377">
        <v>43</v>
      </c>
      <c r="R48" s="1377">
        <v>43</v>
      </c>
      <c r="S48" s="1377">
        <v>44</v>
      </c>
      <c r="T48" s="1377">
        <v>44</v>
      </c>
      <c r="U48" s="1377"/>
      <c r="V48" s="1377">
        <v>44</v>
      </c>
      <c r="W48" s="1377">
        <v>44</v>
      </c>
      <c r="X48" s="1377">
        <v>44</v>
      </c>
      <c r="Y48" s="1377">
        <v>44</v>
      </c>
      <c r="Z48" s="3195">
        <v>43</v>
      </c>
      <c r="AA48" s="1377">
        <v>43</v>
      </c>
      <c r="AB48" s="1378">
        <v>43</v>
      </c>
      <c r="AC48" s="2247">
        <v>1015000</v>
      </c>
      <c r="AD48" s="12"/>
    </row>
    <row r="49" spans="1:32" s="1029" customFormat="1" ht="12" customHeight="1">
      <c r="A49" s="1350">
        <v>45</v>
      </c>
      <c r="B49" s="2073" t="s">
        <v>948</v>
      </c>
      <c r="C49" s="1370">
        <v>41</v>
      </c>
      <c r="D49" s="1371">
        <v>41</v>
      </c>
      <c r="E49" s="1371">
        <v>41</v>
      </c>
      <c r="F49" s="1371">
        <v>41</v>
      </c>
      <c r="G49" s="1371">
        <v>41</v>
      </c>
      <c r="H49" s="1371">
        <v>41</v>
      </c>
      <c r="I49" s="1644">
        <v>41</v>
      </c>
      <c r="J49" s="1371">
        <v>41</v>
      </c>
      <c r="K49" s="1371">
        <v>41</v>
      </c>
      <c r="L49" s="1371">
        <v>41</v>
      </c>
      <c r="M49" s="1371">
        <v>41</v>
      </c>
      <c r="N49" s="1371">
        <v>40</v>
      </c>
      <c r="O49" s="1371">
        <v>40</v>
      </c>
      <c r="P49" s="1371">
        <v>40</v>
      </c>
      <c r="Q49" s="1371">
        <v>41</v>
      </c>
      <c r="R49" s="1371">
        <v>41</v>
      </c>
      <c r="S49" s="1371">
        <v>41</v>
      </c>
      <c r="T49" s="1371">
        <v>40</v>
      </c>
      <c r="U49" s="1371"/>
      <c r="V49" s="1371">
        <v>40</v>
      </c>
      <c r="W49" s="1371">
        <v>40</v>
      </c>
      <c r="X49" s="1371">
        <v>40</v>
      </c>
      <c r="Y49" s="1371">
        <v>41</v>
      </c>
      <c r="Z49" s="3194">
        <v>40</v>
      </c>
      <c r="AA49" s="1371">
        <v>41</v>
      </c>
      <c r="AB49" s="1372">
        <v>41</v>
      </c>
      <c r="AC49" s="2246">
        <v>967424</v>
      </c>
      <c r="AD49" s="12"/>
    </row>
    <row r="50" spans="1:32" s="1029" customFormat="1" ht="12" customHeight="1">
      <c r="A50" s="1354">
        <v>46</v>
      </c>
      <c r="B50" s="2079" t="s">
        <v>952</v>
      </c>
      <c r="C50" s="1379"/>
      <c r="D50" s="1357"/>
      <c r="E50" s="1357"/>
      <c r="F50" s="1357"/>
      <c r="G50" s="1357"/>
      <c r="H50" s="1357"/>
      <c r="I50" s="1646"/>
      <c r="J50" s="1357"/>
      <c r="K50" s="1357"/>
      <c r="L50" s="1357"/>
      <c r="M50" s="1357"/>
      <c r="N50" s="1357"/>
      <c r="O50" s="1357"/>
      <c r="P50" s="1357"/>
      <c r="Q50" s="1357"/>
      <c r="R50" s="1357"/>
      <c r="S50" s="1357"/>
      <c r="T50" s="1357"/>
      <c r="U50" s="1357"/>
      <c r="V50" s="1357"/>
      <c r="W50" s="1357"/>
      <c r="X50" s="1357"/>
      <c r="Y50" s="1357"/>
      <c r="Z50" s="3189"/>
      <c r="AA50" s="1357"/>
      <c r="AB50" s="1358"/>
      <c r="AC50" s="2248"/>
      <c r="AD50" s="12"/>
    </row>
    <row r="51" spans="1:32" s="1029" customFormat="1" ht="12" customHeight="1">
      <c r="A51" s="1350">
        <v>47</v>
      </c>
      <c r="B51" s="2081" t="s">
        <v>953</v>
      </c>
      <c r="C51" s="1384">
        <v>62</v>
      </c>
      <c r="D51" s="1385">
        <v>62</v>
      </c>
      <c r="E51" s="1385">
        <v>60</v>
      </c>
      <c r="F51" s="1385">
        <v>61</v>
      </c>
      <c r="G51" s="1385">
        <v>60</v>
      </c>
      <c r="H51" s="1385">
        <v>60</v>
      </c>
      <c r="I51" s="1648">
        <v>60</v>
      </c>
      <c r="J51" s="1386">
        <v>62</v>
      </c>
      <c r="K51" s="1386">
        <v>60</v>
      </c>
      <c r="L51" s="1386">
        <v>60</v>
      </c>
      <c r="M51" s="1386">
        <v>60</v>
      </c>
      <c r="N51" s="1386">
        <v>58</v>
      </c>
      <c r="O51" s="1386">
        <v>61</v>
      </c>
      <c r="P51" s="1386">
        <v>59</v>
      </c>
      <c r="Q51" s="1386">
        <v>60</v>
      </c>
      <c r="R51" s="1386">
        <v>61</v>
      </c>
      <c r="S51" s="1386">
        <v>60</v>
      </c>
      <c r="T51" s="1386">
        <v>58</v>
      </c>
      <c r="U51" s="1386"/>
      <c r="V51" s="1386">
        <v>58</v>
      </c>
      <c r="W51" s="1386">
        <v>58</v>
      </c>
      <c r="X51" s="1386">
        <v>56</v>
      </c>
      <c r="Y51" s="1386">
        <v>56</v>
      </c>
      <c r="Z51" s="3198">
        <v>61</v>
      </c>
      <c r="AA51" s="1386">
        <v>61</v>
      </c>
      <c r="AB51" s="1387">
        <v>61</v>
      </c>
      <c r="AC51" s="2251">
        <v>1423008</v>
      </c>
      <c r="AD51" s="12"/>
    </row>
    <row r="52" spans="1:32" s="1029" customFormat="1" ht="12" customHeight="1">
      <c r="A52" s="1354">
        <v>48</v>
      </c>
      <c r="B52" s="2076" t="s">
        <v>954</v>
      </c>
      <c r="C52" s="1363">
        <v>81</v>
      </c>
      <c r="D52" s="1364">
        <v>81</v>
      </c>
      <c r="E52" s="1364">
        <v>10</v>
      </c>
      <c r="F52" s="1364">
        <v>10</v>
      </c>
      <c r="G52" s="1364">
        <v>10</v>
      </c>
      <c r="H52" s="1364">
        <v>10</v>
      </c>
      <c r="I52" s="1641">
        <v>10</v>
      </c>
      <c r="J52" s="1365">
        <v>10</v>
      </c>
      <c r="K52" s="1365">
        <v>10</v>
      </c>
      <c r="L52" s="1365">
        <v>10</v>
      </c>
      <c r="M52" s="1365">
        <v>10</v>
      </c>
      <c r="N52" s="1365">
        <v>10</v>
      </c>
      <c r="O52" s="1365">
        <v>10</v>
      </c>
      <c r="P52" s="1365">
        <v>10</v>
      </c>
      <c r="Q52" s="1365">
        <v>10</v>
      </c>
      <c r="R52" s="1365">
        <v>10</v>
      </c>
      <c r="S52" s="1365">
        <v>10</v>
      </c>
      <c r="T52" s="1365">
        <v>10</v>
      </c>
      <c r="U52" s="1365"/>
      <c r="V52" s="1365">
        <v>70</v>
      </c>
      <c r="W52" s="1365">
        <v>81</v>
      </c>
      <c r="X52" s="1365">
        <v>81</v>
      </c>
      <c r="Y52" s="1365">
        <v>81</v>
      </c>
      <c r="Z52" s="3191">
        <v>81</v>
      </c>
      <c r="AA52" s="1365">
        <v>81</v>
      </c>
      <c r="AB52" s="1366">
        <v>81</v>
      </c>
      <c r="AC52" s="2243">
        <v>857280</v>
      </c>
      <c r="AD52" s="12"/>
    </row>
    <row r="53" spans="1:32" s="1029" customFormat="1" ht="12" customHeight="1">
      <c r="A53" s="1354"/>
      <c r="B53" s="2076" t="s">
        <v>1192</v>
      </c>
      <c r="C53" s="2662"/>
      <c r="D53" s="2663"/>
      <c r="E53" s="2663"/>
      <c r="F53" s="2663"/>
      <c r="G53" s="2663"/>
      <c r="H53" s="2663"/>
      <c r="I53" s="2664"/>
      <c r="J53" s="2665"/>
      <c r="K53" s="2665"/>
      <c r="L53" s="2665"/>
      <c r="M53" s="2665"/>
      <c r="N53" s="2665"/>
      <c r="O53" s="2665"/>
      <c r="P53" s="2665"/>
      <c r="Q53" s="2665"/>
      <c r="R53" s="2665"/>
      <c r="S53" s="2665"/>
      <c r="T53" s="2665"/>
      <c r="U53" s="2665"/>
      <c r="V53" s="2665"/>
      <c r="W53" s="2665"/>
      <c r="X53" s="2665"/>
      <c r="Y53" s="2665"/>
      <c r="Z53" s="3200"/>
      <c r="AA53" s="2665"/>
      <c r="AB53" s="2666"/>
      <c r="AC53" s="2243"/>
      <c r="AD53" s="12"/>
    </row>
    <row r="54" spans="1:32" s="1029" customFormat="1" ht="12" customHeight="1">
      <c r="A54" s="1350">
        <v>49</v>
      </c>
      <c r="B54" s="2080" t="s">
        <v>955</v>
      </c>
      <c r="C54" s="1392"/>
      <c r="D54" s="1393"/>
      <c r="E54" s="1393"/>
      <c r="F54" s="1393"/>
      <c r="G54" s="1393"/>
      <c r="H54" s="1393"/>
      <c r="I54" s="1650"/>
      <c r="J54" s="1377"/>
      <c r="K54" s="1377"/>
      <c r="L54" s="1377"/>
      <c r="M54" s="1377"/>
      <c r="N54" s="1377"/>
      <c r="O54" s="1377"/>
      <c r="P54" s="1377"/>
      <c r="Q54" s="1377"/>
      <c r="R54" s="1377"/>
      <c r="S54" s="1377"/>
      <c r="T54" s="1377"/>
      <c r="U54" s="1377"/>
      <c r="V54" s="1377"/>
      <c r="W54" s="1377"/>
      <c r="X54" s="1377"/>
      <c r="Y54" s="1377"/>
      <c r="Z54" s="3195"/>
      <c r="AA54" s="1377"/>
      <c r="AB54" s="1378"/>
      <c r="AC54" s="2253"/>
    </row>
    <row r="55" spans="1:32" s="1029" customFormat="1" ht="12" customHeight="1">
      <c r="A55" s="1354">
        <v>50</v>
      </c>
      <c r="B55" s="2078" t="s">
        <v>1161</v>
      </c>
      <c r="C55" s="1370">
        <v>222</v>
      </c>
      <c r="D55" s="1371">
        <v>220</v>
      </c>
      <c r="E55" s="1371">
        <v>220</v>
      </c>
      <c r="F55" s="1371">
        <v>220</v>
      </c>
      <c r="G55" s="1371">
        <v>220</v>
      </c>
      <c r="H55" s="1371">
        <v>220</v>
      </c>
      <c r="I55" s="1644">
        <v>220</v>
      </c>
      <c r="J55" s="1371">
        <v>221</v>
      </c>
      <c r="K55" s="1371">
        <v>220</v>
      </c>
      <c r="L55" s="1371">
        <v>220</v>
      </c>
      <c r="M55" s="1371">
        <v>205</v>
      </c>
      <c r="N55" s="1371">
        <v>207</v>
      </c>
      <c r="O55" s="1371">
        <v>208</v>
      </c>
      <c r="P55" s="1371">
        <v>207</v>
      </c>
      <c r="Q55" s="1371">
        <v>207</v>
      </c>
      <c r="R55" s="1371">
        <v>207</v>
      </c>
      <c r="S55" s="1371">
        <v>207</v>
      </c>
      <c r="T55" s="1371">
        <v>207</v>
      </c>
      <c r="U55" s="1371"/>
      <c r="V55" s="1371">
        <v>220</v>
      </c>
      <c r="W55" s="1371">
        <v>220</v>
      </c>
      <c r="X55" s="1371">
        <v>220</v>
      </c>
      <c r="Y55" s="1371">
        <v>221</v>
      </c>
      <c r="Z55" s="3194">
        <v>221</v>
      </c>
      <c r="AA55" s="1371">
        <v>221</v>
      </c>
      <c r="AB55" s="1372">
        <v>214</v>
      </c>
      <c r="AC55" s="2246">
        <v>5156820</v>
      </c>
    </row>
    <row r="56" spans="1:32" s="1029" customFormat="1" ht="12" customHeight="1">
      <c r="A56" s="1350">
        <v>51</v>
      </c>
      <c r="B56" s="2079" t="s">
        <v>957</v>
      </c>
      <c r="C56" s="1355"/>
      <c r="D56" s="1356"/>
      <c r="E56" s="1356"/>
      <c r="F56" s="1356"/>
      <c r="G56" s="1356"/>
      <c r="H56" s="1356"/>
      <c r="I56" s="1641"/>
      <c r="J56" s="1357"/>
      <c r="K56" s="1357"/>
      <c r="L56" s="1357"/>
      <c r="M56" s="1357"/>
      <c r="N56" s="1357"/>
      <c r="O56" s="1357"/>
      <c r="P56" s="1357"/>
      <c r="Q56" s="1357"/>
      <c r="R56" s="1357"/>
      <c r="S56" s="1357"/>
      <c r="T56" s="1357"/>
      <c r="U56" s="1357"/>
      <c r="V56" s="1357"/>
      <c r="W56" s="1357"/>
      <c r="X56" s="1357"/>
      <c r="Y56" s="1357"/>
      <c r="Z56" s="3189"/>
      <c r="AA56" s="1357"/>
      <c r="AB56" s="1358"/>
      <c r="AC56" s="2241"/>
    </row>
    <row r="57" spans="1:32" s="1029" customFormat="1" ht="12" customHeight="1">
      <c r="A57" s="1354">
        <v>52</v>
      </c>
      <c r="B57" s="2081" t="s">
        <v>958</v>
      </c>
      <c r="C57" s="1359">
        <v>32</v>
      </c>
      <c r="D57" s="1360">
        <v>31</v>
      </c>
      <c r="E57" s="1360">
        <v>30</v>
      </c>
      <c r="F57" s="1360">
        <v>32</v>
      </c>
      <c r="G57" s="1360">
        <v>31</v>
      </c>
      <c r="H57" s="1360">
        <v>31</v>
      </c>
      <c r="I57" s="1641">
        <v>31</v>
      </c>
      <c r="J57" s="1361">
        <v>31</v>
      </c>
      <c r="K57" s="1361">
        <v>31</v>
      </c>
      <c r="L57" s="1361">
        <v>30</v>
      </c>
      <c r="M57" s="1361">
        <v>30</v>
      </c>
      <c r="N57" s="1361">
        <v>30</v>
      </c>
      <c r="O57" s="1361">
        <v>31</v>
      </c>
      <c r="P57" s="1361">
        <v>31</v>
      </c>
      <c r="Q57" s="1361">
        <v>31</v>
      </c>
      <c r="R57" s="1361">
        <v>30</v>
      </c>
      <c r="S57" s="1361">
        <v>29</v>
      </c>
      <c r="T57" s="1361">
        <v>29</v>
      </c>
      <c r="U57" s="1361"/>
      <c r="V57" s="1361">
        <v>29</v>
      </c>
      <c r="W57" s="1361">
        <v>29</v>
      </c>
      <c r="X57" s="1361">
        <v>31</v>
      </c>
      <c r="Y57" s="1361">
        <v>31</v>
      </c>
      <c r="Z57" s="3190">
        <v>31</v>
      </c>
      <c r="AA57" s="1361">
        <v>30</v>
      </c>
      <c r="AB57" s="1362">
        <v>31</v>
      </c>
      <c r="AC57" s="2242">
        <v>718000</v>
      </c>
    </row>
    <row r="58" spans="1:32" s="1029" customFormat="1" ht="12" customHeight="1">
      <c r="A58" s="1350">
        <v>53</v>
      </c>
      <c r="B58" s="2082" t="s">
        <v>959</v>
      </c>
      <c r="C58" s="1363">
        <v>10</v>
      </c>
      <c r="D58" s="1364">
        <v>10</v>
      </c>
      <c r="E58" s="1364">
        <v>10</v>
      </c>
      <c r="F58" s="1364">
        <v>10</v>
      </c>
      <c r="G58" s="1364">
        <v>10</v>
      </c>
      <c r="H58" s="1364">
        <v>10</v>
      </c>
      <c r="I58" s="1641">
        <v>10</v>
      </c>
      <c r="J58" s="1365">
        <v>10</v>
      </c>
      <c r="K58" s="1365">
        <v>10</v>
      </c>
      <c r="L58" s="1365">
        <v>10</v>
      </c>
      <c r="M58" s="1365">
        <v>10</v>
      </c>
      <c r="N58" s="1365">
        <v>10</v>
      </c>
      <c r="O58" s="1365">
        <v>10</v>
      </c>
      <c r="P58" s="1365">
        <v>10</v>
      </c>
      <c r="Q58" s="1365">
        <v>10</v>
      </c>
      <c r="R58" s="1365">
        <v>10</v>
      </c>
      <c r="S58" s="1365">
        <v>10</v>
      </c>
      <c r="T58" s="1365">
        <v>9</v>
      </c>
      <c r="U58" s="1365"/>
      <c r="V58" s="1365">
        <v>10</v>
      </c>
      <c r="W58" s="1365">
        <v>9</v>
      </c>
      <c r="X58" s="1365">
        <v>9</v>
      </c>
      <c r="Y58" s="1365">
        <v>9</v>
      </c>
      <c r="Z58" s="3191">
        <v>9</v>
      </c>
      <c r="AA58" s="1365">
        <v>9</v>
      </c>
      <c r="AB58" s="1366">
        <v>9</v>
      </c>
      <c r="AC58" s="2243">
        <v>231120</v>
      </c>
    </row>
    <row r="59" spans="1:32" s="1029" customFormat="1" ht="12" customHeight="1">
      <c r="A59" s="1354">
        <v>54</v>
      </c>
      <c r="B59" s="2077" t="s">
        <v>962</v>
      </c>
      <c r="C59" s="1376"/>
      <c r="D59" s="1377"/>
      <c r="E59" s="1377"/>
      <c r="F59" s="1377"/>
      <c r="G59" s="1377"/>
      <c r="H59" s="1377"/>
      <c r="I59" s="1645"/>
      <c r="J59" s="1377"/>
      <c r="K59" s="1377"/>
      <c r="L59" s="1377"/>
      <c r="M59" s="1377"/>
      <c r="N59" s="1377"/>
      <c r="O59" s="1377"/>
      <c r="P59" s="1377"/>
      <c r="Q59" s="1377"/>
      <c r="R59" s="1377"/>
      <c r="S59" s="1377"/>
      <c r="T59" s="1377"/>
      <c r="U59" s="1377"/>
      <c r="V59" s="1377"/>
      <c r="W59" s="1377"/>
      <c r="X59" s="1377"/>
      <c r="Y59" s="1377"/>
      <c r="Z59" s="3195"/>
      <c r="AA59" s="1377"/>
      <c r="AB59" s="1378"/>
      <c r="AC59" s="2247"/>
    </row>
    <row r="60" spans="1:32" s="1029" customFormat="1" ht="12" customHeight="1">
      <c r="A60" s="1350">
        <v>55</v>
      </c>
      <c r="B60" s="2078" t="s">
        <v>949</v>
      </c>
      <c r="C60" s="1370">
        <v>53</v>
      </c>
      <c r="D60" s="1371">
        <v>53</v>
      </c>
      <c r="E60" s="1371">
        <v>53</v>
      </c>
      <c r="F60" s="1371">
        <v>42</v>
      </c>
      <c r="G60" s="1371">
        <v>42</v>
      </c>
      <c r="H60" s="1371">
        <v>42</v>
      </c>
      <c r="I60" s="1644">
        <v>42</v>
      </c>
      <c r="J60" s="1371">
        <v>33</v>
      </c>
      <c r="K60" s="1371">
        <v>33</v>
      </c>
      <c r="L60" s="1371">
        <v>31</v>
      </c>
      <c r="M60" s="1371">
        <v>33</v>
      </c>
      <c r="N60" s="1371">
        <v>33</v>
      </c>
      <c r="O60" s="1371">
        <v>33</v>
      </c>
      <c r="P60" s="1371">
        <v>33</v>
      </c>
      <c r="Q60" s="1371">
        <v>32</v>
      </c>
      <c r="R60" s="1371">
        <v>33</v>
      </c>
      <c r="S60" s="1371">
        <v>33</v>
      </c>
      <c r="T60" s="1371">
        <v>33</v>
      </c>
      <c r="U60" s="1371"/>
      <c r="V60" s="1371">
        <v>50</v>
      </c>
      <c r="W60" s="1371">
        <v>53</v>
      </c>
      <c r="X60" s="1371">
        <v>53</v>
      </c>
      <c r="Y60" s="1371">
        <v>53</v>
      </c>
      <c r="Z60" s="3194">
        <v>53</v>
      </c>
      <c r="AA60" s="1371">
        <v>53</v>
      </c>
      <c r="AB60" s="1372">
        <v>50</v>
      </c>
      <c r="AC60" s="2246">
        <v>997800</v>
      </c>
    </row>
    <row r="61" spans="1:32" s="1029" customFormat="1" ht="12" customHeight="1">
      <c r="A61" s="1354">
        <v>56</v>
      </c>
      <c r="B61" s="2079" t="s">
        <v>961</v>
      </c>
      <c r="C61" s="1373">
        <v>8</v>
      </c>
      <c r="D61" s="1356">
        <v>8</v>
      </c>
      <c r="E61" s="1356">
        <v>8</v>
      </c>
      <c r="F61" s="1356">
        <v>8</v>
      </c>
      <c r="G61" s="1356">
        <v>8</v>
      </c>
      <c r="H61" s="1356">
        <v>8</v>
      </c>
      <c r="I61" s="1641">
        <v>8</v>
      </c>
      <c r="J61" s="1357">
        <v>8</v>
      </c>
      <c r="K61" s="1357">
        <v>8</v>
      </c>
      <c r="L61" s="1357">
        <v>8</v>
      </c>
      <c r="M61" s="1357">
        <v>8</v>
      </c>
      <c r="N61" s="1357">
        <v>8</v>
      </c>
      <c r="O61" s="1357">
        <v>8</v>
      </c>
      <c r="P61" s="1357">
        <v>8</v>
      </c>
      <c r="Q61" s="1357">
        <v>8</v>
      </c>
      <c r="R61" s="1357">
        <v>8</v>
      </c>
      <c r="S61" s="1357">
        <v>8</v>
      </c>
      <c r="T61" s="1357">
        <v>8</v>
      </c>
      <c r="U61" s="1357"/>
      <c r="V61" s="1357">
        <v>16</v>
      </c>
      <c r="W61" s="1357">
        <v>16</v>
      </c>
      <c r="X61" s="1357">
        <v>16</v>
      </c>
      <c r="Y61" s="1357">
        <v>16</v>
      </c>
      <c r="Z61" s="3189">
        <v>16</v>
      </c>
      <c r="AA61" s="1357">
        <v>16</v>
      </c>
      <c r="AB61" s="1358">
        <v>16</v>
      </c>
      <c r="AC61" s="2241">
        <v>238560</v>
      </c>
    </row>
    <row r="62" spans="1:32" s="1029" customFormat="1" ht="12" customHeight="1">
      <c r="A62" s="1350">
        <v>57</v>
      </c>
      <c r="B62" s="2081" t="s">
        <v>960</v>
      </c>
      <c r="C62" s="1374">
        <v>320</v>
      </c>
      <c r="D62" s="1360">
        <v>320</v>
      </c>
      <c r="E62" s="1360">
        <v>320</v>
      </c>
      <c r="F62" s="1360">
        <v>330</v>
      </c>
      <c r="G62" s="1360">
        <v>310</v>
      </c>
      <c r="H62" s="1360">
        <v>320</v>
      </c>
      <c r="I62" s="1641">
        <v>320</v>
      </c>
      <c r="J62" s="1361">
        <v>330</v>
      </c>
      <c r="K62" s="1361">
        <v>330</v>
      </c>
      <c r="L62" s="1361">
        <v>320</v>
      </c>
      <c r="M62" s="1361">
        <v>320</v>
      </c>
      <c r="N62" s="1361">
        <v>310</v>
      </c>
      <c r="O62" s="1361">
        <v>300</v>
      </c>
      <c r="P62" s="1361">
        <v>300</v>
      </c>
      <c r="Q62" s="1361">
        <v>300</v>
      </c>
      <c r="R62" s="1361">
        <v>280</v>
      </c>
      <c r="S62" s="1361">
        <v>290</v>
      </c>
      <c r="T62" s="1361">
        <v>280</v>
      </c>
      <c r="U62" s="1361"/>
      <c r="V62" s="1361">
        <v>300</v>
      </c>
      <c r="W62" s="1361">
        <v>270</v>
      </c>
      <c r="X62" s="1361">
        <v>265</v>
      </c>
      <c r="Y62" s="1361">
        <v>275</v>
      </c>
      <c r="Z62" s="3190">
        <v>300</v>
      </c>
      <c r="AA62" s="1361">
        <v>320</v>
      </c>
      <c r="AB62" s="1362">
        <v>295</v>
      </c>
      <c r="AC62" s="2242">
        <v>7541500</v>
      </c>
      <c r="AE62" s="1029">
        <v>69152500</v>
      </c>
      <c r="AF62" s="1504">
        <f>AE62-AC62</f>
        <v>61611000</v>
      </c>
    </row>
    <row r="63" spans="1:32" s="1029" customFormat="1" ht="12" customHeight="1">
      <c r="A63" s="1354"/>
      <c r="B63" s="2081" t="s">
        <v>1166</v>
      </c>
      <c r="C63" s="2430"/>
      <c r="D63" s="2431"/>
      <c r="E63" s="2431"/>
      <c r="F63" s="2431"/>
      <c r="G63" s="2431"/>
      <c r="H63" s="2431"/>
      <c r="I63" s="2432"/>
      <c r="J63" s="2433"/>
      <c r="K63" s="2433"/>
      <c r="L63" s="2433"/>
      <c r="M63" s="2433"/>
      <c r="N63" s="2433"/>
      <c r="O63" s="2433"/>
      <c r="P63" s="2433"/>
      <c r="Q63" s="2433"/>
      <c r="R63" s="2433"/>
      <c r="S63" s="2433"/>
      <c r="T63" s="2433"/>
      <c r="U63" s="2433"/>
      <c r="V63" s="2433"/>
      <c r="W63" s="2433"/>
      <c r="X63" s="2433"/>
      <c r="Y63" s="2433"/>
      <c r="Z63" s="3201"/>
      <c r="AA63" s="2433"/>
      <c r="AB63" s="2434"/>
      <c r="AC63" s="2242"/>
      <c r="AF63" s="1504"/>
    </row>
    <row r="64" spans="1:32" s="1029" customFormat="1" ht="12" customHeight="1">
      <c r="A64" s="1354">
        <v>58</v>
      </c>
      <c r="B64" s="2082" t="s">
        <v>906</v>
      </c>
      <c r="C64" s="1375">
        <v>17</v>
      </c>
      <c r="D64" s="1364">
        <v>17</v>
      </c>
      <c r="E64" s="1364">
        <v>17</v>
      </c>
      <c r="F64" s="1364">
        <v>17</v>
      </c>
      <c r="G64" s="1364">
        <v>17</v>
      </c>
      <c r="H64" s="1364">
        <v>17</v>
      </c>
      <c r="I64" s="1641">
        <v>17</v>
      </c>
      <c r="J64" s="1365">
        <v>17</v>
      </c>
      <c r="K64" s="1365">
        <v>17</v>
      </c>
      <c r="L64" s="1365">
        <v>17</v>
      </c>
      <c r="M64" s="1365">
        <v>17</v>
      </c>
      <c r="N64" s="1365">
        <v>17</v>
      </c>
      <c r="O64" s="1365">
        <v>17</v>
      </c>
      <c r="P64" s="1365">
        <v>17</v>
      </c>
      <c r="Q64" s="1365">
        <v>17</v>
      </c>
      <c r="R64" s="1365">
        <v>17</v>
      </c>
      <c r="S64" s="1365">
        <v>17</v>
      </c>
      <c r="T64" s="1365">
        <v>35</v>
      </c>
      <c r="U64" s="1365"/>
      <c r="V64" s="1365">
        <v>35</v>
      </c>
      <c r="W64" s="1365">
        <v>35</v>
      </c>
      <c r="X64" s="1365">
        <v>35</v>
      </c>
      <c r="Y64" s="1365">
        <v>55</v>
      </c>
      <c r="Z64" s="3191">
        <v>55</v>
      </c>
      <c r="AA64" s="1365">
        <v>55</v>
      </c>
      <c r="AB64" s="1366">
        <v>55</v>
      </c>
      <c r="AC64" s="2243">
        <v>626577</v>
      </c>
    </row>
    <row r="65" spans="1:135" s="1029" customFormat="1" ht="12" customHeight="1">
      <c r="A65" s="1350">
        <v>59</v>
      </c>
      <c r="B65" s="2077" t="s">
        <v>1190</v>
      </c>
      <c r="C65" s="1376"/>
      <c r="D65" s="1377"/>
      <c r="E65" s="1377"/>
      <c r="F65" s="1377"/>
      <c r="G65" s="1377"/>
      <c r="H65" s="1377"/>
      <c r="I65" s="1645"/>
      <c r="J65" s="1377"/>
      <c r="K65" s="1377"/>
      <c r="L65" s="1377"/>
      <c r="M65" s="1377"/>
      <c r="N65" s="1377"/>
      <c r="O65" s="1377"/>
      <c r="P65" s="1377"/>
      <c r="Q65" s="1377"/>
      <c r="R65" s="1377"/>
      <c r="S65" s="1377"/>
      <c r="T65" s="1377"/>
      <c r="U65" s="1377"/>
      <c r="V65" s="1377">
        <v>1</v>
      </c>
      <c r="W65" s="1377">
        <v>2</v>
      </c>
      <c r="X65" s="1377">
        <v>4</v>
      </c>
      <c r="Y65" s="1377">
        <v>6</v>
      </c>
      <c r="Z65" s="3195">
        <v>7</v>
      </c>
      <c r="AA65" s="1377">
        <v>8</v>
      </c>
      <c r="AB65" s="1378">
        <v>10</v>
      </c>
      <c r="AC65" s="2247">
        <v>37680</v>
      </c>
    </row>
    <row r="66" spans="1:135" s="1029" customFormat="1" ht="12" customHeight="1">
      <c r="A66" s="1354">
        <v>60</v>
      </c>
      <c r="B66" s="2078" t="s">
        <v>924</v>
      </c>
      <c r="C66" s="1370">
        <v>15</v>
      </c>
      <c r="D66" s="1371">
        <v>15</v>
      </c>
      <c r="E66" s="1371">
        <v>15</v>
      </c>
      <c r="F66" s="1371">
        <v>15</v>
      </c>
      <c r="G66" s="1371">
        <v>15</v>
      </c>
      <c r="H66" s="1371">
        <v>15</v>
      </c>
      <c r="I66" s="1644">
        <v>15</v>
      </c>
      <c r="J66" s="1371">
        <v>15</v>
      </c>
      <c r="K66" s="1371">
        <v>15</v>
      </c>
      <c r="L66" s="1371">
        <v>15</v>
      </c>
      <c r="M66" s="1371">
        <v>15</v>
      </c>
      <c r="N66" s="1371">
        <v>15</v>
      </c>
      <c r="O66" s="1371">
        <v>13</v>
      </c>
      <c r="P66" s="1371"/>
      <c r="Q66" s="1371">
        <v>13</v>
      </c>
      <c r="R66" s="1371">
        <v>13</v>
      </c>
      <c r="S66" s="1371">
        <v>13</v>
      </c>
      <c r="T66" s="1371">
        <v>13</v>
      </c>
      <c r="U66" s="1371"/>
      <c r="V66" s="1371">
        <v>13</v>
      </c>
      <c r="W66" s="1371">
        <v>13</v>
      </c>
      <c r="X66" s="1371">
        <v>13</v>
      </c>
      <c r="Y66" s="1371">
        <v>15</v>
      </c>
      <c r="Z66" s="3194">
        <v>15</v>
      </c>
      <c r="AA66" s="1371">
        <v>15</v>
      </c>
      <c r="AB66" s="1372">
        <v>15</v>
      </c>
      <c r="AC66" s="2246">
        <v>331824</v>
      </c>
    </row>
    <row r="67" spans="1:135" s="1029" customFormat="1" ht="12" customHeight="1">
      <c r="A67" s="1350">
        <v>61</v>
      </c>
      <c r="B67" s="2074" t="s">
        <v>907</v>
      </c>
      <c r="C67" s="1379">
        <v>19</v>
      </c>
      <c r="D67" s="1357">
        <v>19</v>
      </c>
      <c r="E67" s="1357">
        <v>19</v>
      </c>
      <c r="F67" s="1357">
        <v>19</v>
      </c>
      <c r="G67" s="1357">
        <v>19</v>
      </c>
      <c r="H67" s="1357">
        <v>19</v>
      </c>
      <c r="I67" s="1646">
        <v>19</v>
      </c>
      <c r="J67" s="1357">
        <v>19</v>
      </c>
      <c r="K67" s="1357">
        <v>19</v>
      </c>
      <c r="L67" s="1357">
        <v>19</v>
      </c>
      <c r="M67" s="1357">
        <v>19</v>
      </c>
      <c r="N67" s="1357">
        <v>19</v>
      </c>
      <c r="O67" s="1357">
        <v>19</v>
      </c>
      <c r="P67" s="1357">
        <v>22</v>
      </c>
      <c r="Q67" s="1357">
        <v>22</v>
      </c>
      <c r="R67" s="1357">
        <v>22</v>
      </c>
      <c r="S67" s="1357">
        <v>22</v>
      </c>
      <c r="T67" s="1357">
        <v>22</v>
      </c>
      <c r="U67" s="1357"/>
      <c r="V67" s="1357">
        <v>22</v>
      </c>
      <c r="W67" s="1357">
        <v>22</v>
      </c>
      <c r="X67" s="1357">
        <v>22</v>
      </c>
      <c r="Y67" s="1357">
        <v>22</v>
      </c>
      <c r="Z67" s="3189">
        <v>22</v>
      </c>
      <c r="AA67" s="1357">
        <v>22</v>
      </c>
      <c r="AB67" s="1358">
        <v>22</v>
      </c>
      <c r="AC67" s="2248">
        <v>456948</v>
      </c>
    </row>
    <row r="68" spans="1:135" s="1029" customFormat="1" ht="12" customHeight="1">
      <c r="A68" s="1354">
        <v>62</v>
      </c>
      <c r="B68" s="2081" t="s">
        <v>945</v>
      </c>
      <c r="C68" s="1384">
        <v>0</v>
      </c>
      <c r="D68" s="1385">
        <v>20</v>
      </c>
      <c r="E68" s="1385">
        <v>20</v>
      </c>
      <c r="F68" s="1385">
        <v>20</v>
      </c>
      <c r="G68" s="1385">
        <v>22</v>
      </c>
      <c r="H68" s="1385">
        <v>22</v>
      </c>
      <c r="I68" s="1648">
        <v>20</v>
      </c>
      <c r="J68" s="1386">
        <v>20</v>
      </c>
      <c r="K68" s="1386">
        <v>22</v>
      </c>
      <c r="L68" s="1386">
        <v>22</v>
      </c>
      <c r="M68" s="1386">
        <v>22</v>
      </c>
      <c r="N68" s="1386">
        <v>22</v>
      </c>
      <c r="O68" s="1386">
        <v>22</v>
      </c>
      <c r="P68" s="1386">
        <v>22</v>
      </c>
      <c r="Q68" s="1386">
        <v>22</v>
      </c>
      <c r="R68" s="1386"/>
      <c r="S68" s="1386">
        <v>20</v>
      </c>
      <c r="T68" s="1386">
        <v>22</v>
      </c>
      <c r="U68" s="1386"/>
      <c r="V68" s="1386">
        <v>22</v>
      </c>
      <c r="W68" s="1386">
        <v>22</v>
      </c>
      <c r="X68" s="1386">
        <v>22</v>
      </c>
      <c r="Y68" s="1386">
        <v>20</v>
      </c>
      <c r="Z68" s="3198">
        <v>20</v>
      </c>
      <c r="AA68" s="1386">
        <v>20</v>
      </c>
      <c r="AB68" s="1387">
        <v>22</v>
      </c>
      <c r="AC68" s="2251">
        <v>441756</v>
      </c>
    </row>
    <row r="69" spans="1:135" s="1031" customFormat="1" ht="12" customHeight="1">
      <c r="A69" s="1350">
        <v>63</v>
      </c>
      <c r="B69" s="2082" t="s">
        <v>943</v>
      </c>
      <c r="C69" s="1363">
        <v>172</v>
      </c>
      <c r="D69" s="1364">
        <v>172</v>
      </c>
      <c r="E69" s="1364">
        <v>170</v>
      </c>
      <c r="F69" s="1364">
        <v>168</v>
      </c>
      <c r="G69" s="1364">
        <v>164</v>
      </c>
      <c r="H69" s="1364">
        <v>150</v>
      </c>
      <c r="I69" s="1641">
        <v>140</v>
      </c>
      <c r="J69" s="1365">
        <v>148</v>
      </c>
      <c r="K69" s="1365">
        <v>150</v>
      </c>
      <c r="L69" s="1365">
        <v>140</v>
      </c>
      <c r="M69" s="1365">
        <v>162</v>
      </c>
      <c r="N69" s="1365">
        <v>164</v>
      </c>
      <c r="O69" s="1365">
        <v>168</v>
      </c>
      <c r="P69" s="1365">
        <v>170</v>
      </c>
      <c r="Q69" s="1365">
        <v>182</v>
      </c>
      <c r="R69" s="1365">
        <v>164</v>
      </c>
      <c r="S69" s="1365">
        <v>160</v>
      </c>
      <c r="T69" s="1365">
        <v>158</v>
      </c>
      <c r="U69" s="1365"/>
      <c r="V69" s="1365">
        <v>158</v>
      </c>
      <c r="W69" s="1365">
        <v>160</v>
      </c>
      <c r="X69" s="1365">
        <v>160</v>
      </c>
      <c r="Y69" s="1365">
        <v>160</v>
      </c>
      <c r="Z69" s="3191">
        <v>170</v>
      </c>
      <c r="AA69" s="1365">
        <v>162</v>
      </c>
      <c r="AB69" s="1366">
        <v>162</v>
      </c>
      <c r="AC69" s="2243">
        <v>3880320</v>
      </c>
      <c r="AD69" s="1029"/>
      <c r="AE69" s="1029"/>
      <c r="AF69" s="1029"/>
      <c r="AG69" s="1029"/>
      <c r="AH69" s="1029"/>
      <c r="AI69" s="1029"/>
      <c r="AR69" s="1029"/>
      <c r="AS69" s="1029"/>
      <c r="AT69" s="1029"/>
      <c r="AU69" s="1029"/>
      <c r="AV69" s="1029"/>
      <c r="AW69" s="1029"/>
      <c r="AX69" s="1029"/>
      <c r="AY69" s="1029"/>
      <c r="AZ69" s="1029"/>
      <c r="BA69" s="1029"/>
      <c r="BB69" s="1029"/>
      <c r="BC69" s="1029"/>
      <c r="BD69" s="1029"/>
      <c r="BE69" s="1029"/>
      <c r="BF69" s="1029"/>
      <c r="BG69" s="1029"/>
      <c r="BH69" s="1029"/>
      <c r="BI69" s="1029"/>
      <c r="BJ69" s="1029"/>
      <c r="BK69" s="1029"/>
      <c r="BL69" s="1029"/>
      <c r="BM69" s="1029"/>
      <c r="BN69" s="1029"/>
      <c r="BO69" s="1029"/>
      <c r="BP69" s="1029"/>
      <c r="BQ69" s="1029"/>
      <c r="BR69" s="1029"/>
      <c r="BS69" s="1029"/>
      <c r="BT69" s="1029"/>
      <c r="BU69" s="1029"/>
      <c r="BV69" s="1029"/>
      <c r="BW69" s="1029"/>
      <c r="BX69" s="1029"/>
      <c r="BY69" s="1029"/>
      <c r="BZ69" s="1029"/>
      <c r="CA69" s="1029"/>
      <c r="CB69" s="1029"/>
      <c r="CC69" s="1029"/>
      <c r="CD69" s="1029"/>
      <c r="CE69" s="1029"/>
      <c r="CF69" s="1029"/>
      <c r="CG69" s="1029"/>
      <c r="CH69" s="1029"/>
      <c r="CI69" s="1029"/>
      <c r="CJ69" s="1029"/>
      <c r="CK69" s="1029"/>
      <c r="CL69" s="1029"/>
      <c r="CM69" s="1029"/>
      <c r="CN69" s="1029"/>
      <c r="CO69" s="1029"/>
      <c r="CP69" s="1029"/>
      <c r="CQ69" s="1029"/>
      <c r="CR69" s="1029"/>
      <c r="CS69" s="1029"/>
      <c r="CT69" s="1029"/>
      <c r="CU69" s="1029"/>
      <c r="CV69" s="1029"/>
      <c r="CW69" s="1029"/>
      <c r="CX69" s="1029"/>
      <c r="CY69" s="1029"/>
      <c r="CZ69" s="1029"/>
      <c r="DA69" s="1029"/>
      <c r="DB69" s="1029"/>
      <c r="DC69" s="1029"/>
      <c r="DD69" s="1029"/>
      <c r="DE69" s="1029"/>
      <c r="DF69" s="1029"/>
      <c r="DG69" s="1029"/>
      <c r="DH69" s="1029"/>
      <c r="DI69" s="1029"/>
      <c r="DJ69" s="1029"/>
      <c r="DK69" s="1029"/>
      <c r="DL69" s="1029"/>
      <c r="DM69" s="1029"/>
      <c r="DN69" s="1029"/>
      <c r="DO69" s="1029"/>
      <c r="DP69" s="1029"/>
      <c r="DQ69" s="1029"/>
      <c r="DR69" s="1029"/>
      <c r="DS69" s="1029"/>
      <c r="DT69" s="1029"/>
      <c r="DU69" s="1029"/>
      <c r="DV69" s="1029"/>
      <c r="DW69" s="1029"/>
      <c r="DX69" s="1029"/>
      <c r="DY69" s="1029"/>
      <c r="DZ69" s="1029"/>
      <c r="EA69" s="1029"/>
      <c r="EB69" s="1029"/>
      <c r="EC69" s="1029"/>
      <c r="ED69" s="1029"/>
      <c r="EE69" s="1029"/>
    </row>
    <row r="70" spans="1:135" s="1029" customFormat="1" ht="12" customHeight="1">
      <c r="A70" s="1354">
        <v>64</v>
      </c>
      <c r="B70" s="2080" t="s">
        <v>160</v>
      </c>
      <c r="C70" s="1392">
        <v>38</v>
      </c>
      <c r="D70" s="1393">
        <v>38</v>
      </c>
      <c r="E70" s="1393">
        <v>37</v>
      </c>
      <c r="F70" s="1393">
        <v>38</v>
      </c>
      <c r="G70" s="1393">
        <v>38</v>
      </c>
      <c r="H70" s="1393">
        <v>38</v>
      </c>
      <c r="I70" s="1650">
        <v>38</v>
      </c>
      <c r="J70" s="1377">
        <v>12</v>
      </c>
      <c r="K70" s="1377">
        <v>2</v>
      </c>
      <c r="L70" s="1377">
        <v>2</v>
      </c>
      <c r="M70" s="1377">
        <v>2</v>
      </c>
      <c r="N70" s="1377">
        <v>3</v>
      </c>
      <c r="O70" s="1377">
        <v>3</v>
      </c>
      <c r="P70" s="1377">
        <v>3</v>
      </c>
      <c r="Q70" s="1377">
        <v>2</v>
      </c>
      <c r="R70" s="1377">
        <v>3</v>
      </c>
      <c r="S70" s="1377">
        <v>3</v>
      </c>
      <c r="T70" s="1377">
        <v>4</v>
      </c>
      <c r="U70" s="1377"/>
      <c r="V70" s="1377">
        <v>7</v>
      </c>
      <c r="W70" s="1377">
        <v>7</v>
      </c>
      <c r="X70" s="1377">
        <v>22</v>
      </c>
      <c r="Y70" s="1377">
        <v>30</v>
      </c>
      <c r="Z70" s="3195">
        <v>35</v>
      </c>
      <c r="AA70" s="1377">
        <v>37</v>
      </c>
      <c r="AB70" s="1378">
        <v>38</v>
      </c>
      <c r="AC70" s="2253">
        <v>521280</v>
      </c>
    </row>
    <row r="71" spans="1:135" s="1029" customFormat="1" ht="12" customHeight="1">
      <c r="A71" s="1350">
        <v>65</v>
      </c>
      <c r="B71" s="2073" t="s">
        <v>939</v>
      </c>
      <c r="C71" s="1370">
        <v>22</v>
      </c>
      <c r="D71" s="1371">
        <v>22</v>
      </c>
      <c r="E71" s="1371">
        <v>22</v>
      </c>
      <c r="F71" s="1371">
        <v>22</v>
      </c>
      <c r="G71" s="1371">
        <v>22</v>
      </c>
      <c r="H71" s="1371">
        <v>22</v>
      </c>
      <c r="I71" s="1644">
        <v>22</v>
      </c>
      <c r="J71" s="1371">
        <v>0</v>
      </c>
      <c r="K71" s="1371"/>
      <c r="L71" s="1371"/>
      <c r="M71" s="1371"/>
      <c r="N71" s="1371"/>
      <c r="O71" s="1371"/>
      <c r="P71" s="1371"/>
      <c r="Q71" s="1371">
        <v>21</v>
      </c>
      <c r="R71" s="1371">
        <v>21</v>
      </c>
      <c r="S71" s="1371"/>
      <c r="T71" s="1371"/>
      <c r="U71" s="1371"/>
      <c r="V71" s="1371"/>
      <c r="W71" s="1371">
        <v>10</v>
      </c>
      <c r="X71" s="1371">
        <v>16</v>
      </c>
      <c r="Y71" s="1371">
        <v>19</v>
      </c>
      <c r="Z71" s="3194">
        <v>21</v>
      </c>
      <c r="AA71" s="1371">
        <v>21</v>
      </c>
      <c r="AB71" s="1372">
        <v>22</v>
      </c>
      <c r="AC71" s="2246">
        <v>323856</v>
      </c>
    </row>
    <row r="72" spans="1:135" s="1029" customFormat="1" ht="12" customHeight="1">
      <c r="A72" s="1354">
        <v>66</v>
      </c>
      <c r="B72" s="2079" t="s">
        <v>940</v>
      </c>
      <c r="C72" s="1355">
        <v>10</v>
      </c>
      <c r="D72" s="1356">
        <v>10</v>
      </c>
      <c r="E72" s="1356">
        <v>10</v>
      </c>
      <c r="F72" s="1356">
        <v>10</v>
      </c>
      <c r="G72" s="1356">
        <v>10</v>
      </c>
      <c r="H72" s="1356">
        <v>10</v>
      </c>
      <c r="I72" s="1641">
        <v>10</v>
      </c>
      <c r="J72" s="1357">
        <v>10</v>
      </c>
      <c r="K72" s="1357">
        <v>10</v>
      </c>
      <c r="L72" s="1357">
        <v>10</v>
      </c>
      <c r="M72" s="1357">
        <v>10</v>
      </c>
      <c r="N72" s="1357">
        <v>10</v>
      </c>
      <c r="O72" s="1357">
        <v>10</v>
      </c>
      <c r="P72" s="1357">
        <v>10</v>
      </c>
      <c r="Q72" s="1357">
        <v>10</v>
      </c>
      <c r="R72" s="1357">
        <v>10</v>
      </c>
      <c r="S72" s="1357">
        <v>10</v>
      </c>
      <c r="T72" s="1357">
        <v>10</v>
      </c>
      <c r="U72" s="1357"/>
      <c r="V72" s="1357">
        <v>10</v>
      </c>
      <c r="W72" s="1357">
        <v>10</v>
      </c>
      <c r="X72" s="1357">
        <v>10</v>
      </c>
      <c r="Y72" s="1357">
        <v>10</v>
      </c>
      <c r="Z72" s="3189">
        <v>10</v>
      </c>
      <c r="AA72" s="1357">
        <v>10</v>
      </c>
      <c r="AB72" s="1358">
        <v>10</v>
      </c>
      <c r="AC72" s="2241">
        <v>238500</v>
      </c>
    </row>
    <row r="73" spans="1:135" s="1029" customFormat="1" ht="12" customHeight="1">
      <c r="A73" s="1350">
        <v>67</v>
      </c>
      <c r="B73" s="2083" t="s">
        <v>941</v>
      </c>
      <c r="C73" s="1359">
        <v>33</v>
      </c>
      <c r="D73" s="1360">
        <v>33</v>
      </c>
      <c r="E73" s="1360">
        <v>33</v>
      </c>
      <c r="F73" s="1360">
        <v>33</v>
      </c>
      <c r="G73" s="1360">
        <v>33</v>
      </c>
      <c r="H73" s="1360">
        <v>33</v>
      </c>
      <c r="I73" s="1641">
        <v>33</v>
      </c>
      <c r="J73" s="1361">
        <v>33</v>
      </c>
      <c r="K73" s="1361">
        <v>21</v>
      </c>
      <c r="L73" s="1361">
        <v>16</v>
      </c>
      <c r="M73" s="1361">
        <v>25</v>
      </c>
      <c r="N73" s="1361">
        <v>31</v>
      </c>
      <c r="O73" s="1361">
        <v>31</v>
      </c>
      <c r="P73" s="1361">
        <v>33</v>
      </c>
      <c r="Q73" s="1361">
        <v>33</v>
      </c>
      <c r="R73" s="1361">
        <v>33</v>
      </c>
      <c r="S73" s="1361">
        <v>33</v>
      </c>
      <c r="T73" s="1361">
        <v>33</v>
      </c>
      <c r="U73" s="1361"/>
      <c r="V73" s="1361">
        <v>33</v>
      </c>
      <c r="W73" s="1361">
        <v>33</v>
      </c>
      <c r="X73" s="1361">
        <v>33</v>
      </c>
      <c r="Y73" s="1361">
        <v>33</v>
      </c>
      <c r="Z73" s="3190">
        <v>33</v>
      </c>
      <c r="AA73" s="1361">
        <v>33</v>
      </c>
      <c r="AB73" s="1362">
        <v>33</v>
      </c>
      <c r="AC73" s="2242">
        <v>767300</v>
      </c>
    </row>
    <row r="74" spans="1:135" s="1029" customFormat="1" ht="12" customHeight="1">
      <c r="A74" s="1354">
        <v>68</v>
      </c>
      <c r="B74" s="2082" t="s">
        <v>942</v>
      </c>
      <c r="C74" s="1363">
        <v>20</v>
      </c>
      <c r="D74" s="1364">
        <v>20</v>
      </c>
      <c r="E74" s="1364">
        <v>20</v>
      </c>
      <c r="F74" s="1364">
        <v>20</v>
      </c>
      <c r="G74" s="1364">
        <v>20</v>
      </c>
      <c r="H74" s="1364">
        <v>20</v>
      </c>
      <c r="I74" s="1641">
        <v>20</v>
      </c>
      <c r="J74" s="1365">
        <v>20</v>
      </c>
      <c r="K74" s="1365">
        <v>20</v>
      </c>
      <c r="L74" s="1365">
        <v>20</v>
      </c>
      <c r="M74" s="1365">
        <v>20</v>
      </c>
      <c r="N74" s="1365">
        <v>20</v>
      </c>
      <c r="O74" s="1365">
        <v>20</v>
      </c>
      <c r="P74" s="1365">
        <v>20</v>
      </c>
      <c r="Q74" s="1365">
        <v>20</v>
      </c>
      <c r="R74" s="1365">
        <v>20</v>
      </c>
      <c r="S74" s="1365">
        <v>20</v>
      </c>
      <c r="T74" s="1365">
        <v>20</v>
      </c>
      <c r="U74" s="1365"/>
      <c r="V74" s="1365">
        <v>20</v>
      </c>
      <c r="W74" s="1365">
        <v>20</v>
      </c>
      <c r="X74" s="1365">
        <v>20</v>
      </c>
      <c r="Y74" s="1365">
        <v>20</v>
      </c>
      <c r="Z74" s="3191">
        <v>20</v>
      </c>
      <c r="AA74" s="1365">
        <v>20</v>
      </c>
      <c r="AB74" s="1366">
        <v>20</v>
      </c>
      <c r="AC74" s="2243">
        <v>487130</v>
      </c>
    </row>
    <row r="75" spans="1:135" s="1029" customFormat="1" ht="12" customHeight="1">
      <c r="A75" s="1350">
        <v>69</v>
      </c>
      <c r="B75" s="2077" t="s">
        <v>259</v>
      </c>
      <c r="C75" s="1376">
        <v>25</v>
      </c>
      <c r="D75" s="1377">
        <v>25</v>
      </c>
      <c r="E75" s="1377">
        <v>25</v>
      </c>
      <c r="F75" s="1377">
        <v>25</v>
      </c>
      <c r="G75" s="1377">
        <v>25</v>
      </c>
      <c r="H75" s="1377">
        <v>25</v>
      </c>
      <c r="I75" s="1645">
        <v>25</v>
      </c>
      <c r="J75" s="1377">
        <v>25</v>
      </c>
      <c r="K75" s="1377">
        <v>25</v>
      </c>
      <c r="L75" s="1377">
        <v>25</v>
      </c>
      <c r="M75" s="1377">
        <v>25</v>
      </c>
      <c r="N75" s="1377">
        <v>25</v>
      </c>
      <c r="O75" s="1377">
        <v>25</v>
      </c>
      <c r="P75" s="1377">
        <v>25</v>
      </c>
      <c r="Q75" s="1377">
        <v>25</v>
      </c>
      <c r="R75" s="1377">
        <v>25</v>
      </c>
      <c r="S75" s="1377">
        <v>25</v>
      </c>
      <c r="T75" s="1377">
        <v>25</v>
      </c>
      <c r="U75" s="1377"/>
      <c r="V75" s="1377">
        <v>25</v>
      </c>
      <c r="W75" s="1377">
        <v>25</v>
      </c>
      <c r="X75" s="1377">
        <v>25</v>
      </c>
      <c r="Y75" s="1377">
        <v>25</v>
      </c>
      <c r="Z75" s="3195">
        <v>25</v>
      </c>
      <c r="AA75" s="1377">
        <v>25</v>
      </c>
      <c r="AB75" s="1378">
        <v>25</v>
      </c>
      <c r="AC75" s="2247">
        <v>600000</v>
      </c>
    </row>
    <row r="76" spans="1:135" s="1029" customFormat="1" ht="12" customHeight="1">
      <c r="A76" s="1354">
        <v>70</v>
      </c>
      <c r="B76" s="2078" t="s">
        <v>260</v>
      </c>
      <c r="C76" s="1370">
        <v>27</v>
      </c>
      <c r="D76" s="1371">
        <v>20</v>
      </c>
      <c r="E76" s="1371">
        <v>25</v>
      </c>
      <c r="F76" s="1371">
        <v>20</v>
      </c>
      <c r="G76" s="1371">
        <v>25</v>
      </c>
      <c r="H76" s="1371">
        <v>25</v>
      </c>
      <c r="I76" s="1644">
        <v>17</v>
      </c>
      <c r="J76" s="1371">
        <v>17</v>
      </c>
      <c r="K76" s="1371">
        <v>20</v>
      </c>
      <c r="L76" s="1371">
        <v>20</v>
      </c>
      <c r="M76" s="1371">
        <v>20</v>
      </c>
      <c r="N76" s="1371">
        <v>20</v>
      </c>
      <c r="O76" s="1371">
        <v>25</v>
      </c>
      <c r="P76" s="1371">
        <v>25</v>
      </c>
      <c r="Q76" s="1371">
        <v>25</v>
      </c>
      <c r="R76" s="1371">
        <v>25</v>
      </c>
      <c r="S76" s="1371">
        <v>26</v>
      </c>
      <c r="T76" s="1371">
        <v>26</v>
      </c>
      <c r="U76" s="1371"/>
      <c r="V76" s="1371">
        <v>20</v>
      </c>
      <c r="W76" s="1371">
        <v>26</v>
      </c>
      <c r="X76" s="1371">
        <v>27</v>
      </c>
      <c r="Y76" s="1371">
        <v>27</v>
      </c>
      <c r="Z76" s="3194">
        <v>27</v>
      </c>
      <c r="AA76" s="1371">
        <v>27</v>
      </c>
      <c r="AB76" s="1372">
        <v>27</v>
      </c>
      <c r="AC76" s="2246">
        <v>539100</v>
      </c>
    </row>
    <row r="77" spans="1:135" s="1029" customFormat="1" ht="12" customHeight="1">
      <c r="A77" s="1350">
        <v>71</v>
      </c>
      <c r="B77" s="2079" t="s">
        <v>1022</v>
      </c>
      <c r="C77" s="1373">
        <v>25</v>
      </c>
      <c r="D77" s="1356">
        <v>0</v>
      </c>
      <c r="E77" s="1356">
        <v>0</v>
      </c>
      <c r="F77" s="1356">
        <v>8</v>
      </c>
      <c r="G77" s="1356">
        <v>25</v>
      </c>
      <c r="H77" s="1356">
        <v>25</v>
      </c>
      <c r="I77" s="1641">
        <v>25</v>
      </c>
      <c r="J77" s="1357">
        <v>25</v>
      </c>
      <c r="K77" s="1357">
        <v>25</v>
      </c>
      <c r="L77" s="1357">
        <v>25</v>
      </c>
      <c r="M77" s="1357">
        <v>25</v>
      </c>
      <c r="N77" s="1357">
        <v>25</v>
      </c>
      <c r="O77" s="1357">
        <v>25</v>
      </c>
      <c r="P77" s="1357">
        <v>33</v>
      </c>
      <c r="Q77" s="1357">
        <v>33</v>
      </c>
      <c r="R77" s="1357">
        <v>33</v>
      </c>
      <c r="S77" s="1357">
        <v>33</v>
      </c>
      <c r="T77" s="1357">
        <v>33</v>
      </c>
      <c r="U77" s="1357"/>
      <c r="V77" s="1357">
        <v>33</v>
      </c>
      <c r="W77" s="1357">
        <v>33</v>
      </c>
      <c r="X77" s="1357">
        <v>33</v>
      </c>
      <c r="Y77" s="1357">
        <v>33</v>
      </c>
      <c r="Z77" s="3189">
        <v>33</v>
      </c>
      <c r="AA77" s="1357">
        <v>33</v>
      </c>
      <c r="AB77" s="1358">
        <v>33</v>
      </c>
      <c r="AC77" s="2241">
        <v>586000</v>
      </c>
    </row>
    <row r="78" spans="1:135" s="1029" customFormat="1" ht="12" customHeight="1">
      <c r="A78" s="1354">
        <v>72</v>
      </c>
      <c r="B78" s="2081" t="s">
        <v>1023</v>
      </c>
      <c r="C78" s="1374">
        <v>33</v>
      </c>
      <c r="D78" s="1360">
        <v>17</v>
      </c>
      <c r="E78" s="1360">
        <v>17</v>
      </c>
      <c r="F78" s="1360">
        <v>17</v>
      </c>
      <c r="G78" s="1360">
        <v>33</v>
      </c>
      <c r="H78" s="1360">
        <v>33</v>
      </c>
      <c r="I78" s="1641">
        <v>33</v>
      </c>
      <c r="J78" s="1361">
        <v>33</v>
      </c>
      <c r="K78" s="1361">
        <v>16</v>
      </c>
      <c r="L78" s="1361"/>
      <c r="M78" s="1361">
        <v>30</v>
      </c>
      <c r="N78" s="1361">
        <v>30</v>
      </c>
      <c r="O78" s="1361">
        <v>30</v>
      </c>
      <c r="P78" s="1361">
        <v>30</v>
      </c>
      <c r="Q78" s="1361">
        <v>30</v>
      </c>
      <c r="R78" s="1361">
        <v>30</v>
      </c>
      <c r="S78" s="1361">
        <v>30</v>
      </c>
      <c r="T78" s="1361">
        <v>30</v>
      </c>
      <c r="U78" s="1361"/>
      <c r="V78" s="1361">
        <v>30</v>
      </c>
      <c r="W78" s="1361">
        <v>30</v>
      </c>
      <c r="X78" s="1361">
        <v>30</v>
      </c>
      <c r="Y78" s="1361">
        <v>30</v>
      </c>
      <c r="Z78" s="3190">
        <v>17</v>
      </c>
      <c r="AA78" s="1361">
        <v>33</v>
      </c>
      <c r="AB78" s="1362">
        <v>33</v>
      </c>
      <c r="AC78" s="2242">
        <v>649400</v>
      </c>
    </row>
    <row r="79" spans="1:135" s="1029" customFormat="1" ht="12" customHeight="1">
      <c r="A79" s="1350">
        <v>73</v>
      </c>
      <c r="B79" s="2082" t="s">
        <v>889</v>
      </c>
      <c r="C79" s="1375">
        <v>93</v>
      </c>
      <c r="D79" s="1364">
        <v>93</v>
      </c>
      <c r="E79" s="1364">
        <v>93</v>
      </c>
      <c r="F79" s="1364">
        <v>93</v>
      </c>
      <c r="G79" s="1364">
        <v>92</v>
      </c>
      <c r="H79" s="1364">
        <v>90</v>
      </c>
      <c r="I79" s="1641">
        <v>90</v>
      </c>
      <c r="J79" s="1365">
        <v>86</v>
      </c>
      <c r="K79" s="1365">
        <v>86</v>
      </c>
      <c r="L79" s="1365">
        <v>84</v>
      </c>
      <c r="M79" s="1365">
        <v>83</v>
      </c>
      <c r="N79" s="1365">
        <v>80</v>
      </c>
      <c r="O79" s="1365">
        <v>82</v>
      </c>
      <c r="P79" s="1365">
        <v>80</v>
      </c>
      <c r="Q79" s="1365">
        <v>87</v>
      </c>
      <c r="R79" s="1365">
        <v>92</v>
      </c>
      <c r="S79" s="1365">
        <v>93</v>
      </c>
      <c r="T79" s="1365">
        <v>96</v>
      </c>
      <c r="U79" s="1365"/>
      <c r="V79" s="1365">
        <v>96</v>
      </c>
      <c r="W79" s="1365">
        <v>96</v>
      </c>
      <c r="X79" s="1365">
        <v>97</v>
      </c>
      <c r="Y79" s="1365">
        <v>81</v>
      </c>
      <c r="Z79" s="3191">
        <v>84</v>
      </c>
      <c r="AA79" s="1365">
        <v>88</v>
      </c>
      <c r="AB79" s="1366">
        <v>87</v>
      </c>
      <c r="AC79" s="2243">
        <v>2080454</v>
      </c>
    </row>
    <row r="80" spans="1:135" s="1029" customFormat="1" ht="12" customHeight="1">
      <c r="A80" s="1354"/>
      <c r="B80" s="2082" t="s">
        <v>1105</v>
      </c>
      <c r="C80" s="2103">
        <v>17</v>
      </c>
      <c r="D80" s="2104">
        <v>17</v>
      </c>
      <c r="E80" s="2104">
        <v>17</v>
      </c>
      <c r="F80" s="2104">
        <v>17</v>
      </c>
      <c r="G80" s="2104">
        <v>17</v>
      </c>
      <c r="H80" s="2104">
        <v>17</v>
      </c>
      <c r="I80" s="2105">
        <v>17</v>
      </c>
      <c r="J80" s="2106">
        <v>17</v>
      </c>
      <c r="K80" s="2106">
        <v>17</v>
      </c>
      <c r="L80" s="2106">
        <v>17</v>
      </c>
      <c r="M80" s="2106">
        <v>17</v>
      </c>
      <c r="N80" s="2106">
        <v>17</v>
      </c>
      <c r="O80" s="2106">
        <v>17</v>
      </c>
      <c r="P80" s="2106">
        <v>17</v>
      </c>
      <c r="Q80" s="2106">
        <v>17</v>
      </c>
      <c r="R80" s="2106">
        <v>17</v>
      </c>
      <c r="S80" s="2106">
        <v>98</v>
      </c>
      <c r="T80" s="2106">
        <v>114</v>
      </c>
      <c r="U80" s="2106"/>
      <c r="V80" s="2106">
        <v>114</v>
      </c>
      <c r="W80" s="2106">
        <v>114</v>
      </c>
      <c r="X80" s="2106">
        <v>114</v>
      </c>
      <c r="Y80" s="2106">
        <v>114</v>
      </c>
      <c r="Z80" s="3202">
        <v>114</v>
      </c>
      <c r="AA80" s="2106">
        <v>114</v>
      </c>
      <c r="AB80" s="2107">
        <v>52</v>
      </c>
      <c r="AC80" s="2254">
        <v>1089840</v>
      </c>
    </row>
    <row r="81" spans="1:29" s="1029" customFormat="1" ht="12" customHeight="1">
      <c r="A81" s="1354"/>
      <c r="B81" s="2082" t="s">
        <v>1110</v>
      </c>
      <c r="C81" s="2172">
        <v>45</v>
      </c>
      <c r="D81" s="2173">
        <v>36</v>
      </c>
      <c r="E81" s="2173">
        <v>36</v>
      </c>
      <c r="F81" s="2173">
        <v>36</v>
      </c>
      <c r="G81" s="2173">
        <v>36</v>
      </c>
      <c r="H81" s="2173">
        <v>36</v>
      </c>
      <c r="I81" s="2174">
        <v>37</v>
      </c>
      <c r="J81" s="2175">
        <v>38</v>
      </c>
      <c r="K81" s="2175">
        <v>38</v>
      </c>
      <c r="L81" s="2175">
        <v>38</v>
      </c>
      <c r="M81" s="2175">
        <v>38</v>
      </c>
      <c r="N81" s="2175">
        <v>38</v>
      </c>
      <c r="O81" s="2175">
        <v>76</v>
      </c>
      <c r="P81" s="2175">
        <v>109</v>
      </c>
      <c r="Q81" s="2175">
        <v>110</v>
      </c>
      <c r="R81" s="2175">
        <v>100</v>
      </c>
      <c r="S81" s="2175">
        <v>102</v>
      </c>
      <c r="T81" s="2175">
        <v>104</v>
      </c>
      <c r="U81" s="2175"/>
      <c r="V81" s="2175">
        <v>114</v>
      </c>
      <c r="W81" s="2175">
        <v>115</v>
      </c>
      <c r="X81" s="2175">
        <v>115</v>
      </c>
      <c r="Y81" s="2175">
        <v>115</v>
      </c>
      <c r="Z81" s="3203">
        <v>113</v>
      </c>
      <c r="AA81" s="2175">
        <v>114</v>
      </c>
      <c r="AB81" s="2107">
        <v>58</v>
      </c>
      <c r="AC81" s="2254">
        <v>1700160</v>
      </c>
    </row>
    <row r="82" spans="1:29" s="1029" customFormat="1" ht="12" customHeight="1">
      <c r="A82" s="1354"/>
      <c r="B82" s="2082" t="s">
        <v>1187</v>
      </c>
      <c r="C82" s="2598">
        <v>162</v>
      </c>
      <c r="D82" s="2599">
        <v>162</v>
      </c>
      <c r="E82" s="2599">
        <v>162</v>
      </c>
      <c r="F82" s="2599">
        <v>162</v>
      </c>
      <c r="G82" s="2599">
        <v>162</v>
      </c>
      <c r="H82" s="2599">
        <v>66</v>
      </c>
      <c r="I82" s="1648">
        <v>54</v>
      </c>
      <c r="J82" s="2600">
        <v>54</v>
      </c>
      <c r="K82" s="2600">
        <v>54</v>
      </c>
      <c r="L82" s="2600">
        <v>54</v>
      </c>
      <c r="M82" s="2600">
        <v>54</v>
      </c>
      <c r="N82" s="2600">
        <v>54</v>
      </c>
      <c r="O82" s="2600">
        <v>54</v>
      </c>
      <c r="P82" s="2600">
        <v>76</v>
      </c>
      <c r="Q82" s="2600">
        <v>105</v>
      </c>
      <c r="R82" s="2600">
        <v>105</v>
      </c>
      <c r="S82" s="2600">
        <v>114</v>
      </c>
      <c r="T82" s="2600">
        <v>162</v>
      </c>
      <c r="U82" s="2600"/>
      <c r="V82" s="2600">
        <v>162</v>
      </c>
      <c r="W82" s="2600">
        <v>162</v>
      </c>
      <c r="X82" s="2600">
        <v>162</v>
      </c>
      <c r="Y82" s="2600">
        <v>162</v>
      </c>
      <c r="Z82" s="3204">
        <v>162</v>
      </c>
      <c r="AA82" s="2600">
        <v>162</v>
      </c>
      <c r="AB82" s="2601">
        <v>162</v>
      </c>
      <c r="AC82" s="2602">
        <v>2822400</v>
      </c>
    </row>
    <row r="83" spans="1:29" s="1029" customFormat="1" ht="12" customHeight="1">
      <c r="A83" s="1350">
        <v>77</v>
      </c>
      <c r="B83" s="2081" t="s">
        <v>899</v>
      </c>
      <c r="C83" s="1384">
        <v>8</v>
      </c>
      <c r="D83" s="1385">
        <v>8</v>
      </c>
      <c r="E83" s="1385">
        <v>8</v>
      </c>
      <c r="F83" s="1385">
        <v>8</v>
      </c>
      <c r="G83" s="1385">
        <v>8</v>
      </c>
      <c r="H83" s="1385">
        <v>8</v>
      </c>
      <c r="I83" s="1648">
        <v>8</v>
      </c>
      <c r="J83" s="1386">
        <v>8</v>
      </c>
      <c r="K83" s="1386">
        <v>8</v>
      </c>
      <c r="L83" s="1386">
        <v>8</v>
      </c>
      <c r="M83" s="1386">
        <v>8</v>
      </c>
      <c r="N83" s="1386">
        <v>8</v>
      </c>
      <c r="O83" s="1386">
        <v>22</v>
      </c>
      <c r="P83" s="1386">
        <v>48</v>
      </c>
      <c r="Q83" s="1386">
        <v>48</v>
      </c>
      <c r="R83" s="1386">
        <v>15</v>
      </c>
      <c r="S83" s="1386">
        <v>8</v>
      </c>
      <c r="T83" s="1386">
        <v>8</v>
      </c>
      <c r="U83" s="1386"/>
      <c r="V83" s="1386">
        <v>11</v>
      </c>
      <c r="W83" s="1386">
        <v>50</v>
      </c>
      <c r="X83" s="1386">
        <v>43</v>
      </c>
      <c r="Y83" s="1386">
        <v>48</v>
      </c>
      <c r="Z83" s="3198">
        <v>48</v>
      </c>
      <c r="AA83" s="1386">
        <v>48</v>
      </c>
      <c r="AB83" s="1387">
        <v>14</v>
      </c>
      <c r="AC83" s="2251">
        <v>461933</v>
      </c>
    </row>
    <row r="84" spans="1:29" s="1029" customFormat="1" ht="12" customHeight="1">
      <c r="A84" s="1354">
        <v>78</v>
      </c>
      <c r="B84" s="2082" t="s">
        <v>908</v>
      </c>
      <c r="C84" s="1363">
        <v>50</v>
      </c>
      <c r="D84" s="1364">
        <v>50</v>
      </c>
      <c r="E84" s="1364">
        <v>50</v>
      </c>
      <c r="F84" s="1364">
        <v>51</v>
      </c>
      <c r="G84" s="1364">
        <v>51</v>
      </c>
      <c r="H84" s="1364">
        <v>51</v>
      </c>
      <c r="I84" s="1641">
        <v>51</v>
      </c>
      <c r="J84" s="1365">
        <v>51</v>
      </c>
      <c r="K84" s="1365">
        <v>42</v>
      </c>
      <c r="L84" s="1365">
        <v>42</v>
      </c>
      <c r="M84" s="1365">
        <v>42</v>
      </c>
      <c r="N84" s="1365">
        <v>42</v>
      </c>
      <c r="O84" s="1365">
        <v>42</v>
      </c>
      <c r="P84" s="1365">
        <v>42</v>
      </c>
      <c r="Q84" s="1365">
        <v>42</v>
      </c>
      <c r="R84" s="1365">
        <v>49</v>
      </c>
      <c r="S84" s="1365">
        <v>49</v>
      </c>
      <c r="T84" s="1365">
        <v>49</v>
      </c>
      <c r="U84" s="1365"/>
      <c r="V84" s="1365">
        <v>49</v>
      </c>
      <c r="W84" s="1365">
        <v>49</v>
      </c>
      <c r="X84" s="1365">
        <v>49</v>
      </c>
      <c r="Y84" s="1365">
        <v>49</v>
      </c>
      <c r="Z84" s="3191">
        <v>49</v>
      </c>
      <c r="AA84" s="1365">
        <v>49</v>
      </c>
      <c r="AB84" s="1366">
        <v>49</v>
      </c>
      <c r="AC84" s="2243">
        <v>1141920</v>
      </c>
    </row>
    <row r="85" spans="1:29" s="1029" customFormat="1" ht="12" customHeight="1">
      <c r="A85" s="1350">
        <v>79</v>
      </c>
      <c r="B85" s="2077" t="s">
        <v>900</v>
      </c>
      <c r="C85" s="1394">
        <v>50</v>
      </c>
      <c r="D85" s="1395">
        <v>50</v>
      </c>
      <c r="E85" s="1395">
        <v>50</v>
      </c>
      <c r="F85" s="1395">
        <v>50</v>
      </c>
      <c r="G85" s="1395">
        <v>50</v>
      </c>
      <c r="H85" s="1395">
        <v>50</v>
      </c>
      <c r="I85" s="1651">
        <v>50</v>
      </c>
      <c r="J85" s="1368">
        <v>50</v>
      </c>
      <c r="K85" s="1368">
        <v>50</v>
      </c>
      <c r="L85" s="1368">
        <v>50</v>
      </c>
      <c r="M85" s="1368">
        <v>50</v>
      </c>
      <c r="N85" s="1368">
        <v>50</v>
      </c>
      <c r="O85" s="1368">
        <v>50</v>
      </c>
      <c r="P85" s="1368">
        <v>50</v>
      </c>
      <c r="Q85" s="1368">
        <v>50</v>
      </c>
      <c r="R85" s="1368">
        <v>115</v>
      </c>
      <c r="S85" s="1368">
        <v>124</v>
      </c>
      <c r="T85" s="1368">
        <v>124</v>
      </c>
      <c r="U85" s="1368"/>
      <c r="V85" s="1368">
        <v>124</v>
      </c>
      <c r="W85" s="1368">
        <v>128</v>
      </c>
      <c r="X85" s="1368">
        <v>128</v>
      </c>
      <c r="Y85" s="1368">
        <v>128</v>
      </c>
      <c r="Z85" s="3192">
        <v>128</v>
      </c>
      <c r="AA85" s="1368">
        <v>128</v>
      </c>
      <c r="AB85" s="1369">
        <v>48</v>
      </c>
      <c r="AC85" s="2255">
        <v>1740480</v>
      </c>
    </row>
    <row r="86" spans="1:29" s="1029" customFormat="1" ht="12" customHeight="1">
      <c r="A86" s="1354">
        <v>80</v>
      </c>
      <c r="B86" s="2078" t="s">
        <v>1026</v>
      </c>
      <c r="C86" s="1370"/>
      <c r="D86" s="1371"/>
      <c r="E86" s="1371"/>
      <c r="F86" s="1371"/>
      <c r="G86" s="1371"/>
      <c r="H86" s="1371"/>
      <c r="I86" s="1644"/>
      <c r="J86" s="1371"/>
      <c r="K86" s="1371"/>
      <c r="L86" s="1371"/>
      <c r="M86" s="1371"/>
      <c r="N86" s="1371"/>
      <c r="O86" s="1371"/>
      <c r="P86" s="1371"/>
      <c r="Q86" s="1371"/>
      <c r="R86" s="1371"/>
      <c r="S86" s="1371"/>
      <c r="T86" s="1371"/>
      <c r="U86" s="1371"/>
      <c r="V86" s="1371"/>
      <c r="W86" s="1371"/>
      <c r="X86" s="1371"/>
      <c r="Y86" s="1371"/>
      <c r="Z86" s="3194"/>
      <c r="AA86" s="1371"/>
      <c r="AB86" s="1372"/>
      <c r="AC86" s="2246"/>
    </row>
    <row r="87" spans="1:29" s="1029" customFormat="1" ht="12" customHeight="1">
      <c r="A87" s="1350">
        <v>81</v>
      </c>
      <c r="B87" s="2079" t="s">
        <v>938</v>
      </c>
      <c r="C87" s="1355">
        <v>8</v>
      </c>
      <c r="D87" s="1356">
        <v>8</v>
      </c>
      <c r="E87" s="1356">
        <v>8</v>
      </c>
      <c r="F87" s="1356">
        <v>8</v>
      </c>
      <c r="G87" s="1356">
        <v>8</v>
      </c>
      <c r="H87" s="1356">
        <v>8</v>
      </c>
      <c r="I87" s="1641">
        <v>8</v>
      </c>
      <c r="J87" s="1357">
        <v>10</v>
      </c>
      <c r="K87" s="1357">
        <v>16</v>
      </c>
      <c r="L87" s="1357">
        <v>8</v>
      </c>
      <c r="M87" s="1357">
        <v>8</v>
      </c>
      <c r="N87" s="1357">
        <v>8</v>
      </c>
      <c r="O87" s="1357">
        <v>8</v>
      </c>
      <c r="P87" s="1357">
        <v>8</v>
      </c>
      <c r="Q87" s="1357">
        <v>12</v>
      </c>
      <c r="R87" s="1357">
        <v>8</v>
      </c>
      <c r="S87" s="1357">
        <v>8</v>
      </c>
      <c r="T87" s="1357">
        <v>8</v>
      </c>
      <c r="U87" s="1357"/>
      <c r="V87" s="1357">
        <v>16</v>
      </c>
      <c r="W87" s="1357">
        <v>43</v>
      </c>
      <c r="X87" s="1357">
        <v>43</v>
      </c>
      <c r="Y87" s="1357">
        <v>43</v>
      </c>
      <c r="Z87" s="3189">
        <v>43</v>
      </c>
      <c r="AA87" s="1357">
        <v>43</v>
      </c>
      <c r="AB87" s="1358">
        <v>43</v>
      </c>
      <c r="AC87" s="2241">
        <v>422918</v>
      </c>
    </row>
    <row r="88" spans="1:29" s="1029" customFormat="1" ht="12" customHeight="1">
      <c r="A88" s="1354"/>
      <c r="B88" s="2079" t="s">
        <v>974</v>
      </c>
      <c r="C88" s="1619">
        <v>88</v>
      </c>
      <c r="D88" s="1620">
        <v>88</v>
      </c>
      <c r="E88" s="1620">
        <v>88</v>
      </c>
      <c r="F88" s="1620">
        <v>88</v>
      </c>
      <c r="G88" s="1620">
        <v>88</v>
      </c>
      <c r="H88" s="1620">
        <v>88</v>
      </c>
      <c r="I88" s="1652">
        <v>88</v>
      </c>
      <c r="J88" s="1621">
        <v>88</v>
      </c>
      <c r="K88" s="1621">
        <v>88</v>
      </c>
      <c r="L88" s="1621">
        <v>88</v>
      </c>
      <c r="M88" s="1621">
        <v>88</v>
      </c>
      <c r="N88" s="1621">
        <v>88</v>
      </c>
      <c r="O88" s="1621">
        <v>88</v>
      </c>
      <c r="P88" s="1621">
        <v>88</v>
      </c>
      <c r="Q88" s="1621">
        <v>88</v>
      </c>
      <c r="R88" s="1621">
        <v>88</v>
      </c>
      <c r="S88" s="1621">
        <v>88</v>
      </c>
      <c r="T88" s="1621">
        <v>88</v>
      </c>
      <c r="U88" s="1621"/>
      <c r="V88" s="1621">
        <v>105</v>
      </c>
      <c r="W88" s="1621">
        <v>105</v>
      </c>
      <c r="X88" s="1621">
        <v>105</v>
      </c>
      <c r="Y88" s="1621">
        <v>105</v>
      </c>
      <c r="Z88" s="3205">
        <v>105</v>
      </c>
      <c r="AA88" s="1621">
        <v>105</v>
      </c>
      <c r="AB88" s="1622">
        <v>105</v>
      </c>
      <c r="AC88" s="2241">
        <v>2208000</v>
      </c>
    </row>
    <row r="89" spans="1:29" s="1029" customFormat="1" ht="12" customHeight="1">
      <c r="A89" s="1354"/>
      <c r="B89" s="2079" t="s">
        <v>976</v>
      </c>
      <c r="C89" s="1695"/>
      <c r="D89" s="1696"/>
      <c r="E89" s="1696"/>
      <c r="F89" s="1696"/>
      <c r="G89" s="1696"/>
      <c r="H89" s="1696">
        <v>0</v>
      </c>
      <c r="I89" s="1697">
        <v>1</v>
      </c>
      <c r="J89" s="1698">
        <v>3</v>
      </c>
      <c r="K89" s="1698">
        <v>4</v>
      </c>
      <c r="L89" s="1698">
        <v>4</v>
      </c>
      <c r="M89" s="1698">
        <v>5</v>
      </c>
      <c r="N89" s="1698">
        <v>4</v>
      </c>
      <c r="O89" s="1698">
        <v>3</v>
      </c>
      <c r="P89" s="1698">
        <v>4</v>
      </c>
      <c r="Q89" s="1698">
        <v>4</v>
      </c>
      <c r="R89" s="1698">
        <v>3</v>
      </c>
      <c r="S89" s="1698">
        <v>2</v>
      </c>
      <c r="T89" s="1698"/>
      <c r="U89" s="1698"/>
      <c r="V89" s="1698"/>
      <c r="W89" s="1698"/>
      <c r="X89" s="1698"/>
      <c r="Y89" s="1698"/>
      <c r="Z89" s="3206"/>
      <c r="AA89" s="1698"/>
      <c r="AB89" s="1699"/>
      <c r="AC89" s="2241">
        <v>34439</v>
      </c>
    </row>
    <row r="90" spans="1:29" s="1029" customFormat="1" ht="12" customHeight="1">
      <c r="A90" s="1354"/>
      <c r="B90" s="2079" t="s">
        <v>1067</v>
      </c>
      <c r="C90" s="1842">
        <v>36</v>
      </c>
      <c r="D90" s="1843">
        <v>36</v>
      </c>
      <c r="E90" s="1843">
        <v>36</v>
      </c>
      <c r="F90" s="1843">
        <v>36</v>
      </c>
      <c r="G90" s="1843">
        <v>36</v>
      </c>
      <c r="H90" s="1843">
        <v>36</v>
      </c>
      <c r="I90" s="1844">
        <v>36</v>
      </c>
      <c r="J90" s="1845">
        <v>36</v>
      </c>
      <c r="K90" s="1845">
        <v>36</v>
      </c>
      <c r="L90" s="1845">
        <v>17</v>
      </c>
      <c r="M90" s="1845">
        <v>17</v>
      </c>
      <c r="N90" s="1845">
        <v>17</v>
      </c>
      <c r="O90" s="1845">
        <v>29</v>
      </c>
      <c r="P90" s="1845">
        <v>30</v>
      </c>
      <c r="Q90" s="1845">
        <v>33</v>
      </c>
      <c r="R90" s="1845">
        <v>18</v>
      </c>
      <c r="S90" s="1845">
        <v>17</v>
      </c>
      <c r="T90" s="1845">
        <v>17</v>
      </c>
      <c r="U90" s="1845"/>
      <c r="V90" s="1845">
        <v>34</v>
      </c>
      <c r="W90" s="1845">
        <v>36</v>
      </c>
      <c r="X90" s="1845">
        <v>36</v>
      </c>
      <c r="Y90" s="1845">
        <v>36</v>
      </c>
      <c r="Z90" s="3207">
        <v>36</v>
      </c>
      <c r="AA90" s="1845">
        <v>36</v>
      </c>
      <c r="AB90" s="1846">
        <v>36</v>
      </c>
      <c r="AC90" s="2241">
        <v>769538</v>
      </c>
    </row>
    <row r="91" spans="1:29" s="1029" customFormat="1" ht="12" customHeight="1">
      <c r="A91" s="1354"/>
      <c r="B91" s="2079" t="s">
        <v>1075</v>
      </c>
      <c r="C91" s="1854">
        <v>55</v>
      </c>
      <c r="D91" s="1855">
        <v>55</v>
      </c>
      <c r="E91" s="1855">
        <v>55</v>
      </c>
      <c r="F91" s="1855">
        <v>55</v>
      </c>
      <c r="G91" s="1855">
        <v>55</v>
      </c>
      <c r="H91" s="1855">
        <v>54</v>
      </c>
      <c r="I91" s="1856">
        <v>54</v>
      </c>
      <c r="J91" s="1857">
        <v>55</v>
      </c>
      <c r="K91" s="1857">
        <v>55</v>
      </c>
      <c r="L91" s="1857">
        <v>55</v>
      </c>
      <c r="M91" s="1857">
        <v>55</v>
      </c>
      <c r="N91" s="1857">
        <v>40</v>
      </c>
      <c r="O91" s="1857">
        <v>53</v>
      </c>
      <c r="P91" s="1857">
        <v>54</v>
      </c>
      <c r="Q91" s="1857">
        <v>55</v>
      </c>
      <c r="R91" s="1857">
        <v>55</v>
      </c>
      <c r="S91" s="1857">
        <v>55</v>
      </c>
      <c r="T91" s="1857">
        <v>72</v>
      </c>
      <c r="U91" s="1857"/>
      <c r="V91" s="1857">
        <v>72</v>
      </c>
      <c r="W91" s="1857">
        <v>73</v>
      </c>
      <c r="X91" s="1857">
        <v>75</v>
      </c>
      <c r="Y91" s="1857">
        <v>73</v>
      </c>
      <c r="Z91" s="3208">
        <v>74</v>
      </c>
      <c r="AA91" s="1857">
        <v>75</v>
      </c>
      <c r="AB91" s="1858">
        <v>57</v>
      </c>
      <c r="AC91" s="2241">
        <v>1441053</v>
      </c>
    </row>
    <row r="92" spans="1:29" s="1029" customFormat="1" ht="12" customHeight="1">
      <c r="A92" s="1354">
        <v>82</v>
      </c>
      <c r="B92" s="2081" t="s">
        <v>894</v>
      </c>
      <c r="C92" s="1359"/>
      <c r="D92" s="1360"/>
      <c r="E92" s="1360"/>
      <c r="F92" s="1360"/>
      <c r="G92" s="1360"/>
      <c r="H92" s="1360"/>
      <c r="I92" s="1641"/>
      <c r="J92" s="1361"/>
      <c r="K92" s="1361"/>
      <c r="L92" s="1361"/>
      <c r="M92" s="1361"/>
      <c r="N92" s="1361"/>
      <c r="O92" s="1361"/>
      <c r="P92" s="1361"/>
      <c r="Q92" s="1361"/>
      <c r="R92" s="1361"/>
      <c r="S92" s="1361"/>
      <c r="T92" s="1361"/>
      <c r="U92" s="1361"/>
      <c r="V92" s="1361"/>
      <c r="W92" s="1361"/>
      <c r="X92" s="1361"/>
      <c r="Y92" s="1361"/>
      <c r="Z92" s="3190"/>
      <c r="AA92" s="1361"/>
      <c r="AB92" s="1362"/>
      <c r="AC92" s="2242"/>
    </row>
    <row r="93" spans="1:29" s="1029" customFormat="1" ht="12" customHeight="1">
      <c r="A93" s="1350">
        <v>83</v>
      </c>
      <c r="B93" s="2082" t="s">
        <v>158</v>
      </c>
      <c r="C93" s="1363"/>
      <c r="D93" s="1364"/>
      <c r="E93" s="1364"/>
      <c r="F93" s="1364"/>
      <c r="G93" s="1364"/>
      <c r="H93" s="1364"/>
      <c r="I93" s="1641"/>
      <c r="J93" s="1365"/>
      <c r="K93" s="1365"/>
      <c r="L93" s="1365"/>
      <c r="M93" s="1365"/>
      <c r="N93" s="1365"/>
      <c r="O93" s="1365"/>
      <c r="P93" s="1365"/>
      <c r="Q93" s="1365"/>
      <c r="R93" s="1365"/>
      <c r="S93" s="1365"/>
      <c r="T93" s="1365"/>
      <c r="U93" s="1365"/>
      <c r="V93" s="1365"/>
      <c r="W93" s="1365"/>
      <c r="X93" s="1365"/>
      <c r="Y93" s="1365"/>
      <c r="Z93" s="3191"/>
      <c r="AA93" s="1365"/>
      <c r="AB93" s="1366"/>
      <c r="AC93" s="2243"/>
    </row>
    <row r="94" spans="1:29" s="1029" customFormat="1" ht="12" customHeight="1">
      <c r="A94" s="1354">
        <v>84</v>
      </c>
      <c r="B94" s="2077" t="s">
        <v>684</v>
      </c>
      <c r="C94" s="1367"/>
      <c r="D94" s="1368"/>
      <c r="E94" s="1368"/>
      <c r="F94" s="1368"/>
      <c r="G94" s="1368"/>
      <c r="H94" s="1368"/>
      <c r="I94" s="1642"/>
      <c r="J94" s="1368"/>
      <c r="K94" s="1368"/>
      <c r="L94" s="1368"/>
      <c r="M94" s="1368"/>
      <c r="N94" s="1368"/>
      <c r="O94" s="1368"/>
      <c r="P94" s="1368"/>
      <c r="Q94" s="1368"/>
      <c r="R94" s="1368"/>
      <c r="S94" s="1368"/>
      <c r="T94" s="1368"/>
      <c r="U94" s="1368"/>
      <c r="V94" s="1368"/>
      <c r="W94" s="1368"/>
      <c r="X94" s="1368"/>
      <c r="Y94" s="1368"/>
      <c r="Z94" s="3192"/>
      <c r="AA94" s="1368"/>
      <c r="AB94" s="1369"/>
      <c r="AC94" s="2244"/>
    </row>
    <row r="95" spans="1:29" s="1029" customFormat="1" ht="12" customHeight="1">
      <c r="A95" s="1350">
        <v>85</v>
      </c>
      <c r="B95" s="2078" t="s">
        <v>904</v>
      </c>
      <c r="C95" s="1370"/>
      <c r="D95" s="1371"/>
      <c r="E95" s="1371"/>
      <c r="F95" s="1371"/>
      <c r="G95" s="1371"/>
      <c r="H95" s="1371"/>
      <c r="I95" s="1644"/>
      <c r="J95" s="1371"/>
      <c r="K95" s="1371"/>
      <c r="L95" s="1371"/>
      <c r="M95" s="1371"/>
      <c r="N95" s="1371"/>
      <c r="O95" s="1371"/>
      <c r="P95" s="1371"/>
      <c r="Q95" s="1371"/>
      <c r="R95" s="1371"/>
      <c r="S95" s="1371"/>
      <c r="T95" s="1371"/>
      <c r="U95" s="1371"/>
      <c r="V95" s="1371"/>
      <c r="W95" s="1371"/>
      <c r="X95" s="1371"/>
      <c r="Y95" s="1371"/>
      <c r="Z95" s="3194"/>
      <c r="AA95" s="1371"/>
      <c r="AB95" s="1372"/>
      <c r="AC95" s="2246"/>
    </row>
    <row r="96" spans="1:29" s="1029" customFormat="1" ht="12" customHeight="1">
      <c r="A96" s="1354">
        <v>86</v>
      </c>
      <c r="B96" s="2079" t="s">
        <v>1219</v>
      </c>
      <c r="C96" s="1373"/>
      <c r="D96" s="1356"/>
      <c r="E96" s="1356"/>
      <c r="F96" s="1356"/>
      <c r="G96" s="1356"/>
      <c r="H96" s="1356"/>
      <c r="I96" s="1641"/>
      <c r="J96" s="1357"/>
      <c r="K96" s="1357"/>
      <c r="L96" s="1357"/>
      <c r="M96" s="1357"/>
      <c r="N96" s="1357"/>
      <c r="O96" s="1357"/>
      <c r="P96" s="1357"/>
      <c r="Q96" s="1357"/>
      <c r="R96" s="1357"/>
      <c r="S96" s="1357"/>
      <c r="T96" s="1357"/>
      <c r="U96" s="1357"/>
      <c r="V96" s="1357"/>
      <c r="W96" s="1357"/>
      <c r="X96" s="1357"/>
      <c r="Y96" s="1357"/>
      <c r="Z96" s="3189"/>
      <c r="AA96" s="1357"/>
      <c r="AB96" s="1358"/>
      <c r="AC96" s="2241"/>
    </row>
    <row r="97" spans="1:29" s="1029" customFormat="1" ht="12" customHeight="1">
      <c r="A97" s="1350">
        <v>87</v>
      </c>
      <c r="B97" s="2081" t="s">
        <v>893</v>
      </c>
      <c r="C97" s="1374">
        <v>7</v>
      </c>
      <c r="D97" s="1360">
        <v>8</v>
      </c>
      <c r="E97" s="1360">
        <v>7</v>
      </c>
      <c r="F97" s="1360">
        <v>8</v>
      </c>
      <c r="G97" s="1360">
        <v>7</v>
      </c>
      <c r="H97" s="1360">
        <v>7</v>
      </c>
      <c r="I97" s="1641">
        <v>8</v>
      </c>
      <c r="J97" s="1361">
        <v>8</v>
      </c>
      <c r="K97" s="1361">
        <v>7</v>
      </c>
      <c r="L97" s="1361">
        <v>7</v>
      </c>
      <c r="M97" s="1361">
        <v>7</v>
      </c>
      <c r="N97" s="1361">
        <v>6</v>
      </c>
      <c r="O97" s="1361">
        <v>23</v>
      </c>
      <c r="P97" s="1361">
        <v>50</v>
      </c>
      <c r="Q97" s="1361">
        <v>56</v>
      </c>
      <c r="R97" s="1361">
        <v>14</v>
      </c>
      <c r="S97" s="1361">
        <v>11</v>
      </c>
      <c r="T97" s="1361">
        <v>7</v>
      </c>
      <c r="U97" s="1361"/>
      <c r="V97" s="1361">
        <v>11</v>
      </c>
      <c r="W97" s="1361">
        <v>41</v>
      </c>
      <c r="X97" s="1361">
        <v>38</v>
      </c>
      <c r="Y97" s="1361">
        <v>48</v>
      </c>
      <c r="Z97" s="3190">
        <v>48</v>
      </c>
      <c r="AA97" s="1361">
        <v>48</v>
      </c>
      <c r="AB97" s="1362">
        <v>9</v>
      </c>
      <c r="AC97" s="2242">
        <v>463680</v>
      </c>
    </row>
    <row r="98" spans="1:29" s="1029" customFormat="1" ht="12" customHeight="1">
      <c r="A98" s="1354"/>
      <c r="B98" s="2081" t="s">
        <v>1168</v>
      </c>
      <c r="C98" s="2430">
        <v>17</v>
      </c>
      <c r="D98" s="2492">
        <v>17</v>
      </c>
      <c r="E98" s="2492">
        <v>0</v>
      </c>
      <c r="F98" s="2492"/>
      <c r="G98" s="2492">
        <v>0</v>
      </c>
      <c r="H98" s="2492">
        <v>5</v>
      </c>
      <c r="I98" s="2493">
        <v>18</v>
      </c>
      <c r="J98" s="2494">
        <v>17</v>
      </c>
      <c r="K98" s="2494">
        <v>17</v>
      </c>
      <c r="L98" s="2494">
        <v>17</v>
      </c>
      <c r="M98" s="2494">
        <v>17</v>
      </c>
      <c r="N98" s="2494">
        <v>17</v>
      </c>
      <c r="O98" s="2494">
        <v>31</v>
      </c>
      <c r="P98" s="2494">
        <v>51</v>
      </c>
      <c r="Q98" s="2494">
        <v>47</v>
      </c>
      <c r="R98" s="2494">
        <v>17</v>
      </c>
      <c r="S98" s="2494">
        <v>17</v>
      </c>
      <c r="T98" s="2494">
        <v>17</v>
      </c>
      <c r="U98" s="2494"/>
      <c r="V98" s="2494">
        <v>17</v>
      </c>
      <c r="W98" s="2494">
        <v>51</v>
      </c>
      <c r="X98" s="2494">
        <v>30</v>
      </c>
      <c r="Y98" s="2494">
        <v>52</v>
      </c>
      <c r="Z98" s="3209">
        <v>52</v>
      </c>
      <c r="AA98" s="2494">
        <v>50</v>
      </c>
      <c r="AB98" s="2434">
        <v>20</v>
      </c>
      <c r="AC98" s="2242">
        <v>554880</v>
      </c>
    </row>
    <row r="99" spans="1:29" s="1029" customFormat="1" ht="12" customHeight="1">
      <c r="A99" s="1354">
        <v>88</v>
      </c>
      <c r="B99" s="2082" t="s">
        <v>890</v>
      </c>
      <c r="C99" s="1375"/>
      <c r="D99" s="1364"/>
      <c r="E99" s="1364"/>
      <c r="F99" s="1364"/>
      <c r="G99" s="1364"/>
      <c r="H99" s="1364"/>
      <c r="I99" s="1641"/>
      <c r="J99" s="1365"/>
      <c r="K99" s="1365"/>
      <c r="L99" s="1365"/>
      <c r="M99" s="1365"/>
      <c r="N99" s="1365"/>
      <c r="O99" s="1365"/>
      <c r="P99" s="1365"/>
      <c r="Q99" s="1365"/>
      <c r="R99" s="1365"/>
      <c r="S99" s="1365"/>
      <c r="T99" s="1365"/>
      <c r="U99" s="1365"/>
      <c r="V99" s="1365"/>
      <c r="W99" s="1365"/>
      <c r="X99" s="1365"/>
      <c r="Y99" s="1365"/>
      <c r="Z99" s="3191"/>
      <c r="AA99" s="1365"/>
      <c r="AB99" s="1366"/>
      <c r="AC99" s="2243"/>
    </row>
    <row r="100" spans="1:29" s="1029" customFormat="1" ht="12" customHeight="1">
      <c r="A100" s="1354">
        <v>90</v>
      </c>
      <c r="B100" s="2078" t="s">
        <v>935</v>
      </c>
      <c r="C100" s="1370"/>
      <c r="D100" s="1371"/>
      <c r="E100" s="1371"/>
      <c r="F100" s="1371"/>
      <c r="G100" s="1371"/>
      <c r="H100" s="1371"/>
      <c r="I100" s="1644"/>
      <c r="J100" s="1371"/>
      <c r="K100" s="1371"/>
      <c r="L100" s="1371"/>
      <c r="M100" s="1371"/>
      <c r="N100" s="1371"/>
      <c r="O100" s="1371"/>
      <c r="P100" s="1371"/>
      <c r="Q100" s="1371"/>
      <c r="R100" s="1371"/>
      <c r="S100" s="1371"/>
      <c r="T100" s="1371"/>
      <c r="U100" s="1371"/>
      <c r="V100" s="1371"/>
      <c r="W100" s="1371"/>
      <c r="X100" s="1371"/>
      <c r="Y100" s="1371"/>
      <c r="Z100" s="3194"/>
      <c r="AA100" s="1371"/>
      <c r="AB100" s="1372"/>
      <c r="AC100" s="2246"/>
    </row>
    <row r="101" spans="1:29" s="1029" customFormat="1" ht="12" customHeight="1">
      <c r="A101" s="1350">
        <v>91</v>
      </c>
      <c r="B101" s="2079" t="s">
        <v>921</v>
      </c>
      <c r="C101" s="1379">
        <v>56</v>
      </c>
      <c r="D101" s="1357">
        <v>56</v>
      </c>
      <c r="E101" s="1357">
        <v>56</v>
      </c>
      <c r="F101" s="1357">
        <v>56</v>
      </c>
      <c r="G101" s="1357">
        <v>56</v>
      </c>
      <c r="H101" s="1357">
        <v>56</v>
      </c>
      <c r="I101" s="1646">
        <v>56</v>
      </c>
      <c r="J101" s="1357">
        <v>56</v>
      </c>
      <c r="K101" s="1357">
        <v>56</v>
      </c>
      <c r="L101" s="1357">
        <v>56</v>
      </c>
      <c r="M101" s="1357">
        <v>56</v>
      </c>
      <c r="N101" s="1357">
        <v>34</v>
      </c>
      <c r="O101" s="1357">
        <v>33</v>
      </c>
      <c r="P101" s="1357">
        <v>33</v>
      </c>
      <c r="Q101" s="1357">
        <v>33</v>
      </c>
      <c r="R101" s="1357">
        <v>33</v>
      </c>
      <c r="S101" s="1357">
        <v>33</v>
      </c>
      <c r="T101" s="1357">
        <v>33</v>
      </c>
      <c r="U101" s="1357"/>
      <c r="V101" s="1357">
        <v>33</v>
      </c>
      <c r="W101" s="1357">
        <v>33</v>
      </c>
      <c r="X101" s="1357">
        <v>33</v>
      </c>
      <c r="Y101" s="1357">
        <v>33</v>
      </c>
      <c r="Z101" s="3189">
        <v>33</v>
      </c>
      <c r="AA101" s="1357">
        <v>33</v>
      </c>
      <c r="AB101" s="1358">
        <v>33</v>
      </c>
      <c r="AC101" s="2248">
        <v>1039320</v>
      </c>
    </row>
    <row r="102" spans="1:29" s="1029" customFormat="1" ht="12" customHeight="1">
      <c r="A102" s="1354">
        <v>92</v>
      </c>
      <c r="B102" s="2081" t="s">
        <v>950</v>
      </c>
      <c r="C102" s="1384">
        <v>48</v>
      </c>
      <c r="D102" s="1385">
        <v>49</v>
      </c>
      <c r="E102" s="1385">
        <v>49</v>
      </c>
      <c r="F102" s="1385">
        <v>30</v>
      </c>
      <c r="G102" s="1385">
        <v>30</v>
      </c>
      <c r="H102" s="1385">
        <v>30</v>
      </c>
      <c r="I102" s="1648">
        <v>30</v>
      </c>
      <c r="J102" s="1386">
        <v>30</v>
      </c>
      <c r="K102" s="1386">
        <v>30</v>
      </c>
      <c r="L102" s="1386">
        <v>30</v>
      </c>
      <c r="M102" s="1386">
        <v>30</v>
      </c>
      <c r="N102" s="1386">
        <v>30</v>
      </c>
      <c r="O102" s="1386">
        <v>30</v>
      </c>
      <c r="P102" s="1386">
        <v>30</v>
      </c>
      <c r="Q102" s="1386">
        <v>30</v>
      </c>
      <c r="R102" s="1386">
        <v>30</v>
      </c>
      <c r="S102" s="1386">
        <v>30</v>
      </c>
      <c r="T102" s="1386">
        <v>30</v>
      </c>
      <c r="U102" s="1386"/>
      <c r="V102" s="1386">
        <v>40</v>
      </c>
      <c r="W102" s="1386">
        <v>47</v>
      </c>
      <c r="X102" s="1386">
        <v>48</v>
      </c>
      <c r="Y102" s="1386">
        <v>48</v>
      </c>
      <c r="Z102" s="3198">
        <v>48</v>
      </c>
      <c r="AA102" s="1386">
        <v>48</v>
      </c>
      <c r="AB102" s="1387">
        <v>48</v>
      </c>
      <c r="AC102" s="2251">
        <v>925488</v>
      </c>
    </row>
    <row r="103" spans="1:29" s="1029" customFormat="1" ht="12" customHeight="1">
      <c r="A103" s="1350">
        <v>93</v>
      </c>
      <c r="B103" s="2082" t="s">
        <v>936</v>
      </c>
      <c r="C103" s="1363">
        <v>51</v>
      </c>
      <c r="D103" s="1364">
        <v>51</v>
      </c>
      <c r="E103" s="1364">
        <v>51</v>
      </c>
      <c r="F103" s="1364">
        <v>51</v>
      </c>
      <c r="G103" s="1364">
        <v>51</v>
      </c>
      <c r="H103" s="1364">
        <v>51</v>
      </c>
      <c r="I103" s="1641">
        <v>51</v>
      </c>
      <c r="J103" s="1365">
        <v>51</v>
      </c>
      <c r="K103" s="1365">
        <v>51</v>
      </c>
      <c r="L103" s="1365">
        <v>43</v>
      </c>
      <c r="M103" s="1365">
        <v>43</v>
      </c>
      <c r="N103" s="1365">
        <v>43</v>
      </c>
      <c r="O103" s="1365">
        <v>43</v>
      </c>
      <c r="P103" s="1365">
        <v>43</v>
      </c>
      <c r="Q103" s="1365">
        <v>43</v>
      </c>
      <c r="R103" s="1365">
        <v>51</v>
      </c>
      <c r="S103" s="1365">
        <v>51</v>
      </c>
      <c r="T103" s="1365">
        <v>51</v>
      </c>
      <c r="U103" s="1365"/>
      <c r="V103" s="1365">
        <v>51</v>
      </c>
      <c r="W103" s="1365">
        <v>51</v>
      </c>
      <c r="X103" s="1365">
        <v>51</v>
      </c>
      <c r="Y103" s="1365">
        <v>51</v>
      </c>
      <c r="Z103" s="3191">
        <v>51</v>
      </c>
      <c r="AA103" s="1365">
        <v>51</v>
      </c>
      <c r="AB103" s="1366">
        <v>51</v>
      </c>
      <c r="AC103" s="2243">
        <v>1156134</v>
      </c>
    </row>
    <row r="104" spans="1:29" s="1029" customFormat="1" ht="12" customHeight="1">
      <c r="A104" s="1354">
        <v>94</v>
      </c>
      <c r="B104" s="2077" t="s">
        <v>905</v>
      </c>
      <c r="C104" s="1394">
        <v>8</v>
      </c>
      <c r="D104" s="1395">
        <v>8</v>
      </c>
      <c r="E104" s="1395">
        <v>8</v>
      </c>
      <c r="F104" s="1395">
        <v>8</v>
      </c>
      <c r="G104" s="1395">
        <v>8</v>
      </c>
      <c r="H104" s="1395">
        <v>8</v>
      </c>
      <c r="I104" s="1651">
        <v>8</v>
      </c>
      <c r="J104" s="1368">
        <v>8</v>
      </c>
      <c r="K104" s="1368">
        <v>8</v>
      </c>
      <c r="L104" s="1368">
        <v>8</v>
      </c>
      <c r="M104" s="1368">
        <v>8</v>
      </c>
      <c r="N104" s="1368">
        <v>8</v>
      </c>
      <c r="O104" s="1368">
        <v>16</v>
      </c>
      <c r="P104" s="1368">
        <v>50</v>
      </c>
      <c r="Q104" s="1368">
        <v>50</v>
      </c>
      <c r="R104" s="1368">
        <v>8</v>
      </c>
      <c r="S104" s="1368">
        <v>8</v>
      </c>
      <c r="T104" s="1368">
        <v>8</v>
      </c>
      <c r="U104" s="1368"/>
      <c r="V104" s="1368">
        <v>8</v>
      </c>
      <c r="W104" s="1368">
        <v>42</v>
      </c>
      <c r="X104" s="1368">
        <v>50</v>
      </c>
      <c r="Y104" s="1368">
        <v>50</v>
      </c>
      <c r="Z104" s="3192">
        <v>50</v>
      </c>
      <c r="AA104" s="1368">
        <v>50</v>
      </c>
      <c r="AB104" s="1369">
        <v>8</v>
      </c>
      <c r="AC104" s="2255">
        <v>459216</v>
      </c>
    </row>
    <row r="105" spans="1:29" s="1029" customFormat="1" ht="12" customHeight="1">
      <c r="A105" s="1350">
        <v>95</v>
      </c>
      <c r="B105" s="2078" t="s">
        <v>923</v>
      </c>
      <c r="C105" s="1370">
        <v>25</v>
      </c>
      <c r="D105" s="1371">
        <v>25</v>
      </c>
      <c r="E105" s="1371">
        <v>25</v>
      </c>
      <c r="F105" s="1371">
        <v>25</v>
      </c>
      <c r="G105" s="1371">
        <v>25</v>
      </c>
      <c r="H105" s="1371">
        <v>25</v>
      </c>
      <c r="I105" s="1644">
        <v>25</v>
      </c>
      <c r="J105" s="1371">
        <v>25</v>
      </c>
      <c r="K105" s="1371">
        <v>25</v>
      </c>
      <c r="L105" s="1371">
        <v>25</v>
      </c>
      <c r="M105" s="1371">
        <v>25</v>
      </c>
      <c r="N105" s="1371">
        <v>25</v>
      </c>
      <c r="O105" s="1371">
        <v>25</v>
      </c>
      <c r="P105" s="1371">
        <v>25</v>
      </c>
      <c r="Q105" s="1371">
        <v>25</v>
      </c>
      <c r="R105" s="1371">
        <v>25</v>
      </c>
      <c r="S105" s="1371">
        <v>25</v>
      </c>
      <c r="T105" s="1371">
        <v>25</v>
      </c>
      <c r="U105" s="1371"/>
      <c r="V105" s="1371">
        <v>25</v>
      </c>
      <c r="W105" s="1371">
        <v>25</v>
      </c>
      <c r="X105" s="1371">
        <v>25</v>
      </c>
      <c r="Y105" s="1371">
        <v>25</v>
      </c>
      <c r="Z105" s="3194">
        <v>25</v>
      </c>
      <c r="AA105" s="1371">
        <v>25</v>
      </c>
      <c r="AB105" s="1372">
        <v>25</v>
      </c>
      <c r="AC105" s="2246">
        <v>605760</v>
      </c>
    </row>
    <row r="106" spans="1:29" s="1029" customFormat="1" ht="12" customHeight="1">
      <c r="A106" s="1354">
        <v>96</v>
      </c>
      <c r="B106" s="2079" t="s">
        <v>922</v>
      </c>
      <c r="C106" s="1355">
        <v>11</v>
      </c>
      <c r="D106" s="1356">
        <v>11</v>
      </c>
      <c r="E106" s="1356">
        <v>11</v>
      </c>
      <c r="F106" s="1356">
        <v>11</v>
      </c>
      <c r="G106" s="1356">
        <v>11</v>
      </c>
      <c r="H106" s="1356">
        <v>11</v>
      </c>
      <c r="I106" s="1641">
        <v>11</v>
      </c>
      <c r="J106" s="1357">
        <v>12</v>
      </c>
      <c r="K106" s="1357">
        <v>12</v>
      </c>
      <c r="L106" s="1357">
        <v>12</v>
      </c>
      <c r="M106" s="1357">
        <v>12</v>
      </c>
      <c r="N106" s="1357">
        <v>12</v>
      </c>
      <c r="O106" s="1357">
        <v>15</v>
      </c>
      <c r="P106" s="1357">
        <v>13</v>
      </c>
      <c r="Q106" s="1357">
        <v>15</v>
      </c>
      <c r="R106" s="1357">
        <v>18</v>
      </c>
      <c r="S106" s="1357">
        <v>15</v>
      </c>
      <c r="T106" s="1357">
        <v>51</v>
      </c>
      <c r="U106" s="1357"/>
      <c r="V106" s="1357">
        <v>80</v>
      </c>
      <c r="W106" s="1357">
        <v>76</v>
      </c>
      <c r="X106" s="1357">
        <v>75</v>
      </c>
      <c r="Y106" s="1357">
        <v>80</v>
      </c>
      <c r="Z106" s="3189">
        <v>80</v>
      </c>
      <c r="AA106" s="1357">
        <v>44</v>
      </c>
      <c r="AB106" s="1358">
        <v>11</v>
      </c>
      <c r="AC106" s="2241">
        <v>650880</v>
      </c>
    </row>
    <row r="107" spans="1:29" s="1029" customFormat="1" ht="12" customHeight="1">
      <c r="A107" s="1350">
        <v>97</v>
      </c>
      <c r="B107" s="2081" t="s">
        <v>1173</v>
      </c>
      <c r="C107" s="1359"/>
      <c r="D107" s="1360"/>
      <c r="E107" s="1360"/>
      <c r="F107" s="1360"/>
      <c r="G107" s="1360"/>
      <c r="H107" s="1360"/>
      <c r="I107" s="1641"/>
      <c r="J107" s="1361"/>
      <c r="K107" s="1361"/>
      <c r="L107" s="1361"/>
      <c r="M107" s="1361"/>
      <c r="N107" s="1361"/>
      <c r="O107" s="1361"/>
      <c r="P107" s="1361"/>
      <c r="Q107" s="1361"/>
      <c r="R107" s="1361"/>
      <c r="S107" s="1361"/>
      <c r="T107" s="1361"/>
      <c r="U107" s="1361"/>
      <c r="V107" s="1361"/>
      <c r="W107" s="1361"/>
      <c r="X107" s="1361"/>
      <c r="Y107" s="1361"/>
      <c r="Z107" s="3190"/>
      <c r="AA107" s="1361"/>
      <c r="AB107" s="1362"/>
      <c r="AC107" s="2242">
        <v>0</v>
      </c>
    </row>
    <row r="108" spans="1:29" s="1029" customFormat="1" ht="12" customHeight="1">
      <c r="A108" s="1354">
        <v>98</v>
      </c>
      <c r="B108" s="2082" t="s">
        <v>901</v>
      </c>
      <c r="C108" s="1363"/>
      <c r="D108" s="1364"/>
      <c r="E108" s="1364"/>
      <c r="F108" s="1364"/>
      <c r="G108" s="1364"/>
      <c r="H108" s="1364"/>
      <c r="I108" s="1641"/>
      <c r="J108" s="1365"/>
      <c r="K108" s="1365"/>
      <c r="L108" s="1365"/>
      <c r="M108" s="1365"/>
      <c r="N108" s="1365"/>
      <c r="O108" s="1365"/>
      <c r="P108" s="1365"/>
      <c r="Q108" s="1365"/>
      <c r="R108" s="1365"/>
      <c r="S108" s="1365"/>
      <c r="T108" s="1365"/>
      <c r="U108" s="1365"/>
      <c r="V108" s="1365"/>
      <c r="W108" s="1365"/>
      <c r="X108" s="1365"/>
      <c r="Y108" s="1365"/>
      <c r="Z108" s="3191"/>
      <c r="AA108" s="1365"/>
      <c r="AB108" s="1366"/>
      <c r="AC108" s="2243"/>
    </row>
    <row r="109" spans="1:29" s="1029" customFormat="1" ht="12" customHeight="1">
      <c r="A109" s="1350">
        <v>99</v>
      </c>
      <c r="B109" s="2077" t="s">
        <v>895</v>
      </c>
      <c r="C109" s="1367">
        <v>30</v>
      </c>
      <c r="D109" s="1368">
        <v>30</v>
      </c>
      <c r="E109" s="1368">
        <v>30</v>
      </c>
      <c r="F109" s="1368">
        <v>30</v>
      </c>
      <c r="G109" s="1368">
        <v>30</v>
      </c>
      <c r="H109" s="1368">
        <v>30</v>
      </c>
      <c r="I109" s="1642">
        <v>30</v>
      </c>
      <c r="J109" s="1368">
        <v>30</v>
      </c>
      <c r="K109" s="1368">
        <v>30</v>
      </c>
      <c r="L109" s="1368">
        <v>30</v>
      </c>
      <c r="M109" s="1368">
        <v>30</v>
      </c>
      <c r="N109" s="1368">
        <v>30</v>
      </c>
      <c r="O109" s="1368">
        <v>30</v>
      </c>
      <c r="P109" s="1368">
        <v>30</v>
      </c>
      <c r="Q109" s="1368">
        <v>30</v>
      </c>
      <c r="R109" s="1368">
        <v>30</v>
      </c>
      <c r="S109" s="1368">
        <v>30</v>
      </c>
      <c r="T109" s="1368">
        <v>30</v>
      </c>
      <c r="U109" s="1368"/>
      <c r="V109" s="1368">
        <v>30</v>
      </c>
      <c r="W109" s="1368">
        <v>30</v>
      </c>
      <c r="X109" s="1368">
        <v>30</v>
      </c>
      <c r="Y109" s="1368">
        <v>30</v>
      </c>
      <c r="Z109" s="3192">
        <v>30</v>
      </c>
      <c r="AA109" s="1368">
        <v>30</v>
      </c>
      <c r="AB109" s="1369">
        <v>30</v>
      </c>
      <c r="AC109" s="2244">
        <v>751006</v>
      </c>
    </row>
    <row r="110" spans="1:29" s="1029" customFormat="1" ht="12" customHeight="1">
      <c r="A110" s="1354">
        <v>100</v>
      </c>
      <c r="B110" s="2078" t="s">
        <v>902</v>
      </c>
      <c r="C110" s="1370">
        <v>55</v>
      </c>
      <c r="D110" s="1371">
        <v>55</v>
      </c>
      <c r="E110" s="1371">
        <v>55</v>
      </c>
      <c r="F110" s="1371">
        <v>55</v>
      </c>
      <c r="G110" s="1371">
        <v>55</v>
      </c>
      <c r="H110" s="1371">
        <v>55</v>
      </c>
      <c r="I110" s="1644">
        <v>55</v>
      </c>
      <c r="J110" s="1371">
        <v>55</v>
      </c>
      <c r="K110" s="1371">
        <v>55</v>
      </c>
      <c r="L110" s="1371">
        <v>55</v>
      </c>
      <c r="M110" s="1371">
        <v>55</v>
      </c>
      <c r="N110" s="1371">
        <v>55</v>
      </c>
      <c r="O110" s="1371">
        <v>55</v>
      </c>
      <c r="P110" s="1371">
        <v>55</v>
      </c>
      <c r="Q110" s="1371">
        <v>55</v>
      </c>
      <c r="R110" s="1371">
        <v>55</v>
      </c>
      <c r="S110" s="1371">
        <v>55</v>
      </c>
      <c r="T110" s="1371">
        <v>55</v>
      </c>
      <c r="U110" s="1371"/>
      <c r="V110" s="1371">
        <v>55</v>
      </c>
      <c r="W110" s="1371">
        <v>55</v>
      </c>
      <c r="X110" s="1371">
        <v>55</v>
      </c>
      <c r="Y110" s="1371">
        <v>55</v>
      </c>
      <c r="Z110" s="3194">
        <v>55</v>
      </c>
      <c r="AA110" s="1371">
        <v>55</v>
      </c>
      <c r="AB110" s="1372">
        <v>55</v>
      </c>
      <c r="AC110" s="496">
        <v>1308761</v>
      </c>
    </row>
    <row r="111" spans="1:29" s="1029" customFormat="1" ht="12" customHeight="1">
      <c r="A111" s="1350">
        <v>101</v>
      </c>
      <c r="B111" s="2084" t="s">
        <v>951</v>
      </c>
      <c r="C111" s="1373">
        <v>110</v>
      </c>
      <c r="D111" s="1356">
        <v>110</v>
      </c>
      <c r="E111" s="1356">
        <v>110</v>
      </c>
      <c r="F111" s="1356">
        <v>110</v>
      </c>
      <c r="G111" s="1356">
        <v>110</v>
      </c>
      <c r="H111" s="1356">
        <v>110</v>
      </c>
      <c r="I111" s="1641">
        <v>110</v>
      </c>
      <c r="J111" s="1357">
        <v>110</v>
      </c>
      <c r="K111" s="1357">
        <v>110</v>
      </c>
      <c r="L111" s="1357">
        <v>110</v>
      </c>
      <c r="M111" s="1357">
        <v>110</v>
      </c>
      <c r="N111" s="1357">
        <v>110</v>
      </c>
      <c r="O111" s="1357">
        <v>110</v>
      </c>
      <c r="P111" s="1357">
        <v>110</v>
      </c>
      <c r="Q111" s="1357">
        <v>110</v>
      </c>
      <c r="R111" s="1357">
        <v>110</v>
      </c>
      <c r="S111" s="1357">
        <v>110</v>
      </c>
      <c r="T111" s="1357">
        <v>110</v>
      </c>
      <c r="U111" s="1357"/>
      <c r="V111" s="1357">
        <v>110</v>
      </c>
      <c r="W111" s="1357">
        <v>110</v>
      </c>
      <c r="X111" s="1357">
        <v>110</v>
      </c>
      <c r="Y111" s="1357">
        <v>110</v>
      </c>
      <c r="Z111" s="3189">
        <v>110</v>
      </c>
      <c r="AA111" s="1357">
        <v>110</v>
      </c>
      <c r="AB111" s="1358">
        <v>110</v>
      </c>
      <c r="AC111" s="2241">
        <v>2542336</v>
      </c>
    </row>
    <row r="112" spans="1:29" s="1029" customFormat="1" ht="12" customHeight="1">
      <c r="A112" s="1354">
        <v>102</v>
      </c>
      <c r="B112" s="2085" t="s">
        <v>946</v>
      </c>
      <c r="C112" s="1374"/>
      <c r="D112" s="1360"/>
      <c r="E112" s="1360"/>
      <c r="F112" s="1360"/>
      <c r="G112" s="1360"/>
      <c r="H112" s="1360">
        <v>0</v>
      </c>
      <c r="I112" s="1641">
        <v>0</v>
      </c>
      <c r="J112" s="1361">
        <v>1</v>
      </c>
      <c r="K112" s="1361">
        <v>2</v>
      </c>
      <c r="L112" s="1361">
        <v>2</v>
      </c>
      <c r="M112" s="1361">
        <v>1</v>
      </c>
      <c r="N112" s="1361">
        <v>2</v>
      </c>
      <c r="O112" s="1361">
        <v>3</v>
      </c>
      <c r="P112" s="1361">
        <v>2</v>
      </c>
      <c r="Q112" s="1361">
        <v>2</v>
      </c>
      <c r="R112" s="1361">
        <v>1</v>
      </c>
      <c r="S112" s="1361">
        <v>0</v>
      </c>
      <c r="T112" s="1361">
        <v>0</v>
      </c>
      <c r="U112" s="1361"/>
      <c r="V112" s="1361"/>
      <c r="W112" s="1361"/>
      <c r="X112" s="1361"/>
      <c r="Y112" s="1361"/>
      <c r="Z112" s="3190"/>
      <c r="AA112" s="1361"/>
      <c r="AB112" s="1362"/>
      <c r="AC112" s="2242">
        <v>16000</v>
      </c>
    </row>
    <row r="113" spans="1:29" s="1029" customFormat="1" ht="12" customHeight="1">
      <c r="A113" s="1350">
        <v>103</v>
      </c>
      <c r="B113" s="2086" t="s">
        <v>1018</v>
      </c>
      <c r="C113" s="1375">
        <v>35</v>
      </c>
      <c r="D113" s="1364">
        <v>35</v>
      </c>
      <c r="E113" s="1364">
        <v>35</v>
      </c>
      <c r="F113" s="1364">
        <v>35</v>
      </c>
      <c r="G113" s="1364">
        <v>35</v>
      </c>
      <c r="H113" s="1364">
        <v>35</v>
      </c>
      <c r="I113" s="1641">
        <v>35</v>
      </c>
      <c r="J113" s="1365">
        <v>35</v>
      </c>
      <c r="K113" s="1365">
        <v>35</v>
      </c>
      <c r="L113" s="1365">
        <v>17</v>
      </c>
      <c r="M113" s="1365">
        <v>17</v>
      </c>
      <c r="N113" s="1365">
        <v>17</v>
      </c>
      <c r="O113" s="1365">
        <v>17</v>
      </c>
      <c r="P113" s="1365">
        <v>17</v>
      </c>
      <c r="Q113" s="1365">
        <v>35</v>
      </c>
      <c r="R113" s="1365">
        <v>35</v>
      </c>
      <c r="S113" s="1365">
        <v>54</v>
      </c>
      <c r="T113" s="1365">
        <v>54</v>
      </c>
      <c r="U113" s="1365"/>
      <c r="V113" s="1365">
        <v>54</v>
      </c>
      <c r="W113" s="1365">
        <v>54</v>
      </c>
      <c r="X113" s="1365">
        <v>54</v>
      </c>
      <c r="Y113" s="1365">
        <v>54</v>
      </c>
      <c r="Z113" s="3191">
        <v>54</v>
      </c>
      <c r="AA113" s="1365">
        <v>54</v>
      </c>
      <c r="AB113" s="1366">
        <v>54</v>
      </c>
      <c r="AC113" s="2243">
        <v>894600</v>
      </c>
    </row>
    <row r="114" spans="1:29" s="1029" customFormat="1" ht="12" customHeight="1">
      <c r="A114" s="1354">
        <v>104</v>
      </c>
      <c r="B114" s="2087" t="s">
        <v>965</v>
      </c>
      <c r="C114" s="1367"/>
      <c r="D114" s="1368"/>
      <c r="E114" s="1368"/>
      <c r="F114" s="1368"/>
      <c r="G114" s="1368"/>
      <c r="H114" s="1368"/>
      <c r="I114" s="1642"/>
      <c r="J114" s="1368"/>
      <c r="K114" s="1368"/>
      <c r="L114" s="1368"/>
      <c r="M114" s="1368"/>
      <c r="N114" s="1368"/>
      <c r="O114" s="1368"/>
      <c r="P114" s="1368"/>
      <c r="Q114" s="1368">
        <v>100</v>
      </c>
      <c r="R114" s="1368">
        <v>102</v>
      </c>
      <c r="S114" s="1368">
        <v>153</v>
      </c>
      <c r="T114" s="1368">
        <v>101</v>
      </c>
      <c r="U114" s="1368"/>
      <c r="V114" s="1368">
        <v>241</v>
      </c>
      <c r="W114" s="1368">
        <v>200</v>
      </c>
      <c r="X114" s="1368">
        <v>198</v>
      </c>
      <c r="Y114" s="1368">
        <v>284</v>
      </c>
      <c r="Z114" s="3192">
        <v>292</v>
      </c>
      <c r="AA114" s="1368">
        <v>297</v>
      </c>
      <c r="AB114" s="1369">
        <v>277</v>
      </c>
      <c r="AC114" s="2244">
        <v>1815668</v>
      </c>
    </row>
    <row r="115" spans="1:29" s="1029" customFormat="1" ht="12" customHeight="1">
      <c r="A115" s="1350">
        <v>105</v>
      </c>
      <c r="B115" s="2088" t="s">
        <v>966</v>
      </c>
      <c r="C115" s="1370"/>
      <c r="D115" s="1371"/>
      <c r="E115" s="1371"/>
      <c r="F115" s="1371"/>
      <c r="G115" s="1371"/>
      <c r="H115" s="1371"/>
      <c r="I115" s="1644"/>
      <c r="J115" s="1371"/>
      <c r="K115" s="1371"/>
      <c r="L115" s="1371"/>
      <c r="M115" s="1371"/>
      <c r="N115" s="1371"/>
      <c r="O115" s="1371"/>
      <c r="P115" s="1371"/>
      <c r="Q115" s="1371"/>
      <c r="R115" s="1371">
        <v>88</v>
      </c>
      <c r="S115" s="1371">
        <v>94</v>
      </c>
      <c r="T115" s="1371">
        <v>95</v>
      </c>
      <c r="U115" s="1371"/>
      <c r="V115" s="1371">
        <v>98</v>
      </c>
      <c r="W115" s="1371">
        <v>60</v>
      </c>
      <c r="X115" s="1371">
        <v>60</v>
      </c>
      <c r="Y115" s="1371">
        <v>96</v>
      </c>
      <c r="Z115" s="3194">
        <v>50</v>
      </c>
      <c r="AA115" s="1371">
        <v>95</v>
      </c>
      <c r="AB115" s="1372">
        <v>95</v>
      </c>
      <c r="AC115" s="2246">
        <v>686089</v>
      </c>
    </row>
    <row r="116" spans="1:29" s="1029" customFormat="1" ht="12" customHeight="1">
      <c r="A116" s="1354">
        <v>106</v>
      </c>
      <c r="B116" s="2084" t="s">
        <v>1027</v>
      </c>
      <c r="C116" s="1379">
        <v>48</v>
      </c>
      <c r="D116" s="1357">
        <v>48</v>
      </c>
      <c r="E116" s="1357">
        <v>48</v>
      </c>
      <c r="F116" s="1357">
        <v>48</v>
      </c>
      <c r="G116" s="1357">
        <v>48</v>
      </c>
      <c r="H116" s="1357">
        <v>48</v>
      </c>
      <c r="I116" s="1646">
        <v>48</v>
      </c>
      <c r="J116" s="1357">
        <v>48</v>
      </c>
      <c r="K116" s="1357">
        <v>48</v>
      </c>
      <c r="L116" s="1357">
        <v>48</v>
      </c>
      <c r="M116" s="1357">
        <v>48</v>
      </c>
      <c r="N116" s="1357">
        <v>48</v>
      </c>
      <c r="O116" s="1357">
        <v>47</v>
      </c>
      <c r="P116" s="1357">
        <v>47</v>
      </c>
      <c r="Q116" s="1357">
        <v>46</v>
      </c>
      <c r="R116" s="1357">
        <v>46</v>
      </c>
      <c r="S116" s="1357">
        <v>47</v>
      </c>
      <c r="T116" s="1357">
        <v>167</v>
      </c>
      <c r="U116" s="1357"/>
      <c r="V116" s="1357">
        <v>151</v>
      </c>
      <c r="W116" s="1357">
        <v>151</v>
      </c>
      <c r="X116" s="1357">
        <v>152</v>
      </c>
      <c r="Y116" s="1357">
        <v>154</v>
      </c>
      <c r="Z116" s="3189">
        <v>181</v>
      </c>
      <c r="AA116" s="1357">
        <v>180</v>
      </c>
      <c r="AB116" s="1358">
        <v>47</v>
      </c>
      <c r="AC116" s="2248">
        <v>1812000</v>
      </c>
    </row>
    <row r="117" spans="1:29" s="1029" customFormat="1" ht="12" customHeight="1">
      <c r="A117" s="1354">
        <v>112</v>
      </c>
      <c r="B117" s="2085" t="s">
        <v>967</v>
      </c>
      <c r="C117" s="1384"/>
      <c r="D117" s="1385"/>
      <c r="E117" s="1385"/>
      <c r="F117" s="1385"/>
      <c r="G117" s="1385"/>
      <c r="H117" s="1385"/>
      <c r="I117" s="1648"/>
      <c r="J117" s="1386"/>
      <c r="K117" s="1386"/>
      <c r="L117" s="1386"/>
      <c r="M117" s="1386"/>
      <c r="N117" s="1386"/>
      <c r="O117" s="1386"/>
      <c r="P117" s="1386"/>
      <c r="Q117" s="1386"/>
      <c r="R117" s="1386">
        <v>95</v>
      </c>
      <c r="S117" s="1386">
        <v>98</v>
      </c>
      <c r="T117" s="1386">
        <v>98</v>
      </c>
      <c r="U117" s="1386"/>
      <c r="V117" s="1386">
        <v>98</v>
      </c>
      <c r="W117" s="1386">
        <v>51</v>
      </c>
      <c r="X117" s="1386">
        <v>50</v>
      </c>
      <c r="Y117" s="1386">
        <v>100</v>
      </c>
      <c r="Z117" s="3198">
        <v>50</v>
      </c>
      <c r="AA117" s="1386">
        <v>99</v>
      </c>
      <c r="AB117" s="1387">
        <v>99</v>
      </c>
      <c r="AC117" s="2251">
        <v>705761</v>
      </c>
    </row>
    <row r="118" spans="1:29" s="1029" customFormat="1" ht="12" customHeight="1">
      <c r="A118" s="1354">
        <v>114</v>
      </c>
      <c r="B118" s="2087" t="s">
        <v>968</v>
      </c>
      <c r="C118" s="1394">
        <v>136</v>
      </c>
      <c r="D118" s="1395">
        <v>99</v>
      </c>
      <c r="E118" s="1395">
        <v>99</v>
      </c>
      <c r="F118" s="1395">
        <v>99</v>
      </c>
      <c r="G118" s="1395">
        <v>99</v>
      </c>
      <c r="H118" s="1395">
        <v>99</v>
      </c>
      <c r="I118" s="1651">
        <v>99</v>
      </c>
      <c r="J118" s="1368">
        <v>99</v>
      </c>
      <c r="K118" s="1368">
        <v>97</v>
      </c>
      <c r="L118" s="1368">
        <v>99</v>
      </c>
      <c r="M118" s="1368">
        <v>99</v>
      </c>
      <c r="N118" s="1368">
        <v>99</v>
      </c>
      <c r="O118" s="1368">
        <v>99</v>
      </c>
      <c r="P118" s="1368">
        <v>99</v>
      </c>
      <c r="Q118" s="1368">
        <v>98</v>
      </c>
      <c r="R118" s="1368">
        <v>98</v>
      </c>
      <c r="S118" s="1368">
        <v>141</v>
      </c>
      <c r="T118" s="1368">
        <v>149</v>
      </c>
      <c r="U118" s="1368"/>
      <c r="V118" s="1368">
        <v>149</v>
      </c>
      <c r="W118" s="1368">
        <v>149</v>
      </c>
      <c r="X118" s="1368">
        <v>149</v>
      </c>
      <c r="Y118" s="1368">
        <v>149</v>
      </c>
      <c r="Z118" s="3192">
        <v>149</v>
      </c>
      <c r="AA118" s="1368">
        <v>134</v>
      </c>
      <c r="AB118" s="1369">
        <v>118</v>
      </c>
      <c r="AC118" s="2255">
        <v>2784960</v>
      </c>
    </row>
    <row r="119" spans="1:29" s="1029" customFormat="1" ht="12" customHeight="1">
      <c r="A119" s="1350">
        <v>115</v>
      </c>
      <c r="B119" s="2088" t="s">
        <v>970</v>
      </c>
      <c r="C119" s="1370">
        <v>30</v>
      </c>
      <c r="D119" s="1371">
        <v>20</v>
      </c>
      <c r="E119" s="1371">
        <v>21</v>
      </c>
      <c r="F119" s="1371">
        <v>21</v>
      </c>
      <c r="G119" s="1371">
        <v>21</v>
      </c>
      <c r="H119" s="1371">
        <v>21</v>
      </c>
      <c r="I119" s="1644">
        <v>21</v>
      </c>
      <c r="J119" s="1371">
        <v>21</v>
      </c>
      <c r="K119" s="1371">
        <v>21</v>
      </c>
      <c r="L119" s="1371">
        <v>21</v>
      </c>
      <c r="M119" s="1371">
        <v>21</v>
      </c>
      <c r="N119" s="1371">
        <v>21</v>
      </c>
      <c r="O119" s="1371">
        <v>76</v>
      </c>
      <c r="P119" s="1371">
        <v>70</v>
      </c>
      <c r="Q119" s="1371">
        <v>76</v>
      </c>
      <c r="R119" s="1371">
        <v>21</v>
      </c>
      <c r="S119" s="1371">
        <v>21</v>
      </c>
      <c r="T119" s="1371">
        <v>21</v>
      </c>
      <c r="U119" s="1371"/>
      <c r="V119" s="1371">
        <v>90</v>
      </c>
      <c r="W119" s="1371">
        <v>90</v>
      </c>
      <c r="X119" s="1371">
        <v>90</v>
      </c>
      <c r="Y119" s="1371">
        <v>90</v>
      </c>
      <c r="Z119" s="3194">
        <v>90</v>
      </c>
      <c r="AA119" s="1371">
        <v>90</v>
      </c>
      <c r="AB119" s="1372">
        <v>21</v>
      </c>
      <c r="AC119" s="2425">
        <v>981120</v>
      </c>
    </row>
    <row r="120" spans="1:29" s="1029" customFormat="1" ht="12" customHeight="1">
      <c r="A120" s="1354">
        <v>116</v>
      </c>
      <c r="B120" s="2084" t="s">
        <v>971</v>
      </c>
      <c r="C120" s="1379">
        <v>42</v>
      </c>
      <c r="D120" s="1357">
        <v>34</v>
      </c>
      <c r="E120" s="1357">
        <v>34</v>
      </c>
      <c r="F120" s="1357">
        <v>34</v>
      </c>
      <c r="G120" s="1357">
        <v>34</v>
      </c>
      <c r="H120" s="1357">
        <v>34</v>
      </c>
      <c r="I120" s="1646">
        <v>34</v>
      </c>
      <c r="J120" s="1357">
        <v>34</v>
      </c>
      <c r="K120" s="1357">
        <v>34</v>
      </c>
      <c r="L120" s="1357">
        <v>34</v>
      </c>
      <c r="M120" s="1357">
        <v>34</v>
      </c>
      <c r="N120" s="1357">
        <v>34</v>
      </c>
      <c r="O120" s="1357">
        <v>34</v>
      </c>
      <c r="P120" s="1357">
        <v>34</v>
      </c>
      <c r="Q120" s="1357">
        <v>34</v>
      </c>
      <c r="R120" s="1357">
        <v>34</v>
      </c>
      <c r="S120" s="1357">
        <v>34</v>
      </c>
      <c r="T120" s="1357">
        <v>34</v>
      </c>
      <c r="U120" s="1357"/>
      <c r="V120" s="1357">
        <v>34</v>
      </c>
      <c r="W120" s="1357">
        <v>34</v>
      </c>
      <c r="X120" s="1357">
        <v>34</v>
      </c>
      <c r="Y120" s="1357">
        <v>34</v>
      </c>
      <c r="Z120" s="3189">
        <v>34</v>
      </c>
      <c r="AA120" s="1357">
        <v>34</v>
      </c>
      <c r="AB120" s="1358">
        <v>34</v>
      </c>
      <c r="AC120" s="2248">
        <v>850080</v>
      </c>
    </row>
    <row r="121" spans="1:29" s="1029" customFormat="1" ht="12" customHeight="1">
      <c r="A121" s="1350">
        <v>117</v>
      </c>
      <c r="B121" s="2085" t="s">
        <v>972</v>
      </c>
      <c r="C121" s="1384">
        <v>132</v>
      </c>
      <c r="D121" s="1385">
        <v>128</v>
      </c>
      <c r="E121" s="1385">
        <v>137</v>
      </c>
      <c r="F121" s="1385">
        <v>137</v>
      </c>
      <c r="G121" s="1385">
        <v>132</v>
      </c>
      <c r="H121" s="1385">
        <v>132</v>
      </c>
      <c r="I121" s="1648">
        <v>128</v>
      </c>
      <c r="J121" s="1386">
        <v>122</v>
      </c>
      <c r="K121" s="1386">
        <v>122</v>
      </c>
      <c r="L121" s="1386">
        <v>117</v>
      </c>
      <c r="M121" s="1386">
        <v>118</v>
      </c>
      <c r="N121" s="1386">
        <v>118</v>
      </c>
      <c r="O121" s="1386">
        <v>115</v>
      </c>
      <c r="P121" s="1386">
        <v>117</v>
      </c>
      <c r="Q121" s="1386">
        <v>113</v>
      </c>
      <c r="R121" s="1386">
        <v>112</v>
      </c>
      <c r="S121" s="1386">
        <v>110</v>
      </c>
      <c r="T121" s="1386">
        <v>112</v>
      </c>
      <c r="U121" s="1386"/>
      <c r="V121" s="1386">
        <v>112</v>
      </c>
      <c r="W121" s="1386">
        <v>116</v>
      </c>
      <c r="X121" s="1386">
        <v>115</v>
      </c>
      <c r="Y121" s="1386">
        <v>122</v>
      </c>
      <c r="Z121" s="3198">
        <v>125</v>
      </c>
      <c r="AA121" s="1386">
        <v>130</v>
      </c>
      <c r="AB121" s="1387">
        <v>132</v>
      </c>
      <c r="AC121" s="2251">
        <v>2944000</v>
      </c>
    </row>
    <row r="122" spans="1:29" s="1032" customFormat="1" ht="16.5" customHeight="1">
      <c r="A122" s="1354">
        <v>118</v>
      </c>
      <c r="B122" s="2081" t="s">
        <v>1083</v>
      </c>
      <c r="C122" s="1470">
        <v>402</v>
      </c>
      <c r="D122" s="1471">
        <v>402</v>
      </c>
      <c r="E122" s="1471">
        <v>402</v>
      </c>
      <c r="F122" s="1471">
        <v>401</v>
      </c>
      <c r="G122" s="1471">
        <v>402</v>
      </c>
      <c r="H122" s="1471">
        <v>400</v>
      </c>
      <c r="I122" s="1653">
        <v>390</v>
      </c>
      <c r="J122" s="1472">
        <v>400</v>
      </c>
      <c r="K122" s="1472">
        <v>380</v>
      </c>
      <c r="L122" s="1472">
        <v>401</v>
      </c>
      <c r="M122" s="1472">
        <v>385</v>
      </c>
      <c r="N122" s="1472">
        <v>373</v>
      </c>
      <c r="O122" s="1472">
        <v>403</v>
      </c>
      <c r="P122" s="1472">
        <v>401</v>
      </c>
      <c r="Q122" s="1472">
        <v>404</v>
      </c>
      <c r="R122" s="1472">
        <v>352</v>
      </c>
      <c r="S122" s="1472">
        <v>403</v>
      </c>
      <c r="T122" s="1472">
        <v>405</v>
      </c>
      <c r="U122" s="1472"/>
      <c r="V122" s="1472">
        <v>405</v>
      </c>
      <c r="W122" s="1472">
        <v>404</v>
      </c>
      <c r="X122" s="1472">
        <v>404</v>
      </c>
      <c r="Y122" s="1472">
        <v>402</v>
      </c>
      <c r="Z122" s="3210">
        <v>404</v>
      </c>
      <c r="AA122" s="1472">
        <v>381</v>
      </c>
      <c r="AB122" s="1473">
        <v>403</v>
      </c>
      <c r="AC122" s="2256">
        <v>9456000</v>
      </c>
    </row>
    <row r="123" spans="1:29" s="1032" customFormat="1" ht="16.5" customHeight="1">
      <c r="A123" s="1354"/>
      <c r="B123" s="2089" t="s">
        <v>973</v>
      </c>
      <c r="C123" s="1552">
        <v>49</v>
      </c>
      <c r="D123" s="1552">
        <v>49</v>
      </c>
      <c r="E123" s="1552">
        <v>49</v>
      </c>
      <c r="F123" s="1552">
        <v>49</v>
      </c>
      <c r="G123" s="1552">
        <v>49</v>
      </c>
      <c r="H123" s="1552">
        <v>49</v>
      </c>
      <c r="I123" s="1654">
        <v>49</v>
      </c>
      <c r="J123" s="1552">
        <v>49</v>
      </c>
      <c r="K123" s="1552">
        <v>48</v>
      </c>
      <c r="L123" s="1552">
        <v>48</v>
      </c>
      <c r="M123" s="1552">
        <v>48</v>
      </c>
      <c r="N123" s="1552">
        <v>48</v>
      </c>
      <c r="O123" s="1552">
        <v>48</v>
      </c>
      <c r="P123" s="1552">
        <v>48</v>
      </c>
      <c r="Q123" s="1552">
        <v>48</v>
      </c>
      <c r="R123" s="1552">
        <v>48</v>
      </c>
      <c r="S123" s="1552">
        <v>48</v>
      </c>
      <c r="T123" s="1552">
        <v>77</v>
      </c>
      <c r="U123" s="1552"/>
      <c r="V123" s="1552">
        <v>78</v>
      </c>
      <c r="W123" s="1552">
        <v>78</v>
      </c>
      <c r="X123" s="1552">
        <v>78</v>
      </c>
      <c r="Y123" s="1552">
        <v>106</v>
      </c>
      <c r="Z123" s="3211">
        <v>87</v>
      </c>
      <c r="AA123" s="1552">
        <v>78</v>
      </c>
      <c r="AB123" s="1552">
        <v>49</v>
      </c>
      <c r="AC123" s="2257">
        <v>1368000</v>
      </c>
    </row>
    <row r="124" spans="1:29" s="1032" customFormat="1" ht="16.5" customHeight="1">
      <c r="A124" s="1354"/>
      <c r="B124" s="2089" t="s">
        <v>977</v>
      </c>
      <c r="C124" s="1552">
        <v>16</v>
      </c>
      <c r="D124" s="1552">
        <v>16</v>
      </c>
      <c r="E124" s="1552">
        <v>16</v>
      </c>
      <c r="F124" s="1552">
        <v>16</v>
      </c>
      <c r="G124" s="1552">
        <v>16</v>
      </c>
      <c r="H124" s="1552">
        <v>16</v>
      </c>
      <c r="I124" s="1654">
        <v>16</v>
      </c>
      <c r="J124" s="1552">
        <v>50</v>
      </c>
      <c r="K124" s="1552">
        <v>50</v>
      </c>
      <c r="L124" s="1552">
        <v>53</v>
      </c>
      <c r="M124" s="1552">
        <v>53</v>
      </c>
      <c r="N124" s="1552">
        <v>53</v>
      </c>
      <c r="O124" s="1552">
        <v>52</v>
      </c>
      <c r="P124" s="1552">
        <v>52</v>
      </c>
      <c r="Q124" s="1552">
        <v>52</v>
      </c>
      <c r="R124" s="1552">
        <v>52</v>
      </c>
      <c r="S124" s="1552">
        <v>69</v>
      </c>
      <c r="T124" s="1552">
        <v>85</v>
      </c>
      <c r="U124" s="1552"/>
      <c r="V124" s="1552">
        <v>206</v>
      </c>
      <c r="W124" s="1552">
        <v>210</v>
      </c>
      <c r="X124" s="1552">
        <v>212</v>
      </c>
      <c r="Y124" s="1552">
        <v>214</v>
      </c>
      <c r="Z124" s="3211">
        <v>214</v>
      </c>
      <c r="AA124" s="1552">
        <v>53</v>
      </c>
      <c r="AB124" s="1552">
        <v>52</v>
      </c>
      <c r="AC124" s="2257">
        <v>1656000</v>
      </c>
    </row>
    <row r="125" spans="1:29" s="1032" customFormat="1" ht="16.5" customHeight="1">
      <c r="A125" s="1354"/>
      <c r="B125" s="2089" t="s">
        <v>1165</v>
      </c>
      <c r="C125" s="1552">
        <v>65</v>
      </c>
      <c r="D125" s="1552">
        <v>20</v>
      </c>
      <c r="E125" s="1552">
        <v>20</v>
      </c>
      <c r="F125" s="1552">
        <v>20</v>
      </c>
      <c r="G125" s="1552">
        <v>20</v>
      </c>
      <c r="H125" s="1552">
        <v>20</v>
      </c>
      <c r="I125" s="1654">
        <v>20</v>
      </c>
      <c r="J125" s="1552">
        <v>20</v>
      </c>
      <c r="K125" s="1552">
        <v>20</v>
      </c>
      <c r="L125" s="1552">
        <v>20</v>
      </c>
      <c r="M125" s="1552">
        <v>20</v>
      </c>
      <c r="N125" s="1552">
        <v>20</v>
      </c>
      <c r="O125" s="1552">
        <v>32</v>
      </c>
      <c r="P125" s="1552">
        <v>50</v>
      </c>
      <c r="Q125" s="1552">
        <v>50</v>
      </c>
      <c r="R125" s="1552">
        <v>20</v>
      </c>
      <c r="S125" s="1552">
        <v>20</v>
      </c>
      <c r="T125" s="1552">
        <v>20</v>
      </c>
      <c r="U125" s="1552"/>
      <c r="V125" s="1552">
        <v>38</v>
      </c>
      <c r="W125" s="1552">
        <v>100</v>
      </c>
      <c r="X125" s="1552">
        <v>100</v>
      </c>
      <c r="Y125" s="1552">
        <v>100</v>
      </c>
      <c r="Z125" s="3211">
        <v>100</v>
      </c>
      <c r="AA125" s="1552">
        <v>100</v>
      </c>
      <c r="AB125" s="1552">
        <v>100</v>
      </c>
      <c r="AC125" s="2257">
        <v>1045440</v>
      </c>
    </row>
    <row r="126" spans="1:29" s="1032" customFormat="1" ht="16.5" customHeight="1">
      <c r="A126" s="1354"/>
      <c r="B126" s="2089" t="s">
        <v>1182</v>
      </c>
      <c r="C126" s="1552">
        <v>108</v>
      </c>
      <c r="D126" s="1552">
        <v>108</v>
      </c>
      <c r="E126" s="1552">
        <v>108</v>
      </c>
      <c r="F126" s="1552">
        <v>108</v>
      </c>
      <c r="G126" s="1552">
        <v>108</v>
      </c>
      <c r="H126" s="1552">
        <v>108</v>
      </c>
      <c r="I126" s="1654">
        <v>108</v>
      </c>
      <c r="J126" s="1552">
        <v>108</v>
      </c>
      <c r="K126" s="1552">
        <v>108</v>
      </c>
      <c r="L126" s="1552">
        <v>108</v>
      </c>
      <c r="M126" s="1552">
        <v>108</v>
      </c>
      <c r="N126" s="1552">
        <v>108</v>
      </c>
      <c r="O126" s="1552">
        <v>108</v>
      </c>
      <c r="P126" s="1552">
        <v>108</v>
      </c>
      <c r="Q126" s="1552">
        <v>108</v>
      </c>
      <c r="R126" s="1552">
        <v>108</v>
      </c>
      <c r="S126" s="1552">
        <v>108</v>
      </c>
      <c r="T126" s="1552">
        <v>108</v>
      </c>
      <c r="U126" s="1552"/>
      <c r="V126" s="1552">
        <v>108</v>
      </c>
      <c r="W126" s="1552">
        <v>108</v>
      </c>
      <c r="X126" s="1552">
        <v>108</v>
      </c>
      <c r="Y126" s="1552">
        <v>108</v>
      </c>
      <c r="Z126" s="3211">
        <v>108</v>
      </c>
      <c r="AA126" s="1552">
        <v>108</v>
      </c>
      <c r="AB126" s="1552">
        <v>108</v>
      </c>
      <c r="AC126" s="2257">
        <v>2608200</v>
      </c>
    </row>
    <row r="127" spans="1:29" s="1032" customFormat="1" ht="16.5" customHeight="1">
      <c r="A127" s="1354"/>
      <c r="B127" s="2089" t="s">
        <v>1209</v>
      </c>
      <c r="C127" s="1552">
        <v>35</v>
      </c>
      <c r="D127" s="1552">
        <v>35</v>
      </c>
      <c r="E127" s="1552">
        <v>35</v>
      </c>
      <c r="F127" s="1552">
        <v>35</v>
      </c>
      <c r="G127" s="1552">
        <v>35</v>
      </c>
      <c r="H127" s="1552">
        <v>35</v>
      </c>
      <c r="I127" s="1654">
        <v>35</v>
      </c>
      <c r="J127" s="1552">
        <v>35</v>
      </c>
      <c r="K127" s="1552">
        <v>35</v>
      </c>
      <c r="L127" s="1552">
        <v>35</v>
      </c>
      <c r="M127" s="1552">
        <v>35</v>
      </c>
      <c r="N127" s="1552">
        <v>35</v>
      </c>
      <c r="O127" s="1552">
        <v>35</v>
      </c>
      <c r="P127" s="1552">
        <v>35</v>
      </c>
      <c r="Q127" s="1552">
        <v>35</v>
      </c>
      <c r="R127" s="1552">
        <v>35</v>
      </c>
      <c r="S127" s="1552">
        <v>35</v>
      </c>
      <c r="T127" s="1552">
        <v>35</v>
      </c>
      <c r="U127" s="1552"/>
      <c r="V127" s="1552">
        <v>35</v>
      </c>
      <c r="W127" s="1552">
        <v>35</v>
      </c>
      <c r="X127" s="1552">
        <v>35</v>
      </c>
      <c r="Y127" s="1552">
        <v>6</v>
      </c>
      <c r="Z127" s="3211">
        <v>35</v>
      </c>
      <c r="AA127" s="1552">
        <v>35</v>
      </c>
      <c r="AB127" s="1552">
        <v>35</v>
      </c>
      <c r="AC127" s="2257">
        <v>849960</v>
      </c>
    </row>
    <row r="128" spans="1:29" s="1032" customFormat="1" ht="16.5" customHeight="1">
      <c r="A128" s="1354"/>
      <c r="B128" s="2089" t="s">
        <v>1211</v>
      </c>
      <c r="C128" s="1552"/>
      <c r="D128" s="1552"/>
      <c r="E128" s="1552"/>
      <c r="F128" s="1552"/>
      <c r="G128" s="1552">
        <v>0</v>
      </c>
      <c r="H128" s="1552">
        <v>1</v>
      </c>
      <c r="I128" s="1654">
        <v>8</v>
      </c>
      <c r="J128" s="1552">
        <v>16</v>
      </c>
      <c r="K128" s="1552">
        <v>20</v>
      </c>
      <c r="L128" s="1552">
        <v>31</v>
      </c>
      <c r="M128" s="1552">
        <v>34</v>
      </c>
      <c r="N128" s="1552">
        <v>35</v>
      </c>
      <c r="O128" s="1552">
        <v>35</v>
      </c>
      <c r="P128" s="1552">
        <v>31</v>
      </c>
      <c r="Q128" s="1552">
        <v>26</v>
      </c>
      <c r="R128" s="1552">
        <v>15</v>
      </c>
      <c r="S128" s="1552">
        <v>9</v>
      </c>
      <c r="T128" s="1552">
        <v>3</v>
      </c>
      <c r="U128" s="1552"/>
      <c r="V128" s="1552"/>
      <c r="W128" s="1552"/>
      <c r="X128" s="1552"/>
      <c r="Y128" s="1552"/>
      <c r="Z128" s="3211"/>
      <c r="AA128" s="1552"/>
      <c r="AB128" s="1552"/>
      <c r="AC128" s="2257">
        <v>257725</v>
      </c>
    </row>
    <row r="129" spans="1:33" s="1032" customFormat="1" ht="16.5" customHeight="1">
      <c r="A129" s="1354"/>
      <c r="B129" s="2089" t="s">
        <v>1328</v>
      </c>
      <c r="C129" s="1552">
        <v>74</v>
      </c>
      <c r="D129" s="1552">
        <v>75</v>
      </c>
      <c r="E129" s="1552">
        <v>75</v>
      </c>
      <c r="F129" s="1552">
        <v>74</v>
      </c>
      <c r="G129" s="1552">
        <v>75</v>
      </c>
      <c r="H129" s="1552">
        <v>75</v>
      </c>
      <c r="I129" s="1654">
        <v>75</v>
      </c>
      <c r="J129" s="1552">
        <v>75</v>
      </c>
      <c r="K129" s="1552">
        <v>75</v>
      </c>
      <c r="L129" s="1552">
        <v>75</v>
      </c>
      <c r="M129" s="1552">
        <v>75</v>
      </c>
      <c r="N129" s="1552">
        <v>64</v>
      </c>
      <c r="O129" s="1552">
        <v>76</v>
      </c>
      <c r="P129" s="1552">
        <v>65</v>
      </c>
      <c r="Q129" s="1552">
        <v>66</v>
      </c>
      <c r="R129" s="1552">
        <v>56</v>
      </c>
      <c r="S129" s="1552">
        <v>56</v>
      </c>
      <c r="T129" s="1552">
        <v>56</v>
      </c>
      <c r="U129" s="1552"/>
      <c r="V129" s="1552">
        <v>52</v>
      </c>
      <c r="W129" s="1552">
        <v>75</v>
      </c>
      <c r="X129" s="1552">
        <v>69</v>
      </c>
      <c r="Y129" s="1552">
        <v>75</v>
      </c>
      <c r="Z129" s="3211">
        <v>75</v>
      </c>
      <c r="AA129" s="1552">
        <v>60</v>
      </c>
      <c r="AB129" s="1552">
        <v>73</v>
      </c>
      <c r="AC129" s="2257">
        <v>1683840</v>
      </c>
    </row>
    <row r="130" spans="1:33" s="1032" customFormat="1" ht="16.5" customHeight="1" thickBot="1">
      <c r="A130" s="1354"/>
      <c r="B130" s="2089" t="s">
        <v>1329</v>
      </c>
      <c r="C130" s="1552">
        <v>55</v>
      </c>
      <c r="D130" s="1552">
        <v>55</v>
      </c>
      <c r="E130" s="1552">
        <v>55</v>
      </c>
      <c r="F130" s="1552">
        <v>55</v>
      </c>
      <c r="G130" s="1552">
        <v>55</v>
      </c>
      <c r="H130" s="1552">
        <v>44</v>
      </c>
      <c r="I130" s="1654">
        <v>55</v>
      </c>
      <c r="J130" s="1552">
        <v>55</v>
      </c>
      <c r="K130" s="1552">
        <v>55</v>
      </c>
      <c r="L130" s="1552">
        <v>55</v>
      </c>
      <c r="M130" s="1552">
        <v>55</v>
      </c>
      <c r="N130" s="1552">
        <v>55</v>
      </c>
      <c r="O130" s="1552">
        <v>55</v>
      </c>
      <c r="P130" s="1552">
        <v>55</v>
      </c>
      <c r="Q130" s="1552">
        <v>55</v>
      </c>
      <c r="R130" s="1552">
        <v>55</v>
      </c>
      <c r="S130" s="1552">
        <v>55</v>
      </c>
      <c r="T130" s="1552">
        <v>55</v>
      </c>
      <c r="U130" s="1552"/>
      <c r="V130" s="1552">
        <v>55</v>
      </c>
      <c r="W130" s="1552">
        <v>55</v>
      </c>
      <c r="X130" s="1552">
        <v>55</v>
      </c>
      <c r="Y130" s="1552">
        <v>55</v>
      </c>
      <c r="Z130" s="3211">
        <v>55</v>
      </c>
      <c r="AA130" s="1552">
        <v>55</v>
      </c>
      <c r="AB130" s="1552">
        <v>55</v>
      </c>
      <c r="AC130" s="2257">
        <v>1312560</v>
      </c>
    </row>
    <row r="131" spans="1:33" s="1029" customFormat="1" ht="12" customHeight="1" thickBot="1">
      <c r="A131" s="1354">
        <v>120</v>
      </c>
      <c r="B131" s="2090" t="s">
        <v>740</v>
      </c>
      <c r="C131" s="2258">
        <v>6549</v>
      </c>
      <c r="D131" s="2258">
        <v>6309</v>
      </c>
      <c r="E131" s="2258">
        <v>6306</v>
      </c>
      <c r="F131" s="2258">
        <v>6237</v>
      </c>
      <c r="G131" s="2258">
        <v>6289</v>
      </c>
      <c r="H131" s="2258">
        <v>6097</v>
      </c>
      <c r="I131" s="2258">
        <v>6161</v>
      </c>
      <c r="J131" s="2258">
        <v>6059</v>
      </c>
      <c r="K131" s="2258">
        <v>6064</v>
      </c>
      <c r="L131" s="2258">
        <v>5923</v>
      </c>
      <c r="M131" s="2258">
        <v>6040</v>
      </c>
      <c r="N131" s="2258">
        <v>5925</v>
      </c>
      <c r="O131" s="2258">
        <v>6215</v>
      </c>
      <c r="P131" s="2258">
        <v>6410</v>
      </c>
      <c r="Q131" s="2258">
        <v>6597</v>
      </c>
      <c r="R131" s="2258">
        <v>6483</v>
      </c>
      <c r="S131" s="2258">
        <v>6737</v>
      </c>
      <c r="T131" s="2258">
        <v>6978</v>
      </c>
      <c r="U131" s="2258"/>
      <c r="V131" s="2258">
        <v>7637</v>
      </c>
      <c r="W131" s="2258">
        <v>7765</v>
      </c>
      <c r="X131" s="2258">
        <v>7821</v>
      </c>
      <c r="Y131" s="2258">
        <v>8333</v>
      </c>
      <c r="Z131" s="3212">
        <v>8281</v>
      </c>
      <c r="AA131" s="2258">
        <v>8217</v>
      </c>
      <c r="AB131" s="2258">
        <v>7455</v>
      </c>
      <c r="AC131" s="2258">
        <v>161099792</v>
      </c>
      <c r="AF131" s="1504"/>
      <c r="AG131" s="1504">
        <f>SUM(AC3:AC128)</f>
        <v>158103392</v>
      </c>
    </row>
    <row r="132" spans="1:33" s="1029" customFormat="1" ht="12" customHeight="1">
      <c r="A132" s="1350">
        <v>121</v>
      </c>
      <c r="B132" s="2081"/>
      <c r="C132" s="1384"/>
      <c r="D132" s="1385"/>
      <c r="E132" s="1385"/>
      <c r="F132" s="1385"/>
      <c r="G132" s="1385"/>
      <c r="H132" s="1385"/>
      <c r="I132" s="1648"/>
      <c r="J132" s="1386"/>
      <c r="K132" s="1386"/>
      <c r="L132" s="1386"/>
      <c r="M132" s="1386"/>
      <c r="N132" s="1386"/>
      <c r="O132" s="1386"/>
      <c r="P132" s="1386"/>
      <c r="Q132" s="1386"/>
      <c r="R132" s="1386"/>
      <c r="S132" s="1386"/>
      <c r="T132" s="1386"/>
      <c r="U132" s="1386"/>
      <c r="V132" s="1386"/>
      <c r="W132" s="1386"/>
      <c r="X132" s="1386"/>
      <c r="Y132" s="1386"/>
      <c r="Z132" s="3198"/>
      <c r="AA132" s="1386"/>
      <c r="AB132" s="1387"/>
      <c r="AC132" s="2251"/>
    </row>
    <row r="133" spans="1:33" s="1029" customFormat="1" ht="12" customHeight="1">
      <c r="A133" s="1354">
        <v>122</v>
      </c>
      <c r="B133" s="2082" t="s">
        <v>1593</v>
      </c>
      <c r="C133" s="1363"/>
      <c r="D133" s="1364"/>
      <c r="E133" s="1364"/>
      <c r="F133" s="1364"/>
      <c r="G133" s="1364"/>
      <c r="H133" s="1364"/>
      <c r="I133" s="1641"/>
      <c r="J133" s="1365"/>
      <c r="K133" s="1365"/>
      <c r="L133" s="1365"/>
      <c r="M133" s="1365"/>
      <c r="N133" s="1365"/>
      <c r="O133" s="1365"/>
      <c r="P133" s="1365"/>
      <c r="Q133" s="1365"/>
      <c r="R133" s="1365"/>
      <c r="S133" s="1365"/>
      <c r="T133" s="1365"/>
      <c r="U133" s="1365"/>
      <c r="V133" s="1365"/>
      <c r="W133" s="1365"/>
      <c r="X133" s="1365"/>
      <c r="Y133" s="1365"/>
      <c r="Z133" s="3191"/>
      <c r="AA133" s="1365"/>
      <c r="AB133" s="1366"/>
      <c r="AC133" s="2243"/>
    </row>
    <row r="134" spans="1:33" s="1029" customFormat="1" ht="12" customHeight="1">
      <c r="A134" s="1350">
        <v>123</v>
      </c>
      <c r="B134" s="2080" t="s">
        <v>264</v>
      </c>
      <c r="C134" s="1392"/>
      <c r="D134" s="1393"/>
      <c r="E134" s="1393"/>
      <c r="F134" s="1393"/>
      <c r="G134" s="1393"/>
      <c r="H134" s="1393"/>
      <c r="I134" s="1650"/>
      <c r="J134" s="1377"/>
      <c r="K134" s="1377"/>
      <c r="L134" s="1377"/>
      <c r="M134" s="1377"/>
      <c r="N134" s="1377"/>
      <c r="O134" s="1377"/>
      <c r="P134" s="1377"/>
      <c r="Q134" s="1377"/>
      <c r="R134" s="1377"/>
      <c r="S134" s="1377"/>
      <c r="T134" s="1377"/>
      <c r="U134" s="1377"/>
      <c r="V134" s="1377"/>
      <c r="W134" s="1377"/>
      <c r="X134" s="1377"/>
      <c r="Y134" s="1377"/>
      <c r="Z134" s="3195"/>
      <c r="AA134" s="1377"/>
      <c r="AB134" s="1378"/>
      <c r="AC134" s="2253"/>
    </row>
    <row r="135" spans="1:33" s="1029" customFormat="1" ht="12" customHeight="1">
      <c r="A135" s="1354">
        <v>124</v>
      </c>
      <c r="B135" s="2078" t="s">
        <v>978</v>
      </c>
      <c r="C135" s="1370"/>
      <c r="D135" s="1371"/>
      <c r="E135" s="1371"/>
      <c r="F135" s="1371"/>
      <c r="G135" s="1371"/>
      <c r="H135" s="1371"/>
      <c r="I135" s="1644"/>
      <c r="J135" s="1371"/>
      <c r="K135" s="1371"/>
      <c r="L135" s="1371"/>
      <c r="M135" s="1371"/>
      <c r="N135" s="1371"/>
      <c r="O135" s="1371"/>
      <c r="P135" s="1371"/>
      <c r="Q135" s="1371"/>
      <c r="R135" s="1371"/>
      <c r="S135" s="1371"/>
      <c r="T135" s="1371"/>
      <c r="U135" s="1371"/>
      <c r="V135" s="1371"/>
      <c r="W135" s="1371"/>
      <c r="X135" s="1371"/>
      <c r="Y135" s="1371"/>
      <c r="Z135" s="3194"/>
      <c r="AA135" s="1371"/>
      <c r="AB135" s="1372"/>
      <c r="AC135" s="2246"/>
    </row>
    <row r="136" spans="1:33" s="1029" customFormat="1" ht="12" customHeight="1">
      <c r="A136" s="1354"/>
      <c r="B136" s="2078" t="s">
        <v>979</v>
      </c>
      <c r="C136" s="4734">
        <v>16</v>
      </c>
      <c r="D136" s="1507">
        <v>16</v>
      </c>
      <c r="E136" s="1507">
        <v>16</v>
      </c>
      <c r="F136" s="1507">
        <v>16</v>
      </c>
      <c r="G136" s="1507">
        <v>16</v>
      </c>
      <c r="H136" s="1507">
        <v>16</v>
      </c>
      <c r="I136" s="1648">
        <v>16</v>
      </c>
      <c r="J136" s="1371">
        <v>16</v>
      </c>
      <c r="K136" s="1371">
        <v>16</v>
      </c>
      <c r="L136" s="1371">
        <v>16</v>
      </c>
      <c r="M136" s="1371">
        <v>16</v>
      </c>
      <c r="N136" s="1371">
        <v>16</v>
      </c>
      <c r="O136" s="1371">
        <v>16</v>
      </c>
      <c r="P136" s="1371">
        <v>16</v>
      </c>
      <c r="Q136" s="1371">
        <v>16</v>
      </c>
      <c r="R136" s="1371">
        <v>16</v>
      </c>
      <c r="S136" s="1371">
        <v>20</v>
      </c>
      <c r="T136" s="1371">
        <v>23</v>
      </c>
      <c r="U136" s="1371"/>
      <c r="V136" s="1371">
        <v>27</v>
      </c>
      <c r="W136" s="1371">
        <v>30</v>
      </c>
      <c r="X136" s="1371">
        <v>32</v>
      </c>
      <c r="Y136" s="1371">
        <v>32</v>
      </c>
      <c r="Z136" s="3194">
        <v>32</v>
      </c>
      <c r="AA136" s="1371">
        <v>32</v>
      </c>
      <c r="AB136" s="4735">
        <v>32</v>
      </c>
      <c r="AC136" s="2246">
        <v>474240</v>
      </c>
    </row>
    <row r="137" spans="1:33" s="1029" customFormat="1" ht="12" customHeight="1">
      <c r="A137" s="1350">
        <v>125</v>
      </c>
      <c r="B137" s="2079" t="s">
        <v>1827</v>
      </c>
      <c r="C137" s="1355"/>
      <c r="D137" s="1356"/>
      <c r="E137" s="1356"/>
      <c r="F137" s="1356"/>
      <c r="G137" s="1356"/>
      <c r="H137" s="1356"/>
      <c r="I137" s="1641"/>
      <c r="J137" s="1357"/>
      <c r="K137" s="1357"/>
      <c r="L137" s="1357"/>
      <c r="M137" s="1357"/>
      <c r="N137" s="1357"/>
      <c r="O137" s="1357"/>
      <c r="P137" s="1357"/>
      <c r="Q137" s="1357"/>
      <c r="R137" s="1357"/>
      <c r="S137" s="1357"/>
      <c r="T137" s="1357"/>
      <c r="U137" s="1357"/>
      <c r="V137" s="1357"/>
      <c r="W137" s="1357"/>
      <c r="X137" s="1357"/>
      <c r="Y137" s="1357"/>
      <c r="Z137" s="3189"/>
      <c r="AA137" s="1357"/>
      <c r="AB137" s="1358"/>
      <c r="AC137" s="2241"/>
    </row>
    <row r="138" spans="1:33" s="1029" customFormat="1" ht="12" customHeight="1">
      <c r="A138" s="1354">
        <v>126</v>
      </c>
      <c r="B138" s="2081" t="s">
        <v>1829</v>
      </c>
      <c r="C138" s="1359"/>
      <c r="D138" s="1360"/>
      <c r="E138" s="1360"/>
      <c r="F138" s="1360"/>
      <c r="G138" s="1360"/>
      <c r="H138" s="1360"/>
      <c r="I138" s="1641"/>
      <c r="J138" s="1361"/>
      <c r="K138" s="1361"/>
      <c r="L138" s="1361"/>
      <c r="M138" s="1361"/>
      <c r="N138" s="1361"/>
      <c r="O138" s="1361"/>
      <c r="P138" s="1361"/>
      <c r="Q138" s="1361"/>
      <c r="R138" s="1361"/>
      <c r="S138" s="1361"/>
      <c r="T138" s="1361"/>
      <c r="U138" s="1361"/>
      <c r="V138" s="1361"/>
      <c r="W138" s="1361"/>
      <c r="X138" s="1361"/>
      <c r="Y138" s="1361"/>
      <c r="Z138" s="3190"/>
      <c r="AA138" s="1361"/>
      <c r="AB138" s="1362"/>
      <c r="AC138" s="2242"/>
    </row>
    <row r="139" spans="1:33" s="1029" customFormat="1" ht="12" customHeight="1">
      <c r="A139" s="1350">
        <v>127</v>
      </c>
      <c r="B139" s="2082" t="s">
        <v>856</v>
      </c>
      <c r="C139" s="1396"/>
      <c r="D139" s="1397"/>
      <c r="E139" s="1397"/>
      <c r="F139" s="1397"/>
      <c r="G139" s="1397"/>
      <c r="H139" s="1397"/>
      <c r="I139" s="1647"/>
      <c r="J139" s="1398"/>
      <c r="K139" s="1398"/>
      <c r="L139" s="1398"/>
      <c r="M139" s="1398"/>
      <c r="N139" s="1398"/>
      <c r="O139" s="1398"/>
      <c r="P139" s="1398"/>
      <c r="Q139" s="1398"/>
      <c r="R139" s="1398"/>
      <c r="S139" s="1398"/>
      <c r="T139" s="1398"/>
      <c r="U139" s="1398"/>
      <c r="V139" s="1398"/>
      <c r="W139" s="1398"/>
      <c r="X139" s="1398"/>
      <c r="Y139" s="1398"/>
      <c r="Z139" s="3213"/>
      <c r="AA139" s="1398"/>
      <c r="AB139" s="1399"/>
      <c r="AC139" s="2259"/>
    </row>
    <row r="140" spans="1:33" s="1029" customFormat="1" ht="12" customHeight="1">
      <c r="A140" s="1354">
        <v>128</v>
      </c>
      <c r="B140" s="2077" t="s">
        <v>981</v>
      </c>
      <c r="C140" s="1400">
        <v>22</v>
      </c>
      <c r="D140" s="1401">
        <v>17</v>
      </c>
      <c r="E140" s="1401">
        <v>17</v>
      </c>
      <c r="F140" s="1401">
        <v>17</v>
      </c>
      <c r="G140" s="1401">
        <v>17</v>
      </c>
      <c r="H140" s="1401">
        <v>0</v>
      </c>
      <c r="I140" s="1655"/>
      <c r="J140" s="1401"/>
      <c r="K140" s="1401"/>
      <c r="L140" s="1401"/>
      <c r="M140" s="1401"/>
      <c r="N140" s="1401"/>
      <c r="O140" s="1401"/>
      <c r="P140" s="1401"/>
      <c r="Q140" s="1401"/>
      <c r="R140" s="1401"/>
      <c r="S140" s="1401"/>
      <c r="T140" s="1401">
        <v>13</v>
      </c>
      <c r="U140" s="1401"/>
      <c r="V140" s="1401">
        <v>34</v>
      </c>
      <c r="W140" s="1401">
        <v>36</v>
      </c>
      <c r="X140" s="1401">
        <v>36</v>
      </c>
      <c r="Y140" s="1401">
        <v>38</v>
      </c>
      <c r="Z140" s="3199">
        <v>42</v>
      </c>
      <c r="AA140" s="1401">
        <v>32</v>
      </c>
      <c r="AB140" s="1402">
        <v>32</v>
      </c>
      <c r="AC140" s="2260">
        <v>304800</v>
      </c>
    </row>
    <row r="141" spans="1:33" s="1029" customFormat="1" ht="12" customHeight="1">
      <c r="A141" s="1354"/>
      <c r="B141" s="2077" t="s">
        <v>980</v>
      </c>
      <c r="C141" s="1514">
        <v>216</v>
      </c>
      <c r="D141" s="1515">
        <v>223</v>
      </c>
      <c r="E141" s="1515">
        <v>226</v>
      </c>
      <c r="F141" s="1515">
        <v>226</v>
      </c>
      <c r="G141" s="1515">
        <v>226</v>
      </c>
      <c r="H141" s="1515">
        <v>226</v>
      </c>
      <c r="I141" s="1656">
        <v>225</v>
      </c>
      <c r="J141" s="1515">
        <v>224</v>
      </c>
      <c r="K141" s="1515">
        <v>221</v>
      </c>
      <c r="L141" s="1515">
        <v>225</v>
      </c>
      <c r="M141" s="1515">
        <v>227</v>
      </c>
      <c r="N141" s="1515">
        <v>227</v>
      </c>
      <c r="O141" s="1515">
        <v>230</v>
      </c>
      <c r="P141" s="1515">
        <v>220</v>
      </c>
      <c r="Q141" s="1515">
        <v>221</v>
      </c>
      <c r="R141" s="1515">
        <v>221</v>
      </c>
      <c r="S141" s="1515">
        <v>226</v>
      </c>
      <c r="T141" s="1515">
        <v>224</v>
      </c>
      <c r="U141" s="1515"/>
      <c r="V141" s="1515">
        <v>223</v>
      </c>
      <c r="W141" s="1515">
        <v>226</v>
      </c>
      <c r="X141" s="1515">
        <v>227</v>
      </c>
      <c r="Y141" s="1515">
        <v>228</v>
      </c>
      <c r="Z141" s="3214">
        <v>227</v>
      </c>
      <c r="AA141" s="1515">
        <v>227</v>
      </c>
      <c r="AB141" s="1516">
        <v>227</v>
      </c>
      <c r="AC141" s="2261">
        <v>5425920</v>
      </c>
    </row>
    <row r="142" spans="1:33" s="1029" customFormat="1" ht="12" customHeight="1">
      <c r="A142" s="1350">
        <v>129</v>
      </c>
      <c r="B142" s="2078" t="s">
        <v>1013</v>
      </c>
      <c r="C142" s="1403"/>
      <c r="D142" s="1404"/>
      <c r="E142" s="1404"/>
      <c r="F142" s="1404"/>
      <c r="G142" s="1404"/>
      <c r="H142" s="1404"/>
      <c r="I142" s="1657"/>
      <c r="J142" s="1404"/>
      <c r="K142" s="1404"/>
      <c r="L142" s="1404"/>
      <c r="M142" s="1404"/>
      <c r="N142" s="1404"/>
      <c r="O142" s="1404">
        <v>1</v>
      </c>
      <c r="P142" s="1404">
        <v>25</v>
      </c>
      <c r="Q142" s="1404">
        <v>35</v>
      </c>
      <c r="R142" s="1404">
        <v>38</v>
      </c>
      <c r="S142" s="1404">
        <v>24</v>
      </c>
      <c r="T142" s="1404">
        <v>17</v>
      </c>
      <c r="U142" s="1404"/>
      <c r="V142" s="1404">
        <v>17</v>
      </c>
      <c r="W142" s="1404">
        <v>53</v>
      </c>
      <c r="X142" s="1404">
        <v>53</v>
      </c>
      <c r="Y142" s="1404">
        <v>53</v>
      </c>
      <c r="Z142" s="3215">
        <v>53</v>
      </c>
      <c r="AA142" s="1404">
        <v>36</v>
      </c>
      <c r="AB142" s="1405">
        <v>0</v>
      </c>
      <c r="AC142" s="2262">
        <v>360960</v>
      </c>
    </row>
    <row r="143" spans="1:33" s="1029" customFormat="1" ht="12" customHeight="1">
      <c r="A143" s="1354">
        <v>130</v>
      </c>
      <c r="B143" s="2079" t="s">
        <v>1334</v>
      </c>
      <c r="C143" s="1380"/>
      <c r="D143" s="1381"/>
      <c r="E143" s="1381"/>
      <c r="F143" s="1381"/>
      <c r="G143" s="1381">
        <v>0</v>
      </c>
      <c r="H143" s="1381">
        <v>5</v>
      </c>
      <c r="I143" s="1647">
        <v>14</v>
      </c>
      <c r="J143" s="1382">
        <v>56</v>
      </c>
      <c r="K143" s="1382">
        <v>44</v>
      </c>
      <c r="L143" s="1382">
        <v>45</v>
      </c>
      <c r="M143" s="1382">
        <v>81</v>
      </c>
      <c r="N143" s="1382">
        <v>97</v>
      </c>
      <c r="O143" s="1382">
        <v>68</v>
      </c>
      <c r="P143" s="1382">
        <v>99</v>
      </c>
      <c r="Q143" s="1382">
        <v>67</v>
      </c>
      <c r="R143" s="1382">
        <v>55</v>
      </c>
      <c r="S143" s="1382">
        <v>6</v>
      </c>
      <c r="T143" s="1382">
        <v>8</v>
      </c>
      <c r="U143" s="1382"/>
      <c r="V143" s="1382"/>
      <c r="W143" s="1382"/>
      <c r="X143" s="1382"/>
      <c r="Y143" s="1382"/>
      <c r="Z143" s="3197"/>
      <c r="AA143" s="1382"/>
      <c r="AB143" s="1383"/>
      <c r="AC143" s="2250">
        <v>636480</v>
      </c>
    </row>
    <row r="144" spans="1:33" s="1029" customFormat="1" ht="12" customHeight="1">
      <c r="A144" s="1350">
        <v>131</v>
      </c>
      <c r="B144" s="2081"/>
      <c r="C144" s="1406"/>
      <c r="D144" s="1407"/>
      <c r="E144" s="1407"/>
      <c r="F144" s="1407"/>
      <c r="G144" s="1407"/>
      <c r="H144" s="1407"/>
      <c r="I144" s="1647"/>
      <c r="J144" s="1408"/>
      <c r="K144" s="1408"/>
      <c r="L144" s="1408"/>
      <c r="M144" s="1408"/>
      <c r="N144" s="1408"/>
      <c r="O144" s="1408"/>
      <c r="P144" s="1408"/>
      <c r="Q144" s="1408"/>
      <c r="R144" s="1408"/>
      <c r="S144" s="1408"/>
      <c r="T144" s="1408"/>
      <c r="U144" s="1408"/>
      <c r="V144" s="1408"/>
      <c r="W144" s="1408"/>
      <c r="X144" s="1408"/>
      <c r="Y144" s="1408"/>
      <c r="Z144" s="3216"/>
      <c r="AA144" s="1408"/>
      <c r="AB144" s="1409"/>
      <c r="AC144" s="2263"/>
    </row>
    <row r="145" spans="1:29" s="1029" customFormat="1" ht="12" customHeight="1">
      <c r="A145" s="1354">
        <v>132</v>
      </c>
      <c r="B145" s="2082" t="s">
        <v>1185</v>
      </c>
      <c r="C145" s="1375"/>
      <c r="D145" s="1364"/>
      <c r="E145" s="1364"/>
      <c r="F145" s="1364"/>
      <c r="G145" s="1364"/>
      <c r="H145" s="1364"/>
      <c r="I145" s="1641"/>
      <c r="J145" s="1365"/>
      <c r="K145" s="1365"/>
      <c r="L145" s="1365"/>
      <c r="M145" s="1365"/>
      <c r="N145" s="1365"/>
      <c r="O145" s="1365"/>
      <c r="P145" s="1365">
        <v>22</v>
      </c>
      <c r="Q145" s="1365">
        <v>45</v>
      </c>
      <c r="R145" s="1365">
        <v>90</v>
      </c>
      <c r="S145" s="1365">
        <v>120</v>
      </c>
      <c r="T145" s="1365">
        <v>138</v>
      </c>
      <c r="U145" s="1365"/>
      <c r="V145" s="1365"/>
      <c r="W145" s="1365"/>
      <c r="X145" s="1365">
        <v>120</v>
      </c>
      <c r="Y145" s="1365">
        <v>150</v>
      </c>
      <c r="Z145" s="3191">
        <v>150</v>
      </c>
      <c r="AA145" s="1365">
        <v>38</v>
      </c>
      <c r="AB145" s="1366">
        <v>90</v>
      </c>
      <c r="AC145" s="2243">
        <v>945600</v>
      </c>
    </row>
    <row r="146" spans="1:29" s="1029" customFormat="1" ht="12" customHeight="1">
      <c r="A146" s="1350">
        <v>133</v>
      </c>
      <c r="B146" s="2080" t="s">
        <v>1176</v>
      </c>
      <c r="C146" s="1376">
        <v>215</v>
      </c>
      <c r="D146" s="1377">
        <v>221</v>
      </c>
      <c r="E146" s="1377">
        <v>220</v>
      </c>
      <c r="F146" s="1377">
        <v>221</v>
      </c>
      <c r="G146" s="1377">
        <v>216</v>
      </c>
      <c r="H146" s="1377">
        <v>220</v>
      </c>
      <c r="I146" s="1645">
        <v>218</v>
      </c>
      <c r="J146" s="1377">
        <v>220</v>
      </c>
      <c r="K146" s="1377">
        <v>220</v>
      </c>
      <c r="L146" s="1377">
        <v>220</v>
      </c>
      <c r="M146" s="1377">
        <v>216</v>
      </c>
      <c r="N146" s="1377">
        <v>216</v>
      </c>
      <c r="O146" s="1377">
        <v>216</v>
      </c>
      <c r="P146" s="1377">
        <v>213</v>
      </c>
      <c r="Q146" s="1377">
        <v>213</v>
      </c>
      <c r="R146" s="1377">
        <v>180</v>
      </c>
      <c r="S146" s="1377">
        <v>189</v>
      </c>
      <c r="T146" s="1377">
        <v>211</v>
      </c>
      <c r="U146" s="1377"/>
      <c r="V146" s="1377">
        <v>218</v>
      </c>
      <c r="W146" s="1377">
        <v>213</v>
      </c>
      <c r="X146" s="1377">
        <v>210</v>
      </c>
      <c r="Y146" s="1377">
        <v>187</v>
      </c>
      <c r="Z146" s="3195">
        <v>221</v>
      </c>
      <c r="AA146" s="1377">
        <v>220</v>
      </c>
      <c r="AB146" s="1378">
        <v>220</v>
      </c>
      <c r="AC146" s="2247">
        <v>5164336</v>
      </c>
    </row>
    <row r="147" spans="1:29" s="1029" customFormat="1" ht="12" customHeight="1">
      <c r="A147" s="1350"/>
      <c r="B147" s="2080" t="s">
        <v>1177</v>
      </c>
      <c r="C147" s="1376"/>
      <c r="D147" s="1377"/>
      <c r="E147" s="1377"/>
      <c r="F147" s="1377"/>
      <c r="G147" s="1377"/>
      <c r="H147" s="1377"/>
      <c r="I147" s="1645"/>
      <c r="J147" s="1377"/>
      <c r="K147" s="1377"/>
      <c r="L147" s="1377"/>
      <c r="M147" s="1377"/>
      <c r="N147" s="1377"/>
      <c r="O147" s="1377"/>
      <c r="P147" s="1377"/>
      <c r="Q147" s="1377"/>
      <c r="R147" s="1377"/>
      <c r="S147" s="1377"/>
      <c r="T147" s="1377"/>
      <c r="U147" s="1377"/>
      <c r="V147" s="1377"/>
      <c r="W147" s="1377"/>
      <c r="X147" s="1377"/>
      <c r="Y147" s="1377"/>
      <c r="Z147" s="3195"/>
      <c r="AA147" s="1377"/>
      <c r="AB147" s="1378"/>
      <c r="AC147" s="2247"/>
    </row>
    <row r="148" spans="1:29" s="1029" customFormat="1" ht="12" customHeight="1">
      <c r="A148" s="1354"/>
      <c r="B148" s="2080" t="s">
        <v>985</v>
      </c>
      <c r="C148" s="1410">
        <v>32</v>
      </c>
      <c r="D148" s="1411">
        <v>32</v>
      </c>
      <c r="E148" s="1411">
        <v>32</v>
      </c>
      <c r="F148" s="1411">
        <v>32</v>
      </c>
      <c r="G148" s="1411">
        <v>32</v>
      </c>
      <c r="H148" s="1411">
        <v>32</v>
      </c>
      <c r="I148" s="1658">
        <v>32</v>
      </c>
      <c r="J148" s="1412">
        <v>16</v>
      </c>
      <c r="K148" s="1412">
        <v>16</v>
      </c>
      <c r="L148" s="1412">
        <v>16</v>
      </c>
      <c r="M148" s="1412">
        <v>16</v>
      </c>
      <c r="N148" s="1412">
        <v>33</v>
      </c>
      <c r="O148" s="1412">
        <v>33</v>
      </c>
      <c r="P148" s="1412">
        <v>64</v>
      </c>
      <c r="Q148" s="1412">
        <v>64</v>
      </c>
      <c r="R148" s="1412">
        <v>64</v>
      </c>
      <c r="S148" s="1412">
        <v>64</v>
      </c>
      <c r="T148" s="1412">
        <v>64</v>
      </c>
      <c r="U148" s="1412"/>
      <c r="V148" s="1412">
        <v>64</v>
      </c>
      <c r="W148" s="1412">
        <v>64</v>
      </c>
      <c r="X148" s="1412">
        <v>64</v>
      </c>
      <c r="Y148" s="1412">
        <v>64</v>
      </c>
      <c r="Z148" s="3217">
        <v>64</v>
      </c>
      <c r="AA148" s="1412">
        <v>64</v>
      </c>
      <c r="AB148" s="1413">
        <v>64</v>
      </c>
      <c r="AC148" s="2264">
        <v>1071648</v>
      </c>
    </row>
    <row r="149" spans="1:29" s="1029" customFormat="1" ht="12" customHeight="1">
      <c r="A149" s="1354">
        <v>136</v>
      </c>
      <c r="B149" s="2081" t="s">
        <v>986</v>
      </c>
      <c r="C149" s="1384"/>
      <c r="D149" s="1385"/>
      <c r="E149" s="1385"/>
      <c r="F149" s="1385"/>
      <c r="G149" s="1385"/>
      <c r="H149" s="1385"/>
      <c r="I149" s="1648"/>
      <c r="J149" s="1386"/>
      <c r="K149" s="1386"/>
      <c r="L149" s="1386"/>
      <c r="M149" s="1386"/>
      <c r="N149" s="1386"/>
      <c r="O149" s="1386"/>
      <c r="P149" s="1386"/>
      <c r="Q149" s="1386"/>
      <c r="R149" s="1386"/>
      <c r="S149" s="1386"/>
      <c r="T149" s="1386"/>
      <c r="U149" s="1386"/>
      <c r="V149" s="1386"/>
      <c r="W149" s="1386"/>
      <c r="X149" s="1386"/>
      <c r="Y149" s="1386"/>
      <c r="Z149" s="3198"/>
      <c r="AA149" s="1386"/>
      <c r="AB149" s="1387"/>
      <c r="AC149" s="2251"/>
    </row>
    <row r="150" spans="1:29" s="1029" customFormat="1" ht="12" customHeight="1">
      <c r="A150" s="1350">
        <v>137</v>
      </c>
      <c r="B150" s="2082" t="s">
        <v>1009</v>
      </c>
      <c r="C150" s="1363"/>
      <c r="D150" s="1364"/>
      <c r="E150" s="1364"/>
      <c r="F150" s="1364"/>
      <c r="G150" s="1364"/>
      <c r="H150" s="1364"/>
      <c r="I150" s="1641"/>
      <c r="J150" s="1365"/>
      <c r="K150" s="1365"/>
      <c r="L150" s="1365"/>
      <c r="M150" s="1365"/>
      <c r="N150" s="1365"/>
      <c r="O150" s="1365"/>
      <c r="P150" s="1365"/>
      <c r="Q150" s="1365"/>
      <c r="R150" s="1365"/>
      <c r="S150" s="1365"/>
      <c r="T150" s="1365"/>
      <c r="U150" s="1365"/>
      <c r="V150" s="1365"/>
      <c r="W150" s="1365"/>
      <c r="X150" s="1365"/>
      <c r="Y150" s="1365"/>
      <c r="Z150" s="3191"/>
      <c r="AA150" s="1365"/>
      <c r="AB150" s="1366"/>
      <c r="AC150" s="2243"/>
    </row>
    <row r="151" spans="1:29" s="1029" customFormat="1" ht="12" customHeight="1">
      <c r="A151" s="1354"/>
      <c r="B151" s="2082" t="s">
        <v>983</v>
      </c>
      <c r="C151" s="1363">
        <v>87</v>
      </c>
      <c r="D151" s="1364">
        <v>86</v>
      </c>
      <c r="E151" s="1364">
        <v>87</v>
      </c>
      <c r="F151" s="1364">
        <v>87</v>
      </c>
      <c r="G151" s="1364">
        <v>85</v>
      </c>
      <c r="H151" s="1364">
        <v>85</v>
      </c>
      <c r="I151" s="1641">
        <v>87</v>
      </c>
      <c r="J151" s="1365">
        <v>86</v>
      </c>
      <c r="K151" s="1365">
        <v>85</v>
      </c>
      <c r="L151" s="1365">
        <v>84</v>
      </c>
      <c r="M151" s="1365">
        <v>83</v>
      </c>
      <c r="N151" s="1365">
        <v>84</v>
      </c>
      <c r="O151" s="1365">
        <v>85</v>
      </c>
      <c r="P151" s="1365">
        <v>83</v>
      </c>
      <c r="Q151" s="1365">
        <v>85</v>
      </c>
      <c r="R151" s="1365">
        <v>87</v>
      </c>
      <c r="S151" s="1365">
        <v>85</v>
      </c>
      <c r="T151" s="1365">
        <v>85</v>
      </c>
      <c r="U151" s="1365"/>
      <c r="V151" s="1365">
        <v>85</v>
      </c>
      <c r="W151" s="1365">
        <v>88</v>
      </c>
      <c r="X151" s="1365">
        <v>88</v>
      </c>
      <c r="Y151" s="1365">
        <v>88</v>
      </c>
      <c r="Z151" s="3191">
        <v>88</v>
      </c>
      <c r="AA151" s="1365">
        <v>82</v>
      </c>
      <c r="AB151" s="1366">
        <v>87</v>
      </c>
      <c r="AC151" s="2243">
        <v>2063252</v>
      </c>
    </row>
    <row r="152" spans="1:29" s="1029" customFormat="1" ht="12" customHeight="1">
      <c r="A152" s="1354">
        <v>140</v>
      </c>
      <c r="B152" s="2074" t="s">
        <v>987</v>
      </c>
      <c r="C152" s="1355">
        <v>32</v>
      </c>
      <c r="D152" s="1356">
        <v>30</v>
      </c>
      <c r="E152" s="1356">
        <v>30</v>
      </c>
      <c r="F152" s="1356">
        <v>27</v>
      </c>
      <c r="G152" s="1356">
        <v>27</v>
      </c>
      <c r="H152" s="1356">
        <v>24</v>
      </c>
      <c r="I152" s="1641">
        <v>21</v>
      </c>
      <c r="J152" s="1357">
        <v>20</v>
      </c>
      <c r="K152" s="1357">
        <v>21</v>
      </c>
      <c r="L152" s="1357">
        <v>21</v>
      </c>
      <c r="M152" s="1357">
        <v>22</v>
      </c>
      <c r="N152" s="1357">
        <v>22</v>
      </c>
      <c r="O152" s="1357">
        <v>24</v>
      </c>
      <c r="P152" s="1357">
        <v>22</v>
      </c>
      <c r="Q152" s="1357">
        <v>26</v>
      </c>
      <c r="R152" s="1357">
        <v>26</v>
      </c>
      <c r="S152" s="1357">
        <v>24</v>
      </c>
      <c r="T152" s="1357">
        <v>25</v>
      </c>
      <c r="U152" s="1357"/>
      <c r="V152" s="1357">
        <v>30</v>
      </c>
      <c r="W152" s="1357">
        <v>31</v>
      </c>
      <c r="X152" s="1357">
        <v>31</v>
      </c>
      <c r="Y152" s="1357">
        <v>33</v>
      </c>
      <c r="Z152" s="3189">
        <v>34</v>
      </c>
      <c r="AA152" s="1357">
        <v>30</v>
      </c>
      <c r="AB152" s="1358">
        <v>32</v>
      </c>
      <c r="AC152" s="2241">
        <v>621013</v>
      </c>
    </row>
    <row r="153" spans="1:29" s="1029" customFormat="1" ht="12" customHeight="1">
      <c r="A153" s="1350">
        <v>141</v>
      </c>
      <c r="B153" s="2081" t="s">
        <v>1010</v>
      </c>
      <c r="C153" s="1359"/>
      <c r="D153" s="1360"/>
      <c r="E153" s="1360"/>
      <c r="F153" s="1360"/>
      <c r="G153" s="1360"/>
      <c r="H153" s="1360"/>
      <c r="I153" s="1641"/>
      <c r="J153" s="1361"/>
      <c r="K153" s="1361"/>
      <c r="L153" s="1361">
        <v>0</v>
      </c>
      <c r="M153" s="1361"/>
      <c r="N153" s="1361"/>
      <c r="O153" s="1361"/>
      <c r="P153" s="1361"/>
      <c r="Q153" s="1361"/>
      <c r="R153" s="1361">
        <v>5</v>
      </c>
      <c r="S153" s="1361">
        <v>20</v>
      </c>
      <c r="T153" s="1361">
        <v>20</v>
      </c>
      <c r="U153" s="1361"/>
      <c r="V153" s="1361">
        <v>47</v>
      </c>
      <c r="W153" s="1361">
        <v>95</v>
      </c>
      <c r="X153" s="1361">
        <v>95</v>
      </c>
      <c r="Y153" s="1361">
        <v>96</v>
      </c>
      <c r="Z153" s="3190">
        <v>96</v>
      </c>
      <c r="AA153" s="1361">
        <v>96</v>
      </c>
      <c r="AB153" s="1362">
        <v>96</v>
      </c>
      <c r="AC153" s="2242">
        <v>578880</v>
      </c>
    </row>
    <row r="154" spans="1:29" s="1029" customFormat="1" ht="12" customHeight="1">
      <c r="A154" s="1354">
        <v>142</v>
      </c>
      <c r="B154" s="2082" t="s">
        <v>984</v>
      </c>
      <c r="C154" s="1363">
        <v>8</v>
      </c>
      <c r="D154" s="1364">
        <v>8</v>
      </c>
      <c r="E154" s="1364">
        <v>8</v>
      </c>
      <c r="F154" s="1364">
        <v>8</v>
      </c>
      <c r="G154" s="1364">
        <v>0</v>
      </c>
      <c r="H154" s="1364"/>
      <c r="I154" s="1641"/>
      <c r="J154" s="1365"/>
      <c r="K154" s="1365"/>
      <c r="L154" s="1365"/>
      <c r="M154" s="1365"/>
      <c r="N154" s="1365"/>
      <c r="O154" s="1365"/>
      <c r="P154" s="1365">
        <v>8</v>
      </c>
      <c r="Q154" s="1365">
        <v>8</v>
      </c>
      <c r="R154" s="1365">
        <v>8</v>
      </c>
      <c r="S154" s="1365">
        <v>8</v>
      </c>
      <c r="T154" s="1365">
        <v>8</v>
      </c>
      <c r="U154" s="1365"/>
      <c r="V154" s="1365">
        <v>8</v>
      </c>
      <c r="W154" s="1365">
        <v>8</v>
      </c>
      <c r="X154" s="1365">
        <v>8</v>
      </c>
      <c r="Y154" s="1365">
        <v>8</v>
      </c>
      <c r="Z154" s="3191">
        <v>8</v>
      </c>
      <c r="AA154" s="1365">
        <v>8</v>
      </c>
      <c r="AB154" s="1366">
        <v>8</v>
      </c>
      <c r="AC154" s="2243">
        <v>118500</v>
      </c>
    </row>
    <row r="155" spans="1:29" s="1029" customFormat="1" ht="12" customHeight="1">
      <c r="A155" s="1350">
        <v>143</v>
      </c>
      <c r="B155" s="2077" t="s">
        <v>982</v>
      </c>
      <c r="C155" s="1376">
        <v>60</v>
      </c>
      <c r="D155" s="1377">
        <v>57</v>
      </c>
      <c r="E155" s="1377">
        <v>57</v>
      </c>
      <c r="F155" s="1377">
        <v>57</v>
      </c>
      <c r="G155" s="1377">
        <v>57</v>
      </c>
      <c r="H155" s="1377">
        <v>0</v>
      </c>
      <c r="I155" s="1645"/>
      <c r="J155" s="1377"/>
      <c r="K155" s="1377"/>
      <c r="L155" s="1377"/>
      <c r="M155" s="1377"/>
      <c r="N155" s="1377"/>
      <c r="O155" s="1377"/>
      <c r="P155" s="1377"/>
      <c r="Q155" s="1377"/>
      <c r="R155" s="1377"/>
      <c r="S155" s="1377"/>
      <c r="T155" s="1377">
        <v>23</v>
      </c>
      <c r="U155" s="1377"/>
      <c r="V155" s="1377">
        <v>63</v>
      </c>
      <c r="W155" s="1377">
        <v>78</v>
      </c>
      <c r="X155" s="1377">
        <v>73</v>
      </c>
      <c r="Y155" s="1377">
        <v>72</v>
      </c>
      <c r="Z155" s="3195">
        <v>72</v>
      </c>
      <c r="AA155" s="1377">
        <v>66</v>
      </c>
      <c r="AB155" s="1378">
        <v>66</v>
      </c>
      <c r="AC155" s="2247">
        <v>715392</v>
      </c>
    </row>
    <row r="156" spans="1:29" s="1029" customFormat="1" ht="12" customHeight="1">
      <c r="A156" s="1354">
        <v>144</v>
      </c>
      <c r="B156" s="2078" t="s">
        <v>1163</v>
      </c>
      <c r="C156" s="1403"/>
      <c r="D156" s="1404"/>
      <c r="E156" s="1404"/>
      <c r="F156" s="1404"/>
      <c r="G156" s="1404"/>
      <c r="H156" s="1404"/>
      <c r="I156" s="1657"/>
      <c r="J156" s="1404"/>
      <c r="K156" s="1404"/>
      <c r="L156" s="1404"/>
      <c r="M156" s="1404"/>
      <c r="N156" s="1404"/>
      <c r="O156" s="1404"/>
      <c r="P156" s="1404"/>
      <c r="Q156" s="1404"/>
      <c r="R156" s="1404"/>
      <c r="S156" s="1404"/>
      <c r="T156" s="1404"/>
      <c r="U156" s="1404"/>
      <c r="V156" s="1404"/>
      <c r="W156" s="1404"/>
      <c r="X156" s="1404"/>
      <c r="Y156" s="1404"/>
      <c r="Z156" s="3215"/>
      <c r="AA156" s="1404"/>
      <c r="AB156" s="1405"/>
      <c r="AC156" s="2262"/>
    </row>
    <row r="157" spans="1:29" s="1029" customFormat="1" ht="12" customHeight="1">
      <c r="A157" s="1350">
        <v>145</v>
      </c>
      <c r="B157" s="2079" t="s">
        <v>1015</v>
      </c>
      <c r="C157" s="1380">
        <v>105</v>
      </c>
      <c r="D157" s="1381">
        <v>105</v>
      </c>
      <c r="E157" s="1381">
        <v>105</v>
      </c>
      <c r="F157" s="1381">
        <v>105</v>
      </c>
      <c r="G157" s="1381">
        <v>105</v>
      </c>
      <c r="H157" s="1381">
        <v>105</v>
      </c>
      <c r="I157" s="1647">
        <v>88</v>
      </c>
      <c r="J157" s="1382">
        <v>88</v>
      </c>
      <c r="K157" s="1382">
        <v>88</v>
      </c>
      <c r="L157" s="1382">
        <v>88</v>
      </c>
      <c r="M157" s="1382">
        <v>88</v>
      </c>
      <c r="N157" s="1382">
        <v>88</v>
      </c>
      <c r="O157" s="1382">
        <v>88</v>
      </c>
      <c r="P157" s="1382">
        <v>88</v>
      </c>
      <c r="Q157" s="1382">
        <v>88</v>
      </c>
      <c r="R157" s="1382">
        <v>88</v>
      </c>
      <c r="S157" s="1382">
        <v>89</v>
      </c>
      <c r="T157" s="1382">
        <v>89</v>
      </c>
      <c r="U157" s="1382"/>
      <c r="V157" s="1382">
        <v>88</v>
      </c>
      <c r="W157" s="1382">
        <v>105</v>
      </c>
      <c r="X157" s="1382">
        <v>105</v>
      </c>
      <c r="Y157" s="1382">
        <v>105</v>
      </c>
      <c r="Z157" s="3197">
        <v>105</v>
      </c>
      <c r="AA157" s="1382">
        <v>105</v>
      </c>
      <c r="AB157" s="1383">
        <v>89</v>
      </c>
      <c r="AC157" s="2250">
        <v>2308032</v>
      </c>
    </row>
    <row r="158" spans="1:29" s="1029" customFormat="1" ht="12" customHeight="1">
      <c r="A158" s="1354">
        <v>146</v>
      </c>
      <c r="B158" s="2081" t="s">
        <v>835</v>
      </c>
      <c r="C158" s="1374">
        <v>914</v>
      </c>
      <c r="D158" s="1360">
        <v>914</v>
      </c>
      <c r="E158" s="1360">
        <v>913</v>
      </c>
      <c r="F158" s="1360">
        <v>913</v>
      </c>
      <c r="G158" s="1360">
        <v>914</v>
      </c>
      <c r="H158" s="1360">
        <v>914</v>
      </c>
      <c r="I158" s="1641">
        <v>913</v>
      </c>
      <c r="J158" s="1361">
        <v>914</v>
      </c>
      <c r="K158" s="1361">
        <v>914</v>
      </c>
      <c r="L158" s="1361">
        <v>914</v>
      </c>
      <c r="M158" s="1361">
        <v>914</v>
      </c>
      <c r="N158" s="1361">
        <v>914</v>
      </c>
      <c r="O158" s="1361">
        <v>913</v>
      </c>
      <c r="P158" s="1361">
        <v>907</v>
      </c>
      <c r="Q158" s="1361">
        <v>907</v>
      </c>
      <c r="R158" s="1361">
        <v>907</v>
      </c>
      <c r="S158" s="1361">
        <v>907</v>
      </c>
      <c r="T158" s="1361">
        <v>906</v>
      </c>
      <c r="U158" s="1361"/>
      <c r="V158" s="1361">
        <v>907</v>
      </c>
      <c r="W158" s="1361">
        <v>909</v>
      </c>
      <c r="X158" s="1361">
        <v>909</v>
      </c>
      <c r="Y158" s="1361">
        <v>909</v>
      </c>
      <c r="Z158" s="3190">
        <v>909</v>
      </c>
      <c r="AA158" s="1361">
        <v>909</v>
      </c>
      <c r="AB158" s="1362">
        <v>909</v>
      </c>
      <c r="AC158" s="2242">
        <v>22024727</v>
      </c>
    </row>
    <row r="159" spans="1:29" s="1029" customFormat="1" ht="12" customHeight="1">
      <c r="A159" s="1350">
        <v>147</v>
      </c>
      <c r="B159" s="2082" t="s">
        <v>1113</v>
      </c>
      <c r="C159" s="1375">
        <v>160</v>
      </c>
      <c r="D159" s="1364">
        <v>160</v>
      </c>
      <c r="E159" s="1364">
        <v>160</v>
      </c>
      <c r="F159" s="1364">
        <v>165</v>
      </c>
      <c r="G159" s="1364">
        <v>165</v>
      </c>
      <c r="H159" s="1364">
        <v>160</v>
      </c>
      <c r="I159" s="1641">
        <v>160</v>
      </c>
      <c r="J159" s="1365">
        <v>160</v>
      </c>
      <c r="K159" s="1365">
        <v>150</v>
      </c>
      <c r="L159" s="1365">
        <v>145</v>
      </c>
      <c r="M159" s="1365">
        <v>130</v>
      </c>
      <c r="N159" s="1365">
        <v>135</v>
      </c>
      <c r="O159" s="1365">
        <v>140</v>
      </c>
      <c r="P159" s="1365">
        <v>140</v>
      </c>
      <c r="Q159" s="1365">
        <v>135</v>
      </c>
      <c r="R159" s="1365">
        <v>135</v>
      </c>
      <c r="S159" s="1365">
        <v>135</v>
      </c>
      <c r="T159" s="1365">
        <v>140</v>
      </c>
      <c r="U159" s="1365"/>
      <c r="V159" s="1365">
        <v>140</v>
      </c>
      <c r="W159" s="1365">
        <v>145</v>
      </c>
      <c r="X159" s="1365">
        <v>150</v>
      </c>
      <c r="Y159" s="1365">
        <v>150</v>
      </c>
      <c r="Z159" s="3191">
        <v>150</v>
      </c>
      <c r="AA159" s="1365">
        <v>155</v>
      </c>
      <c r="AB159" s="1366">
        <v>155</v>
      </c>
      <c r="AC159" s="2243">
        <v>3726432</v>
      </c>
    </row>
    <row r="160" spans="1:29" s="1029" customFormat="1" ht="12" customHeight="1">
      <c r="A160" s="1354">
        <v>148</v>
      </c>
      <c r="B160" s="2077" t="s">
        <v>1117</v>
      </c>
      <c r="C160" s="1400">
        <v>1070</v>
      </c>
      <c r="D160" s="1401">
        <v>1090</v>
      </c>
      <c r="E160" s="1401">
        <v>1080</v>
      </c>
      <c r="F160" s="1401">
        <v>1080</v>
      </c>
      <c r="G160" s="1401">
        <v>1070</v>
      </c>
      <c r="H160" s="1401">
        <v>1040</v>
      </c>
      <c r="I160" s="1655">
        <v>1030</v>
      </c>
      <c r="J160" s="1401">
        <v>980</v>
      </c>
      <c r="K160" s="1401">
        <v>940</v>
      </c>
      <c r="L160" s="1401">
        <v>930</v>
      </c>
      <c r="M160" s="1401">
        <v>930</v>
      </c>
      <c r="N160" s="1401">
        <v>820</v>
      </c>
      <c r="O160" s="1401">
        <v>820</v>
      </c>
      <c r="P160" s="1401">
        <v>700</v>
      </c>
      <c r="Q160" s="1401">
        <v>650</v>
      </c>
      <c r="R160" s="1401">
        <v>620</v>
      </c>
      <c r="S160" s="1401">
        <v>600</v>
      </c>
      <c r="T160" s="1401">
        <v>600</v>
      </c>
      <c r="U160" s="1401"/>
      <c r="V160" s="1401">
        <v>660</v>
      </c>
      <c r="W160" s="1401">
        <v>780</v>
      </c>
      <c r="X160" s="1401">
        <v>790</v>
      </c>
      <c r="Y160" s="1401">
        <v>800</v>
      </c>
      <c r="Z160" s="3199">
        <v>790</v>
      </c>
      <c r="AA160" s="1401">
        <v>790</v>
      </c>
      <c r="AB160" s="1402">
        <v>790</v>
      </c>
      <c r="AC160" s="2260">
        <v>22699900</v>
      </c>
    </row>
    <row r="161" spans="1:29" s="1029" customFormat="1" ht="12" customHeight="1">
      <c r="A161" s="1350">
        <v>149</v>
      </c>
      <c r="B161" s="2073"/>
      <c r="C161" s="1370"/>
      <c r="D161" s="1371"/>
      <c r="E161" s="1371"/>
      <c r="F161" s="1371"/>
      <c r="G161" s="1371"/>
      <c r="H161" s="1371"/>
      <c r="I161" s="1644"/>
      <c r="J161" s="1371"/>
      <c r="K161" s="1371"/>
      <c r="L161" s="1371"/>
      <c r="M161" s="1371"/>
      <c r="N161" s="1371"/>
      <c r="O161" s="1371"/>
      <c r="P161" s="1371"/>
      <c r="Q161" s="1371"/>
      <c r="R161" s="1371"/>
      <c r="S161" s="1371"/>
      <c r="T161" s="1371"/>
      <c r="U161" s="1371"/>
      <c r="V161" s="1371"/>
      <c r="W161" s="1371"/>
      <c r="X161" s="1371"/>
      <c r="Y161" s="1371"/>
      <c r="Z161" s="3194"/>
      <c r="AA161" s="1371"/>
      <c r="AB161" s="1372"/>
      <c r="AC161" s="2246"/>
    </row>
    <row r="162" spans="1:29" s="1029" customFormat="1" ht="12" customHeight="1">
      <c r="A162" s="1354">
        <v>150</v>
      </c>
      <c r="B162" s="2074" t="s">
        <v>1000</v>
      </c>
      <c r="C162" s="1379"/>
      <c r="D162" s="1357"/>
      <c r="E162" s="1357"/>
      <c r="F162" s="1357"/>
      <c r="G162" s="1357"/>
      <c r="H162" s="1357"/>
      <c r="I162" s="1646"/>
      <c r="J162" s="1357"/>
      <c r="K162" s="1357"/>
      <c r="L162" s="1357"/>
      <c r="M162" s="1357"/>
      <c r="N162" s="1357"/>
      <c r="O162" s="1357"/>
      <c r="P162" s="1357"/>
      <c r="Q162" s="1357"/>
      <c r="R162" s="1357"/>
      <c r="S162" s="1357"/>
      <c r="T162" s="1357"/>
      <c r="U162" s="1357"/>
      <c r="V162" s="1357"/>
      <c r="W162" s="1357"/>
      <c r="X162" s="1357"/>
      <c r="Y162" s="1357"/>
      <c r="Z162" s="3189"/>
      <c r="AA162" s="1357"/>
      <c r="AB162" s="1358"/>
      <c r="AC162" s="2248"/>
    </row>
    <row r="163" spans="1:29" s="1029" customFormat="1" ht="12" customHeight="1">
      <c r="A163" s="1350">
        <v>151</v>
      </c>
      <c r="B163" s="2075" t="s">
        <v>1001</v>
      </c>
      <c r="C163" s="1384"/>
      <c r="D163" s="1385"/>
      <c r="E163" s="1385"/>
      <c r="F163" s="1385"/>
      <c r="G163" s="1385"/>
      <c r="H163" s="1385"/>
      <c r="I163" s="1648"/>
      <c r="J163" s="1386"/>
      <c r="K163" s="1386"/>
      <c r="L163" s="1386"/>
      <c r="M163" s="1386"/>
      <c r="N163" s="1386"/>
      <c r="O163" s="1386"/>
      <c r="P163" s="1386"/>
      <c r="Q163" s="1386"/>
      <c r="R163" s="1386"/>
      <c r="S163" s="1386"/>
      <c r="T163" s="1386"/>
      <c r="U163" s="1386"/>
      <c r="V163" s="1386"/>
      <c r="W163" s="1386"/>
      <c r="X163" s="1386"/>
      <c r="Y163" s="1386"/>
      <c r="Z163" s="3198"/>
      <c r="AA163" s="1386"/>
      <c r="AB163" s="1387"/>
      <c r="AC163" s="2251"/>
    </row>
    <row r="164" spans="1:29" s="1029" customFormat="1" ht="12" customHeight="1">
      <c r="A164" s="1354">
        <v>152</v>
      </c>
      <c r="B164" s="2082" t="s">
        <v>1002</v>
      </c>
      <c r="C164" s="1396">
        <v>200</v>
      </c>
      <c r="D164" s="1397">
        <v>200</v>
      </c>
      <c r="E164" s="1397">
        <v>200</v>
      </c>
      <c r="F164" s="1397">
        <v>200</v>
      </c>
      <c r="G164" s="1397">
        <v>200</v>
      </c>
      <c r="H164" s="1397">
        <v>200</v>
      </c>
      <c r="I164" s="1647">
        <v>200</v>
      </c>
      <c r="J164" s="1398">
        <v>200</v>
      </c>
      <c r="K164" s="1398">
        <v>200</v>
      </c>
      <c r="L164" s="1398">
        <v>199</v>
      </c>
      <c r="M164" s="1398">
        <v>200</v>
      </c>
      <c r="N164" s="1398">
        <v>199</v>
      </c>
      <c r="O164" s="1398">
        <v>200</v>
      </c>
      <c r="P164" s="1398">
        <v>200</v>
      </c>
      <c r="Q164" s="1398">
        <v>200</v>
      </c>
      <c r="R164" s="1398">
        <v>200</v>
      </c>
      <c r="S164" s="1398">
        <v>201</v>
      </c>
      <c r="T164" s="1398">
        <v>209</v>
      </c>
      <c r="U164" s="1398"/>
      <c r="V164" s="1398">
        <v>250</v>
      </c>
      <c r="W164" s="1398">
        <v>250</v>
      </c>
      <c r="X164" s="1398">
        <v>251</v>
      </c>
      <c r="Y164" s="1398">
        <v>240</v>
      </c>
      <c r="Z164" s="3213">
        <v>250</v>
      </c>
      <c r="AA164" s="1398">
        <v>250</v>
      </c>
      <c r="AB164" s="1399">
        <v>250</v>
      </c>
      <c r="AC164" s="2259">
        <v>5122600</v>
      </c>
    </row>
    <row r="165" spans="1:29" s="1029" customFormat="1" ht="12" customHeight="1">
      <c r="A165" s="1350">
        <v>153</v>
      </c>
      <c r="B165" s="2080" t="s">
        <v>989</v>
      </c>
      <c r="C165" s="1414"/>
      <c r="D165" s="1415"/>
      <c r="E165" s="1415"/>
      <c r="F165" s="1415"/>
      <c r="G165" s="1415"/>
      <c r="H165" s="1415"/>
      <c r="I165" s="1659"/>
      <c r="J165" s="1401"/>
      <c r="K165" s="1401"/>
      <c r="L165" s="1401"/>
      <c r="M165" s="1401"/>
      <c r="N165" s="1401"/>
      <c r="O165" s="1401"/>
      <c r="P165" s="1401"/>
      <c r="Q165" s="1401"/>
      <c r="R165" s="1401"/>
      <c r="S165" s="1401"/>
      <c r="T165" s="1401"/>
      <c r="U165" s="1401"/>
      <c r="V165" s="1401"/>
      <c r="W165" s="1401"/>
      <c r="X165" s="1401"/>
      <c r="Y165" s="1401"/>
      <c r="Z165" s="3199"/>
      <c r="AA165" s="1401"/>
      <c r="AB165" s="1402"/>
      <c r="AC165" s="2265"/>
    </row>
    <row r="166" spans="1:29" s="1029" customFormat="1" ht="12" customHeight="1">
      <c r="A166" s="1354">
        <v>156</v>
      </c>
      <c r="B166" s="2075" t="s">
        <v>988</v>
      </c>
      <c r="C166" s="1359"/>
      <c r="D166" s="1360"/>
      <c r="E166" s="1360"/>
      <c r="F166" s="1360"/>
      <c r="G166" s="1360"/>
      <c r="H166" s="1360"/>
      <c r="I166" s="1641"/>
      <c r="J166" s="1361"/>
      <c r="K166" s="1361"/>
      <c r="L166" s="1361"/>
      <c r="M166" s="1361"/>
      <c r="N166" s="1361"/>
      <c r="O166" s="1361"/>
      <c r="P166" s="1361"/>
      <c r="Q166" s="1361"/>
      <c r="R166" s="1361"/>
      <c r="S166" s="1361"/>
      <c r="T166" s="1361"/>
      <c r="U166" s="1361"/>
      <c r="V166" s="1361"/>
      <c r="W166" s="1361"/>
      <c r="X166" s="1361"/>
      <c r="Y166" s="1361"/>
      <c r="Z166" s="3190"/>
      <c r="AA166" s="1361"/>
      <c r="AB166" s="1362"/>
      <c r="AC166" s="2242"/>
    </row>
    <row r="167" spans="1:29" s="1029" customFormat="1" ht="12" customHeight="1">
      <c r="A167" s="1354"/>
      <c r="B167" s="2075" t="s">
        <v>990</v>
      </c>
      <c r="C167" s="1359">
        <v>24</v>
      </c>
      <c r="D167" s="1360">
        <v>24</v>
      </c>
      <c r="E167" s="1360">
        <v>24</v>
      </c>
      <c r="F167" s="1360">
        <v>24</v>
      </c>
      <c r="G167" s="1360">
        <v>24</v>
      </c>
      <c r="H167" s="1360">
        <v>24</v>
      </c>
      <c r="I167" s="1641">
        <v>24</v>
      </c>
      <c r="J167" s="1361">
        <v>24</v>
      </c>
      <c r="K167" s="1361">
        <v>24</v>
      </c>
      <c r="L167" s="1361">
        <v>17</v>
      </c>
      <c r="M167" s="1361">
        <v>24</v>
      </c>
      <c r="N167" s="1361">
        <v>24</v>
      </c>
      <c r="O167" s="1361">
        <v>24</v>
      </c>
      <c r="P167" s="1361">
        <v>34</v>
      </c>
      <c r="Q167" s="1361">
        <v>32</v>
      </c>
      <c r="R167" s="1361">
        <v>32</v>
      </c>
      <c r="S167" s="1361">
        <v>32</v>
      </c>
      <c r="T167" s="1361">
        <v>32</v>
      </c>
      <c r="U167" s="1361"/>
      <c r="V167" s="1361">
        <v>32</v>
      </c>
      <c r="W167" s="1361">
        <v>32</v>
      </c>
      <c r="X167" s="1361">
        <v>32</v>
      </c>
      <c r="Y167" s="1361">
        <v>32</v>
      </c>
      <c r="Z167" s="3190">
        <v>32</v>
      </c>
      <c r="AA167" s="1361">
        <v>32</v>
      </c>
      <c r="AB167" s="1362">
        <v>32</v>
      </c>
      <c r="AC167" s="2242">
        <v>654048</v>
      </c>
    </row>
    <row r="168" spans="1:29" s="1029" customFormat="1" ht="12" customHeight="1">
      <c r="A168" s="1354"/>
      <c r="B168" s="2075" t="s">
        <v>1232</v>
      </c>
      <c r="C168" s="1359"/>
      <c r="D168" s="1360"/>
      <c r="E168" s="1360"/>
      <c r="F168" s="1360"/>
      <c r="G168" s="1360"/>
      <c r="H168" s="1360"/>
      <c r="I168" s="1641">
        <v>0</v>
      </c>
      <c r="J168" s="1361">
        <v>1</v>
      </c>
      <c r="K168" s="1361">
        <v>3</v>
      </c>
      <c r="L168" s="1361">
        <v>4</v>
      </c>
      <c r="M168" s="1361">
        <v>5</v>
      </c>
      <c r="N168" s="1361">
        <v>5</v>
      </c>
      <c r="O168" s="1361">
        <v>4</v>
      </c>
      <c r="P168" s="1361">
        <v>4</v>
      </c>
      <c r="Q168" s="1361">
        <v>4</v>
      </c>
      <c r="R168" s="1361">
        <v>3</v>
      </c>
      <c r="S168" s="1361">
        <v>1</v>
      </c>
      <c r="T168" s="1361">
        <v>0</v>
      </c>
      <c r="U168" s="1361"/>
      <c r="V168" s="1361"/>
      <c r="W168" s="1361"/>
      <c r="X168" s="1361"/>
      <c r="Y168" s="1361"/>
      <c r="Z168" s="3190"/>
      <c r="AA168" s="1361"/>
      <c r="AB168" s="1362"/>
      <c r="AC168" s="2242">
        <v>38340</v>
      </c>
    </row>
    <row r="169" spans="1:29" s="1029" customFormat="1" ht="12" customHeight="1">
      <c r="A169" s="1350">
        <v>157</v>
      </c>
      <c r="B169" s="2082" t="s">
        <v>1005</v>
      </c>
      <c r="C169" s="1363">
        <v>177</v>
      </c>
      <c r="D169" s="1364">
        <v>178</v>
      </c>
      <c r="E169" s="1364">
        <v>177</v>
      </c>
      <c r="F169" s="1364">
        <v>178</v>
      </c>
      <c r="G169" s="1364">
        <v>178</v>
      </c>
      <c r="H169" s="1364">
        <v>177</v>
      </c>
      <c r="I169" s="1641">
        <v>178</v>
      </c>
      <c r="J169" s="1365">
        <v>177</v>
      </c>
      <c r="K169" s="1365">
        <v>178</v>
      </c>
      <c r="L169" s="1365">
        <v>178</v>
      </c>
      <c r="M169" s="1365">
        <v>175</v>
      </c>
      <c r="N169" s="1365">
        <v>175</v>
      </c>
      <c r="O169" s="1365">
        <v>173</v>
      </c>
      <c r="P169" s="1365">
        <v>171</v>
      </c>
      <c r="Q169" s="1365">
        <v>170</v>
      </c>
      <c r="R169" s="1365">
        <v>169</v>
      </c>
      <c r="S169" s="1365">
        <v>168</v>
      </c>
      <c r="T169" s="1365">
        <v>168</v>
      </c>
      <c r="U169" s="1365"/>
      <c r="V169" s="1365">
        <v>168</v>
      </c>
      <c r="W169" s="1365">
        <v>169</v>
      </c>
      <c r="X169" s="1365">
        <v>168</v>
      </c>
      <c r="Y169" s="1365">
        <v>170</v>
      </c>
      <c r="Z169" s="3191">
        <v>173</v>
      </c>
      <c r="AA169" s="1365">
        <v>175</v>
      </c>
      <c r="AB169" s="1366">
        <v>174</v>
      </c>
      <c r="AC169" s="2243">
        <v>4398755</v>
      </c>
    </row>
    <row r="170" spans="1:29" s="1029" customFormat="1" ht="12" customHeight="1">
      <c r="A170" s="1354">
        <v>158</v>
      </c>
      <c r="B170" s="2080" t="s">
        <v>1006</v>
      </c>
      <c r="C170" s="1376"/>
      <c r="D170" s="1377"/>
      <c r="E170" s="1377"/>
      <c r="F170" s="1377"/>
      <c r="G170" s="1377"/>
      <c r="H170" s="1377"/>
      <c r="I170" s="1645"/>
      <c r="J170" s="1377"/>
      <c r="K170" s="1377"/>
      <c r="L170" s="1377"/>
      <c r="M170" s="1377"/>
      <c r="N170" s="1377"/>
      <c r="O170" s="1377"/>
      <c r="P170" s="1377"/>
      <c r="Q170" s="1377"/>
      <c r="R170" s="1377"/>
      <c r="S170" s="1377"/>
      <c r="T170" s="1377"/>
      <c r="U170" s="1377"/>
      <c r="V170" s="1377"/>
      <c r="W170" s="1377"/>
      <c r="X170" s="1377"/>
      <c r="Y170" s="1377"/>
      <c r="Z170" s="3195"/>
      <c r="AA170" s="1377"/>
      <c r="AB170" s="1378"/>
      <c r="AC170" s="2247"/>
    </row>
    <row r="171" spans="1:29" s="1029" customFormat="1" ht="12" customHeight="1">
      <c r="A171" s="1354"/>
      <c r="B171" s="2080" t="s">
        <v>1007</v>
      </c>
      <c r="C171" s="1441"/>
      <c r="D171" s="1412"/>
      <c r="E171" s="1412"/>
      <c r="F171" s="1412"/>
      <c r="G171" s="1412"/>
      <c r="H171" s="1412"/>
      <c r="I171" s="1660"/>
      <c r="J171" s="1412"/>
      <c r="K171" s="1412"/>
      <c r="L171" s="1412"/>
      <c r="M171" s="1412"/>
      <c r="N171" s="1412"/>
      <c r="O171" s="1412"/>
      <c r="P171" s="1412"/>
      <c r="Q171" s="1412"/>
      <c r="R171" s="1412"/>
      <c r="S171" s="1412"/>
      <c r="T171" s="1412"/>
      <c r="U171" s="1412"/>
      <c r="V171" s="1412"/>
      <c r="W171" s="1412"/>
      <c r="X171" s="1412"/>
      <c r="Y171" s="1412"/>
      <c r="Z171" s="3217"/>
      <c r="AA171" s="1412"/>
      <c r="AB171" s="1413"/>
      <c r="AC171" s="2264"/>
    </row>
    <row r="172" spans="1:29" s="1029" customFormat="1" ht="12" customHeight="1">
      <c r="A172" s="1354"/>
      <c r="B172" s="2080" t="s">
        <v>1008</v>
      </c>
      <c r="C172" s="1441">
        <v>215</v>
      </c>
      <c r="D172" s="1412">
        <v>214</v>
      </c>
      <c r="E172" s="1412">
        <v>215</v>
      </c>
      <c r="F172" s="1412">
        <v>215</v>
      </c>
      <c r="G172" s="1412">
        <v>215</v>
      </c>
      <c r="H172" s="1412">
        <v>213</v>
      </c>
      <c r="I172" s="1660">
        <v>214</v>
      </c>
      <c r="J172" s="1412">
        <v>214</v>
      </c>
      <c r="K172" s="1412">
        <v>213</v>
      </c>
      <c r="L172" s="1412">
        <v>203</v>
      </c>
      <c r="M172" s="1412">
        <v>200</v>
      </c>
      <c r="N172" s="1412">
        <v>200</v>
      </c>
      <c r="O172" s="1412">
        <v>170</v>
      </c>
      <c r="P172" s="1412">
        <v>150</v>
      </c>
      <c r="Q172" s="1412">
        <v>130</v>
      </c>
      <c r="R172" s="1412">
        <v>176</v>
      </c>
      <c r="S172" s="1412">
        <v>209</v>
      </c>
      <c r="T172" s="1412">
        <v>211</v>
      </c>
      <c r="U172" s="1412"/>
      <c r="V172" s="1412">
        <v>211</v>
      </c>
      <c r="W172" s="1412">
        <v>213</v>
      </c>
      <c r="X172" s="1412">
        <v>214</v>
      </c>
      <c r="Y172" s="1412">
        <v>213</v>
      </c>
      <c r="Z172" s="3217">
        <v>212</v>
      </c>
      <c r="AA172" s="1412">
        <v>211</v>
      </c>
      <c r="AB172" s="1413">
        <v>211</v>
      </c>
      <c r="AC172" s="2264">
        <v>5094618</v>
      </c>
    </row>
    <row r="173" spans="1:29" s="1029" customFormat="1" ht="12" customHeight="1">
      <c r="A173" s="1350">
        <v>159</v>
      </c>
      <c r="B173" s="2073" t="s">
        <v>1011</v>
      </c>
      <c r="C173" s="1370">
        <v>148</v>
      </c>
      <c r="D173" s="1371">
        <v>148</v>
      </c>
      <c r="E173" s="1371">
        <v>148</v>
      </c>
      <c r="F173" s="1371">
        <v>149</v>
      </c>
      <c r="G173" s="1371">
        <v>151</v>
      </c>
      <c r="H173" s="1371">
        <v>151</v>
      </c>
      <c r="I173" s="1644">
        <v>148</v>
      </c>
      <c r="J173" s="1371">
        <v>148</v>
      </c>
      <c r="K173" s="1371">
        <v>146</v>
      </c>
      <c r="L173" s="1371">
        <v>142</v>
      </c>
      <c r="M173" s="1371">
        <v>140</v>
      </c>
      <c r="N173" s="1371">
        <v>140</v>
      </c>
      <c r="O173" s="1371">
        <v>139</v>
      </c>
      <c r="P173" s="1371">
        <v>138</v>
      </c>
      <c r="Q173" s="1371">
        <v>137</v>
      </c>
      <c r="R173" s="1371">
        <v>138</v>
      </c>
      <c r="S173" s="1371">
        <v>140</v>
      </c>
      <c r="T173" s="1371">
        <v>140</v>
      </c>
      <c r="U173" s="1371"/>
      <c r="V173" s="1371">
        <v>140</v>
      </c>
      <c r="W173" s="1371">
        <v>141</v>
      </c>
      <c r="X173" s="1371">
        <v>141</v>
      </c>
      <c r="Y173" s="1371">
        <v>143</v>
      </c>
      <c r="Z173" s="3194">
        <v>145</v>
      </c>
      <c r="AA173" s="1371">
        <v>145</v>
      </c>
      <c r="AB173" s="1372">
        <v>145</v>
      </c>
      <c r="AC173" s="2246">
        <v>3678527</v>
      </c>
    </row>
    <row r="174" spans="1:29" s="1029" customFormat="1" ht="12" customHeight="1">
      <c r="A174" s="1354"/>
      <c r="B174" s="2073" t="s">
        <v>1012</v>
      </c>
      <c r="C174" s="1506"/>
      <c r="D174" s="1507"/>
      <c r="E174" s="1507"/>
      <c r="F174" s="1507"/>
      <c r="G174" s="1507"/>
      <c r="H174" s="1507"/>
      <c r="I174" s="1648"/>
      <c r="J174" s="1371"/>
      <c r="K174" s="1371"/>
      <c r="L174" s="1371"/>
      <c r="M174" s="1371"/>
      <c r="N174" s="1371"/>
      <c r="O174" s="1371"/>
      <c r="P174" s="1371"/>
      <c r="Q174" s="1371"/>
      <c r="R174" s="1371"/>
      <c r="S174" s="1371"/>
      <c r="T174" s="1371"/>
      <c r="U174" s="1371"/>
      <c r="V174" s="1371"/>
      <c r="W174" s="1371"/>
      <c r="X174" s="1371"/>
      <c r="Y174" s="1371"/>
      <c r="Z174" s="3194"/>
      <c r="AA174" s="1371"/>
      <c r="AB174" s="1372"/>
      <c r="AC174" s="2246"/>
    </row>
    <row r="175" spans="1:29" s="1029" customFormat="1" ht="12" customHeight="1">
      <c r="A175" s="1354"/>
      <c r="B175" s="2073" t="s">
        <v>1036</v>
      </c>
      <c r="C175" s="1506">
        <v>286</v>
      </c>
      <c r="D175" s="1507">
        <v>290</v>
      </c>
      <c r="E175" s="1507">
        <v>302</v>
      </c>
      <c r="F175" s="1507">
        <v>306</v>
      </c>
      <c r="G175" s="1507">
        <v>307</v>
      </c>
      <c r="H175" s="1507">
        <v>324</v>
      </c>
      <c r="I175" s="1648">
        <v>313</v>
      </c>
      <c r="J175" s="1371">
        <v>305</v>
      </c>
      <c r="K175" s="1371">
        <v>290</v>
      </c>
      <c r="L175" s="1371">
        <v>270</v>
      </c>
      <c r="M175" s="1371">
        <v>280</v>
      </c>
      <c r="N175" s="1371">
        <v>265</v>
      </c>
      <c r="O175" s="1371">
        <v>265</v>
      </c>
      <c r="P175" s="1371">
        <v>254</v>
      </c>
      <c r="Q175" s="1371">
        <v>255</v>
      </c>
      <c r="R175" s="1371">
        <v>264</v>
      </c>
      <c r="S175" s="1371">
        <v>263</v>
      </c>
      <c r="T175" s="1371">
        <v>262</v>
      </c>
      <c r="U175" s="1371"/>
      <c r="V175" s="1371">
        <v>270</v>
      </c>
      <c r="W175" s="1371">
        <v>281</v>
      </c>
      <c r="X175" s="1371">
        <v>290</v>
      </c>
      <c r="Y175" s="1371">
        <v>286</v>
      </c>
      <c r="Z175" s="3194">
        <v>291</v>
      </c>
      <c r="AA175" s="1371">
        <v>287</v>
      </c>
      <c r="AB175" s="1372">
        <v>275</v>
      </c>
      <c r="AC175" s="2246">
        <v>6858181</v>
      </c>
    </row>
    <row r="176" spans="1:29" s="1029" customFormat="1" ht="12" customHeight="1">
      <c r="A176" s="1354">
        <v>160</v>
      </c>
      <c r="B176" s="2074" t="s">
        <v>1033</v>
      </c>
      <c r="C176" s="1373"/>
      <c r="D176" s="1356"/>
      <c r="E176" s="1356"/>
      <c r="F176" s="1356"/>
      <c r="G176" s="1356"/>
      <c r="H176" s="1356"/>
      <c r="I176" s="1641"/>
      <c r="J176" s="1357"/>
      <c r="K176" s="1357"/>
      <c r="L176" s="1357"/>
      <c r="M176" s="1357"/>
      <c r="N176" s="1357"/>
      <c r="O176" s="1357"/>
      <c r="P176" s="1357"/>
      <c r="Q176" s="1357"/>
      <c r="R176" s="1357"/>
      <c r="S176" s="1357"/>
      <c r="T176" s="1357"/>
      <c r="U176" s="1357"/>
      <c r="V176" s="1357"/>
      <c r="W176" s="1357"/>
      <c r="X176" s="1357"/>
      <c r="Y176" s="1357"/>
      <c r="Z176" s="3189"/>
      <c r="AA176" s="1357"/>
      <c r="AB176" s="1358"/>
      <c r="AC176" s="2241"/>
    </row>
    <row r="177" spans="1:29" s="1029" customFormat="1" ht="12" customHeight="1">
      <c r="A177" s="1350">
        <v>161</v>
      </c>
      <c r="B177" s="2081" t="s">
        <v>991</v>
      </c>
      <c r="C177" s="1374">
        <v>40</v>
      </c>
      <c r="D177" s="1360">
        <v>40</v>
      </c>
      <c r="E177" s="1360">
        <v>40</v>
      </c>
      <c r="F177" s="1360">
        <v>40</v>
      </c>
      <c r="G177" s="1360">
        <v>40</v>
      </c>
      <c r="H177" s="1360"/>
      <c r="I177" s="1641"/>
      <c r="J177" s="1361"/>
      <c r="K177" s="1361"/>
      <c r="L177" s="1361"/>
      <c r="M177" s="1361"/>
      <c r="N177" s="1361"/>
      <c r="O177" s="1361">
        <v>5</v>
      </c>
      <c r="P177" s="1361">
        <v>6</v>
      </c>
      <c r="Q177" s="1361">
        <v>6</v>
      </c>
      <c r="R177" s="1361">
        <v>24</v>
      </c>
      <c r="S177" s="1361">
        <v>33</v>
      </c>
      <c r="T177" s="1361">
        <v>33</v>
      </c>
      <c r="U177" s="1361"/>
      <c r="V177" s="1361">
        <v>21</v>
      </c>
      <c r="W177" s="1361">
        <v>21</v>
      </c>
      <c r="X177" s="1361">
        <v>21</v>
      </c>
      <c r="Y177" s="1361">
        <v>25</v>
      </c>
      <c r="Z177" s="3190">
        <v>28</v>
      </c>
      <c r="AA177" s="1361">
        <v>26</v>
      </c>
      <c r="AB177" s="1362">
        <v>28</v>
      </c>
      <c r="AC177" s="2242">
        <v>409522</v>
      </c>
    </row>
    <row r="178" spans="1:29" s="1029" customFormat="1" ht="12" customHeight="1">
      <c r="A178" s="1354">
        <v>162</v>
      </c>
      <c r="B178" s="2082" t="s">
        <v>997</v>
      </c>
      <c r="C178" s="1375">
        <v>22</v>
      </c>
      <c r="D178" s="1364">
        <v>22</v>
      </c>
      <c r="E178" s="1364">
        <v>22</v>
      </c>
      <c r="F178" s="1364">
        <v>22</v>
      </c>
      <c r="G178" s="1364">
        <v>22</v>
      </c>
      <c r="H178" s="1364">
        <v>22</v>
      </c>
      <c r="I178" s="1641">
        <v>22</v>
      </c>
      <c r="J178" s="1365">
        <v>20</v>
      </c>
      <c r="K178" s="1365">
        <v>19</v>
      </c>
      <c r="L178" s="1365">
        <v>17</v>
      </c>
      <c r="M178" s="1365">
        <v>17</v>
      </c>
      <c r="N178" s="1365">
        <v>17</v>
      </c>
      <c r="O178" s="1365">
        <v>17</v>
      </c>
      <c r="P178" s="1365">
        <v>17</v>
      </c>
      <c r="Q178" s="1365">
        <v>17</v>
      </c>
      <c r="R178" s="1365">
        <v>17</v>
      </c>
      <c r="S178" s="1365">
        <v>17</v>
      </c>
      <c r="T178" s="1365">
        <v>18</v>
      </c>
      <c r="U178" s="1365"/>
      <c r="V178" s="1365">
        <v>18</v>
      </c>
      <c r="W178" s="1365">
        <v>20</v>
      </c>
      <c r="X178" s="1365">
        <v>21</v>
      </c>
      <c r="Y178" s="1365">
        <v>21</v>
      </c>
      <c r="Z178" s="3191">
        <v>22</v>
      </c>
      <c r="AA178" s="1365">
        <v>21</v>
      </c>
      <c r="AB178" s="1366">
        <v>22</v>
      </c>
      <c r="AC178" s="2243">
        <v>446640</v>
      </c>
    </row>
    <row r="179" spans="1:29" s="1029" customFormat="1" ht="12" customHeight="1">
      <c r="A179" s="1350">
        <v>163</v>
      </c>
      <c r="B179" s="2077" t="s">
        <v>998</v>
      </c>
      <c r="C179" s="1376"/>
      <c r="D179" s="1377"/>
      <c r="E179" s="1377"/>
      <c r="F179" s="1377"/>
      <c r="G179" s="1377"/>
      <c r="H179" s="1377"/>
      <c r="I179" s="1645"/>
      <c r="J179" s="1377"/>
      <c r="K179" s="1377"/>
      <c r="L179" s="1377"/>
      <c r="M179" s="1377"/>
      <c r="N179" s="1377"/>
      <c r="O179" s="1377"/>
      <c r="P179" s="1377"/>
      <c r="Q179" s="1377"/>
      <c r="R179" s="1377"/>
      <c r="S179" s="1377"/>
      <c r="T179" s="1377"/>
      <c r="U179" s="1377"/>
      <c r="V179" s="1377"/>
      <c r="W179" s="1377"/>
      <c r="X179" s="1377"/>
      <c r="Y179" s="1377"/>
      <c r="Z179" s="3195"/>
      <c r="AA179" s="1377"/>
      <c r="AB179" s="1378"/>
      <c r="AC179" s="2247"/>
    </row>
    <row r="180" spans="1:29" s="1029" customFormat="1" ht="12" customHeight="1">
      <c r="A180" s="1354">
        <v>164</v>
      </c>
      <c r="B180" s="2078" t="s">
        <v>999</v>
      </c>
      <c r="C180" s="1370">
        <v>11</v>
      </c>
      <c r="D180" s="1371">
        <v>11</v>
      </c>
      <c r="E180" s="1371">
        <v>8</v>
      </c>
      <c r="F180" s="1371">
        <v>8</v>
      </c>
      <c r="G180" s="1371">
        <v>8</v>
      </c>
      <c r="H180" s="1371">
        <v>11</v>
      </c>
      <c r="I180" s="1644">
        <v>11</v>
      </c>
      <c r="J180" s="1371">
        <v>11</v>
      </c>
      <c r="K180" s="1371">
        <v>11</v>
      </c>
      <c r="L180" s="1371">
        <v>11</v>
      </c>
      <c r="M180" s="1371">
        <v>11</v>
      </c>
      <c r="N180" s="1371">
        <v>11</v>
      </c>
      <c r="O180" s="1371">
        <v>11</v>
      </c>
      <c r="P180" s="1371">
        <v>11</v>
      </c>
      <c r="Q180" s="1371">
        <v>11</v>
      </c>
      <c r="R180" s="1371">
        <v>11</v>
      </c>
      <c r="S180" s="1371">
        <v>11</v>
      </c>
      <c r="T180" s="1371">
        <v>11</v>
      </c>
      <c r="U180" s="1371"/>
      <c r="V180" s="1371">
        <v>11</v>
      </c>
      <c r="W180" s="1371">
        <v>11</v>
      </c>
      <c r="X180" s="1371">
        <v>11</v>
      </c>
      <c r="Y180" s="1371">
        <v>11</v>
      </c>
      <c r="Z180" s="3194">
        <v>11</v>
      </c>
      <c r="AA180" s="1371">
        <v>11</v>
      </c>
      <c r="AB180" s="1372">
        <v>11</v>
      </c>
      <c r="AC180" s="2246">
        <v>232254</v>
      </c>
    </row>
    <row r="181" spans="1:29" s="1029" customFormat="1" ht="12" customHeight="1">
      <c r="A181" s="1350">
        <v>165</v>
      </c>
      <c r="B181" s="2079" t="s">
        <v>1029</v>
      </c>
      <c r="C181" s="1379"/>
      <c r="D181" s="1357"/>
      <c r="E181" s="1357"/>
      <c r="F181" s="1357"/>
      <c r="G181" s="1357"/>
      <c r="H181" s="1357"/>
      <c r="I181" s="1646"/>
      <c r="J181" s="1357"/>
      <c r="K181" s="1357"/>
      <c r="L181" s="1357"/>
      <c r="M181" s="1357"/>
      <c r="N181" s="1357"/>
      <c r="O181" s="1357"/>
      <c r="P181" s="1357"/>
      <c r="Q181" s="1357"/>
      <c r="R181" s="1357"/>
      <c r="S181" s="1357"/>
      <c r="T181" s="1357"/>
      <c r="U181" s="1357"/>
      <c r="V181" s="1357"/>
      <c r="W181" s="1357"/>
      <c r="X181" s="1357"/>
      <c r="Y181" s="1357"/>
      <c r="Z181" s="3189"/>
      <c r="AA181" s="1357"/>
      <c r="AB181" s="1358"/>
      <c r="AC181" s="2266"/>
    </row>
    <row r="182" spans="1:29" s="1029" customFormat="1" ht="12" customHeight="1">
      <c r="A182" s="1354">
        <v>166</v>
      </c>
      <c r="B182" s="2081" t="s">
        <v>993</v>
      </c>
      <c r="C182" s="1384">
        <v>42</v>
      </c>
      <c r="D182" s="1385">
        <v>42</v>
      </c>
      <c r="E182" s="1385">
        <v>42</v>
      </c>
      <c r="F182" s="1385">
        <v>42</v>
      </c>
      <c r="G182" s="1385">
        <v>42</v>
      </c>
      <c r="H182" s="1385">
        <v>42</v>
      </c>
      <c r="I182" s="1648">
        <v>42</v>
      </c>
      <c r="J182" s="1386">
        <v>42</v>
      </c>
      <c r="K182" s="1386"/>
      <c r="L182" s="1386"/>
      <c r="M182" s="1386"/>
      <c r="N182" s="1386"/>
      <c r="O182" s="1386"/>
      <c r="P182" s="1386"/>
      <c r="Q182" s="1386"/>
      <c r="R182" s="1386"/>
      <c r="S182" s="1386"/>
      <c r="T182" s="1386"/>
      <c r="U182" s="1386"/>
      <c r="V182" s="1386"/>
      <c r="W182" s="1386"/>
      <c r="X182" s="1386"/>
      <c r="Y182" s="1386"/>
      <c r="Z182" s="3198"/>
      <c r="AA182" s="1386"/>
      <c r="AB182" s="1387"/>
      <c r="AC182" s="2251">
        <v>334004</v>
      </c>
    </row>
    <row r="183" spans="1:29" s="1029" customFormat="1" ht="12" customHeight="1">
      <c r="A183" s="1350">
        <v>167</v>
      </c>
      <c r="B183" s="2082" t="s">
        <v>994</v>
      </c>
      <c r="C183" s="1396">
        <v>24</v>
      </c>
      <c r="D183" s="1397">
        <v>24</v>
      </c>
      <c r="E183" s="1397">
        <v>24</v>
      </c>
      <c r="F183" s="1397">
        <v>24</v>
      </c>
      <c r="G183" s="1397">
        <v>24</v>
      </c>
      <c r="H183" s="1397">
        <v>24</v>
      </c>
      <c r="I183" s="1647">
        <v>24</v>
      </c>
      <c r="J183" s="1398">
        <v>32</v>
      </c>
      <c r="K183" s="1398">
        <v>32</v>
      </c>
      <c r="L183" s="1398">
        <v>32</v>
      </c>
      <c r="M183" s="1398">
        <v>32</v>
      </c>
      <c r="N183" s="1398">
        <v>32</v>
      </c>
      <c r="O183" s="1398">
        <v>32</v>
      </c>
      <c r="P183" s="1398">
        <v>32</v>
      </c>
      <c r="Q183" s="1398">
        <v>32</v>
      </c>
      <c r="R183" s="1398">
        <v>32</v>
      </c>
      <c r="S183" s="1398">
        <v>32</v>
      </c>
      <c r="T183" s="1398">
        <v>32</v>
      </c>
      <c r="U183" s="1398"/>
      <c r="V183" s="1398">
        <v>32</v>
      </c>
      <c r="W183" s="1398">
        <v>32</v>
      </c>
      <c r="X183" s="1398">
        <v>32</v>
      </c>
      <c r="Y183" s="1398">
        <v>32</v>
      </c>
      <c r="Z183" s="3213">
        <v>32</v>
      </c>
      <c r="AA183" s="1398">
        <v>32</v>
      </c>
      <c r="AB183" s="1399">
        <v>32</v>
      </c>
      <c r="AC183" s="2259">
        <v>620200</v>
      </c>
    </row>
    <row r="184" spans="1:29" s="1029" customFormat="1" ht="12" customHeight="1">
      <c r="A184" s="1354">
        <v>168</v>
      </c>
      <c r="B184" s="2077" t="s">
        <v>996</v>
      </c>
      <c r="C184" s="1414">
        <v>33</v>
      </c>
      <c r="D184" s="1415">
        <v>33</v>
      </c>
      <c r="E184" s="1415">
        <v>33</v>
      </c>
      <c r="F184" s="1415">
        <v>33</v>
      </c>
      <c r="G184" s="1415">
        <v>33</v>
      </c>
      <c r="H184" s="1415">
        <v>33</v>
      </c>
      <c r="I184" s="1659">
        <v>33</v>
      </c>
      <c r="J184" s="1401"/>
      <c r="K184" s="1401"/>
      <c r="L184" s="1401"/>
      <c r="M184" s="1401"/>
      <c r="N184" s="1401">
        <v>10</v>
      </c>
      <c r="O184" s="1401">
        <v>33</v>
      </c>
      <c r="P184" s="1401">
        <v>33</v>
      </c>
      <c r="Q184" s="1401">
        <v>33</v>
      </c>
      <c r="R184" s="1401">
        <v>34</v>
      </c>
      <c r="S184" s="1401">
        <v>34</v>
      </c>
      <c r="T184" s="1401">
        <v>33</v>
      </c>
      <c r="U184" s="1401"/>
      <c r="V184" s="1401">
        <v>33</v>
      </c>
      <c r="W184" s="1401">
        <v>33</v>
      </c>
      <c r="X184" s="1401">
        <v>34</v>
      </c>
      <c r="Y184" s="1401">
        <v>34</v>
      </c>
      <c r="Z184" s="3199">
        <v>34</v>
      </c>
      <c r="AA184" s="1401">
        <v>34</v>
      </c>
      <c r="AB184" s="1402">
        <v>34</v>
      </c>
      <c r="AC184" s="2265">
        <v>613170</v>
      </c>
    </row>
    <row r="185" spans="1:29" s="1029" customFormat="1" ht="12" customHeight="1">
      <c r="A185" s="1350">
        <v>169</v>
      </c>
      <c r="B185" s="2078" t="s">
        <v>995</v>
      </c>
      <c r="C185" s="1370">
        <v>8</v>
      </c>
      <c r="D185" s="1371">
        <v>8</v>
      </c>
      <c r="E185" s="1371">
        <v>8</v>
      </c>
      <c r="F185" s="1371">
        <v>8</v>
      </c>
      <c r="G185" s="1371">
        <v>8</v>
      </c>
      <c r="H185" s="1371">
        <v>8</v>
      </c>
      <c r="I185" s="1644">
        <v>8</v>
      </c>
      <c r="J185" s="1371">
        <v>8</v>
      </c>
      <c r="K185" s="1371">
        <v>8</v>
      </c>
      <c r="L185" s="1371">
        <v>8</v>
      </c>
      <c r="M185" s="1371">
        <v>8</v>
      </c>
      <c r="N185" s="1371">
        <v>8</v>
      </c>
      <c r="O185" s="1371">
        <v>8</v>
      </c>
      <c r="P185" s="1371">
        <v>8</v>
      </c>
      <c r="Q185" s="1371">
        <v>8</v>
      </c>
      <c r="R185" s="1371">
        <v>8</v>
      </c>
      <c r="S185" s="1371">
        <v>8</v>
      </c>
      <c r="T185" s="1371">
        <v>8</v>
      </c>
      <c r="U185" s="1371"/>
      <c r="V185" s="1371">
        <v>52</v>
      </c>
      <c r="W185" s="1371">
        <v>52</v>
      </c>
      <c r="X185" s="1371">
        <v>52</v>
      </c>
      <c r="Y185" s="1371">
        <v>52</v>
      </c>
      <c r="Z185" s="3194">
        <v>52</v>
      </c>
      <c r="AA185" s="1371">
        <v>43</v>
      </c>
      <c r="AB185" s="1372">
        <v>8</v>
      </c>
      <c r="AC185" s="2246">
        <v>391200</v>
      </c>
    </row>
    <row r="186" spans="1:29" s="1029" customFormat="1" ht="12" customHeight="1">
      <c r="A186" s="1354">
        <v>170</v>
      </c>
      <c r="B186" s="2079" t="s">
        <v>992</v>
      </c>
      <c r="C186" s="1355">
        <v>80</v>
      </c>
      <c r="D186" s="1356">
        <v>80</v>
      </c>
      <c r="E186" s="1356">
        <v>80</v>
      </c>
      <c r="F186" s="1356">
        <v>80</v>
      </c>
      <c r="G186" s="1356">
        <v>80</v>
      </c>
      <c r="H186" s="1356">
        <v>72</v>
      </c>
      <c r="I186" s="1641">
        <v>72</v>
      </c>
      <c r="J186" s="1357">
        <v>72</v>
      </c>
      <c r="K186" s="1357">
        <v>45</v>
      </c>
      <c r="L186" s="1357">
        <v>45</v>
      </c>
      <c r="M186" s="1357">
        <v>45</v>
      </c>
      <c r="N186" s="1357">
        <v>45</v>
      </c>
      <c r="O186" s="1357">
        <v>45</v>
      </c>
      <c r="P186" s="1357">
        <v>45</v>
      </c>
      <c r="Q186" s="1357">
        <v>45</v>
      </c>
      <c r="R186" s="1357">
        <v>45</v>
      </c>
      <c r="S186" s="1357">
        <v>45</v>
      </c>
      <c r="T186" s="1357">
        <v>51</v>
      </c>
      <c r="U186" s="1357"/>
      <c r="V186" s="1357">
        <v>79</v>
      </c>
      <c r="W186" s="1357">
        <v>80</v>
      </c>
      <c r="X186" s="1357">
        <v>80</v>
      </c>
      <c r="Y186" s="1357">
        <v>80</v>
      </c>
      <c r="Z186" s="3189">
        <v>80</v>
      </c>
      <c r="AA186" s="1357">
        <v>80</v>
      </c>
      <c r="AB186" s="1358">
        <v>80</v>
      </c>
      <c r="AC186" s="2241">
        <v>1506936</v>
      </c>
    </row>
    <row r="187" spans="1:29" s="1029" customFormat="1" ht="12" customHeight="1">
      <c r="A187" s="1350">
        <v>171</v>
      </c>
      <c r="B187" s="2081" t="s">
        <v>1014</v>
      </c>
      <c r="C187" s="1359"/>
      <c r="D187" s="1360"/>
      <c r="E187" s="1360"/>
      <c r="F187" s="1360"/>
      <c r="G187" s="1360"/>
      <c r="H187" s="1360"/>
      <c r="I187" s="1641"/>
      <c r="J187" s="1361"/>
      <c r="K187" s="1361"/>
      <c r="L187" s="1361"/>
      <c r="M187" s="1361"/>
      <c r="N187" s="1361"/>
      <c r="O187" s="1361"/>
      <c r="P187" s="1361"/>
      <c r="Q187" s="1361"/>
      <c r="R187" s="1361">
        <v>1</v>
      </c>
      <c r="S187" s="1361">
        <v>50</v>
      </c>
      <c r="T187" s="1361">
        <v>50</v>
      </c>
      <c r="U187" s="1361"/>
      <c r="V187" s="1361">
        <v>84</v>
      </c>
      <c r="W187" s="1361">
        <v>155</v>
      </c>
      <c r="X187" s="1361">
        <v>161</v>
      </c>
      <c r="Y187" s="1361">
        <v>172</v>
      </c>
      <c r="Z187" s="3190">
        <v>169</v>
      </c>
      <c r="AA187" s="1361">
        <v>170</v>
      </c>
      <c r="AB187" s="1362">
        <v>170</v>
      </c>
      <c r="AC187" s="2242">
        <v>1027096</v>
      </c>
    </row>
    <row r="188" spans="1:29" s="1029" customFormat="1" ht="12" customHeight="1">
      <c r="A188" s="1354"/>
      <c r="B188" s="2081" t="s">
        <v>1088</v>
      </c>
      <c r="C188" s="1911">
        <v>50</v>
      </c>
      <c r="D188" s="1912">
        <v>50</v>
      </c>
      <c r="E188" s="1912">
        <v>50</v>
      </c>
      <c r="F188" s="1912">
        <v>50</v>
      </c>
      <c r="G188" s="1912">
        <v>50</v>
      </c>
      <c r="H188" s="1912">
        <v>50</v>
      </c>
      <c r="I188" s="1913">
        <v>50</v>
      </c>
      <c r="J188" s="1914">
        <v>50</v>
      </c>
      <c r="K188" s="1914">
        <v>50</v>
      </c>
      <c r="L188" s="1914">
        <v>50</v>
      </c>
      <c r="M188" s="1914">
        <v>50</v>
      </c>
      <c r="N188" s="1914">
        <v>50</v>
      </c>
      <c r="O188" s="1914">
        <v>50</v>
      </c>
      <c r="P188" s="1914">
        <v>70</v>
      </c>
      <c r="Q188" s="1914">
        <v>70</v>
      </c>
      <c r="R188" s="1914">
        <v>80</v>
      </c>
      <c r="S188" s="1914">
        <v>93</v>
      </c>
      <c r="T188" s="1914">
        <v>94</v>
      </c>
      <c r="U188" s="1914"/>
      <c r="V188" s="1914">
        <v>94</v>
      </c>
      <c r="W188" s="1914">
        <v>94</v>
      </c>
      <c r="X188" s="1914">
        <v>94</v>
      </c>
      <c r="Y188" s="1914">
        <v>94</v>
      </c>
      <c r="Z188" s="3218">
        <v>94</v>
      </c>
      <c r="AA188" s="1914">
        <v>94</v>
      </c>
      <c r="AB188" s="1915">
        <v>94</v>
      </c>
      <c r="AC188" s="2242">
        <v>1698432</v>
      </c>
    </row>
    <row r="189" spans="1:29" s="1029" customFormat="1" ht="12" customHeight="1">
      <c r="A189" s="1354">
        <v>172</v>
      </c>
      <c r="B189" s="2077" t="s">
        <v>1085</v>
      </c>
      <c r="C189" s="1388">
        <v>95</v>
      </c>
      <c r="D189" s="1389">
        <v>55</v>
      </c>
      <c r="E189" s="1389">
        <v>55</v>
      </c>
      <c r="F189" s="1389">
        <v>55</v>
      </c>
      <c r="G189" s="1389">
        <v>55</v>
      </c>
      <c r="H189" s="1389">
        <v>55</v>
      </c>
      <c r="I189" s="1649">
        <v>55</v>
      </c>
      <c r="J189" s="1390">
        <v>55</v>
      </c>
      <c r="K189" s="1390">
        <v>55</v>
      </c>
      <c r="L189" s="1390">
        <v>55</v>
      </c>
      <c r="M189" s="1390">
        <v>55</v>
      </c>
      <c r="N189" s="1390">
        <v>55</v>
      </c>
      <c r="O189" s="1390">
        <v>55</v>
      </c>
      <c r="P189" s="1390">
        <v>55</v>
      </c>
      <c r="Q189" s="1390">
        <v>55</v>
      </c>
      <c r="R189" s="1390">
        <v>57</v>
      </c>
      <c r="S189" s="1390">
        <v>57</v>
      </c>
      <c r="T189" s="1390">
        <v>95</v>
      </c>
      <c r="U189" s="1390"/>
      <c r="V189" s="1390">
        <v>95</v>
      </c>
      <c r="W189" s="1390">
        <v>95</v>
      </c>
      <c r="X189" s="1390">
        <v>95</v>
      </c>
      <c r="Y189" s="1390">
        <v>95</v>
      </c>
      <c r="Z189" s="3199">
        <v>95</v>
      </c>
      <c r="AA189" s="1390">
        <v>95</v>
      </c>
      <c r="AB189" s="1391">
        <v>95</v>
      </c>
      <c r="AC189" s="2252">
        <v>1647840</v>
      </c>
    </row>
    <row r="190" spans="1:29" s="1029" customFormat="1" ht="12" customHeight="1">
      <c r="A190" s="1350">
        <v>173</v>
      </c>
      <c r="B190" s="2078" t="s">
        <v>1003</v>
      </c>
      <c r="C190" s="1403"/>
      <c r="D190" s="1404"/>
      <c r="E190" s="1404"/>
      <c r="F190" s="1404"/>
      <c r="G190" s="1404"/>
      <c r="H190" s="1404"/>
      <c r="I190" s="1657"/>
      <c r="J190" s="1404"/>
      <c r="K190" s="1404"/>
      <c r="L190" s="1404"/>
      <c r="M190" s="1404"/>
      <c r="N190" s="1404"/>
      <c r="O190" s="1404"/>
      <c r="P190" s="1404"/>
      <c r="Q190" s="1404"/>
      <c r="R190" s="1404"/>
      <c r="S190" s="1404"/>
      <c r="T190" s="1404"/>
      <c r="U190" s="1404"/>
      <c r="V190" s="1404"/>
      <c r="W190" s="1404"/>
      <c r="X190" s="1404"/>
      <c r="Y190" s="1404"/>
      <c r="Z190" s="3215">
        <v>0</v>
      </c>
      <c r="AA190" s="1404">
        <v>0</v>
      </c>
      <c r="AB190" s="1405">
        <v>0</v>
      </c>
      <c r="AC190" s="2262"/>
    </row>
    <row r="191" spans="1:29" s="1033" customFormat="1" ht="15" customHeight="1">
      <c r="A191" s="1350">
        <v>175</v>
      </c>
      <c r="B191" s="2079" t="s">
        <v>1004</v>
      </c>
      <c r="C191" s="1488"/>
      <c r="D191" s="1487"/>
      <c r="E191" s="1487"/>
      <c r="F191" s="1487"/>
      <c r="G191" s="1487"/>
      <c r="H191" s="1487"/>
      <c r="I191" s="1661"/>
      <c r="J191" s="1486"/>
      <c r="K191" s="1486"/>
      <c r="L191" s="1486"/>
      <c r="M191" s="1486"/>
      <c r="N191" s="1486"/>
      <c r="O191" s="1486"/>
      <c r="P191" s="1486"/>
      <c r="Q191" s="1486"/>
      <c r="R191" s="1486"/>
      <c r="S191" s="1486"/>
      <c r="T191" s="1486"/>
      <c r="U191" s="1486"/>
      <c r="V191" s="1486"/>
      <c r="W191" s="1486"/>
      <c r="X191" s="1486"/>
      <c r="Y191" s="1486"/>
      <c r="Z191" s="3197">
        <v>0</v>
      </c>
      <c r="AA191" s="1486">
        <v>0</v>
      </c>
      <c r="AB191" s="1485">
        <v>0</v>
      </c>
      <c r="AC191" s="2250"/>
    </row>
    <row r="192" spans="1:29" s="1033" customFormat="1" ht="15" customHeight="1">
      <c r="A192" s="1354">
        <v>176</v>
      </c>
      <c r="B192" s="2075" t="s">
        <v>1016</v>
      </c>
      <c r="C192" s="1484">
        <v>56</v>
      </c>
      <c r="D192" s="1483">
        <v>56</v>
      </c>
      <c r="E192" s="1483">
        <v>56</v>
      </c>
      <c r="F192" s="1483">
        <v>56</v>
      </c>
      <c r="G192" s="1483">
        <v>56</v>
      </c>
      <c r="H192" s="1483">
        <v>56</v>
      </c>
      <c r="I192" s="1661">
        <v>56</v>
      </c>
      <c r="J192" s="1482">
        <v>56</v>
      </c>
      <c r="K192" s="1482">
        <v>56</v>
      </c>
      <c r="L192" s="1482">
        <v>56</v>
      </c>
      <c r="M192" s="1482">
        <v>56</v>
      </c>
      <c r="N192" s="1482">
        <v>56</v>
      </c>
      <c r="O192" s="1482">
        <v>55</v>
      </c>
      <c r="P192" s="1482">
        <v>55</v>
      </c>
      <c r="Q192" s="1482">
        <v>54</v>
      </c>
      <c r="R192" s="1482">
        <v>89</v>
      </c>
      <c r="S192" s="1482">
        <v>81</v>
      </c>
      <c r="T192" s="1482">
        <v>88</v>
      </c>
      <c r="U192" s="1482"/>
      <c r="V192" s="1482">
        <v>91</v>
      </c>
      <c r="W192" s="1482">
        <v>91</v>
      </c>
      <c r="X192" s="1482">
        <v>91</v>
      </c>
      <c r="Y192" s="1482">
        <v>91</v>
      </c>
      <c r="Z192" s="3216">
        <v>91</v>
      </c>
      <c r="AA192" s="1482">
        <v>91</v>
      </c>
      <c r="AB192" s="1481">
        <v>56</v>
      </c>
      <c r="AC192" s="2263">
        <v>1605427</v>
      </c>
    </row>
    <row r="193" spans="1:35" s="1033" customFormat="1" ht="15" customHeight="1">
      <c r="A193" s="1350">
        <v>177</v>
      </c>
      <c r="B193" s="2086" t="s">
        <v>1039</v>
      </c>
      <c r="C193" s="1480"/>
      <c r="D193" s="1479"/>
      <c r="E193" s="1479"/>
      <c r="F193" s="1479"/>
      <c r="G193" s="1479"/>
      <c r="H193" s="1479">
        <v>0</v>
      </c>
      <c r="I193" s="1661">
        <v>1</v>
      </c>
      <c r="J193" s="1478">
        <v>2</v>
      </c>
      <c r="K193" s="1478">
        <v>6</v>
      </c>
      <c r="L193" s="1478">
        <v>7</v>
      </c>
      <c r="M193" s="1478">
        <v>7</v>
      </c>
      <c r="N193" s="1478">
        <v>8</v>
      </c>
      <c r="O193" s="1478">
        <v>7</v>
      </c>
      <c r="P193" s="1478">
        <v>7</v>
      </c>
      <c r="Q193" s="1478">
        <v>6</v>
      </c>
      <c r="R193" s="1478">
        <v>5</v>
      </c>
      <c r="S193" s="1478">
        <v>4</v>
      </c>
      <c r="T193" s="1478">
        <v>1</v>
      </c>
      <c r="U193" s="1478"/>
      <c r="V193" s="1478"/>
      <c r="W193" s="1478"/>
      <c r="X193" s="1478"/>
      <c r="Y193" s="1478"/>
      <c r="Z193" s="3213"/>
      <c r="AA193" s="1478"/>
      <c r="AB193" s="1477"/>
      <c r="AC193" s="2259">
        <v>61492</v>
      </c>
    </row>
    <row r="194" spans="1:35" s="1034" customFormat="1" ht="15" customHeight="1" thickBot="1">
      <c r="A194" s="1416">
        <v>178</v>
      </c>
      <c r="B194" s="2087" t="s">
        <v>1341</v>
      </c>
      <c r="C194" s="1476">
        <v>34</v>
      </c>
      <c r="D194" s="1475">
        <v>34</v>
      </c>
      <c r="E194" s="1475">
        <v>34</v>
      </c>
      <c r="F194" s="1475">
        <v>34</v>
      </c>
      <c r="G194" s="1475">
        <v>34</v>
      </c>
      <c r="H194" s="1475">
        <v>34</v>
      </c>
      <c r="I194" s="1662">
        <v>34</v>
      </c>
      <c r="J194" s="1475">
        <v>34</v>
      </c>
      <c r="K194" s="1475">
        <v>34</v>
      </c>
      <c r="L194" s="1475">
        <v>34</v>
      </c>
      <c r="M194" s="1475">
        <v>34</v>
      </c>
      <c r="N194" s="1475">
        <v>34</v>
      </c>
      <c r="O194" s="1475">
        <v>34</v>
      </c>
      <c r="P194" s="1475">
        <v>34</v>
      </c>
      <c r="Q194" s="1475">
        <v>34</v>
      </c>
      <c r="R194" s="1475">
        <v>34</v>
      </c>
      <c r="S194" s="1475">
        <v>72</v>
      </c>
      <c r="T194" s="1475">
        <v>72</v>
      </c>
      <c r="U194" s="1475"/>
      <c r="V194" s="1475">
        <v>90</v>
      </c>
      <c r="W194" s="1475">
        <v>90</v>
      </c>
      <c r="X194" s="1475">
        <v>90</v>
      </c>
      <c r="Y194" s="1475">
        <v>90</v>
      </c>
      <c r="Z194" s="3199">
        <v>90</v>
      </c>
      <c r="AA194" s="1475">
        <v>90</v>
      </c>
      <c r="AB194" s="1474">
        <v>90</v>
      </c>
      <c r="AC194" s="2260">
        <v>1260288</v>
      </c>
      <c r="AG194" s="1033"/>
    </row>
    <row r="195" spans="1:35" s="1028" customFormat="1" ht="19.5" thickBot="1">
      <c r="A195" s="1416">
        <v>178</v>
      </c>
      <c r="B195" s="2091"/>
      <c r="C195" s="1417"/>
      <c r="D195" s="1417"/>
      <c r="E195" s="1417"/>
      <c r="F195" s="1417"/>
      <c r="G195" s="1417"/>
      <c r="H195" s="1417"/>
      <c r="I195" s="1663"/>
      <c r="J195" s="1417"/>
      <c r="K195" s="1417"/>
      <c r="L195" s="1417"/>
      <c r="M195" s="1417"/>
      <c r="N195" s="1417"/>
      <c r="O195" s="1417"/>
      <c r="P195" s="1417"/>
      <c r="Q195" s="1417"/>
      <c r="R195" s="1417"/>
      <c r="S195" s="1417"/>
      <c r="T195" s="1417"/>
      <c r="U195" s="1417"/>
      <c r="V195" s="1417"/>
      <c r="W195" s="1417"/>
      <c r="X195" s="1417"/>
      <c r="Y195" s="1417"/>
      <c r="Z195" s="3219"/>
      <c r="AA195" s="1417"/>
      <c r="AB195" s="1417"/>
      <c r="AC195" s="2267"/>
      <c r="AD195" s="1042"/>
      <c r="AE195" s="1042"/>
      <c r="AF195" s="1042"/>
      <c r="AG195" s="1033"/>
      <c r="AH195" s="1042"/>
      <c r="AI195" s="1042"/>
    </row>
    <row r="196" spans="1:35" s="1028" customFormat="1" ht="18.75" thickBot="1">
      <c r="A196" s="1469">
        <v>179</v>
      </c>
      <c r="B196" s="2281" t="s">
        <v>739</v>
      </c>
      <c r="C196" s="2268">
        <v>4482</v>
      </c>
      <c r="D196" s="2268">
        <v>4468</v>
      </c>
      <c r="E196" s="2268">
        <v>4469</v>
      </c>
      <c r="F196" s="2268">
        <v>4478</v>
      </c>
      <c r="G196" s="2268">
        <v>4457</v>
      </c>
      <c r="H196" s="2268">
        <v>4323</v>
      </c>
      <c r="I196" s="2268">
        <v>4289</v>
      </c>
      <c r="J196" s="2268">
        <v>4231</v>
      </c>
      <c r="K196" s="2268">
        <v>4085</v>
      </c>
      <c r="L196" s="2268">
        <v>4032</v>
      </c>
      <c r="M196" s="2268">
        <v>4062</v>
      </c>
      <c r="N196" s="2268">
        <v>3986</v>
      </c>
      <c r="O196" s="2268">
        <v>3961</v>
      </c>
      <c r="P196" s="2268">
        <v>3931</v>
      </c>
      <c r="Q196" s="2268">
        <v>3859</v>
      </c>
      <c r="R196" s="2268">
        <v>3959</v>
      </c>
      <c r="S196" s="2268">
        <v>4068</v>
      </c>
      <c r="T196" s="2268">
        <v>4202</v>
      </c>
      <c r="U196" s="2268"/>
      <c r="V196" s="2268">
        <v>4382</v>
      </c>
      <c r="W196" s="2268">
        <v>4721</v>
      </c>
      <c r="X196" s="2268">
        <v>4869</v>
      </c>
      <c r="Y196" s="2268">
        <v>4894</v>
      </c>
      <c r="Z196" s="3220">
        <v>4942</v>
      </c>
      <c r="AA196" s="2268">
        <v>4777</v>
      </c>
      <c r="AB196" s="2268">
        <v>4704</v>
      </c>
      <c r="AC196" s="2268">
        <v>106939682</v>
      </c>
      <c r="AD196" s="2406"/>
      <c r="AE196" s="1042"/>
      <c r="AF196" s="1042"/>
      <c r="AG196" s="2890">
        <f>SUM(AC132:AC195)</f>
        <v>106939682</v>
      </c>
      <c r="AH196" s="1042"/>
      <c r="AI196" s="1042"/>
    </row>
    <row r="197" spans="1:35" s="2283" customFormat="1" ht="18.75">
      <c r="B197" s="2286" t="s">
        <v>1136</v>
      </c>
      <c r="C197" s="2556">
        <f>C196+C131</f>
        <v>11031</v>
      </c>
      <c r="D197" s="2556">
        <f t="shared" ref="D197:V197" si="0">D196+D131</f>
        <v>10777</v>
      </c>
      <c r="E197" s="2556">
        <f t="shared" si="0"/>
        <v>10775</v>
      </c>
      <c r="F197" s="2556">
        <f t="shared" si="0"/>
        <v>10715</v>
      </c>
      <c r="G197" s="2556">
        <f t="shared" si="0"/>
        <v>10746</v>
      </c>
      <c r="H197" s="2285">
        <f t="shared" si="0"/>
        <v>10420</v>
      </c>
      <c r="I197" s="2285">
        <f t="shared" si="0"/>
        <v>10450</v>
      </c>
      <c r="J197" s="2285">
        <f t="shared" si="0"/>
        <v>10290</v>
      </c>
      <c r="K197" s="2285">
        <f t="shared" si="0"/>
        <v>10149</v>
      </c>
      <c r="L197" s="2285">
        <f t="shared" si="0"/>
        <v>9955</v>
      </c>
      <c r="M197" s="2285">
        <f t="shared" si="0"/>
        <v>10102</v>
      </c>
      <c r="N197" s="2285">
        <f t="shared" si="0"/>
        <v>9911</v>
      </c>
      <c r="O197" s="2285">
        <f t="shared" si="0"/>
        <v>10176</v>
      </c>
      <c r="P197" s="2285">
        <f t="shared" si="0"/>
        <v>10341</v>
      </c>
      <c r="Q197" s="2285">
        <f t="shared" si="0"/>
        <v>10456</v>
      </c>
      <c r="R197" s="2285">
        <f t="shared" si="0"/>
        <v>10442</v>
      </c>
      <c r="S197" s="2285">
        <f t="shared" si="0"/>
        <v>10805</v>
      </c>
      <c r="T197" s="2285">
        <f t="shared" si="0"/>
        <v>11180</v>
      </c>
      <c r="U197" s="2285">
        <f t="shared" si="0"/>
        <v>0</v>
      </c>
      <c r="V197" s="2285">
        <f t="shared" si="0"/>
        <v>12019</v>
      </c>
      <c r="W197" s="2285">
        <f t="shared" ref="W197:AA197" si="1">W196+W131</f>
        <v>12486</v>
      </c>
      <c r="X197" s="2285">
        <f t="shared" si="1"/>
        <v>12690</v>
      </c>
      <c r="Y197" s="2285">
        <f t="shared" si="1"/>
        <v>13227</v>
      </c>
      <c r="Z197" s="2285">
        <f>Z196+Z131</f>
        <v>13223</v>
      </c>
      <c r="AA197" s="2285">
        <f t="shared" si="1"/>
        <v>12994</v>
      </c>
      <c r="AB197" s="2285">
        <f>AB196+AB131</f>
        <v>12159</v>
      </c>
      <c r="AC197" s="2285">
        <f>AC196+AC131</f>
        <v>268039474</v>
      </c>
      <c r="AD197" s="2284"/>
      <c r="AE197" s="2284"/>
      <c r="AF197" s="2284"/>
      <c r="AG197" s="2282"/>
      <c r="AH197" s="2284"/>
      <c r="AI197" s="2284"/>
    </row>
    <row r="198" spans="1:35" s="1028" customFormat="1">
      <c r="B198" s="5"/>
      <c r="C198" s="1035"/>
      <c r="D198" s="1035"/>
      <c r="E198" s="1035"/>
      <c r="F198" s="1035"/>
      <c r="G198" s="1035"/>
      <c r="H198" s="1035"/>
      <c r="I198" s="1664"/>
      <c r="J198" s="1035"/>
      <c r="K198" s="1035"/>
      <c r="L198" s="1035"/>
      <c r="M198" s="1036"/>
      <c r="N198" s="1035"/>
      <c r="O198" s="1035"/>
      <c r="P198" s="1035"/>
      <c r="Q198" s="1035"/>
      <c r="R198" s="1035"/>
      <c r="S198" s="1035"/>
      <c r="T198" s="1035"/>
      <c r="U198" s="1035"/>
      <c r="V198" s="1035"/>
      <c r="W198" s="1035"/>
      <c r="X198" s="1035"/>
      <c r="Y198" s="1035"/>
      <c r="Z198" s="1045"/>
      <c r="AA198" s="1035"/>
      <c r="AB198" s="1035"/>
      <c r="AC198" s="2269"/>
      <c r="AD198" s="1042"/>
      <c r="AE198" s="1042"/>
      <c r="AF198" s="1042"/>
      <c r="AG198" s="1042"/>
      <c r="AH198" s="1042"/>
      <c r="AI198" s="1042"/>
    </row>
    <row r="199" spans="1:35" s="1028" customFormat="1">
      <c r="B199" s="5"/>
      <c r="C199" s="1035"/>
      <c r="D199" s="1035"/>
      <c r="E199" s="1035"/>
      <c r="F199" s="1035"/>
      <c r="G199" s="1035"/>
      <c r="H199" s="1035"/>
      <c r="I199" s="1664"/>
      <c r="J199" s="1035"/>
      <c r="K199" s="1035"/>
      <c r="L199" s="1035"/>
      <c r="M199" s="1036"/>
      <c r="N199" s="1035"/>
      <c r="O199" s="1035"/>
      <c r="P199" s="1035"/>
      <c r="Q199" s="1035"/>
      <c r="R199" s="1035"/>
      <c r="S199" s="1035"/>
      <c r="T199" s="1035"/>
      <c r="U199" s="1035"/>
      <c r="V199" s="1035"/>
      <c r="W199" s="1035"/>
      <c r="X199" s="1035"/>
      <c r="Y199" s="1035"/>
      <c r="Z199" s="1045"/>
      <c r="AA199" s="1035"/>
      <c r="AB199" s="1035"/>
      <c r="AC199" s="2269"/>
      <c r="AD199" s="1042"/>
      <c r="AE199" s="1042"/>
      <c r="AF199" s="1042"/>
      <c r="AG199" s="1042"/>
      <c r="AH199" s="1042"/>
      <c r="AI199" s="1042"/>
    </row>
    <row r="200" spans="1:35" s="1028" customFormat="1">
      <c r="B200" s="5"/>
      <c r="C200" s="1035"/>
      <c r="D200" s="1035"/>
      <c r="E200" s="1035"/>
      <c r="F200" s="1035"/>
      <c r="G200" s="1035"/>
      <c r="H200" s="1035"/>
      <c r="I200" s="1664"/>
      <c r="J200" s="1035"/>
      <c r="K200" s="1035"/>
      <c r="L200" s="1035"/>
      <c r="M200" s="1036"/>
      <c r="N200" s="1035"/>
      <c r="O200" s="1035"/>
      <c r="P200" s="1035"/>
      <c r="Q200" s="1035"/>
      <c r="R200" s="1035"/>
      <c r="S200" s="1035"/>
      <c r="T200" s="1035"/>
      <c r="U200" s="1035"/>
      <c r="V200" s="1035"/>
      <c r="W200" s="1035"/>
      <c r="X200" s="1035"/>
      <c r="Y200" s="1035"/>
      <c r="Z200" s="1045"/>
      <c r="AA200" s="1035"/>
      <c r="AB200" s="1035"/>
      <c r="AC200" s="2269"/>
      <c r="AD200" s="1042"/>
      <c r="AE200" s="1042"/>
      <c r="AF200" s="1042"/>
      <c r="AG200" s="1042"/>
      <c r="AH200" s="1042"/>
      <c r="AI200" s="1042"/>
    </row>
    <row r="201" spans="1:35" s="1028" customFormat="1">
      <c r="B201" s="5"/>
      <c r="C201" s="1035"/>
      <c r="D201" s="1035"/>
      <c r="E201" s="1035"/>
      <c r="F201" s="1035"/>
      <c r="G201" s="1035"/>
      <c r="H201" s="1035"/>
      <c r="I201" s="1664"/>
      <c r="J201" s="1035"/>
      <c r="K201" s="1035"/>
      <c r="L201" s="1035"/>
      <c r="M201" s="1036"/>
      <c r="N201" s="1035"/>
      <c r="O201" s="1035"/>
      <c r="P201" s="1035"/>
      <c r="Q201" s="1035"/>
      <c r="R201" s="1035"/>
      <c r="S201" s="1035"/>
      <c r="T201" s="1035"/>
      <c r="U201" s="1035"/>
      <c r="V201" s="1035"/>
      <c r="W201" s="1035"/>
      <c r="X201" s="1035"/>
      <c r="Y201" s="1035"/>
      <c r="Z201" s="1045"/>
      <c r="AA201" s="1035"/>
      <c r="AB201" s="1035"/>
      <c r="AC201" s="2269"/>
      <c r="AD201" s="1042"/>
      <c r="AE201" s="1042"/>
      <c r="AF201" s="1042"/>
      <c r="AG201" s="1042"/>
      <c r="AH201" s="1042"/>
      <c r="AI201" s="1042"/>
    </row>
    <row r="202" spans="1:35" s="1028" customFormat="1">
      <c r="B202" s="5"/>
      <c r="C202" s="1035"/>
      <c r="D202" s="1035"/>
      <c r="E202" s="1035"/>
      <c r="F202" s="1035"/>
      <c r="G202" s="1035"/>
      <c r="H202" s="1035"/>
      <c r="I202" s="1664"/>
      <c r="J202" s="1035"/>
      <c r="K202" s="1035"/>
      <c r="L202" s="1035"/>
      <c r="M202" s="1036"/>
      <c r="N202" s="1035"/>
      <c r="O202" s="1035"/>
      <c r="P202" s="1035"/>
      <c r="Q202" s="1035"/>
      <c r="R202" s="1035"/>
      <c r="S202" s="1035"/>
      <c r="T202" s="1035"/>
      <c r="U202" s="1035"/>
      <c r="V202" s="1035"/>
      <c r="W202" s="1035"/>
      <c r="X202" s="1035"/>
      <c r="Y202" s="1035"/>
      <c r="Z202" s="1045"/>
      <c r="AA202" s="1035"/>
      <c r="AB202" s="1035"/>
      <c r="AC202" s="2269"/>
      <c r="AD202" s="1042"/>
      <c r="AE202" s="1042"/>
      <c r="AF202" s="1042"/>
      <c r="AG202" s="1042"/>
      <c r="AH202" s="1042"/>
      <c r="AI202" s="1042"/>
    </row>
    <row r="203" spans="1:35">
      <c r="AC203" s="2270">
        <f>AC196+AC131</f>
        <v>268039474</v>
      </c>
      <c r="AD203" s="1043"/>
      <c r="AE203" s="1043"/>
      <c r="AF203" s="1043"/>
      <c r="AG203" s="2897">
        <f>AG131+AG196</f>
        <v>265043074</v>
      </c>
      <c r="AH203" s="1043"/>
      <c r="AI203" s="1043"/>
    </row>
    <row r="204" spans="1:35">
      <c r="AD204" s="1043"/>
      <c r="AE204" s="1043"/>
      <c r="AF204" s="1043"/>
      <c r="AG204" s="2897">
        <f>AG203-AC203</f>
        <v>-2996400</v>
      </c>
      <c r="AH204" s="1043"/>
      <c r="AI204" s="1043"/>
    </row>
    <row r="205" spans="1:35">
      <c r="AD205" s="1043"/>
      <c r="AE205" s="1043"/>
      <c r="AF205" s="1043"/>
      <c r="AG205" s="1043"/>
      <c r="AH205" s="1043"/>
      <c r="AI205" s="1043"/>
    </row>
    <row r="206" spans="1:35">
      <c r="AD206" s="1043"/>
      <c r="AE206" s="1043"/>
      <c r="AF206" s="1043"/>
      <c r="AG206" s="1043"/>
      <c r="AH206" s="1043"/>
      <c r="AI206" s="1043"/>
    </row>
    <row r="207" spans="1:35">
      <c r="AD207" s="1043"/>
      <c r="AE207" s="1043"/>
      <c r="AF207" s="1043"/>
      <c r="AG207" s="1043"/>
      <c r="AH207" s="1043"/>
      <c r="AI207" s="1043"/>
    </row>
    <row r="208" spans="1:35">
      <c r="AD208" s="1043"/>
      <c r="AE208" s="1043"/>
      <c r="AF208" s="1043"/>
      <c r="AG208" s="1043"/>
      <c r="AH208" s="1043"/>
      <c r="AI208" s="1043"/>
    </row>
    <row r="209" spans="30:35">
      <c r="AD209" s="1043"/>
      <c r="AE209" s="1043"/>
      <c r="AF209" s="1043"/>
      <c r="AG209" s="1043"/>
      <c r="AH209" s="1043"/>
      <c r="AI209" s="1043"/>
    </row>
    <row r="210" spans="30:35">
      <c r="AD210" s="1043"/>
      <c r="AE210" s="1043"/>
      <c r="AF210" s="1043"/>
      <c r="AG210" s="1043"/>
      <c r="AH210" s="1043"/>
      <c r="AI210" s="1043"/>
    </row>
    <row r="211" spans="30:35">
      <c r="AD211" s="1043"/>
      <c r="AE211" s="1043"/>
      <c r="AF211" s="1043"/>
      <c r="AG211" s="1043"/>
      <c r="AH211" s="1043"/>
      <c r="AI211" s="1043"/>
    </row>
    <row r="212" spans="30:35">
      <c r="AD212" s="1043"/>
      <c r="AE212" s="1043"/>
      <c r="AF212" s="1043"/>
      <c r="AG212" s="1043"/>
      <c r="AH212" s="1043"/>
      <c r="AI212" s="1043"/>
    </row>
    <row r="213" spans="30:35">
      <c r="AD213" s="1043"/>
      <c r="AE213" s="1043"/>
      <c r="AF213" s="1043"/>
      <c r="AG213" s="1043"/>
      <c r="AH213" s="1043"/>
      <c r="AI213" s="1043"/>
    </row>
    <row r="214" spans="30:35">
      <c r="AD214" s="1043"/>
      <c r="AE214" s="1043"/>
      <c r="AF214" s="1043"/>
      <c r="AG214" s="1043"/>
      <c r="AH214" s="1043"/>
      <c r="AI214" s="1043"/>
    </row>
    <row r="215" spans="30:35">
      <c r="AD215" s="1043"/>
      <c r="AE215" s="1043"/>
      <c r="AF215" s="1043"/>
      <c r="AG215" s="1043"/>
      <c r="AH215" s="1043"/>
      <c r="AI215" s="1043"/>
    </row>
    <row r="216" spans="30:35">
      <c r="AD216" s="1043"/>
      <c r="AE216" s="1043"/>
      <c r="AF216" s="1043"/>
      <c r="AG216" s="1043"/>
      <c r="AH216" s="1043"/>
      <c r="AI216" s="1043"/>
    </row>
    <row r="217" spans="30:35">
      <c r="AD217" s="1043"/>
      <c r="AE217" s="1043"/>
      <c r="AF217" s="1043"/>
      <c r="AG217" s="1043"/>
      <c r="AH217" s="1043"/>
      <c r="AI217" s="1043"/>
    </row>
    <row r="218" spans="30:35">
      <c r="AD218" s="1043"/>
      <c r="AE218" s="1043"/>
      <c r="AF218" s="1043"/>
      <c r="AG218" s="1043"/>
      <c r="AH218" s="1043"/>
      <c r="AI218" s="1043"/>
    </row>
    <row r="219" spans="30:35">
      <c r="AD219" s="1043"/>
      <c r="AE219" s="1043"/>
      <c r="AF219" s="1043"/>
      <c r="AG219" s="1043"/>
      <c r="AH219" s="1043"/>
      <c r="AI219" s="1043"/>
    </row>
    <row r="220" spans="30:35">
      <c r="AD220" s="1043"/>
      <c r="AE220" s="1043"/>
      <c r="AF220" s="1043"/>
      <c r="AG220" s="1043"/>
      <c r="AH220" s="1043"/>
      <c r="AI220" s="1043"/>
    </row>
    <row r="221" spans="30:35">
      <c r="AD221" s="1043"/>
      <c r="AE221" s="1043"/>
      <c r="AF221" s="1043"/>
      <c r="AG221" s="1043"/>
      <c r="AH221" s="1043"/>
      <c r="AI221" s="1043"/>
    </row>
    <row r="222" spans="30:35">
      <c r="AD222" s="1043"/>
      <c r="AE222" s="1043"/>
      <c r="AF222" s="1043"/>
      <c r="AG222" s="1043"/>
      <c r="AH222" s="1043"/>
      <c r="AI222" s="1043"/>
    </row>
    <row r="223" spans="30:35">
      <c r="AD223" s="1043"/>
      <c r="AE223" s="1043"/>
      <c r="AF223" s="1043"/>
      <c r="AG223" s="1043"/>
      <c r="AH223" s="1043"/>
      <c r="AI223" s="1043"/>
    </row>
    <row r="224" spans="30:35">
      <c r="AD224" s="1043"/>
      <c r="AE224" s="1043"/>
      <c r="AF224" s="1043"/>
      <c r="AG224" s="1043"/>
      <c r="AH224" s="1043"/>
      <c r="AI224" s="1043"/>
    </row>
    <row r="225" spans="30:35">
      <c r="AD225" s="1043"/>
      <c r="AE225" s="1043"/>
      <c r="AF225" s="1043"/>
      <c r="AG225" s="1043"/>
      <c r="AH225" s="1043"/>
      <c r="AI225" s="1043"/>
    </row>
    <row r="226" spans="30:35">
      <c r="AD226" s="1043"/>
      <c r="AE226" s="1043"/>
      <c r="AF226" s="1043"/>
      <c r="AG226" s="1043"/>
      <c r="AH226" s="1043"/>
      <c r="AI226" s="1043"/>
    </row>
    <row r="227" spans="30:35">
      <c r="AD227" s="1043"/>
      <c r="AE227" s="1043"/>
      <c r="AF227" s="1043"/>
      <c r="AG227" s="1043"/>
      <c r="AH227" s="1043"/>
      <c r="AI227" s="1043"/>
    </row>
    <row r="228" spans="30:35">
      <c r="AD228" s="1043"/>
      <c r="AE228" s="1043"/>
      <c r="AF228" s="1043"/>
      <c r="AG228" s="1043"/>
      <c r="AH228" s="1043"/>
      <c r="AI228" s="1043"/>
    </row>
    <row r="229" spans="30:35">
      <c r="AD229" s="1043"/>
      <c r="AE229" s="1043"/>
      <c r="AF229" s="1043"/>
      <c r="AG229" s="1043"/>
      <c r="AH229" s="1043"/>
      <c r="AI229" s="1043"/>
    </row>
    <row r="230" spans="30:35">
      <c r="AD230" s="1043"/>
      <c r="AE230" s="1043"/>
      <c r="AF230" s="1043"/>
      <c r="AG230" s="1043"/>
      <c r="AH230" s="1043"/>
      <c r="AI230" s="1043"/>
    </row>
    <row r="231" spans="30:35">
      <c r="AD231" s="1043"/>
      <c r="AE231" s="1043"/>
      <c r="AF231" s="1043"/>
      <c r="AG231" s="1043"/>
      <c r="AH231" s="1043"/>
      <c r="AI231" s="1043"/>
    </row>
    <row r="232" spans="30:35">
      <c r="AD232" s="1043"/>
      <c r="AE232" s="1043"/>
      <c r="AF232" s="1043"/>
      <c r="AG232" s="1043"/>
      <c r="AH232" s="1043"/>
      <c r="AI232" s="1043"/>
    </row>
    <row r="233" spans="30:35">
      <c r="AD233" s="1043"/>
      <c r="AE233" s="1043"/>
      <c r="AF233" s="1043"/>
      <c r="AG233" s="1043"/>
      <c r="AH233" s="1043"/>
      <c r="AI233" s="1043"/>
    </row>
    <row r="234" spans="30:35">
      <c r="AD234" s="1043"/>
      <c r="AE234" s="1043"/>
      <c r="AF234" s="1043"/>
      <c r="AG234" s="1043"/>
      <c r="AH234" s="1043"/>
      <c r="AI234" s="1043"/>
    </row>
    <row r="235" spans="30:35">
      <c r="AD235" s="1043"/>
      <c r="AE235" s="1043"/>
      <c r="AF235" s="1043"/>
      <c r="AG235" s="1043"/>
      <c r="AH235" s="1043"/>
      <c r="AI235" s="1043"/>
    </row>
    <row r="236" spans="30:35">
      <c r="AD236" s="1043"/>
      <c r="AE236" s="1043"/>
      <c r="AF236" s="1043"/>
      <c r="AG236" s="1043"/>
      <c r="AH236" s="1043"/>
      <c r="AI236" s="1043"/>
    </row>
    <row r="237" spans="30:35">
      <c r="AD237" s="1043"/>
      <c r="AE237" s="1043"/>
      <c r="AF237" s="1043"/>
      <c r="AG237" s="1043"/>
      <c r="AH237" s="1043"/>
      <c r="AI237" s="1043"/>
    </row>
    <row r="238" spans="30:35">
      <c r="AD238" s="1043"/>
      <c r="AE238" s="1043"/>
      <c r="AF238" s="1043"/>
      <c r="AG238" s="1043"/>
      <c r="AH238" s="1043"/>
      <c r="AI238" s="1043"/>
    </row>
    <row r="239" spans="30:35">
      <c r="AD239" s="1043"/>
      <c r="AE239" s="1043"/>
      <c r="AF239" s="1043"/>
      <c r="AG239" s="1043"/>
      <c r="AH239" s="1043"/>
      <c r="AI239" s="1043"/>
    </row>
    <row r="240" spans="30:35">
      <c r="AD240" s="1043"/>
      <c r="AE240" s="1043"/>
      <c r="AF240" s="1043"/>
      <c r="AG240" s="1043"/>
      <c r="AH240" s="1043"/>
      <c r="AI240" s="1043"/>
    </row>
    <row r="241" spans="30:35">
      <c r="AD241" s="1043"/>
      <c r="AE241" s="1043"/>
      <c r="AF241" s="1043"/>
      <c r="AG241" s="1043"/>
      <c r="AH241" s="1043"/>
      <c r="AI241" s="1043"/>
    </row>
    <row r="242" spans="30:35">
      <c r="AD242" s="1043"/>
      <c r="AE242" s="1043"/>
      <c r="AF242" s="1043"/>
      <c r="AG242" s="1043"/>
      <c r="AH242" s="1043"/>
      <c r="AI242" s="1043"/>
    </row>
    <row r="243" spans="30:35">
      <c r="AD243" s="1043"/>
      <c r="AE243" s="1043"/>
      <c r="AF243" s="1043"/>
      <c r="AG243" s="1043"/>
      <c r="AH243" s="1043"/>
      <c r="AI243" s="1043"/>
    </row>
    <row r="244" spans="30:35">
      <c r="AD244" s="1043"/>
      <c r="AE244" s="1043"/>
      <c r="AF244" s="1043"/>
      <c r="AG244" s="1043"/>
      <c r="AH244" s="1043"/>
      <c r="AI244" s="1043"/>
    </row>
    <row r="245" spans="30:35">
      <c r="AD245" s="1043"/>
      <c r="AE245" s="1043"/>
      <c r="AF245" s="1043"/>
      <c r="AG245" s="1043"/>
      <c r="AH245" s="1043"/>
      <c r="AI245" s="1043"/>
    </row>
    <row r="246" spans="30:35">
      <c r="AD246" s="1043"/>
      <c r="AE246" s="1043"/>
      <c r="AF246" s="1043"/>
      <c r="AG246" s="1043"/>
      <c r="AH246" s="1043"/>
      <c r="AI246" s="1043"/>
    </row>
    <row r="247" spans="30:35">
      <c r="AD247" s="1043"/>
      <c r="AE247" s="1043"/>
      <c r="AF247" s="1043"/>
      <c r="AG247" s="1043"/>
      <c r="AH247" s="1043"/>
      <c r="AI247" s="1043"/>
    </row>
    <row r="248" spans="30:35">
      <c r="AD248" s="1043"/>
      <c r="AE248" s="1043"/>
      <c r="AF248" s="1043"/>
      <c r="AG248" s="1043"/>
      <c r="AH248" s="1043"/>
      <c r="AI248" s="1043"/>
    </row>
    <row r="249" spans="30:35">
      <c r="AD249" s="1043"/>
      <c r="AE249" s="1043"/>
      <c r="AF249" s="1043"/>
      <c r="AG249" s="1043"/>
      <c r="AH249" s="1043"/>
      <c r="AI249" s="1043"/>
    </row>
    <row r="250" spans="30:35">
      <c r="AD250" s="1043"/>
      <c r="AE250" s="1043"/>
      <c r="AF250" s="1043"/>
      <c r="AG250" s="1043"/>
      <c r="AH250" s="1043"/>
      <c r="AI250" s="1043"/>
    </row>
    <row r="251" spans="30:35">
      <c r="AD251" s="1043"/>
      <c r="AE251" s="1043"/>
      <c r="AF251" s="1043"/>
      <c r="AG251" s="1043"/>
      <c r="AH251" s="1043"/>
      <c r="AI251" s="1043"/>
    </row>
    <row r="252" spans="30:35">
      <c r="AD252" s="1043"/>
      <c r="AE252" s="1043"/>
      <c r="AF252" s="1043"/>
      <c r="AG252" s="1043"/>
      <c r="AH252" s="1043"/>
      <c r="AI252" s="1043"/>
    </row>
    <row r="253" spans="30:35">
      <c r="AD253" s="1043"/>
      <c r="AE253" s="1043"/>
      <c r="AF253" s="1043"/>
      <c r="AG253" s="1043"/>
      <c r="AH253" s="1043"/>
      <c r="AI253" s="1043"/>
    </row>
    <row r="254" spans="30:35">
      <c r="AD254" s="1043"/>
      <c r="AE254" s="1043"/>
      <c r="AF254" s="1043"/>
      <c r="AG254" s="1043"/>
      <c r="AH254" s="1043"/>
      <c r="AI254" s="1043"/>
    </row>
    <row r="255" spans="30:35">
      <c r="AD255" s="1043"/>
      <c r="AE255" s="1043"/>
      <c r="AF255" s="1043"/>
      <c r="AG255" s="1043"/>
      <c r="AH255" s="1043"/>
      <c r="AI255" s="1043"/>
    </row>
    <row r="256" spans="30:35">
      <c r="AD256" s="1043"/>
      <c r="AE256" s="1043"/>
      <c r="AF256" s="1043"/>
      <c r="AG256" s="1043"/>
      <c r="AH256" s="1043"/>
      <c r="AI256" s="1043"/>
    </row>
    <row r="257" spans="30:35">
      <c r="AD257" s="1043"/>
      <c r="AE257" s="1043"/>
      <c r="AF257" s="1043"/>
      <c r="AG257" s="1043"/>
      <c r="AH257" s="1043"/>
      <c r="AI257" s="1043"/>
    </row>
    <row r="258" spans="30:35">
      <c r="AD258" s="1043"/>
      <c r="AE258" s="1043"/>
      <c r="AF258" s="1043"/>
      <c r="AG258" s="1043"/>
      <c r="AH258" s="1043"/>
      <c r="AI258" s="1043"/>
    </row>
    <row r="259" spans="30:35">
      <c r="AD259" s="1043"/>
      <c r="AE259" s="1043"/>
      <c r="AF259" s="1043"/>
      <c r="AG259" s="1043"/>
      <c r="AH259" s="1043"/>
      <c r="AI259" s="1043"/>
    </row>
    <row r="260" spans="30:35">
      <c r="AD260" s="1043"/>
      <c r="AE260" s="1043"/>
      <c r="AF260" s="1043"/>
      <c r="AG260" s="1043"/>
      <c r="AH260" s="1043"/>
      <c r="AI260" s="1043"/>
    </row>
    <row r="261" spans="30:35">
      <c r="AD261" s="1043"/>
      <c r="AE261" s="1043"/>
      <c r="AF261" s="1043"/>
      <c r="AG261" s="1043"/>
      <c r="AH261" s="1043"/>
      <c r="AI261" s="1043"/>
    </row>
    <row r="262" spans="30:35">
      <c r="AD262" s="1043"/>
      <c r="AE262" s="1043"/>
      <c r="AF262" s="1043"/>
      <c r="AG262" s="1043"/>
      <c r="AH262" s="1043"/>
      <c r="AI262" s="1043"/>
    </row>
    <row r="263" spans="30:35">
      <c r="AD263" s="1043"/>
      <c r="AE263" s="1043"/>
      <c r="AF263" s="1043"/>
      <c r="AG263" s="1043"/>
      <c r="AH263" s="1043"/>
      <c r="AI263" s="1043"/>
    </row>
    <row r="264" spans="30:35">
      <c r="AD264" s="1043"/>
      <c r="AE264" s="1043"/>
      <c r="AF264" s="1043"/>
      <c r="AG264" s="1043"/>
      <c r="AH264" s="1043"/>
      <c r="AI264" s="1043"/>
    </row>
    <row r="265" spans="30:35">
      <c r="AD265" s="1043"/>
      <c r="AE265" s="1043"/>
      <c r="AF265" s="1043"/>
      <c r="AG265" s="1043"/>
      <c r="AH265" s="1043"/>
      <c r="AI265" s="1043"/>
    </row>
    <row r="266" spans="30:35">
      <c r="AD266" s="1043"/>
      <c r="AE266" s="1043"/>
      <c r="AF266" s="1043"/>
      <c r="AG266" s="1043"/>
      <c r="AH266" s="1043"/>
      <c r="AI266" s="1043"/>
    </row>
    <row r="267" spans="30:35">
      <c r="AD267" s="1043"/>
      <c r="AE267" s="1043"/>
      <c r="AF267" s="1043"/>
      <c r="AG267" s="1043"/>
      <c r="AH267" s="1043"/>
      <c r="AI267" s="1043"/>
    </row>
    <row r="268" spans="30:35">
      <c r="AD268" s="1043"/>
      <c r="AE268" s="1043"/>
      <c r="AF268" s="1043"/>
      <c r="AG268" s="1043"/>
      <c r="AH268" s="1043"/>
      <c r="AI268" s="1043"/>
    </row>
    <row r="269" spans="30:35">
      <c r="AD269" s="1043"/>
      <c r="AE269" s="1043"/>
      <c r="AF269" s="1043"/>
      <c r="AG269" s="1043"/>
      <c r="AH269" s="1043"/>
      <c r="AI269" s="1043"/>
    </row>
    <row r="270" spans="30:35">
      <c r="AD270" s="1043"/>
      <c r="AE270" s="1043"/>
      <c r="AF270" s="1043"/>
      <c r="AG270" s="1043"/>
      <c r="AH270" s="1043"/>
      <c r="AI270" s="1043"/>
    </row>
    <row r="271" spans="30:35">
      <c r="AD271" s="1043"/>
      <c r="AE271" s="1043"/>
      <c r="AF271" s="1043"/>
      <c r="AG271" s="1043"/>
      <c r="AH271" s="1043"/>
      <c r="AI271" s="1043"/>
    </row>
    <row r="272" spans="30:35">
      <c r="AD272" s="1043"/>
      <c r="AE272" s="1043"/>
      <c r="AF272" s="1043"/>
      <c r="AG272" s="1043"/>
      <c r="AH272" s="1043"/>
      <c r="AI272" s="1043"/>
    </row>
    <row r="273" spans="30:35">
      <c r="AD273" s="1043"/>
      <c r="AE273" s="1043"/>
      <c r="AF273" s="1043"/>
      <c r="AG273" s="1043"/>
      <c r="AH273" s="1043"/>
      <c r="AI273" s="1043"/>
    </row>
    <row r="274" spans="30:35">
      <c r="AD274" s="1043"/>
      <c r="AE274" s="1043"/>
      <c r="AF274" s="1043"/>
      <c r="AG274" s="1043"/>
      <c r="AH274" s="1043"/>
      <c r="AI274" s="1043"/>
    </row>
    <row r="275" spans="30:35">
      <c r="AD275" s="1043"/>
      <c r="AE275" s="1043"/>
      <c r="AF275" s="1043"/>
      <c r="AG275" s="1043"/>
      <c r="AH275" s="1043"/>
      <c r="AI275" s="1043"/>
    </row>
    <row r="276" spans="30:35">
      <c r="AD276" s="1043"/>
      <c r="AE276" s="1043"/>
      <c r="AF276" s="1043"/>
      <c r="AG276" s="1043"/>
      <c r="AH276" s="1043"/>
      <c r="AI276" s="1043"/>
    </row>
    <row r="277" spans="30:35">
      <c r="AD277" s="1043"/>
      <c r="AE277" s="1043"/>
      <c r="AF277" s="1043"/>
      <c r="AG277" s="1043"/>
      <c r="AH277" s="1043"/>
      <c r="AI277" s="1043"/>
    </row>
    <row r="278" spans="30:35">
      <c r="AD278" s="1043"/>
      <c r="AE278" s="1043"/>
      <c r="AF278" s="1043"/>
      <c r="AG278" s="1043"/>
      <c r="AH278" s="1043"/>
      <c r="AI278" s="1043"/>
    </row>
    <row r="279" spans="30:35">
      <c r="AD279" s="1043"/>
      <c r="AE279" s="1043"/>
      <c r="AF279" s="1043"/>
      <c r="AG279" s="1043"/>
      <c r="AH279" s="1043"/>
      <c r="AI279" s="1043"/>
    </row>
    <row r="280" spans="30:35">
      <c r="AD280" s="1043"/>
      <c r="AE280" s="1043"/>
      <c r="AF280" s="1043"/>
      <c r="AG280" s="1043"/>
      <c r="AH280" s="1043"/>
      <c r="AI280" s="1043"/>
    </row>
    <row r="281" spans="30:35">
      <c r="AD281" s="1043"/>
      <c r="AE281" s="1043"/>
      <c r="AF281" s="1043"/>
      <c r="AG281" s="1043"/>
      <c r="AH281" s="1043"/>
      <c r="AI281" s="1043"/>
    </row>
    <row r="282" spans="30:35">
      <c r="AD282" s="1043"/>
      <c r="AE282" s="1043"/>
      <c r="AF282" s="1043"/>
      <c r="AG282" s="1043"/>
      <c r="AH282" s="1043"/>
      <c r="AI282" s="1043"/>
    </row>
    <row r="283" spans="30:35">
      <c r="AD283" s="1043"/>
      <c r="AE283" s="1043"/>
      <c r="AF283" s="1043"/>
      <c r="AG283" s="1043"/>
      <c r="AH283" s="1043"/>
      <c r="AI283" s="1043"/>
    </row>
    <row r="284" spans="30:35">
      <c r="AD284" s="1043"/>
      <c r="AE284" s="1043"/>
      <c r="AF284" s="1043"/>
      <c r="AG284" s="1043"/>
      <c r="AH284" s="1043"/>
      <c r="AI284" s="1043"/>
    </row>
    <row r="285" spans="30:35">
      <c r="AD285" s="1043"/>
      <c r="AE285" s="1043"/>
      <c r="AF285" s="1043"/>
      <c r="AG285" s="1043"/>
      <c r="AH285" s="1043"/>
      <c r="AI285" s="1043"/>
    </row>
    <row r="286" spans="30:35">
      <c r="AD286" s="1043"/>
      <c r="AE286" s="1043"/>
      <c r="AF286" s="1043"/>
      <c r="AG286" s="1043"/>
      <c r="AH286" s="1043"/>
      <c r="AI286" s="1043"/>
    </row>
    <row r="287" spans="30:35">
      <c r="AD287" s="1043"/>
      <c r="AE287" s="1043"/>
      <c r="AF287" s="1043"/>
      <c r="AG287" s="1043"/>
      <c r="AH287" s="1043"/>
      <c r="AI287" s="1043"/>
    </row>
    <row r="288" spans="30:35">
      <c r="AD288" s="1043"/>
      <c r="AE288" s="1043"/>
      <c r="AF288" s="1043"/>
      <c r="AG288" s="1043"/>
      <c r="AH288" s="1043"/>
      <c r="AI288" s="1043"/>
    </row>
    <row r="289" spans="30:35">
      <c r="AD289" s="1043"/>
      <c r="AE289" s="1043"/>
      <c r="AF289" s="1043"/>
      <c r="AG289" s="1043"/>
      <c r="AH289" s="1043"/>
      <c r="AI289" s="1043"/>
    </row>
    <row r="290" spans="30:35">
      <c r="AD290" s="1043"/>
      <c r="AE290" s="1043"/>
      <c r="AF290" s="1043"/>
      <c r="AG290" s="1043"/>
      <c r="AH290" s="1043"/>
      <c r="AI290" s="1043"/>
    </row>
    <row r="291" spans="30:35">
      <c r="AD291" s="1043"/>
      <c r="AE291" s="1043"/>
      <c r="AF291" s="1043"/>
      <c r="AG291" s="1043"/>
      <c r="AH291" s="1043"/>
      <c r="AI291" s="1043"/>
    </row>
    <row r="292" spans="30:35">
      <c r="AD292" s="1043"/>
      <c r="AE292" s="1043"/>
      <c r="AF292" s="1043"/>
      <c r="AG292" s="1043"/>
      <c r="AH292" s="1043"/>
      <c r="AI292" s="1043"/>
    </row>
    <row r="293" spans="30:35">
      <c r="AD293" s="1043"/>
      <c r="AE293" s="1043"/>
      <c r="AF293" s="1043"/>
      <c r="AG293" s="1043"/>
      <c r="AH293" s="1043"/>
      <c r="AI293" s="1043"/>
    </row>
    <row r="294" spans="30:35">
      <c r="AD294" s="1043"/>
      <c r="AE294" s="1043"/>
      <c r="AF294" s="1043"/>
      <c r="AG294" s="1043"/>
      <c r="AH294" s="1043"/>
      <c r="AI294" s="1043"/>
    </row>
    <row r="295" spans="30:35">
      <c r="AD295" s="1043"/>
      <c r="AE295" s="1043"/>
      <c r="AF295" s="1043"/>
      <c r="AG295" s="1043"/>
      <c r="AH295" s="1043"/>
      <c r="AI295" s="1043"/>
    </row>
    <row r="296" spans="30:35">
      <c r="AD296" s="1043"/>
      <c r="AE296" s="1043"/>
      <c r="AF296" s="1043"/>
      <c r="AG296" s="1043"/>
      <c r="AH296" s="1043"/>
      <c r="AI296" s="1043"/>
    </row>
    <row r="297" spans="30:35">
      <c r="AD297" s="1043"/>
      <c r="AE297" s="1043"/>
      <c r="AF297" s="1043"/>
      <c r="AG297" s="1043"/>
      <c r="AH297" s="1043"/>
      <c r="AI297" s="1043"/>
    </row>
    <row r="298" spans="30:35">
      <c r="AD298" s="1043"/>
      <c r="AE298" s="1043"/>
      <c r="AF298" s="1043"/>
      <c r="AG298" s="1043"/>
      <c r="AH298" s="1043"/>
      <c r="AI298" s="1043"/>
    </row>
    <row r="299" spans="30:35">
      <c r="AD299" s="1043"/>
      <c r="AE299" s="1043"/>
      <c r="AF299" s="1043"/>
      <c r="AG299" s="1043"/>
      <c r="AH299" s="1043"/>
      <c r="AI299" s="1043"/>
    </row>
    <row r="300" spans="30:35">
      <c r="AD300" s="1043"/>
      <c r="AE300" s="1043"/>
      <c r="AF300" s="1043"/>
      <c r="AG300" s="1043"/>
      <c r="AH300" s="1043"/>
      <c r="AI300" s="1043"/>
    </row>
    <row r="301" spans="30:35">
      <c r="AD301" s="1043"/>
      <c r="AE301" s="1043"/>
      <c r="AF301" s="1043"/>
      <c r="AG301" s="1043"/>
      <c r="AH301" s="1043"/>
      <c r="AI301" s="1043"/>
    </row>
    <row r="302" spans="30:35">
      <c r="AD302" s="1043"/>
      <c r="AE302" s="1043"/>
      <c r="AF302" s="1043"/>
      <c r="AG302" s="1043"/>
      <c r="AH302" s="1043"/>
      <c r="AI302" s="1043"/>
    </row>
    <row r="303" spans="30:35">
      <c r="AD303" s="1043"/>
      <c r="AE303" s="1043"/>
      <c r="AF303" s="1043"/>
      <c r="AG303" s="1043"/>
      <c r="AH303" s="1043"/>
      <c r="AI303" s="1043"/>
    </row>
    <row r="304" spans="30:35">
      <c r="AD304" s="1043"/>
      <c r="AE304" s="1043"/>
      <c r="AF304" s="1043"/>
      <c r="AG304" s="1043"/>
      <c r="AH304" s="1043"/>
      <c r="AI304" s="1043"/>
    </row>
    <row r="305" spans="30:35">
      <c r="AD305" s="1043"/>
      <c r="AE305" s="1043"/>
      <c r="AF305" s="1043"/>
      <c r="AG305" s="1043"/>
      <c r="AH305" s="1043"/>
      <c r="AI305" s="1043"/>
    </row>
    <row r="306" spans="30:35">
      <c r="AD306" s="1043"/>
      <c r="AE306" s="1043"/>
      <c r="AF306" s="1043"/>
      <c r="AG306" s="1043"/>
      <c r="AH306" s="1043"/>
      <c r="AI306" s="1043"/>
    </row>
    <row r="307" spans="30:35">
      <c r="AD307" s="1043"/>
      <c r="AE307" s="1043"/>
      <c r="AF307" s="1043"/>
      <c r="AG307" s="1043"/>
      <c r="AH307" s="1043"/>
      <c r="AI307" s="1043"/>
    </row>
    <row r="308" spans="30:35">
      <c r="AD308" s="1043"/>
      <c r="AE308" s="1043"/>
      <c r="AF308" s="1043"/>
      <c r="AG308" s="1043"/>
      <c r="AH308" s="1043"/>
      <c r="AI308" s="1043"/>
    </row>
    <row r="309" spans="30:35">
      <c r="AD309" s="1043"/>
      <c r="AE309" s="1043"/>
      <c r="AF309" s="1043"/>
      <c r="AG309" s="1043"/>
      <c r="AH309" s="1043"/>
      <c r="AI309" s="1043"/>
    </row>
    <row r="310" spans="30:35">
      <c r="AD310" s="1043"/>
      <c r="AE310" s="1043"/>
      <c r="AF310" s="1043"/>
      <c r="AG310" s="1043"/>
      <c r="AH310" s="1043"/>
      <c r="AI310" s="1043"/>
    </row>
    <row r="311" spans="30:35">
      <c r="AD311" s="1043"/>
      <c r="AE311" s="1043"/>
      <c r="AF311" s="1043"/>
      <c r="AG311" s="1043"/>
      <c r="AH311" s="1043"/>
      <c r="AI311" s="1043"/>
    </row>
    <row r="312" spans="30:35">
      <c r="AD312" s="1043"/>
      <c r="AE312" s="1043"/>
      <c r="AF312" s="1043"/>
      <c r="AG312" s="1043"/>
      <c r="AH312" s="1043"/>
      <c r="AI312" s="1043"/>
    </row>
    <row r="313" spans="30:35">
      <c r="AD313" s="1043"/>
      <c r="AE313" s="1043"/>
      <c r="AF313" s="1043"/>
      <c r="AG313" s="1043"/>
      <c r="AH313" s="1043"/>
      <c r="AI313" s="1043"/>
    </row>
    <row r="314" spans="30:35">
      <c r="AD314" s="1043"/>
      <c r="AE314" s="1043"/>
      <c r="AF314" s="1043"/>
      <c r="AG314" s="1043"/>
      <c r="AH314" s="1043"/>
      <c r="AI314" s="1043"/>
    </row>
    <row r="315" spans="30:35">
      <c r="AD315" s="1043"/>
      <c r="AE315" s="1043"/>
      <c r="AF315" s="1043"/>
      <c r="AG315" s="1043"/>
      <c r="AH315" s="1043"/>
      <c r="AI315" s="1043"/>
    </row>
    <row r="316" spans="30:35">
      <c r="AD316" s="1043"/>
      <c r="AE316" s="1043"/>
      <c r="AF316" s="1043"/>
      <c r="AG316" s="1043"/>
      <c r="AH316" s="1043"/>
      <c r="AI316" s="1043"/>
    </row>
    <row r="317" spans="30:35">
      <c r="AD317" s="1043"/>
      <c r="AE317" s="1043"/>
      <c r="AF317" s="1043"/>
      <c r="AG317" s="1043"/>
      <c r="AH317" s="1043"/>
      <c r="AI317" s="1043"/>
    </row>
    <row r="318" spans="30:35">
      <c r="AD318" s="1043"/>
      <c r="AE318" s="1043"/>
      <c r="AF318" s="1043"/>
      <c r="AG318" s="1043"/>
      <c r="AH318" s="1043"/>
      <c r="AI318" s="1043"/>
    </row>
    <row r="319" spans="30:35">
      <c r="AD319" s="1043"/>
      <c r="AE319" s="1043"/>
      <c r="AF319" s="1043"/>
      <c r="AG319" s="1043"/>
      <c r="AH319" s="1043"/>
      <c r="AI319" s="1043"/>
    </row>
    <row r="320" spans="30:35">
      <c r="AD320" s="1043"/>
      <c r="AE320" s="1043"/>
      <c r="AF320" s="1043"/>
      <c r="AG320" s="1043"/>
      <c r="AH320" s="1043"/>
      <c r="AI320" s="1043"/>
    </row>
    <row r="321" spans="30:35">
      <c r="AD321" s="1043"/>
      <c r="AE321" s="1043"/>
      <c r="AF321" s="1043"/>
      <c r="AG321" s="1043"/>
      <c r="AH321" s="1043"/>
      <c r="AI321" s="1043"/>
    </row>
    <row r="322" spans="30:35">
      <c r="AD322" s="1043"/>
      <c r="AE322" s="1043"/>
      <c r="AF322" s="1043"/>
      <c r="AG322" s="1043"/>
      <c r="AH322" s="1043"/>
      <c r="AI322" s="1043"/>
    </row>
    <row r="323" spans="30:35">
      <c r="AD323" s="1043"/>
      <c r="AE323" s="1043"/>
      <c r="AF323" s="1043"/>
      <c r="AG323" s="1043"/>
      <c r="AH323" s="1043"/>
      <c r="AI323" s="1043"/>
    </row>
    <row r="324" spans="30:35">
      <c r="AD324" s="1043"/>
      <c r="AE324" s="1043"/>
      <c r="AF324" s="1043"/>
      <c r="AG324" s="1043"/>
      <c r="AH324" s="1043"/>
      <c r="AI324" s="1043"/>
    </row>
    <row r="325" spans="30:35">
      <c r="AD325" s="1043"/>
      <c r="AE325" s="1043"/>
      <c r="AF325" s="1043"/>
      <c r="AG325" s="1043"/>
      <c r="AH325" s="1043"/>
      <c r="AI325" s="1043"/>
    </row>
    <row r="326" spans="30:35">
      <c r="AD326" s="1043"/>
      <c r="AE326" s="1043"/>
      <c r="AF326" s="1043"/>
      <c r="AG326" s="1043"/>
      <c r="AH326" s="1043"/>
      <c r="AI326" s="1043"/>
    </row>
    <row r="327" spans="30:35">
      <c r="AD327" s="1043"/>
      <c r="AE327" s="1043"/>
      <c r="AF327" s="1043"/>
      <c r="AG327" s="1043"/>
      <c r="AH327" s="1043"/>
      <c r="AI327" s="1043"/>
    </row>
    <row r="328" spans="30:35">
      <c r="AD328" s="1043"/>
      <c r="AE328" s="1043"/>
      <c r="AF328" s="1043"/>
      <c r="AG328" s="1043"/>
      <c r="AH328" s="1043"/>
      <c r="AI328" s="1043"/>
    </row>
    <row r="329" spans="30:35">
      <c r="AD329" s="1043"/>
      <c r="AE329" s="1043"/>
      <c r="AF329" s="1043"/>
      <c r="AG329" s="1043"/>
      <c r="AH329" s="1043"/>
      <c r="AI329" s="1043"/>
    </row>
    <row r="330" spans="30:35">
      <c r="AD330" s="1043"/>
      <c r="AE330" s="1043"/>
      <c r="AF330" s="1043"/>
      <c r="AG330" s="1043"/>
      <c r="AH330" s="1043"/>
      <c r="AI330" s="1043"/>
    </row>
    <row r="331" spans="30:35">
      <c r="AD331" s="1043"/>
      <c r="AE331" s="1043"/>
      <c r="AF331" s="1043"/>
      <c r="AG331" s="1043"/>
      <c r="AH331" s="1043"/>
      <c r="AI331" s="1043"/>
    </row>
    <row r="332" spans="30:35">
      <c r="AD332" s="1043"/>
      <c r="AE332" s="1043"/>
      <c r="AF332" s="1043"/>
      <c r="AG332" s="1043"/>
      <c r="AH332" s="1043"/>
      <c r="AI332" s="1043"/>
    </row>
    <row r="333" spans="30:35">
      <c r="AD333" s="1043"/>
      <c r="AE333" s="1043"/>
      <c r="AF333" s="1043"/>
      <c r="AG333" s="1043"/>
      <c r="AH333" s="1043"/>
      <c r="AI333" s="1043"/>
    </row>
    <row r="334" spans="30:35">
      <c r="AD334" s="1043"/>
      <c r="AE334" s="1043"/>
      <c r="AF334" s="1043"/>
      <c r="AG334" s="1043"/>
      <c r="AH334" s="1043"/>
      <c r="AI334" s="1043"/>
    </row>
    <row r="335" spans="30:35">
      <c r="AD335" s="1043"/>
      <c r="AE335" s="1043"/>
      <c r="AF335" s="1043"/>
      <c r="AG335" s="1043"/>
      <c r="AH335" s="1043"/>
      <c r="AI335" s="1043"/>
    </row>
    <row r="336" spans="30:35">
      <c r="AD336" s="1043"/>
      <c r="AE336" s="1043"/>
      <c r="AF336" s="1043"/>
      <c r="AG336" s="1043"/>
      <c r="AH336" s="1043"/>
      <c r="AI336" s="1043"/>
    </row>
    <row r="337" spans="30:35">
      <c r="AD337" s="1043"/>
      <c r="AE337" s="1043"/>
      <c r="AF337" s="1043"/>
      <c r="AG337" s="1043"/>
      <c r="AH337" s="1043"/>
      <c r="AI337" s="1043"/>
    </row>
    <row r="338" spans="30:35">
      <c r="AD338" s="1043"/>
      <c r="AE338" s="1043"/>
      <c r="AF338" s="1043"/>
      <c r="AG338" s="1043"/>
      <c r="AH338" s="1043"/>
      <c r="AI338" s="1043"/>
    </row>
    <row r="339" spans="30:35">
      <c r="AD339" s="1043"/>
      <c r="AE339" s="1043"/>
      <c r="AF339" s="1043"/>
      <c r="AG339" s="1043"/>
      <c r="AH339" s="1043"/>
      <c r="AI339" s="1043"/>
    </row>
    <row r="340" spans="30:35">
      <c r="AD340" s="1043"/>
      <c r="AE340" s="1043"/>
      <c r="AF340" s="1043"/>
      <c r="AG340" s="1043"/>
      <c r="AH340" s="1043"/>
      <c r="AI340" s="1043"/>
    </row>
    <row r="341" spans="30:35">
      <c r="AD341" s="1043"/>
      <c r="AE341" s="1043"/>
      <c r="AF341" s="1043"/>
      <c r="AG341" s="1043"/>
      <c r="AH341" s="1043"/>
      <c r="AI341" s="1043"/>
    </row>
    <row r="342" spans="30:35">
      <c r="AD342" s="1043"/>
      <c r="AE342" s="1043"/>
      <c r="AF342" s="1043"/>
      <c r="AG342" s="1043"/>
      <c r="AH342" s="1043"/>
      <c r="AI342" s="1043"/>
    </row>
    <row r="343" spans="30:35">
      <c r="AD343" s="1043"/>
      <c r="AE343" s="1043"/>
      <c r="AF343" s="1043"/>
      <c r="AG343" s="1043"/>
      <c r="AH343" s="1043"/>
      <c r="AI343" s="1043"/>
    </row>
    <row r="344" spans="30:35">
      <c r="AD344" s="1043"/>
      <c r="AE344" s="1043"/>
      <c r="AF344" s="1043"/>
      <c r="AG344" s="1043"/>
      <c r="AH344" s="1043"/>
      <c r="AI344" s="1043"/>
    </row>
    <row r="345" spans="30:35">
      <c r="AD345" s="1043"/>
      <c r="AE345" s="1043"/>
      <c r="AF345" s="1043"/>
      <c r="AG345" s="1043"/>
      <c r="AH345" s="1043"/>
      <c r="AI345" s="1043"/>
    </row>
    <row r="346" spans="30:35">
      <c r="AD346" s="1043"/>
      <c r="AE346" s="1043"/>
      <c r="AF346" s="1043"/>
      <c r="AG346" s="1043"/>
      <c r="AH346" s="1043"/>
      <c r="AI346" s="1043"/>
    </row>
    <row r="347" spans="30:35">
      <c r="AD347" s="1043"/>
      <c r="AE347" s="1043"/>
      <c r="AF347" s="1043"/>
      <c r="AG347" s="1043"/>
      <c r="AH347" s="1043"/>
      <c r="AI347" s="1043"/>
    </row>
    <row r="348" spans="30:35">
      <c r="AD348" s="1043"/>
      <c r="AE348" s="1043"/>
      <c r="AF348" s="1043"/>
      <c r="AG348" s="1043"/>
      <c r="AH348" s="1043"/>
      <c r="AI348" s="1043"/>
    </row>
    <row r="349" spans="30:35">
      <c r="AD349" s="1043"/>
      <c r="AE349" s="1043"/>
      <c r="AF349" s="1043"/>
      <c r="AG349" s="1043"/>
      <c r="AH349" s="1043"/>
      <c r="AI349" s="1043"/>
    </row>
    <row r="350" spans="30:35">
      <c r="AD350" s="1043"/>
      <c r="AE350" s="1043"/>
      <c r="AF350" s="1043"/>
      <c r="AG350" s="1043"/>
      <c r="AH350" s="1043"/>
      <c r="AI350" s="1043"/>
    </row>
    <row r="351" spans="30:35">
      <c r="AD351" s="1043"/>
      <c r="AE351" s="1043"/>
      <c r="AF351" s="1043"/>
      <c r="AG351" s="1043"/>
      <c r="AH351" s="1043"/>
      <c r="AI351" s="1043"/>
    </row>
    <row r="352" spans="30:35">
      <c r="AD352" s="1043"/>
      <c r="AE352" s="1043"/>
      <c r="AF352" s="1043"/>
      <c r="AG352" s="1043"/>
      <c r="AH352" s="1043"/>
      <c r="AI352" s="1043"/>
    </row>
    <row r="353" spans="30:35">
      <c r="AD353" s="1043"/>
      <c r="AE353" s="1043"/>
      <c r="AF353" s="1043"/>
      <c r="AG353" s="1043"/>
      <c r="AH353" s="1043"/>
      <c r="AI353" s="1043"/>
    </row>
    <row r="354" spans="30:35">
      <c r="AD354" s="1043"/>
      <c r="AE354" s="1043"/>
      <c r="AF354" s="1043"/>
      <c r="AG354" s="1043"/>
      <c r="AH354" s="1043"/>
      <c r="AI354" s="1043"/>
    </row>
    <row r="355" spans="30:35">
      <c r="AD355" s="1043"/>
      <c r="AE355" s="1043"/>
      <c r="AF355" s="1043"/>
      <c r="AG355" s="1043"/>
      <c r="AH355" s="1043"/>
      <c r="AI355" s="1043"/>
    </row>
    <row r="356" spans="30:35">
      <c r="AD356" s="1043"/>
      <c r="AE356" s="1043"/>
      <c r="AF356" s="1043"/>
      <c r="AG356" s="1043"/>
      <c r="AH356" s="1043"/>
      <c r="AI356" s="1043"/>
    </row>
    <row r="357" spans="30:35">
      <c r="AD357" s="1043"/>
      <c r="AE357" s="1043"/>
      <c r="AF357" s="1043"/>
      <c r="AG357" s="1043"/>
      <c r="AH357" s="1043"/>
      <c r="AI357" s="1043"/>
    </row>
    <row r="358" spans="30:35">
      <c r="AD358" s="1043"/>
      <c r="AE358" s="1043"/>
      <c r="AF358" s="1043"/>
      <c r="AG358" s="1043"/>
      <c r="AH358" s="1043"/>
      <c r="AI358" s="1043"/>
    </row>
    <row r="359" spans="30:35">
      <c r="AD359" s="1043"/>
      <c r="AE359" s="1043"/>
      <c r="AF359" s="1043"/>
      <c r="AG359" s="1043"/>
      <c r="AH359" s="1043"/>
      <c r="AI359" s="1043"/>
    </row>
    <row r="360" spans="30:35">
      <c r="AD360" s="1043"/>
      <c r="AE360" s="1043"/>
      <c r="AF360" s="1043"/>
      <c r="AG360" s="1043"/>
      <c r="AH360" s="1043"/>
      <c r="AI360" s="1043"/>
    </row>
    <row r="361" spans="30:35">
      <c r="AD361" s="1043"/>
      <c r="AE361" s="1043"/>
      <c r="AF361" s="1043"/>
      <c r="AG361" s="1043"/>
      <c r="AH361" s="1043"/>
      <c r="AI361" s="1043"/>
    </row>
    <row r="362" spans="30:35">
      <c r="AD362" s="1043"/>
      <c r="AE362" s="1043"/>
      <c r="AF362" s="1043"/>
      <c r="AG362" s="1043"/>
      <c r="AH362" s="1043"/>
      <c r="AI362" s="1043"/>
    </row>
    <row r="363" spans="30:35">
      <c r="AD363" s="1043"/>
      <c r="AE363" s="1043"/>
      <c r="AF363" s="1043"/>
      <c r="AG363" s="1043"/>
      <c r="AH363" s="1043"/>
      <c r="AI363" s="1043"/>
    </row>
    <row r="364" spans="30:35">
      <c r="AD364" s="1043"/>
      <c r="AE364" s="1043"/>
      <c r="AF364" s="1043"/>
      <c r="AG364" s="1043"/>
      <c r="AH364" s="1043"/>
      <c r="AI364" s="1043"/>
    </row>
    <row r="365" spans="30:35">
      <c r="AD365" s="1043"/>
      <c r="AE365" s="1043"/>
      <c r="AF365" s="1043"/>
      <c r="AG365" s="1043"/>
      <c r="AH365" s="1043"/>
      <c r="AI365" s="1043"/>
    </row>
    <row r="366" spans="30:35">
      <c r="AD366" s="1043"/>
      <c r="AE366" s="1043"/>
      <c r="AF366" s="1043"/>
      <c r="AG366" s="1043"/>
      <c r="AH366" s="1043"/>
      <c r="AI366" s="1043"/>
    </row>
    <row r="367" spans="30:35">
      <c r="AD367" s="1043"/>
      <c r="AE367" s="1043"/>
      <c r="AF367" s="1043"/>
      <c r="AG367" s="1043"/>
      <c r="AH367" s="1043"/>
      <c r="AI367" s="1043"/>
    </row>
    <row r="368" spans="30:35">
      <c r="AD368" s="1043"/>
      <c r="AE368" s="1043"/>
      <c r="AF368" s="1043"/>
      <c r="AG368" s="1043"/>
      <c r="AH368" s="1043"/>
      <c r="AI368" s="1043"/>
    </row>
    <row r="369" spans="30:35">
      <c r="AD369" s="1043"/>
      <c r="AE369" s="1043"/>
      <c r="AF369" s="1043"/>
      <c r="AG369" s="1043"/>
      <c r="AH369" s="1043"/>
      <c r="AI369" s="1043"/>
    </row>
    <row r="370" spans="30:35">
      <c r="AD370" s="1043"/>
      <c r="AE370" s="1043"/>
      <c r="AF370" s="1043"/>
      <c r="AG370" s="1043"/>
      <c r="AH370" s="1043"/>
      <c r="AI370" s="1043"/>
    </row>
    <row r="371" spans="30:35">
      <c r="AD371" s="1043"/>
      <c r="AE371" s="1043"/>
      <c r="AF371" s="1044"/>
      <c r="AG371" s="1044"/>
      <c r="AH371" s="1043"/>
      <c r="AI371" s="1043"/>
    </row>
    <row r="372" spans="30:35">
      <c r="AD372" s="1043"/>
      <c r="AE372" s="1043"/>
      <c r="AF372" s="1044"/>
      <c r="AG372" s="1044"/>
      <c r="AH372" s="1043"/>
      <c r="AI372" s="1043"/>
    </row>
    <row r="373" spans="30:35">
      <c r="AD373" s="1043"/>
      <c r="AE373" s="1043"/>
      <c r="AF373" s="1044"/>
      <c r="AG373" s="1044"/>
      <c r="AH373" s="1043"/>
      <c r="AI373" s="1043"/>
    </row>
    <row r="374" spans="30:35">
      <c r="AD374" s="1043"/>
      <c r="AE374" s="1043"/>
      <c r="AF374" s="1044"/>
      <c r="AG374" s="1044"/>
      <c r="AH374" s="1044"/>
      <c r="AI374" s="1043"/>
    </row>
    <row r="375" spans="30:35">
      <c r="AD375" s="1043"/>
      <c r="AE375" s="1043"/>
      <c r="AF375" s="1044"/>
      <c r="AG375" s="1044"/>
      <c r="AH375" s="1044"/>
      <c r="AI375" s="1043"/>
    </row>
    <row r="376" spans="30:35">
      <c r="AD376" s="1043"/>
      <c r="AE376" s="1043"/>
      <c r="AF376" s="1044"/>
      <c r="AG376" s="1044"/>
      <c r="AH376" s="1044"/>
      <c r="AI376" s="1043"/>
    </row>
    <row r="377" spans="30:35">
      <c r="AD377" s="1043"/>
      <c r="AE377" s="1043"/>
      <c r="AF377" s="1044"/>
      <c r="AG377" s="1044"/>
      <c r="AH377" s="1044"/>
      <c r="AI377" s="1043"/>
    </row>
    <row r="378" spans="30:35">
      <c r="AD378" s="1043"/>
      <c r="AE378" s="1043"/>
      <c r="AF378" s="1044"/>
      <c r="AG378" s="1044"/>
      <c r="AH378" s="1044"/>
      <c r="AI378" s="1043"/>
    </row>
    <row r="379" spans="30:35">
      <c r="AD379" s="1043"/>
      <c r="AE379" s="1043"/>
      <c r="AF379" s="1044"/>
      <c r="AG379" s="1044"/>
      <c r="AH379" s="1044"/>
      <c r="AI379" s="1043"/>
    </row>
    <row r="380" spans="30:35">
      <c r="AD380" s="1043"/>
      <c r="AE380" s="1043"/>
      <c r="AF380" s="1044"/>
      <c r="AG380" s="1044"/>
      <c r="AH380" s="1044"/>
      <c r="AI380" s="1043"/>
    </row>
    <row r="381" spans="30:35">
      <c r="AD381" s="1043"/>
      <c r="AE381" s="1043"/>
      <c r="AF381" s="1044"/>
      <c r="AG381" s="1044"/>
      <c r="AH381" s="1044"/>
      <c r="AI381" s="1043"/>
    </row>
    <row r="382" spans="30:35">
      <c r="AD382" s="1043"/>
      <c r="AE382" s="1043"/>
      <c r="AF382" s="1044"/>
      <c r="AG382" s="1044"/>
      <c r="AH382" s="1044"/>
      <c r="AI382" s="1043"/>
    </row>
    <row r="383" spans="30:35">
      <c r="AD383" s="1043"/>
      <c r="AE383" s="1043"/>
      <c r="AF383" s="1044"/>
      <c r="AG383" s="1044"/>
      <c r="AH383" s="1044"/>
      <c r="AI383" s="1043"/>
    </row>
    <row r="384" spans="30:35">
      <c r="AD384" s="1043"/>
      <c r="AE384" s="1043"/>
      <c r="AF384" s="1044"/>
      <c r="AG384" s="1044"/>
      <c r="AH384" s="1044"/>
      <c r="AI384" s="1043"/>
    </row>
    <row r="385" spans="30:35">
      <c r="AD385" s="1043"/>
      <c r="AE385" s="1043"/>
      <c r="AF385" s="1044"/>
      <c r="AG385" s="1044"/>
      <c r="AH385" s="1044"/>
      <c r="AI385" s="1043"/>
    </row>
    <row r="386" spans="30:35">
      <c r="AD386" s="1043"/>
      <c r="AE386" s="1043"/>
      <c r="AF386" s="1044"/>
      <c r="AG386" s="1044"/>
      <c r="AH386" s="1044"/>
      <c r="AI386" s="1043"/>
    </row>
    <row r="387" spans="30:35">
      <c r="AD387" s="1043"/>
      <c r="AE387" s="1043"/>
      <c r="AF387" s="1044"/>
      <c r="AG387" s="1044"/>
      <c r="AH387" s="1044"/>
      <c r="AI387" s="1043"/>
    </row>
    <row r="388" spans="30:35">
      <c r="AD388" s="1043"/>
      <c r="AE388" s="1043"/>
      <c r="AF388" s="1044"/>
      <c r="AG388" s="1044"/>
      <c r="AH388" s="1044"/>
      <c r="AI388" s="1043"/>
    </row>
    <row r="389" spans="30:35">
      <c r="AD389" s="1043"/>
      <c r="AE389" s="1043"/>
      <c r="AF389" s="1044"/>
      <c r="AG389" s="1044"/>
      <c r="AH389" s="1044"/>
      <c r="AI389" s="1043"/>
    </row>
    <row r="390" spans="30:35">
      <c r="AD390" s="1043"/>
      <c r="AE390" s="1043"/>
      <c r="AF390" s="1044"/>
      <c r="AG390" s="1044"/>
      <c r="AH390" s="1044"/>
      <c r="AI390" s="1043"/>
    </row>
    <row r="391" spans="30:35">
      <c r="AD391" s="1043"/>
      <c r="AE391" s="1043"/>
      <c r="AF391" s="1044"/>
      <c r="AG391" s="1044"/>
      <c r="AH391" s="1044"/>
      <c r="AI391" s="1043"/>
    </row>
    <row r="392" spans="30:35">
      <c r="AD392" s="1043"/>
      <c r="AE392" s="1043"/>
      <c r="AF392" s="1044"/>
      <c r="AG392" s="1044"/>
      <c r="AH392" s="1044"/>
      <c r="AI392" s="1043"/>
    </row>
    <row r="393" spans="30:35">
      <c r="AD393" s="1043"/>
      <c r="AE393" s="1043"/>
      <c r="AF393" s="1044"/>
      <c r="AG393" s="1044"/>
      <c r="AH393" s="1044"/>
      <c r="AI393" s="1043"/>
    </row>
    <row r="394" spans="30:35">
      <c r="AD394" s="1043"/>
      <c r="AE394" s="1043"/>
      <c r="AF394" s="1044"/>
      <c r="AG394" s="1043"/>
      <c r="AH394" s="1043"/>
      <c r="AI394" s="1043"/>
    </row>
    <row r="395" spans="30:35">
      <c r="AD395" s="1043"/>
      <c r="AE395" s="1043"/>
      <c r="AF395" s="1044"/>
      <c r="AG395" s="1043"/>
      <c r="AH395" s="1043"/>
      <c r="AI395" s="1043"/>
    </row>
    <row r="396" spans="30:35">
      <c r="AD396" s="1043"/>
      <c r="AE396" s="1043"/>
      <c r="AF396" s="1044"/>
      <c r="AG396" s="1043"/>
      <c r="AH396" s="1043"/>
      <c r="AI396" s="1043"/>
    </row>
    <row r="397" spans="30:35">
      <c r="AD397" s="1043"/>
      <c r="AE397" s="1043"/>
      <c r="AF397" s="1044"/>
      <c r="AG397" s="1043"/>
      <c r="AH397" s="1043"/>
      <c r="AI397" s="1043"/>
    </row>
    <row r="398" spans="30:35">
      <c r="AD398" s="1043"/>
      <c r="AE398" s="1043"/>
      <c r="AF398" s="1044"/>
      <c r="AG398" s="1043"/>
      <c r="AH398" s="1043"/>
      <c r="AI398" s="1043"/>
    </row>
    <row r="399" spans="30:35">
      <c r="AD399" s="1043"/>
      <c r="AE399" s="1043"/>
      <c r="AF399" s="1044"/>
      <c r="AG399" s="1043"/>
      <c r="AH399" s="1043"/>
      <c r="AI399" s="1043"/>
    </row>
    <row r="400" spans="30:35">
      <c r="AD400" s="1043"/>
      <c r="AE400" s="1043"/>
      <c r="AF400" s="1044"/>
      <c r="AG400" s="1043"/>
      <c r="AH400" s="1043"/>
      <c r="AI400" s="1043"/>
    </row>
    <row r="401" spans="30:35">
      <c r="AD401" s="1043"/>
      <c r="AE401" s="1043"/>
      <c r="AF401" s="1044"/>
      <c r="AG401" s="1043"/>
      <c r="AH401" s="1043"/>
      <c r="AI401" s="1043"/>
    </row>
    <row r="402" spans="30:35">
      <c r="AD402" s="1043"/>
      <c r="AE402" s="1043"/>
      <c r="AF402" s="1044"/>
      <c r="AG402" s="1043"/>
      <c r="AH402" s="1043"/>
      <c r="AI402" s="1043"/>
    </row>
    <row r="403" spans="30:35">
      <c r="AD403" s="1043"/>
      <c r="AE403" s="1043"/>
      <c r="AF403" s="1044"/>
      <c r="AG403" s="1043"/>
      <c r="AH403" s="1043"/>
      <c r="AI403" s="1043"/>
    </row>
    <row r="404" spans="30:35">
      <c r="AD404" s="1043"/>
      <c r="AE404" s="1043"/>
      <c r="AF404" s="1044"/>
      <c r="AG404" s="1043"/>
      <c r="AH404" s="1043"/>
      <c r="AI404" s="1043"/>
    </row>
    <row r="405" spans="30:35">
      <c r="AD405" s="1043"/>
      <c r="AE405" s="1043"/>
      <c r="AF405" s="1043"/>
      <c r="AG405" s="1043"/>
      <c r="AH405" s="1043"/>
      <c r="AI405" s="1043"/>
    </row>
    <row r="406" spans="30:35">
      <c r="AD406" s="1043"/>
      <c r="AE406" s="1043"/>
      <c r="AF406" s="1043"/>
      <c r="AG406" s="1043"/>
      <c r="AH406" s="1043"/>
      <c r="AI406" s="1043"/>
    </row>
    <row r="407" spans="30:35">
      <c r="AD407" s="1043"/>
      <c r="AE407" s="1043"/>
      <c r="AF407" s="1043"/>
      <c r="AG407" s="1043"/>
      <c r="AH407" s="1043"/>
      <c r="AI407" s="1043"/>
    </row>
    <row r="408" spans="30:35">
      <c r="AD408" s="1043"/>
      <c r="AE408" s="1043"/>
      <c r="AF408" s="1043"/>
      <c r="AG408" s="1043"/>
      <c r="AH408" s="1043"/>
      <c r="AI408" s="1043"/>
    </row>
    <row r="409" spans="30:35">
      <c r="AD409" s="1043"/>
      <c r="AE409" s="1043"/>
      <c r="AF409" s="1043"/>
      <c r="AG409" s="1043"/>
      <c r="AH409" s="1043"/>
      <c r="AI409" s="1043"/>
    </row>
    <row r="410" spans="30:35">
      <c r="AD410" s="1043"/>
      <c r="AE410" s="1043"/>
      <c r="AF410" s="1043"/>
      <c r="AG410" s="1043"/>
      <c r="AH410" s="1043"/>
      <c r="AI410" s="1043"/>
    </row>
    <row r="411" spans="30:35">
      <c r="AD411" s="1043"/>
      <c r="AE411" s="1043"/>
      <c r="AF411" s="1043"/>
      <c r="AG411" s="1043"/>
      <c r="AH411" s="1043"/>
      <c r="AI411" s="1043"/>
    </row>
    <row r="412" spans="30:35">
      <c r="AD412" s="1043"/>
      <c r="AE412" s="1043"/>
      <c r="AF412" s="1043"/>
      <c r="AG412" s="1043"/>
      <c r="AH412" s="1043"/>
      <c r="AI412" s="1043"/>
    </row>
    <row r="413" spans="30:35">
      <c r="AD413" s="1043"/>
      <c r="AE413" s="1043"/>
      <c r="AF413" s="1043"/>
      <c r="AG413" s="1043"/>
      <c r="AH413" s="1043"/>
      <c r="AI413" s="1043"/>
    </row>
    <row r="414" spans="30:35">
      <c r="AD414" s="1043"/>
      <c r="AE414" s="1043"/>
      <c r="AF414" s="1043"/>
      <c r="AG414" s="1043"/>
      <c r="AH414" s="1043"/>
      <c r="AI414" s="1043"/>
    </row>
    <row r="415" spans="30:35">
      <c r="AD415" s="1043"/>
      <c r="AE415" s="1043"/>
      <c r="AF415" s="1043"/>
      <c r="AG415" s="1043"/>
      <c r="AH415" s="1043"/>
      <c r="AI415" s="1043"/>
    </row>
    <row r="416" spans="30:35">
      <c r="AD416" s="1043"/>
      <c r="AE416" s="1043"/>
      <c r="AF416" s="1043"/>
      <c r="AG416" s="1043"/>
      <c r="AH416" s="1043"/>
      <c r="AI416" s="1043"/>
    </row>
    <row r="417" spans="30:35">
      <c r="AD417" s="1043"/>
      <c r="AE417" s="1043"/>
      <c r="AF417" s="1043"/>
      <c r="AG417" s="1043"/>
      <c r="AH417" s="1043"/>
      <c r="AI417" s="1043"/>
    </row>
    <row r="418" spans="30:35">
      <c r="AD418" s="1043"/>
      <c r="AE418" s="1043"/>
      <c r="AF418" s="1043"/>
      <c r="AG418" s="1043"/>
      <c r="AH418" s="1043"/>
      <c r="AI418" s="1043"/>
    </row>
    <row r="419" spans="30:35">
      <c r="AD419" s="1043"/>
      <c r="AE419" s="1043"/>
      <c r="AF419" s="1043"/>
      <c r="AG419" s="1043"/>
      <c r="AH419" s="1043"/>
      <c r="AI419" s="1043"/>
    </row>
    <row r="420" spans="30:35">
      <c r="AD420" s="1043"/>
      <c r="AE420" s="1043"/>
      <c r="AF420" s="1043"/>
      <c r="AG420" s="1043"/>
      <c r="AH420" s="1043"/>
      <c r="AI420" s="1043"/>
    </row>
    <row r="421" spans="30:35">
      <c r="AD421" s="1043"/>
      <c r="AE421" s="1043"/>
      <c r="AF421" s="1043"/>
      <c r="AG421" s="1043"/>
      <c r="AH421" s="1043"/>
      <c r="AI421" s="1043"/>
    </row>
    <row r="422" spans="30:35">
      <c r="AD422" s="1043"/>
      <c r="AE422" s="1043"/>
      <c r="AF422" s="1043"/>
      <c r="AG422" s="1043"/>
      <c r="AH422" s="1043"/>
      <c r="AI422" s="1043"/>
    </row>
    <row r="423" spans="30:35">
      <c r="AD423" s="1043"/>
      <c r="AE423" s="1043"/>
      <c r="AF423" s="1043"/>
      <c r="AG423" s="1043"/>
      <c r="AH423" s="1043"/>
      <c r="AI423" s="1043"/>
    </row>
    <row r="424" spans="30:35">
      <c r="AD424" s="1043"/>
      <c r="AE424" s="1043"/>
      <c r="AF424" s="1043"/>
      <c r="AG424" s="1043"/>
      <c r="AH424" s="1043"/>
      <c r="AI424" s="1043"/>
    </row>
    <row r="425" spans="30:35">
      <c r="AD425" s="1043"/>
      <c r="AE425" s="1043"/>
      <c r="AF425" s="1043"/>
      <c r="AG425" s="1043"/>
      <c r="AH425" s="1043"/>
      <c r="AI425" s="1043"/>
    </row>
    <row r="426" spans="30:35">
      <c r="AD426" s="1043"/>
      <c r="AE426" s="1043"/>
      <c r="AF426" s="1043"/>
      <c r="AG426" s="1043"/>
      <c r="AH426" s="1043"/>
      <c r="AI426" s="1043"/>
    </row>
    <row r="427" spans="30:35">
      <c r="AD427" s="1043"/>
      <c r="AE427" s="1043"/>
      <c r="AF427" s="1043"/>
      <c r="AG427" s="1043"/>
      <c r="AH427" s="1043"/>
      <c r="AI427" s="1043"/>
    </row>
    <row r="428" spans="30:35">
      <c r="AD428" s="1043"/>
      <c r="AE428" s="1043"/>
      <c r="AF428" s="1043"/>
      <c r="AG428" s="1043"/>
      <c r="AH428" s="1043"/>
      <c r="AI428" s="1043"/>
    </row>
    <row r="429" spans="30:35">
      <c r="AD429" s="1043"/>
      <c r="AE429" s="1043"/>
      <c r="AF429" s="1043"/>
      <c r="AG429" s="1043"/>
      <c r="AH429" s="1043"/>
      <c r="AI429" s="1043"/>
    </row>
    <row r="430" spans="30:35">
      <c r="AD430" s="1043"/>
      <c r="AE430" s="1043"/>
      <c r="AF430" s="1043"/>
      <c r="AG430" s="1043"/>
      <c r="AH430" s="1043"/>
      <c r="AI430" s="1043"/>
    </row>
    <row r="431" spans="30:35">
      <c r="AD431" s="1043"/>
      <c r="AE431" s="1043"/>
      <c r="AF431" s="1043"/>
      <c r="AG431" s="1043"/>
      <c r="AH431" s="1043"/>
      <c r="AI431" s="1043"/>
    </row>
    <row r="432" spans="30:35">
      <c r="AD432" s="1043"/>
      <c r="AE432" s="1043"/>
      <c r="AF432" s="1043"/>
      <c r="AG432" s="1043"/>
      <c r="AH432" s="1043"/>
      <c r="AI432" s="1043"/>
    </row>
    <row r="433" spans="30:35">
      <c r="AD433" s="1043"/>
      <c r="AE433" s="1043"/>
      <c r="AF433" s="1043"/>
      <c r="AG433" s="1043"/>
      <c r="AH433" s="1043"/>
      <c r="AI433" s="1043"/>
    </row>
    <row r="434" spans="30:35">
      <c r="AD434" s="1043"/>
      <c r="AE434" s="1043"/>
      <c r="AF434" s="1043"/>
      <c r="AG434" s="1043"/>
      <c r="AH434" s="1043"/>
      <c r="AI434" s="1043"/>
    </row>
    <row r="435" spans="30:35">
      <c r="AD435" s="1043"/>
      <c r="AE435" s="1043"/>
      <c r="AF435" s="1043"/>
      <c r="AG435" s="1043"/>
      <c r="AH435" s="1043"/>
      <c r="AI435" s="1043"/>
    </row>
    <row r="436" spans="30:35">
      <c r="AD436" s="1043"/>
      <c r="AE436" s="1043"/>
      <c r="AF436" s="1043"/>
      <c r="AG436" s="1043"/>
      <c r="AH436" s="1043"/>
      <c r="AI436" s="1043"/>
    </row>
    <row r="437" spans="30:35">
      <c r="AD437" s="1043"/>
      <c r="AE437" s="1043"/>
      <c r="AF437" s="1043"/>
      <c r="AG437" s="1043"/>
      <c r="AH437" s="1043"/>
      <c r="AI437" s="1043"/>
    </row>
    <row r="438" spans="30:35">
      <c r="AD438" s="1043"/>
      <c r="AE438" s="1043"/>
      <c r="AF438" s="1043"/>
      <c r="AG438" s="1043"/>
      <c r="AH438" s="1043"/>
      <c r="AI438" s="1043"/>
    </row>
    <row r="439" spans="30:35">
      <c r="AD439" s="1043"/>
      <c r="AE439" s="1043"/>
      <c r="AF439" s="1043"/>
      <c r="AG439" s="1043"/>
      <c r="AH439" s="1043"/>
      <c r="AI439" s="1043"/>
    </row>
    <row r="440" spans="30:35">
      <c r="AD440" s="1043"/>
      <c r="AE440" s="1043"/>
      <c r="AF440" s="1043"/>
      <c r="AG440" s="1043"/>
      <c r="AH440" s="1043"/>
      <c r="AI440" s="1043"/>
    </row>
    <row r="441" spans="30:35">
      <c r="AD441" s="1043"/>
      <c r="AE441" s="1043"/>
      <c r="AF441" s="1043"/>
      <c r="AG441" s="1043"/>
      <c r="AH441" s="1043"/>
      <c r="AI441" s="1043"/>
    </row>
    <row r="442" spans="30:35">
      <c r="AD442" s="1043"/>
      <c r="AE442" s="1043"/>
      <c r="AF442" s="1043"/>
      <c r="AG442" s="1043"/>
      <c r="AH442" s="1043"/>
      <c r="AI442" s="1043"/>
    </row>
    <row r="443" spans="30:35">
      <c r="AD443" s="1043"/>
      <c r="AE443" s="1043"/>
      <c r="AF443" s="1043"/>
      <c r="AG443" s="1043"/>
      <c r="AH443" s="1043"/>
      <c r="AI443" s="1043"/>
    </row>
    <row r="444" spans="30:35">
      <c r="AD444" s="1043"/>
      <c r="AE444" s="1043"/>
      <c r="AF444" s="1043"/>
      <c r="AG444" s="1043"/>
      <c r="AH444" s="1043"/>
      <c r="AI444" s="1043"/>
    </row>
    <row r="445" spans="30:35">
      <c r="AD445" s="1043"/>
      <c r="AE445" s="1043"/>
      <c r="AF445" s="1043"/>
      <c r="AG445" s="1043"/>
      <c r="AH445" s="1043"/>
      <c r="AI445" s="1043"/>
    </row>
    <row r="446" spans="30:35">
      <c r="AD446" s="1043"/>
      <c r="AE446" s="1043"/>
      <c r="AF446" s="1043"/>
      <c r="AG446" s="1043"/>
      <c r="AH446" s="1043"/>
      <c r="AI446" s="1043"/>
    </row>
    <row r="447" spans="30:35">
      <c r="AD447" s="1043"/>
      <c r="AE447" s="1043"/>
      <c r="AF447" s="1043"/>
      <c r="AG447" s="1043"/>
      <c r="AH447" s="1043"/>
      <c r="AI447" s="1043"/>
    </row>
    <row r="448" spans="30:35">
      <c r="AD448" s="1043"/>
      <c r="AE448" s="1043"/>
      <c r="AF448" s="1043"/>
      <c r="AG448" s="1043"/>
      <c r="AH448" s="1043"/>
      <c r="AI448" s="1043"/>
    </row>
    <row r="449" spans="30:35">
      <c r="AD449" s="1043"/>
      <c r="AE449" s="1043"/>
      <c r="AF449" s="1043"/>
      <c r="AG449" s="1043"/>
      <c r="AH449" s="1043"/>
      <c r="AI449" s="1043"/>
    </row>
    <row r="450" spans="30:35">
      <c r="AD450" s="1043"/>
      <c r="AE450" s="1043"/>
      <c r="AF450" s="1043"/>
      <c r="AG450" s="1043"/>
      <c r="AH450" s="1043"/>
      <c r="AI450" s="1043"/>
    </row>
    <row r="451" spans="30:35">
      <c r="AD451" s="1043"/>
      <c r="AE451" s="1043"/>
      <c r="AF451" s="1043"/>
      <c r="AG451" s="1043"/>
      <c r="AH451" s="1043"/>
      <c r="AI451" s="1043"/>
    </row>
    <row r="452" spans="30:35">
      <c r="AD452" s="1043"/>
      <c r="AE452" s="1043"/>
      <c r="AF452" s="1043"/>
      <c r="AG452" s="1043"/>
      <c r="AH452" s="1043"/>
      <c r="AI452" s="1043"/>
    </row>
    <row r="453" spans="30:35">
      <c r="AD453" s="1043"/>
      <c r="AE453" s="1043"/>
      <c r="AF453" s="1043"/>
      <c r="AG453" s="1043"/>
      <c r="AH453" s="1043"/>
      <c r="AI453" s="1043"/>
    </row>
    <row r="454" spans="30:35">
      <c r="AD454" s="1043"/>
      <c r="AE454" s="1043"/>
      <c r="AF454" s="1043"/>
      <c r="AG454" s="1043"/>
      <c r="AH454" s="1043"/>
      <c r="AI454" s="1043"/>
    </row>
    <row r="455" spans="30:35">
      <c r="AD455" s="1043"/>
      <c r="AE455" s="1043"/>
      <c r="AF455" s="1043"/>
      <c r="AG455" s="1043"/>
      <c r="AH455" s="1043"/>
      <c r="AI455" s="1043"/>
    </row>
    <row r="456" spans="30:35">
      <c r="AD456" s="1043"/>
      <c r="AE456" s="1043"/>
      <c r="AF456" s="1043"/>
      <c r="AG456" s="1043"/>
      <c r="AH456" s="1043"/>
      <c r="AI456" s="1043"/>
    </row>
    <row r="457" spans="30:35">
      <c r="AD457" s="1043"/>
      <c r="AE457" s="1043"/>
      <c r="AF457" s="1043"/>
      <c r="AG457" s="1043"/>
      <c r="AH457" s="1043"/>
      <c r="AI457" s="1043"/>
    </row>
    <row r="458" spans="30:35">
      <c r="AD458" s="1043"/>
      <c r="AE458" s="1043"/>
      <c r="AF458" s="1043"/>
      <c r="AG458" s="1043"/>
      <c r="AH458" s="1043"/>
      <c r="AI458" s="1043"/>
    </row>
    <row r="459" spans="30:35">
      <c r="AD459" s="1043"/>
      <c r="AE459" s="1043"/>
      <c r="AF459" s="1043"/>
      <c r="AG459" s="1043"/>
      <c r="AH459" s="1043"/>
      <c r="AI459" s="1043"/>
    </row>
    <row r="460" spans="30:35">
      <c r="AD460" s="1043"/>
      <c r="AE460" s="1043"/>
      <c r="AF460" s="1043"/>
      <c r="AG460" s="1043"/>
      <c r="AH460" s="1043"/>
      <c r="AI460" s="1043"/>
    </row>
    <row r="461" spans="30:35">
      <c r="AD461" s="1043"/>
      <c r="AE461" s="1043"/>
      <c r="AF461" s="1043"/>
      <c r="AG461" s="1043"/>
      <c r="AH461" s="1043"/>
      <c r="AI461" s="1043"/>
    </row>
    <row r="462" spans="30:35">
      <c r="AD462" s="1043"/>
      <c r="AE462" s="1043"/>
      <c r="AF462" s="1043"/>
      <c r="AG462" s="1043"/>
      <c r="AH462" s="1043"/>
      <c r="AI462" s="1043"/>
    </row>
    <row r="463" spans="30:35">
      <c r="AD463" s="1043"/>
      <c r="AE463" s="1043"/>
      <c r="AF463" s="1043"/>
      <c r="AG463" s="1043"/>
      <c r="AH463" s="1043"/>
      <c r="AI463" s="1043"/>
    </row>
    <row r="464" spans="30:35">
      <c r="AD464" s="1043"/>
      <c r="AE464" s="1043"/>
      <c r="AF464" s="1043"/>
      <c r="AG464" s="1043"/>
      <c r="AH464" s="1043"/>
      <c r="AI464" s="1043"/>
    </row>
    <row r="465" spans="30:35">
      <c r="AD465" s="1043"/>
      <c r="AE465" s="1043"/>
      <c r="AF465" s="1043"/>
      <c r="AG465" s="1043"/>
      <c r="AH465" s="1043"/>
      <c r="AI465" s="1043"/>
    </row>
    <row r="466" spans="30:35">
      <c r="AD466" s="1043"/>
      <c r="AE466" s="1043"/>
      <c r="AF466" s="1043"/>
      <c r="AG466" s="1043"/>
      <c r="AH466" s="1043"/>
      <c r="AI466" s="1043"/>
    </row>
    <row r="467" spans="30:35">
      <c r="AD467" s="1043"/>
      <c r="AE467" s="1043"/>
      <c r="AF467" s="1043"/>
      <c r="AG467" s="1043"/>
      <c r="AH467" s="1043"/>
      <c r="AI467" s="1043"/>
    </row>
    <row r="468" spans="30:35">
      <c r="AD468" s="1043"/>
      <c r="AE468" s="1043"/>
      <c r="AF468" s="1043"/>
      <c r="AG468" s="1043"/>
      <c r="AH468" s="1043"/>
      <c r="AI468" s="1043"/>
    </row>
    <row r="469" spans="30:35">
      <c r="AD469" s="1043"/>
      <c r="AE469" s="1043"/>
      <c r="AF469" s="1043"/>
      <c r="AG469" s="1043"/>
      <c r="AH469" s="1043"/>
      <c r="AI469" s="1043"/>
    </row>
    <row r="470" spans="30:35">
      <c r="AD470" s="1043"/>
      <c r="AE470" s="1043"/>
      <c r="AF470" s="1043"/>
      <c r="AG470" s="1043"/>
      <c r="AH470" s="1043"/>
      <c r="AI470" s="1043"/>
    </row>
    <row r="471" spans="30:35">
      <c r="AD471" s="1043"/>
      <c r="AE471" s="1043"/>
      <c r="AF471" s="1043"/>
      <c r="AG471" s="1043"/>
      <c r="AH471" s="1043"/>
      <c r="AI471" s="1043"/>
    </row>
    <row r="472" spans="30:35">
      <c r="AD472" s="1043"/>
      <c r="AE472" s="1043"/>
      <c r="AF472" s="1043"/>
      <c r="AG472" s="1043"/>
      <c r="AH472" s="1043"/>
      <c r="AI472" s="1043"/>
    </row>
    <row r="473" spans="30:35">
      <c r="AD473" s="1043"/>
      <c r="AE473" s="1043"/>
      <c r="AF473" s="1043"/>
      <c r="AG473" s="1043"/>
      <c r="AH473" s="1043"/>
      <c r="AI473" s="1043"/>
    </row>
    <row r="474" spans="30:35">
      <c r="AD474" s="1043"/>
      <c r="AE474" s="1043"/>
      <c r="AF474" s="1043"/>
      <c r="AG474" s="1043"/>
      <c r="AH474" s="1043"/>
      <c r="AI474" s="1043"/>
    </row>
    <row r="475" spans="30:35">
      <c r="AD475" s="1043"/>
      <c r="AE475" s="1043"/>
      <c r="AF475" s="1043"/>
      <c r="AG475" s="1043"/>
      <c r="AH475" s="1043"/>
      <c r="AI475" s="1043"/>
    </row>
    <row r="476" spans="30:35">
      <c r="AD476" s="1043"/>
      <c r="AE476" s="1043"/>
      <c r="AF476" s="1043"/>
      <c r="AG476" s="1043"/>
      <c r="AH476" s="1043"/>
      <c r="AI476" s="1043"/>
    </row>
    <row r="477" spans="30:35">
      <c r="AD477" s="1043"/>
      <c r="AE477" s="1043"/>
      <c r="AF477" s="1043"/>
      <c r="AG477" s="1043"/>
      <c r="AH477" s="1043"/>
      <c r="AI477" s="1043"/>
    </row>
    <row r="478" spans="30:35">
      <c r="AD478" s="1043"/>
      <c r="AE478" s="1043"/>
      <c r="AF478" s="1043"/>
      <c r="AG478" s="1043"/>
      <c r="AH478" s="1043"/>
      <c r="AI478" s="1043"/>
    </row>
    <row r="479" spans="30:35">
      <c r="AD479" s="1043"/>
      <c r="AE479" s="1043"/>
      <c r="AF479" s="1043"/>
      <c r="AG479" s="1043"/>
      <c r="AH479" s="1043"/>
      <c r="AI479" s="1043"/>
    </row>
    <row r="480" spans="30:35">
      <c r="AD480" s="1043"/>
      <c r="AE480" s="1043"/>
      <c r="AF480" s="1043"/>
      <c r="AG480" s="1043"/>
      <c r="AH480" s="1043"/>
      <c r="AI480" s="1043"/>
    </row>
    <row r="481" spans="30:35">
      <c r="AD481" s="1043"/>
      <c r="AE481" s="1043"/>
      <c r="AF481" s="1043"/>
      <c r="AG481" s="1043"/>
      <c r="AH481" s="1043"/>
      <c r="AI481" s="1043"/>
    </row>
    <row r="482" spans="30:35">
      <c r="AD482" s="1043"/>
      <c r="AE482" s="1043"/>
      <c r="AF482" s="1043"/>
      <c r="AG482" s="1043"/>
      <c r="AH482" s="1043"/>
      <c r="AI482" s="1043"/>
    </row>
    <row r="483" spans="30:35">
      <c r="AD483" s="1043"/>
      <c r="AE483" s="1043"/>
      <c r="AF483" s="1043"/>
      <c r="AG483" s="1043"/>
      <c r="AH483" s="1043"/>
      <c r="AI483" s="1043"/>
    </row>
    <row r="484" spans="30:35">
      <c r="AD484" s="1043"/>
      <c r="AE484" s="1043"/>
      <c r="AF484" s="1043"/>
      <c r="AG484" s="1043"/>
      <c r="AH484" s="1043"/>
      <c r="AI484" s="1043"/>
    </row>
    <row r="485" spans="30:35">
      <c r="AD485" s="1043"/>
      <c r="AE485" s="1043"/>
      <c r="AF485" s="1043"/>
      <c r="AG485" s="1043"/>
      <c r="AH485" s="1043"/>
      <c r="AI485" s="1043"/>
    </row>
    <row r="486" spans="30:35">
      <c r="AD486" s="1043"/>
      <c r="AE486" s="1043"/>
      <c r="AF486" s="1043"/>
      <c r="AG486" s="1043"/>
      <c r="AH486" s="1043"/>
      <c r="AI486" s="1043"/>
    </row>
    <row r="487" spans="30:35">
      <c r="AD487" s="1043"/>
      <c r="AE487" s="1043"/>
      <c r="AF487" s="1043"/>
      <c r="AG487" s="1043"/>
      <c r="AH487" s="1043"/>
      <c r="AI487" s="1043"/>
    </row>
    <row r="488" spans="30:35">
      <c r="AD488" s="1043"/>
      <c r="AE488" s="1043"/>
      <c r="AF488" s="1043"/>
      <c r="AG488" s="1043"/>
      <c r="AH488" s="1043"/>
      <c r="AI488" s="1043"/>
    </row>
    <row r="489" spans="30:35">
      <c r="AD489" s="1043"/>
      <c r="AE489" s="1043"/>
      <c r="AF489" s="1043"/>
      <c r="AG489" s="1043"/>
      <c r="AH489" s="1043"/>
      <c r="AI489" s="1043"/>
    </row>
    <row r="490" spans="30:35">
      <c r="AD490" s="1043"/>
      <c r="AE490" s="1043"/>
      <c r="AF490" s="1043"/>
      <c r="AG490" s="1043"/>
      <c r="AH490" s="1043"/>
      <c r="AI490" s="1043"/>
    </row>
    <row r="491" spans="30:35">
      <c r="AD491" s="1043"/>
      <c r="AE491" s="1043"/>
      <c r="AF491" s="1043"/>
      <c r="AG491" s="1043"/>
      <c r="AH491" s="1043"/>
      <c r="AI491" s="1043"/>
    </row>
    <row r="492" spans="30:35">
      <c r="AD492" s="1043"/>
      <c r="AE492" s="1043"/>
      <c r="AF492" s="1043"/>
      <c r="AG492" s="1043"/>
      <c r="AH492" s="1043"/>
      <c r="AI492" s="1043"/>
    </row>
    <row r="493" spans="30:35">
      <c r="AD493" s="1043"/>
      <c r="AE493" s="1043"/>
      <c r="AF493" s="1043"/>
      <c r="AG493" s="1043"/>
      <c r="AH493" s="1043"/>
      <c r="AI493" s="1043"/>
    </row>
    <row r="494" spans="30:35">
      <c r="AD494" s="1043"/>
      <c r="AE494" s="1043"/>
      <c r="AF494" s="1043"/>
      <c r="AG494" s="1043"/>
      <c r="AH494" s="1043"/>
      <c r="AI494" s="1043"/>
    </row>
    <row r="495" spans="30:35">
      <c r="AD495" s="1043"/>
      <c r="AE495" s="1043"/>
      <c r="AF495" s="1043"/>
      <c r="AG495" s="1043"/>
      <c r="AH495" s="1043"/>
      <c r="AI495" s="1043"/>
    </row>
    <row r="496" spans="30:35">
      <c r="AD496" s="1043"/>
      <c r="AE496" s="1043"/>
      <c r="AF496" s="1043"/>
      <c r="AG496" s="1043"/>
      <c r="AH496" s="1043"/>
      <c r="AI496" s="1043"/>
    </row>
    <row r="497" spans="30:35">
      <c r="AD497" s="1043"/>
      <c r="AE497" s="1043"/>
      <c r="AF497" s="1043"/>
      <c r="AG497" s="1043"/>
      <c r="AH497" s="1043"/>
      <c r="AI497" s="1043"/>
    </row>
    <row r="498" spans="30:35">
      <c r="AD498" s="1043"/>
      <c r="AE498" s="1043"/>
      <c r="AF498" s="1043"/>
      <c r="AG498" s="1043"/>
      <c r="AH498" s="1043"/>
      <c r="AI498" s="1043"/>
    </row>
    <row r="499" spans="30:35">
      <c r="AD499" s="1043"/>
      <c r="AE499" s="1043"/>
      <c r="AF499" s="1043"/>
      <c r="AG499" s="1043"/>
      <c r="AH499" s="1043"/>
      <c r="AI499" s="1043"/>
    </row>
    <row r="500" spans="30:35">
      <c r="AD500" s="1043"/>
      <c r="AE500" s="1043"/>
      <c r="AF500" s="1043"/>
      <c r="AG500" s="1043"/>
      <c r="AH500" s="1043"/>
      <c r="AI500" s="1043"/>
    </row>
    <row r="501" spans="30:35">
      <c r="AD501" s="1043"/>
      <c r="AE501" s="1043"/>
      <c r="AF501" s="1043"/>
      <c r="AG501" s="1043"/>
      <c r="AH501" s="1043"/>
      <c r="AI501" s="1043"/>
    </row>
    <row r="502" spans="30:35">
      <c r="AD502" s="1043"/>
      <c r="AE502" s="1043"/>
      <c r="AF502" s="1043"/>
      <c r="AG502" s="1043"/>
      <c r="AH502" s="1043"/>
      <c r="AI502" s="1043"/>
    </row>
    <row r="503" spans="30:35">
      <c r="AD503" s="1043"/>
      <c r="AE503" s="1043"/>
      <c r="AF503" s="1043"/>
      <c r="AG503" s="1043"/>
      <c r="AH503" s="1043"/>
      <c r="AI503" s="1043"/>
    </row>
    <row r="504" spans="30:35">
      <c r="AD504" s="1043"/>
      <c r="AE504" s="1043"/>
      <c r="AF504" s="1043"/>
      <c r="AG504" s="1043"/>
      <c r="AH504" s="1043"/>
      <c r="AI504" s="1043"/>
    </row>
    <row r="505" spans="30:35">
      <c r="AD505" s="1043"/>
      <c r="AE505" s="1043"/>
      <c r="AF505" s="1043"/>
      <c r="AG505" s="1043"/>
      <c r="AH505" s="1043"/>
      <c r="AI505" s="1043"/>
    </row>
    <row r="506" spans="30:35">
      <c r="AD506" s="1043"/>
      <c r="AE506" s="1043"/>
      <c r="AF506" s="1043"/>
      <c r="AG506" s="1043"/>
      <c r="AH506" s="1043"/>
      <c r="AI506" s="1043"/>
    </row>
    <row r="507" spans="30:35">
      <c r="AD507" s="1043"/>
      <c r="AE507" s="1043"/>
      <c r="AF507" s="1043"/>
      <c r="AG507" s="1043"/>
      <c r="AH507" s="1043"/>
      <c r="AI507" s="1043"/>
    </row>
    <row r="508" spans="30:35">
      <c r="AD508" s="1043"/>
      <c r="AE508" s="1043"/>
      <c r="AF508" s="1043"/>
      <c r="AG508" s="1043"/>
      <c r="AH508" s="1043"/>
      <c r="AI508" s="1043"/>
    </row>
    <row r="509" spans="30:35">
      <c r="AD509" s="1043"/>
      <c r="AE509" s="1043"/>
      <c r="AF509" s="1043"/>
      <c r="AG509" s="1043"/>
      <c r="AH509" s="1043"/>
      <c r="AI509" s="1043"/>
    </row>
    <row r="510" spans="30:35">
      <c r="AD510" s="1043"/>
      <c r="AE510" s="1043"/>
      <c r="AF510" s="1043"/>
      <c r="AG510" s="1043"/>
      <c r="AH510" s="1043"/>
      <c r="AI510" s="1043"/>
    </row>
    <row r="511" spans="30:35">
      <c r="AD511" s="1043"/>
      <c r="AE511" s="1043"/>
      <c r="AF511" s="1043"/>
      <c r="AG511" s="1043"/>
      <c r="AH511" s="1043"/>
      <c r="AI511" s="1043"/>
    </row>
    <row r="512" spans="30:35">
      <c r="AD512" s="1043"/>
      <c r="AE512" s="1043"/>
      <c r="AF512" s="1043"/>
      <c r="AG512" s="1043"/>
      <c r="AH512" s="1043"/>
      <c r="AI512" s="1043"/>
    </row>
    <row r="513" spans="30:35">
      <c r="AD513" s="1043"/>
      <c r="AE513" s="1043"/>
      <c r="AF513" s="1043"/>
      <c r="AG513" s="1043"/>
      <c r="AH513" s="1043"/>
      <c r="AI513" s="1043"/>
    </row>
    <row r="514" spans="30:35">
      <c r="AD514" s="1043"/>
      <c r="AE514" s="1043"/>
      <c r="AF514" s="1043"/>
      <c r="AG514" s="1043"/>
      <c r="AH514" s="1043"/>
      <c r="AI514" s="1043"/>
    </row>
    <row r="515" spans="30:35">
      <c r="AD515" s="1043"/>
      <c r="AE515" s="1043"/>
      <c r="AF515" s="1043"/>
      <c r="AG515" s="1043"/>
      <c r="AH515" s="1043"/>
      <c r="AI515" s="1043"/>
    </row>
    <row r="516" spans="30:35">
      <c r="AD516" s="1043"/>
      <c r="AE516" s="1043"/>
      <c r="AF516" s="1043"/>
      <c r="AG516" s="1043"/>
      <c r="AH516" s="1043"/>
      <c r="AI516" s="1043"/>
    </row>
    <row r="517" spans="30:35">
      <c r="AD517" s="1043"/>
      <c r="AE517" s="1043"/>
      <c r="AF517" s="1043"/>
      <c r="AG517" s="1043"/>
      <c r="AH517" s="1043"/>
      <c r="AI517" s="1043"/>
    </row>
    <row r="518" spans="30:35">
      <c r="AD518" s="1043"/>
      <c r="AE518" s="1043"/>
      <c r="AF518" s="1043"/>
      <c r="AG518" s="1043"/>
      <c r="AH518" s="1043"/>
      <c r="AI518" s="1043"/>
    </row>
    <row r="519" spans="30:35">
      <c r="AD519" s="1043"/>
      <c r="AE519" s="1043"/>
      <c r="AF519" s="1043"/>
      <c r="AG519" s="1043"/>
      <c r="AH519" s="1043"/>
      <c r="AI519" s="1043"/>
    </row>
    <row r="520" spans="30:35">
      <c r="AD520" s="1043"/>
      <c r="AE520" s="1043"/>
      <c r="AF520" s="1043"/>
      <c r="AG520" s="1043"/>
      <c r="AH520" s="1043"/>
      <c r="AI520" s="1043"/>
    </row>
    <row r="521" spans="30:35">
      <c r="AD521" s="1043"/>
      <c r="AE521" s="1043"/>
      <c r="AF521" s="1043"/>
      <c r="AG521" s="1043"/>
      <c r="AH521" s="1043"/>
      <c r="AI521" s="1043"/>
    </row>
    <row r="522" spans="30:35">
      <c r="AD522" s="1043"/>
      <c r="AE522" s="1043"/>
      <c r="AF522" s="1043"/>
      <c r="AG522" s="1043"/>
      <c r="AH522" s="1043"/>
      <c r="AI522" s="1043"/>
    </row>
    <row r="523" spans="30:35">
      <c r="AD523" s="1043"/>
      <c r="AE523" s="1043"/>
      <c r="AF523" s="1043"/>
      <c r="AG523" s="1043"/>
      <c r="AH523" s="1043"/>
      <c r="AI523" s="1043"/>
    </row>
    <row r="524" spans="30:35">
      <c r="AD524" s="1043"/>
      <c r="AE524" s="1043"/>
      <c r="AF524" s="1043"/>
      <c r="AG524" s="1043"/>
      <c r="AH524" s="1043"/>
      <c r="AI524" s="1043"/>
    </row>
    <row r="525" spans="30:35">
      <c r="AD525" s="1043"/>
      <c r="AE525" s="1043"/>
      <c r="AF525" s="1043"/>
      <c r="AG525" s="1043"/>
      <c r="AH525" s="1043"/>
      <c r="AI525" s="1043"/>
    </row>
    <row r="526" spans="30:35">
      <c r="AD526" s="1043"/>
      <c r="AE526" s="1043"/>
      <c r="AF526" s="1043"/>
      <c r="AG526" s="1043"/>
      <c r="AH526" s="1043"/>
      <c r="AI526" s="1043"/>
    </row>
    <row r="527" spans="30:35">
      <c r="AD527" s="1043"/>
      <c r="AE527" s="1043"/>
      <c r="AF527" s="1043"/>
      <c r="AG527" s="1043"/>
      <c r="AH527" s="1043"/>
      <c r="AI527" s="1043"/>
    </row>
    <row r="528" spans="30:35">
      <c r="AD528" s="1043"/>
      <c r="AE528" s="1043"/>
      <c r="AF528" s="1043"/>
      <c r="AG528" s="1043"/>
      <c r="AH528" s="1043"/>
      <c r="AI528" s="1043"/>
    </row>
    <row r="529" spans="30:35">
      <c r="AD529" s="1043"/>
      <c r="AE529" s="1043"/>
      <c r="AF529" s="1043"/>
      <c r="AG529" s="1043"/>
      <c r="AH529" s="1043"/>
      <c r="AI529" s="1043"/>
    </row>
    <row r="530" spans="30:35">
      <c r="AD530" s="1043"/>
      <c r="AE530" s="1043"/>
      <c r="AF530" s="1043"/>
      <c r="AG530" s="1043"/>
      <c r="AH530" s="1043"/>
      <c r="AI530" s="1043"/>
    </row>
    <row r="531" spans="30:35">
      <c r="AD531" s="1043"/>
      <c r="AE531" s="1043"/>
      <c r="AF531" s="1043"/>
      <c r="AG531" s="1043"/>
      <c r="AH531" s="1043"/>
      <c r="AI531" s="1043"/>
    </row>
    <row r="532" spans="30:35">
      <c r="AD532" s="1043"/>
      <c r="AE532" s="1043"/>
      <c r="AF532" s="1043"/>
      <c r="AG532" s="1043"/>
      <c r="AH532" s="1043"/>
      <c r="AI532" s="1043"/>
    </row>
    <row r="533" spans="30:35">
      <c r="AD533" s="1043"/>
      <c r="AE533" s="1043"/>
      <c r="AF533" s="1043"/>
      <c r="AG533" s="1043"/>
      <c r="AH533" s="1043"/>
      <c r="AI533" s="1043"/>
    </row>
    <row r="534" spans="30:35">
      <c r="AD534" s="1043"/>
      <c r="AE534" s="1043"/>
      <c r="AF534" s="1043"/>
      <c r="AG534" s="1043"/>
      <c r="AH534" s="1043"/>
      <c r="AI534" s="1043"/>
    </row>
    <row r="535" spans="30:35">
      <c r="AD535" s="1043"/>
      <c r="AE535" s="1043"/>
      <c r="AF535" s="1043"/>
      <c r="AG535" s="1043"/>
      <c r="AH535" s="1043"/>
      <c r="AI535" s="1043"/>
    </row>
    <row r="536" spans="30:35">
      <c r="AD536" s="1043"/>
      <c r="AE536" s="1043"/>
      <c r="AF536" s="1043"/>
      <c r="AG536" s="1043"/>
      <c r="AH536" s="1043"/>
      <c r="AI536" s="1043"/>
    </row>
    <row r="537" spans="30:35">
      <c r="AD537" s="1043"/>
      <c r="AE537" s="1043"/>
      <c r="AF537" s="1043"/>
      <c r="AG537" s="1043"/>
      <c r="AH537" s="1043"/>
      <c r="AI537" s="1043"/>
    </row>
    <row r="538" spans="30:35">
      <c r="AD538" s="1043"/>
      <c r="AE538" s="1043"/>
      <c r="AF538" s="1043"/>
      <c r="AG538" s="1043"/>
      <c r="AH538" s="1043"/>
      <c r="AI538" s="1043"/>
    </row>
    <row r="539" spans="30:35">
      <c r="AD539" s="1043"/>
      <c r="AE539" s="1043"/>
      <c r="AF539" s="1043"/>
      <c r="AG539" s="1043"/>
      <c r="AH539" s="1043"/>
      <c r="AI539" s="1043"/>
    </row>
    <row r="540" spans="30:35">
      <c r="AD540" s="1043"/>
      <c r="AE540" s="1043"/>
      <c r="AF540" s="1043"/>
      <c r="AG540" s="1043"/>
      <c r="AH540" s="1043"/>
      <c r="AI540" s="1043"/>
    </row>
    <row r="541" spans="30:35">
      <c r="AD541" s="1043"/>
      <c r="AE541" s="1043"/>
      <c r="AF541" s="1043"/>
      <c r="AG541" s="1043"/>
      <c r="AH541" s="1043"/>
      <c r="AI541" s="1043"/>
    </row>
    <row r="542" spans="30:35">
      <c r="AD542" s="1043"/>
      <c r="AE542" s="1043"/>
      <c r="AF542" s="1043"/>
      <c r="AG542" s="1043"/>
      <c r="AH542" s="1043"/>
      <c r="AI542" s="1043"/>
    </row>
    <row r="543" spans="30:35">
      <c r="AD543" s="1043"/>
      <c r="AE543" s="1043"/>
      <c r="AF543" s="1043"/>
      <c r="AG543" s="1043"/>
      <c r="AH543" s="1043"/>
      <c r="AI543" s="1043"/>
    </row>
    <row r="544" spans="30:35">
      <c r="AD544" s="1043"/>
      <c r="AE544" s="1043"/>
      <c r="AF544" s="1043"/>
      <c r="AG544" s="1043"/>
      <c r="AH544" s="1043"/>
      <c r="AI544" s="1043"/>
    </row>
    <row r="545" spans="30:35">
      <c r="AD545" s="1043"/>
      <c r="AE545" s="1043"/>
      <c r="AF545" s="1043"/>
      <c r="AG545" s="1043"/>
      <c r="AH545" s="1043"/>
      <c r="AI545" s="1043"/>
    </row>
    <row r="546" spans="30:35">
      <c r="AD546" s="1043"/>
      <c r="AE546" s="1043"/>
      <c r="AF546" s="1043"/>
      <c r="AG546" s="1043"/>
      <c r="AH546" s="1043"/>
      <c r="AI546" s="1043"/>
    </row>
    <row r="547" spans="30:35">
      <c r="AD547" s="1043"/>
      <c r="AE547" s="1043"/>
      <c r="AF547" s="1043"/>
      <c r="AG547" s="1043"/>
      <c r="AH547" s="1043"/>
      <c r="AI547" s="1043"/>
    </row>
    <row r="548" spans="30:35">
      <c r="AD548" s="1043"/>
      <c r="AE548" s="1043"/>
      <c r="AF548" s="1043"/>
      <c r="AG548" s="1043"/>
      <c r="AH548" s="1043"/>
      <c r="AI548" s="1043"/>
    </row>
    <row r="549" spans="30:35">
      <c r="AD549" s="1043"/>
      <c r="AE549" s="1043"/>
      <c r="AF549" s="1043"/>
      <c r="AG549" s="1043"/>
      <c r="AH549" s="1043"/>
      <c r="AI549" s="1043"/>
    </row>
    <row r="550" spans="30:35">
      <c r="AD550" s="1043"/>
      <c r="AE550" s="1043"/>
      <c r="AF550" s="1043"/>
      <c r="AG550" s="1043"/>
      <c r="AH550" s="1043"/>
      <c r="AI550" s="1043"/>
    </row>
    <row r="551" spans="30:35">
      <c r="AD551" s="1043"/>
      <c r="AE551" s="1043"/>
      <c r="AF551" s="1043"/>
      <c r="AG551" s="1043"/>
      <c r="AH551" s="1043"/>
      <c r="AI551" s="1043"/>
    </row>
    <row r="552" spans="30:35">
      <c r="AD552" s="1043"/>
      <c r="AE552" s="1043"/>
      <c r="AF552" s="1043"/>
      <c r="AG552" s="1043"/>
      <c r="AH552" s="1043"/>
      <c r="AI552" s="1043"/>
    </row>
    <row r="553" spans="30:35">
      <c r="AD553" s="1043"/>
      <c r="AE553" s="1043"/>
      <c r="AF553" s="1043"/>
      <c r="AG553" s="1043"/>
      <c r="AH553" s="1043"/>
      <c r="AI553" s="1043"/>
    </row>
    <row r="554" spans="30:35">
      <c r="AD554" s="1043"/>
      <c r="AE554" s="1043"/>
      <c r="AF554" s="1043"/>
      <c r="AG554" s="1043"/>
      <c r="AH554" s="1043"/>
      <c r="AI554" s="1043"/>
    </row>
    <row r="555" spans="30:35">
      <c r="AD555" s="1043"/>
      <c r="AE555" s="1043"/>
      <c r="AF555" s="1043"/>
      <c r="AG555" s="1043"/>
      <c r="AH555" s="1043"/>
      <c r="AI555" s="1043"/>
    </row>
    <row r="556" spans="30:35">
      <c r="AD556" s="1043"/>
      <c r="AE556" s="1043"/>
      <c r="AF556" s="1043"/>
      <c r="AG556" s="1043"/>
      <c r="AH556" s="1043"/>
      <c r="AI556" s="1043"/>
    </row>
    <row r="557" spans="30:35">
      <c r="AD557" s="1043"/>
      <c r="AE557" s="1043"/>
      <c r="AF557" s="1043"/>
      <c r="AG557" s="1043"/>
      <c r="AH557" s="1043"/>
      <c r="AI557" s="1043"/>
    </row>
    <row r="558" spans="30:35">
      <c r="AD558" s="1043"/>
      <c r="AE558" s="1043"/>
      <c r="AF558" s="1043"/>
      <c r="AG558" s="1043"/>
      <c r="AH558" s="1043"/>
      <c r="AI558" s="1043"/>
    </row>
    <row r="559" spans="30:35">
      <c r="AD559" s="1043"/>
      <c r="AE559" s="1043"/>
      <c r="AF559" s="1043"/>
      <c r="AG559" s="1043"/>
      <c r="AH559" s="1043"/>
      <c r="AI559" s="1043"/>
    </row>
    <row r="560" spans="30:35">
      <c r="AD560" s="1043"/>
      <c r="AE560" s="1043"/>
      <c r="AF560" s="1043"/>
      <c r="AG560" s="1043"/>
      <c r="AH560" s="1043"/>
      <c r="AI560" s="1043"/>
    </row>
    <row r="561" spans="30:35">
      <c r="AD561" s="1043"/>
      <c r="AE561" s="1043"/>
      <c r="AF561" s="1043"/>
      <c r="AG561" s="1043"/>
      <c r="AH561" s="1043"/>
      <c r="AI561" s="1043"/>
    </row>
    <row r="562" spans="30:35">
      <c r="AD562" s="1043"/>
      <c r="AE562" s="1043"/>
      <c r="AF562" s="1043"/>
      <c r="AG562" s="1043"/>
      <c r="AH562" s="1043"/>
      <c r="AI562" s="1043"/>
    </row>
    <row r="563" spans="30:35">
      <c r="AD563" s="1043"/>
      <c r="AE563" s="1043"/>
      <c r="AF563" s="1043"/>
      <c r="AG563" s="1043"/>
      <c r="AH563" s="1043"/>
      <c r="AI563" s="1043"/>
    </row>
    <row r="564" spans="30:35">
      <c r="AD564" s="1043"/>
      <c r="AE564" s="1043"/>
      <c r="AF564" s="1043"/>
      <c r="AG564" s="1043"/>
      <c r="AH564" s="1043"/>
      <c r="AI564" s="1043"/>
    </row>
    <row r="565" spans="30:35">
      <c r="AD565" s="1043"/>
      <c r="AE565" s="1043"/>
      <c r="AF565" s="1043"/>
      <c r="AG565" s="1043"/>
      <c r="AH565" s="1043"/>
      <c r="AI565" s="1043"/>
    </row>
    <row r="566" spans="30:35">
      <c r="AD566" s="1043"/>
      <c r="AE566" s="1043"/>
      <c r="AF566" s="1043"/>
      <c r="AG566" s="1043"/>
      <c r="AH566" s="1043"/>
      <c r="AI566" s="1043"/>
    </row>
    <row r="567" spans="30:35">
      <c r="AD567" s="1043"/>
      <c r="AE567" s="1043"/>
      <c r="AF567" s="1043"/>
      <c r="AG567" s="1043"/>
      <c r="AH567" s="1043"/>
      <c r="AI567" s="1043"/>
    </row>
    <row r="568" spans="30:35">
      <c r="AD568" s="1043"/>
      <c r="AE568" s="1043"/>
      <c r="AF568" s="1043"/>
      <c r="AG568" s="1043"/>
      <c r="AH568" s="1043"/>
      <c r="AI568" s="1043"/>
    </row>
    <row r="569" spans="30:35">
      <c r="AD569" s="1043"/>
      <c r="AE569" s="1043"/>
      <c r="AF569" s="1043"/>
      <c r="AG569" s="1043"/>
      <c r="AH569" s="1043"/>
      <c r="AI569" s="1043"/>
    </row>
    <row r="570" spans="30:35">
      <c r="AD570" s="1043"/>
      <c r="AE570" s="1043"/>
      <c r="AF570" s="1043"/>
      <c r="AG570" s="1043"/>
      <c r="AH570" s="1043"/>
      <c r="AI570" s="1043"/>
    </row>
    <row r="571" spans="30:35">
      <c r="AD571" s="1043"/>
      <c r="AE571" s="1043"/>
      <c r="AF571" s="1043"/>
      <c r="AG571" s="1043"/>
      <c r="AH571" s="1043"/>
      <c r="AI571" s="1043"/>
    </row>
    <row r="572" spans="30:35">
      <c r="AD572" s="1043"/>
      <c r="AE572" s="1043"/>
      <c r="AF572" s="1043"/>
      <c r="AG572" s="1043"/>
      <c r="AH572" s="1043"/>
      <c r="AI572" s="1043"/>
    </row>
    <row r="573" spans="30:35">
      <c r="AD573" s="1043"/>
      <c r="AE573" s="1043"/>
      <c r="AF573" s="1043"/>
      <c r="AG573" s="1043"/>
      <c r="AH573" s="1043"/>
      <c r="AI573" s="1043"/>
    </row>
    <row r="574" spans="30:35">
      <c r="AD574" s="1043"/>
      <c r="AE574" s="1043"/>
      <c r="AF574" s="1043"/>
      <c r="AG574" s="1043"/>
      <c r="AH574" s="1043"/>
      <c r="AI574" s="1043"/>
    </row>
    <row r="575" spans="30:35">
      <c r="AD575" s="1043"/>
      <c r="AE575" s="1043"/>
      <c r="AF575" s="1043"/>
      <c r="AG575" s="1043"/>
      <c r="AH575" s="1043"/>
      <c r="AI575" s="1043"/>
    </row>
    <row r="576" spans="30:35">
      <c r="AD576" s="1043"/>
      <c r="AE576" s="1043"/>
      <c r="AF576" s="1043"/>
      <c r="AG576" s="1043"/>
      <c r="AH576" s="1043"/>
      <c r="AI576" s="1043"/>
    </row>
    <row r="577" spans="30:35">
      <c r="AD577" s="1043"/>
      <c r="AE577" s="1043"/>
      <c r="AF577" s="1043"/>
      <c r="AG577" s="1043"/>
      <c r="AH577" s="1043"/>
      <c r="AI577" s="1043"/>
    </row>
    <row r="578" spans="30:35">
      <c r="AD578" s="1043"/>
      <c r="AE578" s="1043"/>
      <c r="AF578" s="1043"/>
      <c r="AG578" s="1043"/>
      <c r="AH578" s="1043"/>
      <c r="AI578" s="1043"/>
    </row>
    <row r="579" spans="30:35">
      <c r="AD579" s="1043"/>
      <c r="AE579" s="1043"/>
      <c r="AF579" s="1043"/>
      <c r="AG579" s="1043"/>
      <c r="AH579" s="1043"/>
      <c r="AI579" s="1043"/>
    </row>
    <row r="580" spans="30:35">
      <c r="AD580" s="1043"/>
      <c r="AE580" s="1043"/>
      <c r="AF580" s="1043"/>
      <c r="AG580" s="1043"/>
      <c r="AH580" s="1043"/>
      <c r="AI580" s="1043"/>
    </row>
    <row r="581" spans="30:35">
      <c r="AD581" s="1043"/>
      <c r="AE581" s="1043"/>
      <c r="AF581" s="1043"/>
      <c r="AG581" s="1043"/>
      <c r="AH581" s="1043"/>
      <c r="AI581" s="1043"/>
    </row>
    <row r="582" spans="30:35">
      <c r="AD582" s="1043"/>
      <c r="AE582" s="1043"/>
      <c r="AF582" s="1043"/>
      <c r="AG582" s="1043"/>
      <c r="AH582" s="1043"/>
      <c r="AI582" s="1043"/>
    </row>
    <row r="583" spans="30:35">
      <c r="AD583" s="1043"/>
      <c r="AE583" s="1043"/>
      <c r="AF583" s="1043"/>
      <c r="AG583" s="1043"/>
      <c r="AH583" s="1043"/>
      <c r="AI583" s="1043"/>
    </row>
    <row r="584" spans="30:35">
      <c r="AD584" s="1043"/>
      <c r="AE584" s="1043"/>
      <c r="AF584" s="1043"/>
      <c r="AG584" s="1043"/>
      <c r="AH584" s="1043"/>
      <c r="AI584" s="1043"/>
    </row>
    <row r="585" spans="30:35">
      <c r="AD585" s="1043"/>
      <c r="AE585" s="1043"/>
      <c r="AF585" s="1043"/>
      <c r="AG585" s="1043"/>
      <c r="AH585" s="1043"/>
      <c r="AI585" s="1043"/>
    </row>
    <row r="586" spans="30:35">
      <c r="AD586" s="1043"/>
      <c r="AE586" s="1043"/>
      <c r="AF586" s="1043"/>
      <c r="AG586" s="1043"/>
      <c r="AH586" s="1043"/>
      <c r="AI586" s="1043"/>
    </row>
    <row r="587" spans="30:35">
      <c r="AD587" s="1043"/>
      <c r="AE587" s="1043"/>
      <c r="AF587" s="1043"/>
      <c r="AG587" s="1043"/>
      <c r="AH587" s="1043"/>
      <c r="AI587" s="1043"/>
    </row>
    <row r="588" spans="30:35">
      <c r="AD588" s="1043"/>
      <c r="AE588" s="1043"/>
      <c r="AF588" s="1043"/>
      <c r="AG588" s="1043"/>
      <c r="AH588" s="1043"/>
      <c r="AI588" s="1043"/>
    </row>
    <row r="589" spans="30:35">
      <c r="AD589" s="1043"/>
      <c r="AE589" s="1043"/>
      <c r="AF589" s="1043"/>
      <c r="AG589" s="1043"/>
      <c r="AH589" s="1043"/>
      <c r="AI589" s="1043"/>
    </row>
    <row r="590" spans="30:35">
      <c r="AD590" s="1043"/>
      <c r="AE590" s="1043"/>
      <c r="AF590" s="1043"/>
      <c r="AG590" s="1043"/>
      <c r="AH590" s="1043"/>
      <c r="AI590" s="1043"/>
    </row>
    <row r="591" spans="30:35">
      <c r="AD591" s="1043"/>
      <c r="AE591" s="1043"/>
      <c r="AF591" s="1043"/>
      <c r="AG591" s="1043"/>
      <c r="AH591" s="1043"/>
      <c r="AI591" s="1043"/>
    </row>
    <row r="592" spans="30:35">
      <c r="AD592" s="1043"/>
      <c r="AE592" s="1043"/>
      <c r="AF592" s="1043"/>
      <c r="AG592" s="1043"/>
      <c r="AH592" s="1043"/>
      <c r="AI592" s="1043"/>
    </row>
    <row r="593" spans="30:35">
      <c r="AD593" s="1043"/>
      <c r="AE593" s="1043"/>
      <c r="AF593" s="1043"/>
      <c r="AG593" s="1043"/>
      <c r="AH593" s="1043"/>
      <c r="AI593" s="1043"/>
    </row>
    <row r="594" spans="30:35">
      <c r="AD594" s="1043"/>
      <c r="AE594" s="1043"/>
      <c r="AF594" s="1043"/>
      <c r="AG594" s="1043"/>
      <c r="AH594" s="1043"/>
      <c r="AI594" s="1043"/>
    </row>
    <row r="595" spans="30:35">
      <c r="AD595" s="1043"/>
      <c r="AE595" s="1043"/>
      <c r="AF595" s="1043"/>
      <c r="AG595" s="1043"/>
      <c r="AH595" s="1043"/>
      <c r="AI595" s="1043"/>
    </row>
    <row r="596" spans="30:35">
      <c r="AD596" s="1043"/>
      <c r="AE596" s="1043"/>
      <c r="AF596" s="1043"/>
      <c r="AG596" s="1043"/>
      <c r="AH596" s="1043"/>
      <c r="AI596" s="1043"/>
    </row>
    <row r="597" spans="30:35">
      <c r="AD597" s="1043"/>
      <c r="AE597" s="1043"/>
      <c r="AF597" s="1043"/>
      <c r="AG597" s="1043"/>
      <c r="AH597" s="1043"/>
      <c r="AI597" s="1043"/>
    </row>
    <row r="598" spans="30:35">
      <c r="AD598" s="1043"/>
      <c r="AE598" s="1043"/>
      <c r="AF598" s="1043"/>
      <c r="AG598" s="1043"/>
      <c r="AH598" s="1043"/>
      <c r="AI598" s="1043"/>
    </row>
    <row r="599" spans="30:35">
      <c r="AD599" s="1043"/>
      <c r="AE599" s="1043"/>
      <c r="AF599" s="1043"/>
      <c r="AG599" s="1043"/>
      <c r="AH599" s="1043"/>
      <c r="AI599" s="1043"/>
    </row>
    <row r="600" spans="30:35">
      <c r="AD600" s="1043"/>
      <c r="AE600" s="1043"/>
      <c r="AF600" s="1043"/>
      <c r="AG600" s="1043"/>
      <c r="AH600" s="1043"/>
      <c r="AI600" s="1043"/>
    </row>
    <row r="601" spans="30:35">
      <c r="AD601" s="1043"/>
      <c r="AE601" s="1043"/>
      <c r="AF601" s="1043"/>
      <c r="AG601" s="1043"/>
      <c r="AH601" s="1043"/>
      <c r="AI601" s="1043"/>
    </row>
    <row r="602" spans="30:35">
      <c r="AD602" s="1043"/>
      <c r="AE602" s="1043"/>
      <c r="AF602" s="1043"/>
      <c r="AG602" s="1043"/>
      <c r="AH602" s="1043"/>
      <c r="AI602" s="1043"/>
    </row>
    <row r="603" spans="30:35">
      <c r="AD603" s="1043"/>
      <c r="AE603" s="1043"/>
      <c r="AF603" s="1043"/>
      <c r="AG603" s="1043"/>
      <c r="AH603" s="1043"/>
      <c r="AI603" s="1043"/>
    </row>
    <row r="604" spans="30:35">
      <c r="AD604" s="1043"/>
      <c r="AE604" s="1043"/>
      <c r="AF604" s="1043"/>
      <c r="AG604" s="1043"/>
      <c r="AH604" s="1043"/>
      <c r="AI604" s="1043"/>
    </row>
    <row r="605" spans="30:35">
      <c r="AD605" s="1043"/>
      <c r="AE605" s="1043"/>
      <c r="AF605" s="1043"/>
      <c r="AG605" s="1043"/>
      <c r="AH605" s="1043"/>
      <c r="AI605" s="1043"/>
    </row>
    <row r="606" spans="30:35">
      <c r="AD606" s="1043"/>
      <c r="AE606" s="1043"/>
      <c r="AF606" s="1043"/>
      <c r="AG606" s="1043"/>
      <c r="AH606" s="1043"/>
      <c r="AI606" s="1043"/>
    </row>
    <row r="607" spans="30:35">
      <c r="AD607" s="1043"/>
      <c r="AE607" s="1043"/>
      <c r="AF607" s="1043"/>
      <c r="AG607" s="1043"/>
      <c r="AH607" s="1043"/>
      <c r="AI607" s="1043"/>
    </row>
    <row r="608" spans="30:35">
      <c r="AD608" s="1043"/>
      <c r="AE608" s="1043"/>
      <c r="AF608" s="1043"/>
      <c r="AG608" s="1043"/>
      <c r="AH608" s="1043"/>
      <c r="AI608" s="1043"/>
    </row>
    <row r="609" spans="30:35">
      <c r="AD609" s="1043"/>
      <c r="AE609" s="1043"/>
      <c r="AF609" s="1043"/>
      <c r="AG609" s="1043"/>
      <c r="AH609" s="1043"/>
      <c r="AI609" s="1043"/>
    </row>
    <row r="610" spans="30:35">
      <c r="AD610" s="1043"/>
      <c r="AE610" s="1043"/>
      <c r="AF610" s="1043"/>
      <c r="AG610" s="1043"/>
      <c r="AH610" s="1043"/>
      <c r="AI610" s="1043"/>
    </row>
    <row r="611" spans="30:35">
      <c r="AD611" s="1043"/>
      <c r="AE611" s="1043"/>
      <c r="AF611" s="1043"/>
      <c r="AG611" s="1043"/>
      <c r="AH611" s="1043"/>
      <c r="AI611" s="1043"/>
    </row>
    <row r="612" spans="30:35">
      <c r="AD612" s="1043"/>
      <c r="AE612" s="1043"/>
      <c r="AF612" s="1043"/>
      <c r="AG612" s="1043"/>
      <c r="AH612" s="1043"/>
      <c r="AI612" s="1043"/>
    </row>
    <row r="613" spans="30:35">
      <c r="AD613" s="1043"/>
      <c r="AE613" s="1043"/>
      <c r="AF613" s="1043"/>
      <c r="AG613" s="1043"/>
      <c r="AH613" s="1043"/>
      <c r="AI613" s="1043"/>
    </row>
    <row r="614" spans="30:35">
      <c r="AD614" s="1043"/>
      <c r="AE614" s="1043"/>
      <c r="AF614" s="1043"/>
      <c r="AG614" s="1043"/>
      <c r="AH614" s="1043"/>
      <c r="AI614" s="1043"/>
    </row>
    <row r="615" spans="30:35">
      <c r="AD615" s="1043"/>
      <c r="AE615" s="1043"/>
      <c r="AF615" s="1043"/>
      <c r="AG615" s="1043"/>
      <c r="AH615" s="1043"/>
      <c r="AI615" s="1043"/>
    </row>
    <row r="616" spans="30:35">
      <c r="AD616" s="1043"/>
      <c r="AE616" s="1043"/>
      <c r="AF616" s="1043"/>
      <c r="AG616" s="1043"/>
      <c r="AH616" s="1043"/>
      <c r="AI616" s="1043"/>
    </row>
    <row r="617" spans="30:35">
      <c r="AD617" s="1043"/>
      <c r="AE617" s="1043"/>
      <c r="AF617" s="1043"/>
      <c r="AG617" s="1043"/>
      <c r="AH617" s="1043"/>
      <c r="AI617" s="1043"/>
    </row>
    <row r="618" spans="30:35">
      <c r="AD618" s="1043"/>
      <c r="AE618" s="1043"/>
      <c r="AF618" s="1043"/>
      <c r="AG618" s="1043"/>
      <c r="AH618" s="1043"/>
      <c r="AI618" s="1043"/>
    </row>
    <row r="619" spans="30:35">
      <c r="AD619" s="1043"/>
      <c r="AE619" s="1043"/>
      <c r="AF619" s="1043"/>
      <c r="AG619" s="1043"/>
      <c r="AH619" s="1043"/>
      <c r="AI619" s="1043"/>
    </row>
    <row r="620" spans="30:35">
      <c r="AD620" s="1043"/>
      <c r="AE620" s="1043"/>
      <c r="AF620" s="1043"/>
      <c r="AG620" s="1043"/>
      <c r="AH620" s="1043"/>
      <c r="AI620" s="1043"/>
    </row>
    <row r="621" spans="30:35">
      <c r="AD621" s="1043"/>
      <c r="AE621" s="1043"/>
      <c r="AF621" s="1043"/>
      <c r="AG621" s="1043"/>
      <c r="AH621" s="1043"/>
      <c r="AI621" s="1043"/>
    </row>
    <row r="622" spans="30:35">
      <c r="AD622" s="1043"/>
      <c r="AE622" s="1043"/>
      <c r="AF622" s="1043"/>
      <c r="AG622" s="1043"/>
      <c r="AH622" s="1043"/>
      <c r="AI622" s="1043"/>
    </row>
    <row r="623" spans="30:35">
      <c r="AD623" s="1043"/>
      <c r="AE623" s="1043"/>
      <c r="AF623" s="1043"/>
      <c r="AG623" s="1043"/>
      <c r="AH623" s="1043"/>
      <c r="AI623" s="1043"/>
    </row>
    <row r="624" spans="30:35">
      <c r="AD624" s="1043"/>
      <c r="AE624" s="1043"/>
      <c r="AF624" s="1043"/>
      <c r="AG624" s="1043"/>
      <c r="AH624" s="1043"/>
      <c r="AI624" s="1043"/>
    </row>
    <row r="625" spans="30:35">
      <c r="AD625" s="1043"/>
      <c r="AE625" s="1043"/>
      <c r="AF625" s="1043"/>
      <c r="AG625" s="1043"/>
      <c r="AH625" s="1043"/>
      <c r="AI625" s="1043"/>
    </row>
    <row r="626" spans="30:35">
      <c r="AD626" s="1043"/>
      <c r="AE626" s="1043"/>
      <c r="AF626" s="1043"/>
      <c r="AG626" s="1043"/>
      <c r="AH626" s="1043"/>
      <c r="AI626" s="1043"/>
    </row>
    <row r="627" spans="30:35">
      <c r="AD627" s="1043"/>
      <c r="AE627" s="1043"/>
      <c r="AF627" s="1043"/>
      <c r="AG627" s="1043"/>
      <c r="AH627" s="1043"/>
      <c r="AI627" s="1043"/>
    </row>
    <row r="628" spans="30:35">
      <c r="AD628" s="1043"/>
      <c r="AE628" s="1043"/>
      <c r="AF628" s="1043"/>
      <c r="AG628" s="1043"/>
      <c r="AH628" s="1043"/>
      <c r="AI628" s="1043"/>
    </row>
    <row r="629" spans="30:35">
      <c r="AD629" s="1043"/>
      <c r="AE629" s="1043"/>
      <c r="AF629" s="1043"/>
      <c r="AG629" s="1043"/>
      <c r="AH629" s="1043"/>
      <c r="AI629" s="1043"/>
    </row>
    <row r="630" spans="30:35">
      <c r="AD630" s="1043"/>
      <c r="AE630" s="1043"/>
      <c r="AF630" s="1043"/>
      <c r="AG630" s="1043"/>
      <c r="AH630" s="1043"/>
      <c r="AI630" s="1043"/>
    </row>
    <row r="631" spans="30:35">
      <c r="AD631" s="1043"/>
      <c r="AE631" s="1043"/>
      <c r="AF631" s="1043"/>
      <c r="AG631" s="1043"/>
      <c r="AH631" s="1043"/>
      <c r="AI631" s="1043"/>
    </row>
    <row r="632" spans="30:35">
      <c r="AD632" s="1043"/>
      <c r="AE632" s="1043"/>
      <c r="AF632" s="1043"/>
      <c r="AG632" s="1043"/>
      <c r="AH632" s="1043"/>
      <c r="AI632" s="1043"/>
    </row>
    <row r="633" spans="30:35">
      <c r="AD633" s="1043"/>
      <c r="AE633" s="1043"/>
      <c r="AF633" s="1043"/>
      <c r="AG633" s="1043"/>
      <c r="AH633" s="1043"/>
      <c r="AI633" s="1043"/>
    </row>
    <row r="634" spans="30:35">
      <c r="AD634" s="1043"/>
      <c r="AE634" s="1043"/>
      <c r="AF634" s="1043"/>
      <c r="AG634" s="1043"/>
      <c r="AH634" s="1043"/>
      <c r="AI634" s="1043"/>
    </row>
    <row r="635" spans="30:35">
      <c r="AD635" s="1043"/>
      <c r="AE635" s="1043"/>
      <c r="AF635" s="1043"/>
      <c r="AG635" s="1043"/>
      <c r="AH635" s="1043"/>
      <c r="AI635" s="1043"/>
    </row>
    <row r="636" spans="30:35">
      <c r="AD636" s="1043"/>
      <c r="AE636" s="1043"/>
      <c r="AF636" s="1043"/>
      <c r="AG636" s="1043"/>
      <c r="AH636" s="1043"/>
      <c r="AI636" s="1043"/>
    </row>
    <row r="637" spans="30:35">
      <c r="AD637" s="1043"/>
      <c r="AE637" s="1043"/>
      <c r="AF637" s="1043"/>
      <c r="AG637" s="1043"/>
      <c r="AH637" s="1043"/>
      <c r="AI637" s="1043"/>
    </row>
    <row r="638" spans="30:35">
      <c r="AD638" s="1043"/>
      <c r="AE638" s="1043"/>
      <c r="AF638" s="1043"/>
      <c r="AG638" s="1043"/>
      <c r="AH638" s="1043"/>
      <c r="AI638" s="1043"/>
    </row>
    <row r="639" spans="30:35">
      <c r="AD639" s="1043"/>
      <c r="AE639" s="1043"/>
      <c r="AF639" s="1043"/>
      <c r="AG639" s="1043"/>
      <c r="AH639" s="1043"/>
      <c r="AI639" s="1043"/>
    </row>
    <row r="640" spans="30:35">
      <c r="AD640" s="1043"/>
      <c r="AE640" s="1043"/>
      <c r="AF640" s="1043"/>
      <c r="AG640" s="1043"/>
      <c r="AH640" s="1043"/>
      <c r="AI640" s="1043"/>
    </row>
    <row r="641" spans="30:35">
      <c r="AD641" s="1043"/>
      <c r="AE641" s="1043"/>
      <c r="AF641" s="1043"/>
      <c r="AG641" s="1043"/>
      <c r="AH641" s="1043"/>
      <c r="AI641" s="1043"/>
    </row>
    <row r="642" spans="30:35">
      <c r="AD642" s="1043"/>
      <c r="AE642" s="1043"/>
      <c r="AF642" s="1043"/>
      <c r="AG642" s="1043"/>
      <c r="AH642" s="1043"/>
      <c r="AI642" s="1043"/>
    </row>
    <row r="643" spans="30:35">
      <c r="AD643" s="1043"/>
      <c r="AE643" s="1043"/>
      <c r="AF643" s="1043"/>
      <c r="AG643" s="1043"/>
      <c r="AH643" s="1043"/>
      <c r="AI643" s="1043"/>
    </row>
    <row r="644" spans="30:35">
      <c r="AD644" s="1043"/>
      <c r="AE644" s="1043"/>
      <c r="AF644" s="1043"/>
      <c r="AG644" s="1043"/>
      <c r="AH644" s="1043"/>
      <c r="AI644" s="1043"/>
    </row>
    <row r="645" spans="30:35">
      <c r="AD645" s="1043"/>
      <c r="AE645" s="1043"/>
      <c r="AF645" s="1043"/>
      <c r="AG645" s="1043"/>
      <c r="AH645" s="1043"/>
      <c r="AI645" s="1043"/>
    </row>
    <row r="646" spans="30:35">
      <c r="AD646" s="1043"/>
      <c r="AE646" s="1043"/>
      <c r="AF646" s="1043"/>
      <c r="AG646" s="1043"/>
      <c r="AH646" s="1043"/>
      <c r="AI646" s="1043"/>
    </row>
    <row r="647" spans="30:35">
      <c r="AD647" s="1043"/>
      <c r="AE647" s="1043"/>
      <c r="AF647" s="1043"/>
      <c r="AG647" s="1043"/>
      <c r="AH647" s="1043"/>
      <c r="AI647" s="1043"/>
    </row>
    <row r="648" spans="30:35">
      <c r="AD648" s="1043"/>
      <c r="AE648" s="1043"/>
      <c r="AF648" s="1043"/>
      <c r="AG648" s="1043"/>
      <c r="AH648" s="1043"/>
      <c r="AI648" s="1043"/>
    </row>
    <row r="649" spans="30:35">
      <c r="AD649" s="1043"/>
      <c r="AE649" s="1043"/>
      <c r="AF649" s="1043"/>
      <c r="AG649" s="1043"/>
      <c r="AH649" s="1043"/>
      <c r="AI649" s="1043"/>
    </row>
    <row r="650" spans="30:35">
      <c r="AD650" s="1043"/>
      <c r="AE650" s="1043"/>
      <c r="AF650" s="1043"/>
      <c r="AG650" s="1043"/>
      <c r="AH650" s="1043"/>
      <c r="AI650" s="1043"/>
    </row>
    <row r="651" spans="30:35">
      <c r="AD651" s="1043"/>
      <c r="AE651" s="1043"/>
      <c r="AF651" s="1043"/>
      <c r="AG651" s="1043"/>
      <c r="AH651" s="1043"/>
      <c r="AI651" s="1043"/>
    </row>
    <row r="652" spans="30:35">
      <c r="AD652" s="1043"/>
      <c r="AE652" s="1043"/>
      <c r="AF652" s="1043"/>
      <c r="AG652" s="1043"/>
      <c r="AH652" s="1043"/>
      <c r="AI652" s="1043"/>
    </row>
    <row r="653" spans="30:35">
      <c r="AD653" s="1043"/>
      <c r="AE653" s="1043"/>
      <c r="AF653" s="1043"/>
      <c r="AG653" s="1043"/>
      <c r="AH653" s="1043"/>
      <c r="AI653" s="1043"/>
    </row>
    <row r="654" spans="30:35">
      <c r="AD654" s="1043"/>
      <c r="AE654" s="1043"/>
      <c r="AF654" s="1043"/>
      <c r="AG654" s="1043"/>
      <c r="AH654" s="1043"/>
      <c r="AI654" s="1043"/>
    </row>
    <row r="655" spans="30:35">
      <c r="AD655" s="1043"/>
      <c r="AE655" s="1043"/>
      <c r="AF655" s="1043"/>
      <c r="AG655" s="1043"/>
      <c r="AH655" s="1043"/>
      <c r="AI655" s="1043"/>
    </row>
    <row r="656" spans="30:35">
      <c r="AD656" s="1043"/>
      <c r="AE656" s="1043"/>
      <c r="AF656" s="1043"/>
      <c r="AG656" s="1043"/>
      <c r="AH656" s="1043"/>
      <c r="AI656" s="1043"/>
    </row>
    <row r="657" spans="30:35">
      <c r="AD657" s="1043"/>
      <c r="AE657" s="1043"/>
      <c r="AF657" s="1043"/>
      <c r="AG657" s="1043"/>
      <c r="AH657" s="1043"/>
      <c r="AI657" s="1043"/>
    </row>
    <row r="658" spans="30:35">
      <c r="AD658" s="1043"/>
      <c r="AE658" s="1043"/>
      <c r="AF658" s="1043"/>
      <c r="AG658" s="1043"/>
      <c r="AH658" s="1043"/>
      <c r="AI658" s="1043"/>
    </row>
    <row r="659" spans="30:35">
      <c r="AD659" s="1043"/>
      <c r="AE659" s="1043"/>
      <c r="AF659" s="1043"/>
      <c r="AG659" s="1043"/>
      <c r="AH659" s="1043"/>
      <c r="AI659" s="1043"/>
    </row>
    <row r="660" spans="30:35">
      <c r="AD660" s="1043"/>
      <c r="AE660" s="1043"/>
      <c r="AF660" s="1043"/>
      <c r="AG660" s="1043"/>
      <c r="AH660" s="1043"/>
      <c r="AI660" s="1043"/>
    </row>
    <row r="661" spans="30:35">
      <c r="AD661" s="1043"/>
      <c r="AE661" s="1043"/>
      <c r="AF661" s="1043"/>
      <c r="AG661" s="1043"/>
      <c r="AH661" s="1043"/>
      <c r="AI661" s="1043"/>
    </row>
    <row r="662" spans="30:35">
      <c r="AD662" s="1043"/>
      <c r="AE662" s="1043"/>
      <c r="AF662" s="1043"/>
      <c r="AG662" s="1043"/>
      <c r="AH662" s="1043"/>
      <c r="AI662" s="1043"/>
    </row>
    <row r="663" spans="30:35">
      <c r="AD663" s="1043"/>
      <c r="AE663" s="1043"/>
      <c r="AF663" s="1043"/>
      <c r="AG663" s="1043"/>
      <c r="AH663" s="1043"/>
      <c r="AI663" s="1043"/>
    </row>
    <row r="664" spans="30:35">
      <c r="AD664" s="1043"/>
      <c r="AE664" s="1043"/>
      <c r="AF664" s="1043"/>
      <c r="AG664" s="1043"/>
      <c r="AH664" s="1043"/>
      <c r="AI664" s="1043"/>
    </row>
    <row r="665" spans="30:35">
      <c r="AD665" s="1043"/>
      <c r="AE665" s="1043"/>
      <c r="AF665" s="1043"/>
      <c r="AG665" s="1043"/>
      <c r="AH665" s="1043"/>
      <c r="AI665" s="1043"/>
    </row>
    <row r="666" spans="30:35">
      <c r="AD666" s="1043"/>
      <c r="AE666" s="1043"/>
      <c r="AF666" s="1043"/>
      <c r="AG666" s="1043"/>
      <c r="AH666" s="1043"/>
      <c r="AI666" s="1043"/>
    </row>
    <row r="667" spans="30:35">
      <c r="AD667" s="1043"/>
      <c r="AE667" s="1043"/>
      <c r="AF667" s="1043"/>
      <c r="AG667" s="1043"/>
      <c r="AH667" s="1043"/>
      <c r="AI667" s="1043"/>
    </row>
    <row r="668" spans="30:35">
      <c r="AD668" s="1043"/>
      <c r="AE668" s="1043"/>
      <c r="AF668" s="1043"/>
      <c r="AG668" s="1043"/>
      <c r="AH668" s="1043"/>
      <c r="AI668" s="1043"/>
    </row>
    <row r="669" spans="30:35">
      <c r="AD669" s="1043"/>
      <c r="AE669" s="1043"/>
      <c r="AF669" s="1043"/>
      <c r="AG669" s="1043"/>
      <c r="AH669" s="1043"/>
      <c r="AI669" s="1043"/>
    </row>
    <row r="670" spans="30:35">
      <c r="AD670" s="1043"/>
      <c r="AE670" s="1043"/>
      <c r="AF670" s="1043"/>
      <c r="AG670" s="1043"/>
      <c r="AH670" s="1043"/>
      <c r="AI670" s="1043"/>
    </row>
    <row r="671" spans="30:35">
      <c r="AD671" s="1043"/>
      <c r="AE671" s="1043"/>
      <c r="AF671" s="1043"/>
      <c r="AG671" s="1043"/>
      <c r="AH671" s="1043"/>
      <c r="AI671" s="1043"/>
    </row>
    <row r="672" spans="30:35">
      <c r="AD672" s="1043"/>
      <c r="AE672" s="1043"/>
      <c r="AF672" s="1043"/>
      <c r="AG672" s="1043"/>
      <c r="AH672" s="1043"/>
      <c r="AI672" s="1043"/>
    </row>
    <row r="673" spans="30:35">
      <c r="AD673" s="1043"/>
      <c r="AE673" s="1043"/>
      <c r="AF673" s="1043"/>
      <c r="AG673" s="1043"/>
      <c r="AH673" s="1043"/>
      <c r="AI673" s="1043"/>
    </row>
    <row r="674" spans="30:35">
      <c r="AD674" s="1043"/>
      <c r="AE674" s="1043"/>
      <c r="AF674" s="1043"/>
      <c r="AG674" s="1043"/>
      <c r="AH674" s="1043"/>
      <c r="AI674" s="1043"/>
    </row>
    <row r="675" spans="30:35">
      <c r="AD675" s="1043"/>
      <c r="AE675" s="1043"/>
      <c r="AF675" s="1043"/>
      <c r="AG675" s="1043"/>
      <c r="AH675" s="1043"/>
      <c r="AI675" s="1043"/>
    </row>
    <row r="676" spans="30:35">
      <c r="AD676" s="1043"/>
      <c r="AE676" s="1043"/>
      <c r="AF676" s="1043"/>
      <c r="AG676" s="1043"/>
      <c r="AH676" s="1043"/>
      <c r="AI676" s="1043"/>
    </row>
    <row r="677" spans="30:35">
      <c r="AD677" s="1043"/>
      <c r="AE677" s="1043"/>
      <c r="AF677" s="1043"/>
      <c r="AG677" s="1043"/>
      <c r="AH677" s="1043"/>
      <c r="AI677" s="1043"/>
    </row>
    <row r="678" spans="30:35">
      <c r="AD678" s="1043"/>
      <c r="AE678" s="1043"/>
      <c r="AF678" s="1043"/>
      <c r="AG678" s="1043"/>
      <c r="AH678" s="1043"/>
      <c r="AI678" s="1043"/>
    </row>
    <row r="679" spans="30:35">
      <c r="AD679" s="1043"/>
      <c r="AE679" s="1043"/>
      <c r="AF679" s="1043"/>
      <c r="AG679" s="1043"/>
      <c r="AH679" s="1043"/>
      <c r="AI679" s="1043"/>
    </row>
    <row r="680" spans="30:35">
      <c r="AD680" s="1043"/>
      <c r="AE680" s="1043"/>
      <c r="AF680" s="1043"/>
      <c r="AG680" s="1043"/>
      <c r="AH680" s="1043"/>
      <c r="AI680" s="1043"/>
    </row>
    <row r="681" spans="30:35">
      <c r="AD681" s="1043"/>
      <c r="AE681" s="1043"/>
      <c r="AF681" s="1043"/>
      <c r="AG681" s="1043"/>
      <c r="AH681" s="1043"/>
      <c r="AI681" s="1043"/>
    </row>
    <row r="682" spans="30:35">
      <c r="AD682" s="1043"/>
      <c r="AE682" s="1043"/>
      <c r="AF682" s="1043"/>
      <c r="AG682" s="1043"/>
      <c r="AH682" s="1043"/>
      <c r="AI682" s="1043"/>
    </row>
    <row r="683" spans="30:35">
      <c r="AD683" s="1043"/>
      <c r="AE683" s="1043"/>
      <c r="AF683" s="1043"/>
      <c r="AG683" s="1043"/>
      <c r="AH683" s="1043"/>
      <c r="AI683" s="1043"/>
    </row>
    <row r="684" spans="30:35">
      <c r="AD684" s="1043"/>
      <c r="AE684" s="1043"/>
      <c r="AF684" s="1043"/>
      <c r="AG684" s="1043"/>
      <c r="AH684" s="1043"/>
      <c r="AI684" s="1043"/>
    </row>
    <row r="685" spans="30:35">
      <c r="AD685" s="1043"/>
      <c r="AE685" s="1043"/>
      <c r="AF685" s="1043"/>
      <c r="AG685" s="1043"/>
      <c r="AH685" s="1043"/>
      <c r="AI685" s="1043"/>
    </row>
    <row r="686" spans="30:35">
      <c r="AD686" s="1043"/>
      <c r="AE686" s="1043"/>
      <c r="AF686" s="1043"/>
      <c r="AG686" s="1043"/>
      <c r="AH686" s="1043"/>
      <c r="AI686" s="1043"/>
    </row>
    <row r="687" spans="30:35">
      <c r="AD687" s="1043"/>
      <c r="AE687" s="1043"/>
      <c r="AF687" s="1043"/>
      <c r="AG687" s="1043"/>
      <c r="AH687" s="1043"/>
      <c r="AI687" s="1043"/>
    </row>
    <row r="688" spans="30:35">
      <c r="AD688" s="1043"/>
      <c r="AE688" s="1043"/>
      <c r="AF688" s="1043"/>
      <c r="AG688" s="1043"/>
      <c r="AH688" s="1043"/>
      <c r="AI688" s="1043"/>
    </row>
    <row r="689" spans="30:35">
      <c r="AD689" s="1043"/>
      <c r="AE689" s="1043"/>
      <c r="AF689" s="1043"/>
      <c r="AG689" s="1043"/>
      <c r="AH689" s="1043"/>
      <c r="AI689" s="1043"/>
    </row>
    <row r="690" spans="30:35">
      <c r="AD690" s="1043"/>
      <c r="AE690" s="1043"/>
      <c r="AF690" s="1043"/>
      <c r="AG690" s="1043"/>
      <c r="AH690" s="1043"/>
      <c r="AI690" s="1043"/>
    </row>
    <row r="691" spans="30:35">
      <c r="AD691" s="1043"/>
      <c r="AE691" s="1043"/>
      <c r="AF691" s="1043"/>
      <c r="AG691" s="1043"/>
      <c r="AH691" s="1043"/>
      <c r="AI691" s="1043"/>
    </row>
    <row r="692" spans="30:35">
      <c r="AD692" s="1043"/>
      <c r="AE692" s="1043"/>
      <c r="AF692" s="1043"/>
      <c r="AG692" s="1043"/>
      <c r="AH692" s="1043"/>
      <c r="AI692" s="1043"/>
    </row>
    <row r="693" spans="30:35">
      <c r="AD693" s="1043"/>
      <c r="AE693" s="1043"/>
      <c r="AF693" s="1043"/>
      <c r="AG693" s="1043"/>
      <c r="AH693" s="1043"/>
      <c r="AI693" s="1043"/>
    </row>
    <row r="694" spans="30:35">
      <c r="AD694" s="1043"/>
      <c r="AE694" s="1043"/>
      <c r="AF694" s="1043"/>
      <c r="AG694" s="1043"/>
      <c r="AH694" s="1043"/>
      <c r="AI694" s="1043"/>
    </row>
    <row r="695" spans="30:35">
      <c r="AD695" s="1043"/>
      <c r="AE695" s="1043"/>
      <c r="AF695" s="1043"/>
      <c r="AG695" s="1043"/>
      <c r="AH695" s="1043"/>
      <c r="AI695" s="1043"/>
    </row>
    <row r="696" spans="30:35">
      <c r="AD696" s="1043"/>
      <c r="AE696" s="1043"/>
      <c r="AF696" s="1043"/>
      <c r="AG696" s="1043"/>
      <c r="AH696" s="1043"/>
      <c r="AI696" s="1043"/>
    </row>
    <row r="697" spans="30:35">
      <c r="AD697" s="1043"/>
      <c r="AE697" s="1043"/>
      <c r="AF697" s="1043"/>
      <c r="AG697" s="1043"/>
      <c r="AH697" s="1043"/>
      <c r="AI697" s="1043"/>
    </row>
    <row r="698" spans="30:35">
      <c r="AD698" s="1043"/>
      <c r="AE698" s="1043"/>
      <c r="AF698" s="1043"/>
      <c r="AG698" s="1043"/>
      <c r="AH698" s="1043"/>
      <c r="AI698" s="1043"/>
    </row>
    <row r="699" spans="30:35">
      <c r="AD699" s="1043"/>
      <c r="AE699" s="1043"/>
      <c r="AF699" s="1043"/>
      <c r="AG699" s="1043"/>
      <c r="AH699" s="1043"/>
      <c r="AI699" s="1043"/>
    </row>
    <row r="700" spans="30:35">
      <c r="AD700" s="1043"/>
      <c r="AE700" s="1043"/>
      <c r="AF700" s="1043"/>
      <c r="AG700" s="1043"/>
      <c r="AH700" s="1043"/>
      <c r="AI700" s="1043"/>
    </row>
    <row r="701" spans="30:35">
      <c r="AD701" s="1043"/>
      <c r="AE701" s="1043"/>
      <c r="AF701" s="1043"/>
      <c r="AG701" s="1043"/>
      <c r="AH701" s="1043"/>
      <c r="AI701" s="1043"/>
    </row>
    <row r="702" spans="30:35">
      <c r="AD702" s="1043"/>
      <c r="AE702" s="1043"/>
      <c r="AF702" s="1043"/>
      <c r="AG702" s="1043"/>
      <c r="AH702" s="1043"/>
      <c r="AI702" s="1043"/>
    </row>
    <row r="703" spans="30:35">
      <c r="AD703" s="1043"/>
      <c r="AE703" s="1043"/>
      <c r="AF703" s="1043"/>
      <c r="AG703" s="1043"/>
      <c r="AH703" s="1043"/>
      <c r="AI703" s="1043"/>
    </row>
    <row r="704" spans="30:35">
      <c r="AD704" s="1043"/>
      <c r="AE704" s="1043"/>
      <c r="AF704" s="1043"/>
      <c r="AG704" s="1043"/>
      <c r="AH704" s="1043"/>
      <c r="AI704" s="1043"/>
    </row>
    <row r="705" spans="30:35">
      <c r="AD705" s="1043"/>
      <c r="AE705" s="1043"/>
      <c r="AF705" s="1043"/>
      <c r="AG705" s="1043"/>
      <c r="AH705" s="1043"/>
      <c r="AI705" s="1043"/>
    </row>
    <row r="706" spans="30:35">
      <c r="AD706" s="1043"/>
      <c r="AE706" s="1043"/>
      <c r="AF706" s="1043"/>
      <c r="AG706" s="1043"/>
      <c r="AH706" s="1043"/>
      <c r="AI706" s="1043"/>
    </row>
    <row r="707" spans="30:35">
      <c r="AD707" s="1043"/>
      <c r="AE707" s="1043"/>
      <c r="AF707" s="1043"/>
      <c r="AG707" s="1043"/>
      <c r="AH707" s="1043"/>
      <c r="AI707" s="1043"/>
    </row>
    <row r="708" spans="30:35">
      <c r="AD708" s="1043"/>
      <c r="AE708" s="1043"/>
      <c r="AF708" s="1043"/>
      <c r="AG708" s="1043"/>
      <c r="AH708" s="1043"/>
      <c r="AI708" s="1043"/>
    </row>
    <row r="709" spans="30:35">
      <c r="AD709" s="1043"/>
      <c r="AE709" s="1043"/>
      <c r="AF709" s="1043"/>
      <c r="AG709" s="1043"/>
      <c r="AH709" s="1043"/>
      <c r="AI709" s="1043"/>
    </row>
    <row r="710" spans="30:35">
      <c r="AD710" s="1043"/>
      <c r="AE710" s="1043"/>
      <c r="AF710" s="1043"/>
      <c r="AG710" s="1043"/>
      <c r="AH710" s="1043"/>
      <c r="AI710" s="1043"/>
    </row>
    <row r="711" spans="30:35">
      <c r="AD711" s="1043"/>
      <c r="AE711" s="1043"/>
      <c r="AF711" s="1043"/>
      <c r="AG711" s="1043"/>
      <c r="AH711" s="1043"/>
      <c r="AI711" s="1043"/>
    </row>
    <row r="712" spans="30:35">
      <c r="AD712" s="1043"/>
      <c r="AE712" s="1043"/>
      <c r="AF712" s="1043"/>
      <c r="AG712" s="1043"/>
      <c r="AH712" s="1043"/>
      <c r="AI712" s="1043"/>
    </row>
    <row r="713" spans="30:35">
      <c r="AD713" s="1043"/>
      <c r="AE713" s="1043"/>
      <c r="AF713" s="1043"/>
      <c r="AG713" s="1043"/>
      <c r="AH713" s="1043"/>
      <c r="AI713" s="1043"/>
    </row>
    <row r="714" spans="30:35">
      <c r="AD714" s="1043"/>
      <c r="AE714" s="1043"/>
      <c r="AF714" s="1043"/>
      <c r="AG714" s="1043"/>
      <c r="AH714" s="1043"/>
      <c r="AI714" s="1043"/>
    </row>
    <row r="715" spans="30:35">
      <c r="AD715" s="1043"/>
      <c r="AE715" s="1043"/>
      <c r="AF715" s="1043"/>
      <c r="AG715" s="1043"/>
      <c r="AH715" s="1043"/>
      <c r="AI715" s="1043"/>
    </row>
    <row r="716" spans="30:35">
      <c r="AD716" s="1043"/>
      <c r="AE716" s="1043"/>
      <c r="AF716" s="1043"/>
      <c r="AG716" s="1043"/>
      <c r="AH716" s="1043"/>
      <c r="AI716" s="1043"/>
    </row>
    <row r="717" spans="30:35">
      <c r="AD717" s="1043"/>
      <c r="AE717" s="1043"/>
      <c r="AF717" s="1043"/>
      <c r="AG717" s="1043"/>
      <c r="AH717" s="1043"/>
      <c r="AI717" s="1043"/>
    </row>
    <row r="718" spans="30:35">
      <c r="AD718" s="1043"/>
      <c r="AE718" s="1043"/>
      <c r="AF718" s="1043"/>
      <c r="AG718" s="1043"/>
      <c r="AH718" s="1043"/>
      <c r="AI718" s="1043"/>
    </row>
    <row r="719" spans="30:35">
      <c r="AD719" s="1043"/>
      <c r="AE719" s="1043"/>
      <c r="AF719" s="1043"/>
      <c r="AG719" s="1043"/>
      <c r="AH719" s="1043"/>
      <c r="AI719" s="1043"/>
    </row>
    <row r="720" spans="30:35">
      <c r="AD720" s="1043"/>
      <c r="AE720" s="1043"/>
      <c r="AF720" s="1043"/>
      <c r="AG720" s="1043"/>
      <c r="AH720" s="1043"/>
      <c r="AI720" s="1043"/>
    </row>
    <row r="721" spans="30:35">
      <c r="AD721" s="1043"/>
      <c r="AE721" s="1043"/>
      <c r="AF721" s="1043"/>
      <c r="AG721" s="1043"/>
      <c r="AH721" s="1043"/>
      <c r="AI721" s="1043"/>
    </row>
    <row r="722" spans="30:35">
      <c r="AD722" s="1043"/>
      <c r="AE722" s="1043"/>
      <c r="AF722" s="1043"/>
      <c r="AG722" s="1043"/>
      <c r="AH722" s="1043"/>
      <c r="AI722" s="1043"/>
    </row>
    <row r="723" spans="30:35">
      <c r="AD723" s="1043"/>
      <c r="AE723" s="1043"/>
      <c r="AF723" s="1043"/>
      <c r="AG723" s="1043"/>
      <c r="AH723" s="1043"/>
      <c r="AI723" s="1043"/>
    </row>
    <row r="724" spans="30:35">
      <c r="AD724" s="1043"/>
      <c r="AE724" s="1043"/>
      <c r="AF724" s="1043"/>
      <c r="AG724" s="1043"/>
      <c r="AH724" s="1043"/>
      <c r="AI724" s="1043"/>
    </row>
    <row r="725" spans="30:35">
      <c r="AD725" s="1043"/>
      <c r="AE725" s="1043"/>
      <c r="AF725" s="1043"/>
      <c r="AG725" s="1043"/>
      <c r="AH725" s="1043"/>
      <c r="AI725" s="1043"/>
    </row>
    <row r="726" spans="30:35">
      <c r="AD726" s="1043"/>
      <c r="AE726" s="1043"/>
      <c r="AF726" s="1043"/>
      <c r="AG726" s="1043"/>
      <c r="AH726" s="1043"/>
      <c r="AI726" s="1043"/>
    </row>
    <row r="727" spans="30:35">
      <c r="AD727" s="1043"/>
      <c r="AE727" s="1043"/>
      <c r="AF727" s="1043"/>
      <c r="AG727" s="1043"/>
      <c r="AH727" s="1043"/>
      <c r="AI727" s="1043"/>
    </row>
    <row r="728" spans="30:35">
      <c r="AD728" s="1043"/>
      <c r="AE728" s="1043"/>
      <c r="AF728" s="1043"/>
      <c r="AG728" s="1043"/>
      <c r="AH728" s="1043"/>
      <c r="AI728" s="1043"/>
    </row>
    <row r="729" spans="30:35">
      <c r="AD729" s="1043"/>
      <c r="AE729" s="1043"/>
      <c r="AF729" s="1043"/>
      <c r="AG729" s="1043"/>
      <c r="AH729" s="1043"/>
      <c r="AI729" s="1043"/>
    </row>
    <row r="730" spans="30:35">
      <c r="AD730" s="1043"/>
      <c r="AE730" s="1043"/>
      <c r="AF730" s="1043"/>
      <c r="AG730" s="1043"/>
      <c r="AH730" s="1043"/>
      <c r="AI730" s="1043"/>
    </row>
    <row r="731" spans="30:35">
      <c r="AD731" s="1043"/>
      <c r="AE731" s="1043"/>
      <c r="AF731" s="1043"/>
      <c r="AG731" s="1043"/>
      <c r="AH731" s="1043"/>
      <c r="AI731" s="1043"/>
    </row>
    <row r="732" spans="30:35">
      <c r="AD732" s="1043"/>
      <c r="AE732" s="1043"/>
      <c r="AF732" s="1043"/>
      <c r="AG732" s="1043"/>
      <c r="AH732" s="1043"/>
      <c r="AI732" s="1043"/>
    </row>
    <row r="733" spans="30:35">
      <c r="AD733" s="1043"/>
      <c r="AE733" s="1043"/>
      <c r="AF733" s="1043"/>
      <c r="AG733" s="1043"/>
      <c r="AH733" s="1043"/>
      <c r="AI733" s="1043"/>
    </row>
    <row r="734" spans="30:35">
      <c r="AD734" s="1043"/>
      <c r="AE734" s="1043"/>
      <c r="AF734" s="1043"/>
      <c r="AG734" s="1043"/>
      <c r="AH734" s="1043"/>
      <c r="AI734" s="1043"/>
    </row>
    <row r="735" spans="30:35">
      <c r="AD735" s="1043"/>
      <c r="AE735" s="1043"/>
      <c r="AF735" s="1043"/>
      <c r="AG735" s="1043"/>
      <c r="AH735" s="1043"/>
      <c r="AI735" s="1043"/>
    </row>
    <row r="736" spans="30:35">
      <c r="AD736" s="1043"/>
      <c r="AE736" s="1043"/>
      <c r="AF736" s="1043"/>
      <c r="AG736" s="1043"/>
      <c r="AH736" s="1043"/>
      <c r="AI736" s="1043"/>
    </row>
    <row r="737" spans="30:35">
      <c r="AD737" s="1043"/>
      <c r="AE737" s="1043"/>
      <c r="AF737" s="1043"/>
      <c r="AG737" s="1043"/>
      <c r="AH737" s="1043"/>
      <c r="AI737" s="1043"/>
    </row>
    <row r="738" spans="30:35">
      <c r="AD738" s="1043"/>
      <c r="AE738" s="1043"/>
      <c r="AF738" s="1043"/>
      <c r="AG738" s="1043"/>
      <c r="AH738" s="1043"/>
      <c r="AI738" s="1043"/>
    </row>
    <row r="739" spans="30:35">
      <c r="AD739" s="1043"/>
      <c r="AE739" s="1043"/>
      <c r="AF739" s="1043"/>
      <c r="AG739" s="1043"/>
      <c r="AH739" s="1043"/>
      <c r="AI739" s="1043"/>
    </row>
    <row r="740" spans="30:35">
      <c r="AD740" s="1043"/>
      <c r="AE740" s="1043"/>
      <c r="AF740" s="1043"/>
      <c r="AG740" s="1043"/>
      <c r="AH740" s="1043"/>
      <c r="AI740" s="1043"/>
    </row>
    <row r="741" spans="30:35">
      <c r="AD741" s="1043"/>
      <c r="AE741" s="1043"/>
      <c r="AF741" s="1043"/>
      <c r="AG741" s="1043"/>
      <c r="AH741" s="1043"/>
      <c r="AI741" s="1043"/>
    </row>
    <row r="742" spans="30:35">
      <c r="AD742" s="1043"/>
      <c r="AE742" s="1043"/>
      <c r="AF742" s="1043"/>
      <c r="AG742" s="1043"/>
      <c r="AH742" s="1043"/>
      <c r="AI742" s="1043"/>
    </row>
    <row r="743" spans="30:35">
      <c r="AD743" s="1043"/>
      <c r="AE743" s="1043"/>
      <c r="AF743" s="1043"/>
      <c r="AG743" s="1043"/>
      <c r="AH743" s="1043"/>
      <c r="AI743" s="1043"/>
    </row>
    <row r="744" spans="30:35">
      <c r="AD744" s="1043"/>
      <c r="AE744" s="1043"/>
      <c r="AF744" s="1043"/>
      <c r="AG744" s="1043"/>
      <c r="AH744" s="1043"/>
      <c r="AI744" s="1043"/>
    </row>
    <row r="745" spans="30:35">
      <c r="AD745" s="1043"/>
      <c r="AE745" s="1043"/>
      <c r="AF745" s="1043"/>
      <c r="AG745" s="1043"/>
      <c r="AH745" s="1043"/>
      <c r="AI745" s="1043"/>
    </row>
    <row r="746" spans="30:35">
      <c r="AD746" s="1043"/>
      <c r="AE746" s="1043"/>
      <c r="AF746" s="1043"/>
      <c r="AG746" s="1043"/>
      <c r="AH746" s="1043"/>
      <c r="AI746" s="1043"/>
    </row>
    <row r="747" spans="30:35">
      <c r="AD747" s="1043"/>
      <c r="AE747" s="1043"/>
      <c r="AF747" s="1043"/>
      <c r="AG747" s="1043"/>
      <c r="AH747" s="1043"/>
      <c r="AI747" s="1043"/>
    </row>
    <row r="748" spans="30:35">
      <c r="AD748" s="1043"/>
      <c r="AE748" s="1043"/>
      <c r="AF748" s="1043"/>
      <c r="AG748" s="1043"/>
      <c r="AH748" s="1043"/>
      <c r="AI748" s="1043"/>
    </row>
    <row r="749" spans="30:35">
      <c r="AD749" s="1043"/>
      <c r="AE749" s="1043"/>
      <c r="AF749" s="1043"/>
      <c r="AG749" s="1043"/>
      <c r="AH749" s="1043"/>
      <c r="AI749" s="1043"/>
    </row>
    <row r="750" spans="30:35">
      <c r="AD750" s="1043"/>
      <c r="AE750" s="1043"/>
      <c r="AF750" s="1043"/>
      <c r="AG750" s="1043"/>
      <c r="AH750" s="1043"/>
      <c r="AI750" s="1043"/>
    </row>
    <row r="751" spans="30:35">
      <c r="AD751" s="1043"/>
      <c r="AE751" s="1043"/>
      <c r="AF751" s="1043"/>
      <c r="AG751" s="1043"/>
      <c r="AH751" s="1043"/>
      <c r="AI751" s="1043"/>
    </row>
    <row r="752" spans="30:35">
      <c r="AD752" s="1043"/>
      <c r="AE752" s="1043"/>
      <c r="AF752" s="1043"/>
      <c r="AG752" s="1043"/>
      <c r="AH752" s="1043"/>
      <c r="AI752" s="1043"/>
    </row>
    <row r="753" spans="30:35">
      <c r="AD753" s="1043"/>
      <c r="AE753" s="1043"/>
      <c r="AF753" s="1043"/>
      <c r="AG753" s="1043"/>
      <c r="AH753" s="1043"/>
      <c r="AI753" s="1043"/>
    </row>
    <row r="754" spans="30:35">
      <c r="AD754" s="1043"/>
      <c r="AE754" s="1043"/>
      <c r="AF754" s="1043"/>
      <c r="AG754" s="1043"/>
      <c r="AH754" s="1043"/>
      <c r="AI754" s="1043"/>
    </row>
    <row r="755" spans="30:35">
      <c r="AD755" s="1043"/>
      <c r="AE755" s="1043"/>
      <c r="AF755" s="1043"/>
      <c r="AG755" s="1043"/>
      <c r="AH755" s="1043"/>
      <c r="AI755" s="1043"/>
    </row>
    <row r="756" spans="30:35">
      <c r="AD756" s="1043"/>
      <c r="AE756" s="1043"/>
      <c r="AF756" s="1043"/>
      <c r="AG756" s="1043"/>
      <c r="AH756" s="1043"/>
      <c r="AI756" s="1043"/>
    </row>
    <row r="757" spans="30:35">
      <c r="AD757" s="1043"/>
      <c r="AE757" s="1043"/>
      <c r="AF757" s="1043"/>
      <c r="AG757" s="1043"/>
      <c r="AH757" s="1043"/>
      <c r="AI757" s="1043"/>
    </row>
    <row r="758" spans="30:35">
      <c r="AD758" s="1043"/>
      <c r="AE758" s="1043"/>
      <c r="AF758" s="1043"/>
      <c r="AG758" s="1043"/>
      <c r="AH758" s="1043"/>
      <c r="AI758" s="1043"/>
    </row>
    <row r="759" spans="30:35">
      <c r="AD759" s="1043"/>
      <c r="AE759" s="1043"/>
      <c r="AF759" s="1043"/>
      <c r="AG759" s="1043"/>
      <c r="AH759" s="1043"/>
      <c r="AI759" s="1043"/>
    </row>
    <row r="760" spans="30:35">
      <c r="AD760" s="1043"/>
      <c r="AE760" s="1043"/>
      <c r="AF760" s="1043"/>
      <c r="AG760" s="1043"/>
      <c r="AH760" s="1043"/>
      <c r="AI760" s="1043"/>
    </row>
    <row r="761" spans="30:35">
      <c r="AD761" s="1043"/>
      <c r="AE761" s="1043"/>
      <c r="AF761" s="1043"/>
      <c r="AG761" s="1043"/>
      <c r="AH761" s="1043"/>
      <c r="AI761" s="1043"/>
    </row>
    <row r="762" spans="30:35">
      <c r="AD762" s="1043"/>
      <c r="AE762" s="1043"/>
      <c r="AF762" s="1043"/>
      <c r="AG762" s="1043"/>
      <c r="AH762" s="1043"/>
      <c r="AI762" s="1043"/>
    </row>
    <row r="763" spans="30:35">
      <c r="AD763" s="1043"/>
      <c r="AE763" s="1043"/>
      <c r="AF763" s="1043"/>
      <c r="AG763" s="1043"/>
      <c r="AH763" s="1043"/>
      <c r="AI763" s="1043"/>
    </row>
    <row r="764" spans="30:35">
      <c r="AD764" s="1043"/>
      <c r="AE764" s="1043"/>
      <c r="AF764" s="1043"/>
      <c r="AG764" s="1043"/>
      <c r="AH764" s="1043"/>
      <c r="AI764" s="1043"/>
    </row>
    <row r="765" spans="30:35">
      <c r="AD765" s="1043"/>
      <c r="AE765" s="1043"/>
      <c r="AF765" s="1043"/>
      <c r="AG765" s="1043"/>
      <c r="AH765" s="1043"/>
      <c r="AI765" s="1043"/>
    </row>
    <row r="766" spans="30:35">
      <c r="AD766" s="1043"/>
      <c r="AE766" s="1043"/>
      <c r="AF766" s="1043"/>
      <c r="AG766" s="1043"/>
      <c r="AH766" s="1043"/>
      <c r="AI766" s="1043"/>
    </row>
    <row r="767" spans="30:35">
      <c r="AD767" s="1043"/>
      <c r="AE767" s="1043"/>
      <c r="AF767" s="1043"/>
      <c r="AG767" s="1043"/>
      <c r="AH767" s="1043"/>
      <c r="AI767" s="1043"/>
    </row>
    <row r="768" spans="30:35">
      <c r="AD768" s="1043"/>
      <c r="AE768" s="1043"/>
      <c r="AF768" s="1043"/>
      <c r="AG768" s="1043"/>
      <c r="AH768" s="1043"/>
      <c r="AI768" s="1043"/>
    </row>
    <row r="769" spans="30:35">
      <c r="AD769" s="1043"/>
      <c r="AE769" s="1043"/>
      <c r="AF769" s="1043"/>
      <c r="AG769" s="1043"/>
      <c r="AH769" s="1043"/>
      <c r="AI769" s="1043"/>
    </row>
    <row r="770" spans="30:35">
      <c r="AD770" s="1043"/>
      <c r="AE770" s="1043"/>
      <c r="AF770" s="1043"/>
      <c r="AG770" s="1043"/>
      <c r="AH770" s="1043"/>
      <c r="AI770" s="1043"/>
    </row>
    <row r="771" spans="30:35">
      <c r="AD771" s="1043"/>
      <c r="AE771" s="1043"/>
      <c r="AF771" s="1043"/>
      <c r="AG771" s="1043"/>
      <c r="AH771" s="1043"/>
      <c r="AI771" s="1043"/>
    </row>
    <row r="772" spans="30:35">
      <c r="AD772" s="1043"/>
      <c r="AE772" s="1043"/>
      <c r="AF772" s="1043"/>
      <c r="AG772" s="1043"/>
      <c r="AH772" s="1043"/>
      <c r="AI772" s="1043"/>
    </row>
    <row r="773" spans="30:35">
      <c r="AD773" s="1043"/>
      <c r="AE773" s="1043"/>
      <c r="AF773" s="1043"/>
      <c r="AG773" s="1043"/>
      <c r="AH773" s="1043"/>
      <c r="AI773" s="1043"/>
    </row>
    <row r="774" spans="30:35">
      <c r="AD774" s="1043"/>
      <c r="AE774" s="1043"/>
      <c r="AF774" s="1043"/>
      <c r="AG774" s="1043"/>
      <c r="AH774" s="1043"/>
      <c r="AI774" s="1043"/>
    </row>
    <row r="775" spans="30:35">
      <c r="AD775" s="1043"/>
      <c r="AE775" s="1043"/>
      <c r="AF775" s="1043"/>
      <c r="AG775" s="1043"/>
      <c r="AH775" s="1043"/>
      <c r="AI775" s="1043"/>
    </row>
    <row r="776" spans="30:35">
      <c r="AD776" s="1043"/>
      <c r="AE776" s="1043"/>
      <c r="AF776" s="1043"/>
      <c r="AG776" s="1043"/>
      <c r="AH776" s="1043"/>
      <c r="AI776" s="1043"/>
    </row>
    <row r="777" spans="30:35">
      <c r="AD777" s="1043"/>
      <c r="AE777" s="1043"/>
      <c r="AF777" s="1043"/>
      <c r="AG777" s="1043"/>
      <c r="AH777" s="1043"/>
      <c r="AI777" s="1043"/>
    </row>
    <row r="778" spans="30:35">
      <c r="AD778" s="1043"/>
      <c r="AE778" s="1043"/>
      <c r="AF778" s="1043"/>
      <c r="AG778" s="1043"/>
      <c r="AH778" s="1043"/>
      <c r="AI778" s="1043"/>
    </row>
    <row r="779" spans="30:35">
      <c r="AD779" s="1043"/>
      <c r="AE779" s="1043"/>
      <c r="AF779" s="1043"/>
      <c r="AG779" s="1043"/>
      <c r="AH779" s="1043"/>
      <c r="AI779" s="1043"/>
    </row>
    <row r="780" spans="30:35">
      <c r="AD780" s="1043"/>
      <c r="AE780" s="1043"/>
      <c r="AF780" s="1043"/>
      <c r="AG780" s="1043"/>
      <c r="AH780" s="1043"/>
      <c r="AI780" s="1043"/>
    </row>
    <row r="781" spans="30:35">
      <c r="AD781" s="1043"/>
      <c r="AE781" s="1043"/>
      <c r="AF781" s="1043"/>
      <c r="AG781" s="1043"/>
      <c r="AH781" s="1043"/>
      <c r="AI781" s="1043"/>
    </row>
    <row r="782" spans="30:35">
      <c r="AD782" s="1043"/>
      <c r="AE782" s="1043"/>
      <c r="AF782" s="1043"/>
      <c r="AG782" s="1043"/>
      <c r="AH782" s="1043"/>
      <c r="AI782" s="1043"/>
    </row>
    <row r="783" spans="30:35">
      <c r="AD783" s="1043"/>
      <c r="AE783" s="1043"/>
      <c r="AF783" s="1043"/>
      <c r="AG783" s="1043"/>
      <c r="AH783" s="1043"/>
      <c r="AI783" s="1043"/>
    </row>
    <row r="784" spans="30:35">
      <c r="AD784" s="1043"/>
      <c r="AE784" s="1043"/>
      <c r="AF784" s="1043"/>
      <c r="AG784" s="1043"/>
      <c r="AH784" s="1043"/>
      <c r="AI784" s="1043"/>
    </row>
    <row r="785" spans="30:35">
      <c r="AD785" s="1043"/>
      <c r="AE785" s="1043"/>
      <c r="AF785" s="1043"/>
      <c r="AG785" s="1043"/>
      <c r="AH785" s="1043"/>
      <c r="AI785" s="1043"/>
    </row>
    <row r="786" spans="30:35">
      <c r="AD786" s="1043"/>
      <c r="AE786" s="1043"/>
      <c r="AF786" s="1043"/>
      <c r="AG786" s="1043"/>
      <c r="AH786" s="1043"/>
      <c r="AI786" s="1043"/>
    </row>
    <row r="787" spans="30:35">
      <c r="AD787" s="1043"/>
      <c r="AE787" s="1043"/>
      <c r="AF787" s="1043"/>
      <c r="AG787" s="1043"/>
      <c r="AH787" s="1043"/>
      <c r="AI787" s="1043"/>
    </row>
    <row r="788" spans="30:35">
      <c r="AD788" s="1043"/>
      <c r="AE788" s="1043"/>
      <c r="AF788" s="1043"/>
      <c r="AG788" s="1043"/>
      <c r="AH788" s="1043"/>
      <c r="AI788" s="1043"/>
    </row>
    <row r="789" spans="30:35">
      <c r="AD789" s="1043"/>
      <c r="AE789" s="1043"/>
      <c r="AF789" s="1043"/>
      <c r="AG789" s="1043"/>
      <c r="AH789" s="1043"/>
      <c r="AI789" s="1043"/>
    </row>
    <row r="790" spans="30:35">
      <c r="AD790" s="1043"/>
      <c r="AE790" s="1043"/>
      <c r="AF790" s="1043"/>
      <c r="AG790" s="1043"/>
      <c r="AH790" s="1043"/>
      <c r="AI790" s="1043"/>
    </row>
    <row r="791" spans="30:35">
      <c r="AD791" s="1043"/>
      <c r="AE791" s="1043"/>
      <c r="AF791" s="1043"/>
      <c r="AG791" s="1043"/>
      <c r="AH791" s="1043"/>
      <c r="AI791" s="1043"/>
    </row>
    <row r="792" spans="30:35">
      <c r="AD792" s="1043"/>
      <c r="AE792" s="1043"/>
      <c r="AF792" s="1043"/>
      <c r="AG792" s="1043"/>
      <c r="AH792" s="1043"/>
      <c r="AI792" s="1043"/>
    </row>
    <row r="793" spans="30:35">
      <c r="AD793" s="1043"/>
      <c r="AE793" s="1043"/>
      <c r="AF793" s="1043"/>
      <c r="AG793" s="1043"/>
      <c r="AH793" s="1043"/>
      <c r="AI793" s="1043"/>
    </row>
    <row r="794" spans="30:35">
      <c r="AD794" s="1043"/>
      <c r="AE794" s="1043"/>
      <c r="AF794" s="1043"/>
      <c r="AG794" s="1043"/>
      <c r="AH794" s="1043"/>
      <c r="AI794" s="1043"/>
    </row>
    <row r="795" spans="30:35">
      <c r="AD795" s="1043"/>
      <c r="AE795" s="1043"/>
      <c r="AF795" s="1043"/>
      <c r="AG795" s="1043"/>
      <c r="AH795" s="1043"/>
      <c r="AI795" s="1043"/>
    </row>
    <row r="796" spans="30:35">
      <c r="AD796" s="1043"/>
      <c r="AE796" s="1043"/>
      <c r="AF796" s="1043"/>
      <c r="AG796" s="1043"/>
      <c r="AH796" s="1043"/>
      <c r="AI796" s="1043"/>
    </row>
    <row r="797" spans="30:35">
      <c r="AD797" s="1043"/>
      <c r="AE797" s="1043"/>
      <c r="AF797" s="1043"/>
      <c r="AG797" s="1043"/>
      <c r="AH797" s="1043"/>
      <c r="AI797" s="1043"/>
    </row>
    <row r="798" spans="30:35">
      <c r="AD798" s="1043"/>
      <c r="AE798" s="1043"/>
      <c r="AF798" s="1043"/>
      <c r="AG798" s="1043"/>
      <c r="AH798" s="1043"/>
      <c r="AI798" s="1043"/>
    </row>
    <row r="799" spans="30:35">
      <c r="AD799" s="1043"/>
      <c r="AE799" s="1043"/>
      <c r="AF799" s="1043"/>
      <c r="AG799" s="1043"/>
      <c r="AH799" s="1043"/>
      <c r="AI799" s="1043"/>
    </row>
    <row r="800" spans="30:35">
      <c r="AD800" s="1043"/>
      <c r="AE800" s="1043"/>
      <c r="AF800" s="1043"/>
      <c r="AG800" s="1043"/>
      <c r="AH800" s="1043"/>
      <c r="AI800" s="1043"/>
    </row>
    <row r="801" spans="30:35">
      <c r="AD801" s="1043"/>
      <c r="AE801" s="1043"/>
      <c r="AF801" s="1043"/>
      <c r="AG801" s="1043"/>
      <c r="AH801" s="1043"/>
      <c r="AI801" s="1043"/>
    </row>
    <row r="802" spans="30:35">
      <c r="AD802" s="1043"/>
      <c r="AE802" s="1043"/>
      <c r="AF802" s="1043"/>
      <c r="AG802" s="1043"/>
      <c r="AH802" s="1043"/>
      <c r="AI802" s="1043"/>
    </row>
    <row r="803" spans="30:35">
      <c r="AD803" s="1043"/>
      <c r="AE803" s="1043"/>
      <c r="AF803" s="1043"/>
      <c r="AG803" s="1043"/>
      <c r="AH803" s="1043"/>
      <c r="AI803" s="1043"/>
    </row>
    <row r="804" spans="30:35">
      <c r="AD804" s="1043"/>
      <c r="AE804" s="1043"/>
      <c r="AF804" s="1043"/>
      <c r="AG804" s="1043"/>
      <c r="AH804" s="1043"/>
      <c r="AI804" s="1043"/>
    </row>
    <row r="805" spans="30:35">
      <c r="AD805" s="1043"/>
      <c r="AE805" s="1043"/>
      <c r="AF805" s="1043"/>
      <c r="AG805" s="1043"/>
      <c r="AH805" s="1043"/>
      <c r="AI805" s="1043"/>
    </row>
    <row r="806" spans="30:35">
      <c r="AD806" s="1043"/>
      <c r="AE806" s="1043"/>
      <c r="AF806" s="1043"/>
      <c r="AG806" s="1043"/>
      <c r="AH806" s="1043"/>
      <c r="AI806" s="1043"/>
    </row>
    <row r="807" spans="30:35">
      <c r="AD807" s="1043"/>
      <c r="AE807" s="1043"/>
      <c r="AF807" s="1043"/>
      <c r="AG807" s="1043"/>
      <c r="AH807" s="1043"/>
      <c r="AI807" s="1043"/>
    </row>
    <row r="808" spans="30:35">
      <c r="AD808" s="1043"/>
      <c r="AE808" s="1043"/>
      <c r="AF808" s="1043"/>
      <c r="AG808" s="1043"/>
      <c r="AH808" s="1043"/>
      <c r="AI808" s="1043"/>
    </row>
    <row r="809" spans="30:35">
      <c r="AD809" s="1043"/>
      <c r="AE809" s="1043"/>
      <c r="AF809" s="1043"/>
      <c r="AG809" s="1043"/>
      <c r="AH809" s="1043"/>
      <c r="AI809" s="1043"/>
    </row>
    <row r="810" spans="30:35">
      <c r="AD810" s="1043"/>
      <c r="AE810" s="1043"/>
      <c r="AF810" s="1043"/>
      <c r="AG810" s="1043"/>
      <c r="AH810" s="1043"/>
      <c r="AI810" s="1043"/>
    </row>
    <row r="811" spans="30:35">
      <c r="AD811" s="1043"/>
      <c r="AE811" s="1043"/>
      <c r="AF811" s="1043"/>
      <c r="AG811" s="1043"/>
      <c r="AH811" s="1043"/>
      <c r="AI811" s="1043"/>
    </row>
    <row r="812" spans="30:35">
      <c r="AD812" s="1043"/>
      <c r="AE812" s="1043"/>
      <c r="AF812" s="1043"/>
      <c r="AG812" s="1043"/>
      <c r="AH812" s="1043"/>
      <c r="AI812" s="1043"/>
    </row>
    <row r="813" spans="30:35">
      <c r="AD813" s="1043"/>
      <c r="AE813" s="1043"/>
      <c r="AF813" s="1043"/>
      <c r="AG813" s="1043"/>
      <c r="AH813" s="1043"/>
      <c r="AI813" s="1043"/>
    </row>
    <row r="814" spans="30:35">
      <c r="AD814" s="1043"/>
      <c r="AE814" s="1043"/>
      <c r="AF814" s="1043"/>
      <c r="AG814" s="1043"/>
      <c r="AH814" s="1043"/>
      <c r="AI814" s="1043"/>
    </row>
    <row r="815" spans="30:35">
      <c r="AD815" s="1043"/>
      <c r="AE815" s="1043"/>
      <c r="AF815" s="1043"/>
      <c r="AG815" s="1043"/>
      <c r="AH815" s="1043"/>
      <c r="AI815" s="1043"/>
    </row>
    <row r="816" spans="30:35">
      <c r="AD816" s="1043"/>
      <c r="AE816" s="1043"/>
      <c r="AF816" s="1043"/>
      <c r="AG816" s="1043"/>
      <c r="AH816" s="1043"/>
      <c r="AI816" s="1043"/>
    </row>
    <row r="817" spans="30:35">
      <c r="AD817" s="1043"/>
      <c r="AE817" s="1043"/>
      <c r="AF817" s="1043"/>
      <c r="AG817" s="1043"/>
      <c r="AH817" s="1043"/>
      <c r="AI817" s="1043"/>
    </row>
    <row r="818" spans="30:35">
      <c r="AD818" s="1043"/>
      <c r="AE818" s="1043"/>
      <c r="AF818" s="1043"/>
      <c r="AG818" s="1043"/>
      <c r="AH818" s="1043"/>
      <c r="AI818" s="1043"/>
    </row>
    <row r="819" spans="30:35">
      <c r="AD819" s="1043"/>
      <c r="AE819" s="1043"/>
      <c r="AF819" s="1043"/>
      <c r="AG819" s="1043"/>
      <c r="AH819" s="1043"/>
      <c r="AI819" s="1043"/>
    </row>
    <row r="820" spans="30:35">
      <c r="AD820" s="1043"/>
      <c r="AE820" s="1043"/>
      <c r="AF820" s="1043"/>
      <c r="AG820" s="1043"/>
      <c r="AH820" s="1043"/>
      <c r="AI820" s="1043"/>
    </row>
    <row r="821" spans="30:35">
      <c r="AD821" s="1043"/>
      <c r="AE821" s="1043"/>
      <c r="AF821" s="1043"/>
      <c r="AG821" s="1043"/>
      <c r="AH821" s="1043"/>
      <c r="AI821" s="1043"/>
    </row>
    <row r="822" spans="30:35">
      <c r="AD822" s="1043"/>
      <c r="AE822" s="1043"/>
      <c r="AF822" s="1043"/>
      <c r="AG822" s="1043"/>
      <c r="AH822" s="1043"/>
      <c r="AI822" s="1043"/>
    </row>
    <row r="823" spans="30:35">
      <c r="AD823" s="1043"/>
      <c r="AE823" s="1043"/>
      <c r="AF823" s="1043"/>
      <c r="AG823" s="1043"/>
      <c r="AH823" s="1043"/>
      <c r="AI823" s="1043"/>
    </row>
    <row r="824" spans="30:35">
      <c r="AD824" s="1043"/>
      <c r="AE824" s="1043"/>
      <c r="AF824" s="1043"/>
      <c r="AG824" s="1043"/>
      <c r="AH824" s="1043"/>
      <c r="AI824" s="1043"/>
    </row>
    <row r="825" spans="30:35">
      <c r="AD825" s="1043"/>
      <c r="AE825" s="1043"/>
      <c r="AF825" s="1043"/>
      <c r="AG825" s="1043"/>
      <c r="AH825" s="1043"/>
      <c r="AI825" s="1043"/>
    </row>
    <row r="826" spans="30:35">
      <c r="AD826" s="1043"/>
      <c r="AE826" s="1043"/>
      <c r="AF826" s="1043"/>
      <c r="AG826" s="1043"/>
      <c r="AH826" s="1043"/>
      <c r="AI826" s="1043"/>
    </row>
    <row r="827" spans="30:35">
      <c r="AD827" s="1043"/>
      <c r="AE827" s="1043"/>
      <c r="AF827" s="1043"/>
      <c r="AG827" s="1043"/>
      <c r="AH827" s="1043"/>
      <c r="AI827" s="1043"/>
    </row>
    <row r="828" spans="30:35">
      <c r="AD828" s="1043"/>
      <c r="AE828" s="1043"/>
      <c r="AF828" s="1043"/>
      <c r="AG828" s="1043"/>
      <c r="AH828" s="1043"/>
      <c r="AI828" s="1043"/>
    </row>
    <row r="829" spans="30:35">
      <c r="AD829" s="1043"/>
      <c r="AE829" s="1043"/>
      <c r="AF829" s="1043"/>
      <c r="AG829" s="1043"/>
      <c r="AH829" s="1043"/>
      <c r="AI829" s="1043"/>
    </row>
    <row r="830" spans="30:35">
      <c r="AD830" s="1043"/>
      <c r="AE830" s="1043"/>
      <c r="AF830" s="1043"/>
      <c r="AG830" s="1043"/>
      <c r="AH830" s="1043"/>
      <c r="AI830" s="1043"/>
    </row>
    <row r="831" spans="30:35">
      <c r="AD831" s="1043"/>
      <c r="AE831" s="1043"/>
      <c r="AF831" s="1043"/>
      <c r="AG831" s="1043"/>
      <c r="AH831" s="1043"/>
      <c r="AI831" s="1043"/>
    </row>
    <row r="832" spans="30:35">
      <c r="AD832" s="1043"/>
      <c r="AE832" s="1043"/>
      <c r="AF832" s="1043"/>
      <c r="AG832" s="1043"/>
      <c r="AH832" s="1043"/>
      <c r="AI832" s="1043"/>
    </row>
    <row r="833" spans="30:35">
      <c r="AD833" s="1043"/>
      <c r="AE833" s="1043"/>
      <c r="AF833" s="1043"/>
      <c r="AG833" s="1043"/>
      <c r="AH833" s="1043"/>
      <c r="AI833" s="1043"/>
    </row>
    <row r="834" spans="30:35">
      <c r="AD834" s="1043"/>
      <c r="AE834" s="1043"/>
      <c r="AF834" s="1043"/>
      <c r="AG834" s="1043"/>
      <c r="AH834" s="1043"/>
      <c r="AI834" s="1043"/>
    </row>
    <row r="835" spans="30:35">
      <c r="AD835" s="1043"/>
      <c r="AE835" s="1043"/>
      <c r="AF835" s="1043"/>
      <c r="AG835" s="1043"/>
      <c r="AH835" s="1043"/>
      <c r="AI835" s="1043"/>
    </row>
    <row r="836" spans="30:35">
      <c r="AD836" s="1043"/>
      <c r="AE836" s="1043"/>
      <c r="AF836" s="1043"/>
      <c r="AG836" s="1043"/>
      <c r="AH836" s="1043"/>
      <c r="AI836" s="1043"/>
    </row>
    <row r="837" spans="30:35">
      <c r="AD837" s="1043"/>
      <c r="AE837" s="1043"/>
      <c r="AF837" s="1043"/>
      <c r="AG837" s="1043"/>
      <c r="AH837" s="1043"/>
      <c r="AI837" s="1043"/>
    </row>
    <row r="838" spans="30:35">
      <c r="AD838" s="1043"/>
      <c r="AE838" s="1043"/>
      <c r="AF838" s="1043"/>
      <c r="AG838" s="1043"/>
      <c r="AH838" s="1043"/>
      <c r="AI838" s="1043"/>
    </row>
    <row r="839" spans="30:35">
      <c r="AD839" s="1043"/>
      <c r="AE839" s="1043"/>
      <c r="AF839" s="1043"/>
      <c r="AG839" s="1043"/>
      <c r="AH839" s="1043"/>
      <c r="AI839" s="1043"/>
    </row>
    <row r="840" spans="30:35">
      <c r="AD840" s="1043"/>
      <c r="AE840" s="1043"/>
      <c r="AF840" s="1043"/>
      <c r="AG840" s="1043"/>
      <c r="AH840" s="1043"/>
      <c r="AI840" s="1043"/>
    </row>
    <row r="841" spans="30:35">
      <c r="AD841" s="1043"/>
      <c r="AE841" s="1043"/>
      <c r="AF841" s="1043"/>
      <c r="AG841" s="1043"/>
      <c r="AH841" s="1043"/>
      <c r="AI841" s="1043"/>
    </row>
    <row r="842" spans="30:35">
      <c r="AD842" s="1043"/>
      <c r="AE842" s="1043"/>
      <c r="AF842" s="1043"/>
      <c r="AG842" s="1043"/>
      <c r="AH842" s="1043"/>
      <c r="AI842" s="1043"/>
    </row>
    <row r="843" spans="30:35">
      <c r="AD843" s="1043"/>
      <c r="AE843" s="1043"/>
      <c r="AF843" s="1043"/>
      <c r="AG843" s="1043"/>
      <c r="AH843" s="1043"/>
      <c r="AI843" s="1043"/>
    </row>
    <row r="844" spans="30:35">
      <c r="AD844" s="1043"/>
      <c r="AE844" s="1043"/>
      <c r="AF844" s="1043"/>
      <c r="AG844" s="1043"/>
      <c r="AH844" s="1043"/>
      <c r="AI844" s="1043"/>
    </row>
    <row r="845" spans="30:35">
      <c r="AD845" s="1043"/>
      <c r="AE845" s="1043"/>
      <c r="AF845" s="1043"/>
      <c r="AG845" s="1043"/>
      <c r="AH845" s="1043"/>
      <c r="AI845" s="1043"/>
    </row>
    <row r="846" spans="30:35">
      <c r="AD846" s="1043"/>
      <c r="AE846" s="1043"/>
      <c r="AF846" s="1043"/>
      <c r="AG846" s="1043"/>
      <c r="AH846" s="1043"/>
      <c r="AI846" s="1043"/>
    </row>
    <row r="847" spans="30:35">
      <c r="AD847" s="1043"/>
      <c r="AE847" s="1043"/>
      <c r="AF847" s="1043"/>
      <c r="AG847" s="1043"/>
      <c r="AH847" s="1043"/>
      <c r="AI847" s="1043"/>
    </row>
    <row r="848" spans="30:35">
      <c r="AD848" s="1043"/>
      <c r="AE848" s="1043"/>
      <c r="AF848" s="1043"/>
      <c r="AG848" s="1043"/>
      <c r="AH848" s="1043"/>
      <c r="AI848" s="1043"/>
    </row>
    <row r="849" spans="30:35">
      <c r="AD849" s="1043"/>
      <c r="AE849" s="1043"/>
      <c r="AF849" s="1043"/>
      <c r="AG849" s="1043"/>
      <c r="AH849" s="1043"/>
      <c r="AI849" s="1043"/>
    </row>
    <row r="850" spans="30:35">
      <c r="AD850" s="1043"/>
      <c r="AE850" s="1043"/>
      <c r="AF850" s="1043"/>
      <c r="AG850" s="1043"/>
      <c r="AH850" s="1043"/>
      <c r="AI850" s="1043"/>
    </row>
    <row r="851" spans="30:35">
      <c r="AD851" s="1043"/>
      <c r="AE851" s="1043"/>
      <c r="AF851" s="1043"/>
      <c r="AG851" s="1043"/>
      <c r="AH851" s="1043"/>
      <c r="AI851" s="1043"/>
    </row>
    <row r="852" spans="30:35">
      <c r="AD852" s="1043"/>
      <c r="AE852" s="1043"/>
      <c r="AF852" s="1043"/>
      <c r="AG852" s="1043"/>
      <c r="AH852" s="1043"/>
      <c r="AI852" s="1043"/>
    </row>
    <row r="853" spans="30:35">
      <c r="AD853" s="1043"/>
      <c r="AE853" s="1043"/>
      <c r="AF853" s="1043"/>
      <c r="AG853" s="1043"/>
      <c r="AH853" s="1043"/>
      <c r="AI853" s="1043"/>
    </row>
    <row r="854" spans="30:35">
      <c r="AD854" s="1043"/>
      <c r="AE854" s="1043"/>
      <c r="AF854" s="1043"/>
      <c r="AG854" s="1043"/>
      <c r="AH854" s="1043"/>
      <c r="AI854" s="1043"/>
    </row>
    <row r="855" spans="30:35">
      <c r="AD855" s="1043"/>
      <c r="AE855" s="1043"/>
      <c r="AF855" s="1043"/>
      <c r="AG855" s="1043"/>
      <c r="AH855" s="1043"/>
      <c r="AI855" s="1043"/>
    </row>
    <row r="856" spans="30:35">
      <c r="AD856" s="1043"/>
      <c r="AE856" s="1043"/>
      <c r="AF856" s="1043"/>
      <c r="AG856" s="1043"/>
      <c r="AH856" s="1043"/>
      <c r="AI856" s="1043"/>
    </row>
    <row r="857" spans="30:35">
      <c r="AD857" s="1043"/>
      <c r="AE857" s="1043"/>
      <c r="AF857" s="1043"/>
      <c r="AG857" s="1043"/>
      <c r="AH857" s="1043"/>
      <c r="AI857" s="1043"/>
    </row>
    <row r="858" spans="30:35">
      <c r="AD858" s="1043"/>
      <c r="AE858" s="1043"/>
      <c r="AF858" s="1043"/>
      <c r="AG858" s="1043"/>
      <c r="AH858" s="1043"/>
      <c r="AI858" s="1043"/>
    </row>
    <row r="859" spans="30:35">
      <c r="AD859" s="1043"/>
      <c r="AE859" s="1043"/>
      <c r="AF859" s="1043"/>
      <c r="AG859" s="1043"/>
      <c r="AH859" s="1043"/>
      <c r="AI859" s="1043"/>
    </row>
    <row r="860" spans="30:35">
      <c r="AD860" s="1043"/>
      <c r="AE860" s="1043"/>
      <c r="AF860" s="1043"/>
      <c r="AG860" s="1043"/>
      <c r="AH860" s="1043"/>
      <c r="AI860" s="1043"/>
    </row>
    <row r="861" spans="30:35">
      <c r="AD861" s="1043"/>
      <c r="AE861" s="1043"/>
      <c r="AF861" s="1043"/>
      <c r="AG861" s="1043"/>
      <c r="AH861" s="1043"/>
      <c r="AI861" s="1043"/>
    </row>
    <row r="862" spans="30:35">
      <c r="AD862" s="1043"/>
      <c r="AE862" s="1043"/>
      <c r="AF862" s="1043"/>
      <c r="AG862" s="1043"/>
      <c r="AH862" s="1043"/>
      <c r="AI862" s="1043"/>
    </row>
    <row r="863" spans="30:35">
      <c r="AD863" s="1043"/>
      <c r="AE863" s="1043"/>
      <c r="AF863" s="1043"/>
      <c r="AG863" s="1043"/>
      <c r="AH863" s="1043"/>
      <c r="AI863" s="1043"/>
    </row>
    <row r="864" spans="30:35">
      <c r="AD864" s="1043"/>
      <c r="AE864" s="1043"/>
      <c r="AF864" s="1043"/>
      <c r="AG864" s="1043"/>
      <c r="AH864" s="1043"/>
      <c r="AI864" s="1043"/>
    </row>
    <row r="865" spans="30:35">
      <c r="AD865" s="1043"/>
      <c r="AE865" s="1043"/>
      <c r="AF865" s="1043"/>
      <c r="AG865" s="1043"/>
      <c r="AH865" s="1043"/>
      <c r="AI865" s="1043"/>
    </row>
    <row r="866" spans="30:35">
      <c r="AD866" s="1043"/>
      <c r="AE866" s="1043"/>
      <c r="AF866" s="1043"/>
      <c r="AG866" s="1043"/>
      <c r="AH866" s="1043"/>
      <c r="AI866" s="1043"/>
    </row>
    <row r="867" spans="30:35">
      <c r="AD867" s="1043"/>
      <c r="AE867" s="1043"/>
      <c r="AF867" s="1043"/>
      <c r="AG867" s="1043"/>
      <c r="AH867" s="1043"/>
      <c r="AI867" s="1043"/>
    </row>
    <row r="868" spans="30:35">
      <c r="AD868" s="1043"/>
      <c r="AE868" s="1043"/>
      <c r="AF868" s="1043"/>
      <c r="AG868" s="1043"/>
      <c r="AH868" s="1043"/>
      <c r="AI868" s="1043"/>
    </row>
    <row r="869" spans="30:35">
      <c r="AD869" s="1043"/>
      <c r="AE869" s="1043"/>
      <c r="AF869" s="1043"/>
      <c r="AG869" s="1043"/>
      <c r="AH869" s="1043"/>
      <c r="AI869" s="1043"/>
    </row>
    <row r="870" spans="30:35">
      <c r="AD870" s="1043"/>
      <c r="AE870" s="1043"/>
      <c r="AF870" s="1043"/>
      <c r="AG870" s="1043"/>
      <c r="AH870" s="1043"/>
      <c r="AI870" s="1043"/>
    </row>
    <row r="871" spans="30:35">
      <c r="AD871" s="1043"/>
      <c r="AE871" s="1043"/>
      <c r="AF871" s="1043"/>
      <c r="AG871" s="1043"/>
      <c r="AH871" s="1043"/>
      <c r="AI871" s="1043"/>
    </row>
    <row r="872" spans="30:35">
      <c r="AD872" s="1043"/>
      <c r="AE872" s="1043"/>
      <c r="AF872" s="1043"/>
      <c r="AG872" s="1043"/>
      <c r="AH872" s="1043"/>
      <c r="AI872" s="1043"/>
    </row>
    <row r="873" spans="30:35">
      <c r="AD873" s="1043"/>
      <c r="AE873" s="1043"/>
      <c r="AF873" s="1043"/>
      <c r="AG873" s="1043"/>
      <c r="AH873" s="1043"/>
      <c r="AI873" s="1043"/>
    </row>
    <row r="874" spans="30:35">
      <c r="AD874" s="1043"/>
      <c r="AE874" s="1043"/>
      <c r="AF874" s="1043"/>
      <c r="AG874" s="1043"/>
      <c r="AH874" s="1043"/>
      <c r="AI874" s="1043"/>
    </row>
    <row r="875" spans="30:35">
      <c r="AD875" s="1043"/>
      <c r="AE875" s="1043"/>
      <c r="AF875" s="1043"/>
      <c r="AG875" s="1043"/>
      <c r="AH875" s="1043"/>
      <c r="AI875" s="1043"/>
    </row>
    <row r="876" spans="30:35">
      <c r="AD876" s="1043"/>
      <c r="AE876" s="1043"/>
      <c r="AF876" s="1043"/>
      <c r="AG876" s="1043"/>
      <c r="AH876" s="1043"/>
      <c r="AI876" s="1043"/>
    </row>
    <row r="877" spans="30:35">
      <c r="AD877" s="1043"/>
      <c r="AE877" s="1043"/>
      <c r="AF877" s="1043"/>
      <c r="AG877" s="1043"/>
      <c r="AH877" s="1043"/>
      <c r="AI877" s="1043"/>
    </row>
    <row r="878" spans="30:35">
      <c r="AD878" s="1043"/>
      <c r="AE878" s="1043"/>
      <c r="AF878" s="1043"/>
      <c r="AG878" s="1043"/>
      <c r="AH878" s="1043"/>
      <c r="AI878" s="1043"/>
    </row>
    <row r="879" spans="30:35">
      <c r="AD879" s="1043"/>
      <c r="AE879" s="1043"/>
      <c r="AF879" s="1043"/>
      <c r="AG879" s="1043"/>
      <c r="AH879" s="1043"/>
      <c r="AI879" s="1043"/>
    </row>
    <row r="880" spans="30:35">
      <c r="AD880" s="1043"/>
      <c r="AE880" s="1043"/>
      <c r="AF880" s="1043"/>
      <c r="AG880" s="1043"/>
      <c r="AH880" s="1043"/>
      <c r="AI880" s="1043"/>
    </row>
    <row r="881" spans="30:35">
      <c r="AD881" s="1043"/>
      <c r="AE881" s="1043"/>
      <c r="AF881" s="1043"/>
      <c r="AG881" s="1043"/>
      <c r="AH881" s="1043"/>
      <c r="AI881" s="1043"/>
    </row>
    <row r="882" spans="30:35">
      <c r="AD882" s="1043"/>
      <c r="AE882" s="1043"/>
      <c r="AF882" s="1043"/>
      <c r="AG882" s="1043"/>
      <c r="AH882" s="1043"/>
      <c r="AI882" s="1043"/>
    </row>
    <row r="883" spans="30:35">
      <c r="AD883" s="1043"/>
      <c r="AE883" s="1043"/>
      <c r="AF883" s="1043"/>
      <c r="AG883" s="1043"/>
      <c r="AH883" s="1043"/>
      <c r="AI883" s="1043"/>
    </row>
    <row r="884" spans="30:35">
      <c r="AD884" s="1043"/>
      <c r="AE884" s="1043"/>
      <c r="AF884" s="1043"/>
      <c r="AG884" s="1043"/>
      <c r="AH884" s="1043"/>
      <c r="AI884" s="1043"/>
    </row>
    <row r="885" spans="30:35">
      <c r="AD885" s="1043"/>
      <c r="AE885" s="1043"/>
      <c r="AF885" s="1043"/>
      <c r="AG885" s="1043"/>
      <c r="AH885" s="1043"/>
      <c r="AI885" s="1043"/>
    </row>
    <row r="886" spans="30:35">
      <c r="AD886" s="1043"/>
      <c r="AE886" s="1043"/>
      <c r="AF886" s="1043"/>
      <c r="AG886" s="1043"/>
      <c r="AH886" s="1043"/>
      <c r="AI886" s="1043"/>
    </row>
    <row r="887" spans="30:35">
      <c r="AD887" s="1043"/>
      <c r="AE887" s="1043"/>
      <c r="AF887" s="1043"/>
      <c r="AG887" s="1043"/>
      <c r="AH887" s="1043"/>
      <c r="AI887" s="1043"/>
    </row>
    <row r="888" spans="30:35">
      <c r="AD888" s="1043"/>
      <c r="AE888" s="1043"/>
      <c r="AF888" s="1043"/>
      <c r="AG888" s="1043"/>
      <c r="AH888" s="1043"/>
      <c r="AI888" s="1043"/>
    </row>
    <row r="889" spans="30:35">
      <c r="AD889" s="1043"/>
      <c r="AE889" s="1043"/>
      <c r="AF889" s="1043"/>
      <c r="AG889" s="1043"/>
      <c r="AH889" s="1043"/>
      <c r="AI889" s="1043"/>
    </row>
    <row r="890" spans="30:35">
      <c r="AD890" s="1043"/>
      <c r="AE890" s="1043"/>
      <c r="AF890" s="1043"/>
      <c r="AG890" s="1043"/>
      <c r="AH890" s="1043"/>
      <c r="AI890" s="1043"/>
    </row>
    <row r="891" spans="30:35">
      <c r="AD891" s="1043"/>
      <c r="AE891" s="1043"/>
      <c r="AF891" s="1043"/>
      <c r="AG891" s="1043"/>
      <c r="AH891" s="1043"/>
      <c r="AI891" s="1043"/>
    </row>
    <row r="892" spans="30:35">
      <c r="AD892" s="1043"/>
      <c r="AE892" s="1043"/>
      <c r="AF892" s="1043"/>
      <c r="AG892" s="1043"/>
      <c r="AH892" s="1043"/>
      <c r="AI892" s="1043"/>
    </row>
    <row r="893" spans="30:35">
      <c r="AD893" s="1043"/>
      <c r="AE893" s="1043"/>
      <c r="AF893" s="1043"/>
      <c r="AG893" s="1043"/>
      <c r="AH893" s="1043"/>
      <c r="AI893" s="1043"/>
    </row>
    <row r="894" spans="30:35">
      <c r="AD894" s="1043"/>
      <c r="AE894" s="1043"/>
      <c r="AF894" s="1043"/>
      <c r="AG894" s="1043"/>
      <c r="AH894" s="1043"/>
      <c r="AI894" s="1043"/>
    </row>
    <row r="895" spans="30:35">
      <c r="AD895" s="1043"/>
      <c r="AE895" s="1043"/>
      <c r="AF895" s="1043"/>
      <c r="AG895" s="1043"/>
      <c r="AH895" s="1043"/>
      <c r="AI895" s="1043"/>
    </row>
    <row r="896" spans="30:35">
      <c r="AD896" s="1043"/>
      <c r="AE896" s="1043"/>
      <c r="AF896" s="1043"/>
      <c r="AG896" s="1043"/>
      <c r="AH896" s="1043"/>
      <c r="AI896" s="1043"/>
    </row>
    <row r="897" spans="30:35">
      <c r="AD897" s="1043"/>
      <c r="AE897" s="1043"/>
      <c r="AF897" s="1043"/>
      <c r="AG897" s="1043"/>
      <c r="AH897" s="1043"/>
      <c r="AI897" s="1043"/>
    </row>
    <row r="898" spans="30:35">
      <c r="AD898" s="1043"/>
      <c r="AE898" s="1043"/>
      <c r="AF898" s="1043"/>
      <c r="AG898" s="1043"/>
      <c r="AH898" s="1043"/>
      <c r="AI898" s="1043"/>
    </row>
    <row r="899" spans="30:35">
      <c r="AD899" s="1043"/>
      <c r="AE899" s="1043"/>
      <c r="AF899" s="1043"/>
      <c r="AG899" s="1043"/>
      <c r="AH899" s="1043"/>
      <c r="AI899" s="1043"/>
    </row>
    <row r="900" spans="30:35">
      <c r="AD900" s="1043"/>
      <c r="AE900" s="1043"/>
      <c r="AF900" s="1043"/>
      <c r="AG900" s="1043"/>
      <c r="AH900" s="1043"/>
      <c r="AI900" s="1043"/>
    </row>
    <row r="901" spans="30:35">
      <c r="AD901" s="1043"/>
      <c r="AE901" s="1043"/>
      <c r="AF901" s="1043"/>
      <c r="AG901" s="1043"/>
      <c r="AH901" s="1043"/>
      <c r="AI901" s="1043"/>
    </row>
    <row r="902" spans="30:35">
      <c r="AD902" s="1043"/>
      <c r="AE902" s="1043"/>
      <c r="AF902" s="1043"/>
      <c r="AG902" s="1043"/>
      <c r="AH902" s="1043"/>
      <c r="AI902" s="1043"/>
    </row>
    <row r="903" spans="30:35">
      <c r="AD903" s="1043"/>
      <c r="AE903" s="1043"/>
      <c r="AF903" s="1043"/>
      <c r="AG903" s="1043"/>
      <c r="AH903" s="1043"/>
      <c r="AI903" s="1043"/>
    </row>
    <row r="904" spans="30:35">
      <c r="AD904" s="1043"/>
      <c r="AE904" s="1043"/>
      <c r="AF904" s="1043"/>
      <c r="AG904" s="1043"/>
      <c r="AH904" s="1043"/>
      <c r="AI904" s="1043"/>
    </row>
    <row r="905" spans="30:35">
      <c r="AD905" s="1043"/>
      <c r="AE905" s="1043"/>
      <c r="AF905" s="1043"/>
      <c r="AG905" s="1043"/>
      <c r="AH905" s="1043"/>
      <c r="AI905" s="1043"/>
    </row>
    <row r="906" spans="30:35">
      <c r="AD906" s="1043"/>
      <c r="AE906" s="1043"/>
      <c r="AF906" s="1043"/>
      <c r="AG906" s="1043"/>
      <c r="AH906" s="1043"/>
      <c r="AI906" s="1043"/>
    </row>
    <row r="907" spans="30:35">
      <c r="AD907" s="1043"/>
      <c r="AE907" s="1043"/>
      <c r="AF907" s="1043"/>
      <c r="AG907" s="1043"/>
      <c r="AH907" s="1043"/>
      <c r="AI907" s="1043"/>
    </row>
    <row r="908" spans="30:35">
      <c r="AD908" s="1043"/>
      <c r="AE908" s="1043"/>
      <c r="AF908" s="1043"/>
      <c r="AG908" s="1043"/>
      <c r="AH908" s="1043"/>
      <c r="AI908" s="1043"/>
    </row>
    <row r="909" spans="30:35">
      <c r="AD909" s="1043"/>
      <c r="AE909" s="1043"/>
      <c r="AF909" s="1043"/>
      <c r="AG909" s="1043"/>
      <c r="AH909" s="1043"/>
      <c r="AI909" s="1043"/>
    </row>
    <row r="910" spans="30:35">
      <c r="AD910" s="1043"/>
      <c r="AE910" s="1043"/>
      <c r="AF910" s="1043"/>
      <c r="AG910" s="1043"/>
      <c r="AH910" s="1043"/>
      <c r="AI910" s="1043"/>
    </row>
    <row r="911" spans="30:35">
      <c r="AD911" s="1043"/>
      <c r="AE911" s="1043"/>
      <c r="AF911" s="1043"/>
      <c r="AG911" s="1043"/>
      <c r="AH911" s="1043"/>
      <c r="AI911" s="1043"/>
    </row>
    <row r="912" spans="30:35">
      <c r="AD912" s="1043"/>
      <c r="AE912" s="1043"/>
      <c r="AF912" s="1043"/>
      <c r="AG912" s="1043"/>
      <c r="AH912" s="1043"/>
      <c r="AI912" s="1043"/>
    </row>
    <row r="913" spans="30:35">
      <c r="AD913" s="1043"/>
      <c r="AE913" s="1043"/>
      <c r="AF913" s="1043"/>
      <c r="AG913" s="1043"/>
      <c r="AH913" s="1043"/>
      <c r="AI913" s="1043"/>
    </row>
    <row r="914" spans="30:35">
      <c r="AD914" s="1043"/>
      <c r="AE914" s="1043"/>
      <c r="AF914" s="1043"/>
      <c r="AG914" s="1043"/>
      <c r="AH914" s="1043"/>
      <c r="AI914" s="1043"/>
    </row>
    <row r="915" spans="30:35">
      <c r="AD915" s="1043"/>
      <c r="AE915" s="1043"/>
      <c r="AF915" s="1043"/>
      <c r="AG915" s="1043"/>
      <c r="AH915" s="1043"/>
      <c r="AI915" s="1043"/>
    </row>
    <row r="916" spans="30:35">
      <c r="AD916" s="1043"/>
      <c r="AE916" s="1043"/>
      <c r="AF916" s="1043"/>
      <c r="AG916" s="1043"/>
      <c r="AH916" s="1043"/>
      <c r="AI916" s="1043"/>
    </row>
    <row r="917" spans="30:35">
      <c r="AD917" s="1043"/>
      <c r="AE917" s="1043"/>
      <c r="AF917" s="1043"/>
      <c r="AG917" s="1043"/>
      <c r="AH917" s="1043"/>
      <c r="AI917" s="1043"/>
    </row>
    <row r="918" spans="30:35">
      <c r="AD918" s="1043"/>
      <c r="AE918" s="1043"/>
      <c r="AF918" s="1043"/>
      <c r="AG918" s="1043"/>
      <c r="AH918" s="1043"/>
      <c r="AI918" s="1043"/>
    </row>
    <row r="919" spans="30:35">
      <c r="AD919" s="1043"/>
      <c r="AE919" s="1043"/>
      <c r="AF919" s="1043"/>
      <c r="AG919" s="1043"/>
      <c r="AH919" s="1043"/>
      <c r="AI919" s="1043"/>
    </row>
    <row r="920" spans="30:35">
      <c r="AD920" s="1043"/>
      <c r="AE920" s="1043"/>
      <c r="AF920" s="1043"/>
      <c r="AG920" s="1043"/>
      <c r="AH920" s="1043"/>
      <c r="AI920" s="1043"/>
    </row>
    <row r="921" spans="30:35">
      <c r="AD921" s="1043"/>
      <c r="AE921" s="1043"/>
      <c r="AF921" s="1043"/>
      <c r="AG921" s="1043"/>
      <c r="AH921" s="1043"/>
      <c r="AI921" s="1043"/>
    </row>
    <row r="922" spans="30:35">
      <c r="AD922" s="1043"/>
      <c r="AE922" s="1043"/>
      <c r="AF922" s="1043"/>
      <c r="AG922" s="1043"/>
      <c r="AH922" s="1043"/>
      <c r="AI922" s="1043"/>
    </row>
    <row r="923" spans="30:35">
      <c r="AD923" s="1043"/>
      <c r="AE923" s="1043"/>
      <c r="AF923" s="1043"/>
      <c r="AG923" s="1043"/>
      <c r="AH923" s="1043"/>
      <c r="AI923" s="1043"/>
    </row>
    <row r="924" spans="30:35">
      <c r="AD924" s="1043"/>
      <c r="AE924" s="1043"/>
      <c r="AF924" s="1043"/>
      <c r="AG924" s="1043"/>
      <c r="AH924" s="1043"/>
      <c r="AI924" s="1043"/>
    </row>
    <row r="925" spans="30:35">
      <c r="AD925" s="1043"/>
      <c r="AE925" s="1043"/>
      <c r="AF925" s="1043"/>
      <c r="AG925" s="1043"/>
      <c r="AH925" s="1043"/>
      <c r="AI925" s="1043"/>
    </row>
    <row r="926" spans="30:35">
      <c r="AD926" s="1043"/>
      <c r="AE926" s="1043"/>
      <c r="AF926" s="1043"/>
      <c r="AG926" s="1043"/>
      <c r="AH926" s="1043"/>
      <c r="AI926" s="1043"/>
    </row>
    <row r="927" spans="30:35">
      <c r="AD927" s="1043"/>
      <c r="AE927" s="1043"/>
      <c r="AF927" s="1043"/>
      <c r="AG927" s="1043"/>
      <c r="AH927" s="1043"/>
      <c r="AI927" s="1043"/>
    </row>
    <row r="928" spans="30:35">
      <c r="AD928" s="1043"/>
      <c r="AE928" s="1043"/>
      <c r="AF928" s="1043"/>
      <c r="AG928" s="1043"/>
      <c r="AH928" s="1043"/>
      <c r="AI928" s="1043"/>
    </row>
    <row r="929" spans="30:35">
      <c r="AD929" s="1043"/>
      <c r="AE929" s="1043"/>
      <c r="AF929" s="1043"/>
      <c r="AG929" s="1043"/>
      <c r="AH929" s="1043"/>
      <c r="AI929" s="1043"/>
    </row>
    <row r="930" spans="30:35">
      <c r="AD930" s="1043"/>
      <c r="AE930" s="1043"/>
      <c r="AF930" s="1043"/>
      <c r="AG930" s="1043"/>
      <c r="AH930" s="1043"/>
      <c r="AI930" s="1043"/>
    </row>
    <row r="931" spans="30:35">
      <c r="AD931" s="1043"/>
      <c r="AE931" s="1043"/>
      <c r="AF931" s="1043"/>
      <c r="AG931" s="1043"/>
      <c r="AH931" s="1043"/>
      <c r="AI931" s="1043"/>
    </row>
    <row r="932" spans="30:35">
      <c r="AD932" s="1043"/>
      <c r="AE932" s="1043"/>
      <c r="AF932" s="1043"/>
      <c r="AG932" s="1043"/>
      <c r="AH932" s="1043"/>
      <c r="AI932" s="1043"/>
    </row>
    <row r="933" spans="30:35">
      <c r="AD933" s="1043"/>
      <c r="AE933" s="1043"/>
      <c r="AF933" s="1043"/>
      <c r="AG933" s="1043"/>
      <c r="AH933" s="1043"/>
      <c r="AI933" s="1043"/>
    </row>
    <row r="934" spans="30:35">
      <c r="AD934" s="1043"/>
      <c r="AE934" s="1043"/>
      <c r="AF934" s="1043"/>
      <c r="AG934" s="1043"/>
      <c r="AH934" s="1043"/>
      <c r="AI934" s="1043"/>
    </row>
    <row r="935" spans="30:35">
      <c r="AD935" s="1043"/>
      <c r="AE935" s="1043"/>
      <c r="AF935" s="1043"/>
      <c r="AG935" s="1043"/>
      <c r="AH935" s="1043"/>
      <c r="AI935" s="1043"/>
    </row>
    <row r="936" spans="30:35">
      <c r="AD936" s="1043"/>
      <c r="AE936" s="1043"/>
      <c r="AF936" s="1043"/>
      <c r="AG936" s="1043"/>
      <c r="AH936" s="1043"/>
      <c r="AI936" s="1043"/>
    </row>
    <row r="937" spans="30:35">
      <c r="AD937" s="1043"/>
      <c r="AE937" s="1043"/>
      <c r="AF937" s="1043"/>
      <c r="AG937" s="1043"/>
      <c r="AH937" s="1043"/>
      <c r="AI937" s="1043"/>
    </row>
    <row r="938" spans="30:35">
      <c r="AD938" s="1043"/>
      <c r="AE938" s="1043"/>
      <c r="AF938" s="1043"/>
      <c r="AG938" s="1043"/>
      <c r="AH938" s="1043"/>
      <c r="AI938" s="1043"/>
    </row>
    <row r="939" spans="30:35">
      <c r="AD939" s="1043"/>
      <c r="AE939" s="1043"/>
      <c r="AF939" s="1043"/>
      <c r="AG939" s="1043"/>
      <c r="AH939" s="1043"/>
      <c r="AI939" s="1043"/>
    </row>
    <row r="940" spans="30:35">
      <c r="AD940" s="1043"/>
      <c r="AE940" s="1043"/>
      <c r="AF940" s="1043"/>
      <c r="AG940" s="1043"/>
      <c r="AH940" s="1043"/>
      <c r="AI940" s="1043"/>
    </row>
    <row r="941" spans="30:35">
      <c r="AD941" s="1043"/>
      <c r="AE941" s="1043"/>
      <c r="AF941" s="1043"/>
      <c r="AG941" s="1043"/>
      <c r="AH941" s="1043"/>
      <c r="AI941" s="1043"/>
    </row>
    <row r="942" spans="30:35">
      <c r="AD942" s="1043"/>
      <c r="AE942" s="1043"/>
      <c r="AF942" s="1043"/>
      <c r="AG942" s="1043"/>
      <c r="AH942" s="1043"/>
      <c r="AI942" s="1043"/>
    </row>
    <row r="943" spans="30:35">
      <c r="AD943" s="1043"/>
      <c r="AE943" s="1043"/>
      <c r="AF943" s="1043"/>
      <c r="AG943" s="1043"/>
      <c r="AH943" s="1043"/>
      <c r="AI943" s="1043"/>
    </row>
    <row r="944" spans="30:35">
      <c r="AD944" s="1043"/>
      <c r="AE944" s="1043"/>
      <c r="AF944" s="1043"/>
      <c r="AG944" s="1043"/>
      <c r="AH944" s="1043"/>
      <c r="AI944" s="1043"/>
    </row>
    <row r="945" spans="30:35">
      <c r="AD945" s="1043"/>
      <c r="AE945" s="1043"/>
      <c r="AF945" s="1043"/>
      <c r="AG945" s="1043"/>
      <c r="AH945" s="1043"/>
      <c r="AI945" s="1043"/>
    </row>
    <row r="946" spans="30:35">
      <c r="AD946" s="1043"/>
      <c r="AE946" s="1043"/>
      <c r="AF946" s="1043"/>
      <c r="AG946" s="1043"/>
      <c r="AH946" s="1043"/>
      <c r="AI946" s="1043"/>
    </row>
    <row r="947" spans="30:35">
      <c r="AD947" s="1043"/>
      <c r="AE947" s="1043"/>
      <c r="AF947" s="1043"/>
      <c r="AG947" s="1043"/>
      <c r="AH947" s="1043"/>
      <c r="AI947" s="1043"/>
    </row>
    <row r="948" spans="30:35">
      <c r="AD948" s="1043"/>
      <c r="AE948" s="1043"/>
      <c r="AF948" s="1043"/>
      <c r="AG948" s="1043"/>
      <c r="AH948" s="1043"/>
      <c r="AI948" s="1043"/>
    </row>
    <row r="949" spans="30:35">
      <c r="AD949" s="1043"/>
      <c r="AE949" s="1043"/>
      <c r="AF949" s="1043"/>
      <c r="AG949" s="1043"/>
      <c r="AH949" s="1043"/>
      <c r="AI949" s="1043"/>
    </row>
    <row r="950" spans="30:35">
      <c r="AD950" s="1043"/>
      <c r="AE950" s="1043"/>
      <c r="AF950" s="1043"/>
      <c r="AG950" s="1043"/>
      <c r="AH950" s="1043"/>
      <c r="AI950" s="1043"/>
    </row>
    <row r="951" spans="30:35">
      <c r="AD951" s="1043"/>
      <c r="AE951" s="1043"/>
      <c r="AF951" s="1043"/>
      <c r="AG951" s="1043"/>
      <c r="AH951" s="1043"/>
      <c r="AI951" s="1043"/>
    </row>
    <row r="952" spans="30:35">
      <c r="AD952" s="1043"/>
      <c r="AE952" s="1043"/>
      <c r="AF952" s="1043"/>
      <c r="AG952" s="1043"/>
      <c r="AH952" s="1043"/>
      <c r="AI952" s="1043"/>
    </row>
    <row r="953" spans="30:35">
      <c r="AD953" s="1043"/>
      <c r="AE953" s="1043"/>
      <c r="AF953" s="1043"/>
      <c r="AG953" s="1043"/>
      <c r="AH953" s="1043"/>
      <c r="AI953" s="1043"/>
    </row>
    <row r="954" spans="30:35">
      <c r="AD954" s="1043"/>
      <c r="AE954" s="1043"/>
      <c r="AF954" s="1043"/>
      <c r="AG954" s="1043"/>
      <c r="AH954" s="1043"/>
      <c r="AI954" s="1043"/>
    </row>
    <row r="955" spans="30:35">
      <c r="AD955" s="1043"/>
      <c r="AE955" s="1043"/>
      <c r="AF955" s="1043"/>
      <c r="AG955" s="1043"/>
      <c r="AH955" s="1043"/>
      <c r="AI955" s="1043"/>
    </row>
    <row r="956" spans="30:35">
      <c r="AD956" s="1043"/>
      <c r="AE956" s="1043"/>
      <c r="AF956" s="1043"/>
      <c r="AG956" s="1043"/>
      <c r="AH956" s="1043"/>
      <c r="AI956" s="1043"/>
    </row>
    <row r="957" spans="30:35">
      <c r="AD957" s="1043"/>
      <c r="AE957" s="1043"/>
      <c r="AF957" s="1043"/>
      <c r="AG957" s="1043"/>
      <c r="AH957" s="1043"/>
      <c r="AI957" s="1043"/>
    </row>
    <row r="958" spans="30:35">
      <c r="AD958" s="1043"/>
      <c r="AE958" s="1043"/>
      <c r="AF958" s="1043"/>
      <c r="AG958" s="1043"/>
      <c r="AH958" s="1043"/>
      <c r="AI958" s="1043"/>
    </row>
    <row r="959" spans="30:35">
      <c r="AD959" s="1043"/>
      <c r="AE959" s="1043"/>
      <c r="AF959" s="1043"/>
      <c r="AG959" s="1043"/>
      <c r="AH959" s="1043"/>
      <c r="AI959" s="1043"/>
    </row>
    <row r="960" spans="30:35">
      <c r="AD960" s="1043"/>
      <c r="AE960" s="1043"/>
      <c r="AF960" s="1043"/>
      <c r="AG960" s="1043"/>
      <c r="AH960" s="1043"/>
      <c r="AI960" s="1043"/>
    </row>
    <row r="961" spans="30:35">
      <c r="AD961" s="1043"/>
      <c r="AE961" s="1043"/>
      <c r="AF961" s="1043"/>
      <c r="AG961" s="1043"/>
      <c r="AH961" s="1043"/>
      <c r="AI961" s="1043"/>
    </row>
    <row r="962" spans="30:35">
      <c r="AD962" s="1043"/>
      <c r="AE962" s="1043"/>
      <c r="AF962" s="1043"/>
      <c r="AG962" s="1043"/>
      <c r="AH962" s="1043"/>
      <c r="AI962" s="1043"/>
    </row>
    <row r="963" spans="30:35">
      <c r="AD963" s="1043"/>
      <c r="AE963" s="1043"/>
      <c r="AF963" s="1043"/>
      <c r="AG963" s="1043"/>
      <c r="AH963" s="1043"/>
      <c r="AI963" s="1043"/>
    </row>
    <row r="964" spans="30:35">
      <c r="AD964" s="1043"/>
      <c r="AE964" s="1043"/>
      <c r="AF964" s="1043"/>
      <c r="AG964" s="1043"/>
      <c r="AH964" s="1043"/>
      <c r="AI964" s="1043"/>
    </row>
    <row r="965" spans="30:35">
      <c r="AD965" s="1043"/>
      <c r="AE965" s="1043"/>
      <c r="AF965" s="1043"/>
      <c r="AG965" s="1043"/>
      <c r="AH965" s="1043"/>
      <c r="AI965" s="1043"/>
    </row>
    <row r="966" spans="30:35">
      <c r="AD966" s="1043"/>
      <c r="AE966" s="1043"/>
      <c r="AF966" s="1043"/>
      <c r="AG966" s="1043"/>
      <c r="AH966" s="1043"/>
      <c r="AI966" s="1043"/>
    </row>
    <row r="967" spans="30:35">
      <c r="AD967" s="1043"/>
      <c r="AE967" s="1043"/>
      <c r="AF967" s="1043"/>
      <c r="AG967" s="1043"/>
      <c r="AH967" s="1043"/>
      <c r="AI967" s="1043"/>
    </row>
    <row r="968" spans="30:35">
      <c r="AD968" s="1043"/>
      <c r="AE968" s="1043"/>
      <c r="AF968" s="1043"/>
      <c r="AG968" s="1043"/>
      <c r="AH968" s="1043"/>
      <c r="AI968" s="1043"/>
    </row>
    <row r="969" spans="30:35">
      <c r="AD969" s="1043"/>
      <c r="AE969" s="1043"/>
      <c r="AF969" s="1043"/>
      <c r="AG969" s="1043"/>
      <c r="AH969" s="1043"/>
      <c r="AI969" s="1043"/>
    </row>
    <row r="970" spans="30:35">
      <c r="AD970" s="1043"/>
      <c r="AE970" s="1043"/>
      <c r="AF970" s="1043"/>
      <c r="AG970" s="1043"/>
      <c r="AH970" s="1043"/>
      <c r="AI970" s="1043"/>
    </row>
    <row r="971" spans="30:35">
      <c r="AD971" s="1043"/>
      <c r="AE971" s="1043"/>
      <c r="AF971" s="1043"/>
      <c r="AG971" s="1043"/>
      <c r="AH971" s="1043"/>
      <c r="AI971" s="1043"/>
    </row>
    <row r="972" spans="30:35">
      <c r="AD972" s="1043"/>
      <c r="AE972" s="1043"/>
      <c r="AF972" s="1043"/>
      <c r="AG972" s="1043"/>
      <c r="AH972" s="1043"/>
      <c r="AI972" s="1043"/>
    </row>
    <row r="973" spans="30:35">
      <c r="AD973" s="1043"/>
      <c r="AE973" s="1043"/>
      <c r="AF973" s="1043"/>
      <c r="AG973" s="1043"/>
      <c r="AH973" s="1043"/>
      <c r="AI973" s="1043"/>
    </row>
    <row r="974" spans="30:35">
      <c r="AD974" s="1043"/>
      <c r="AE974" s="1043"/>
      <c r="AF974" s="1043"/>
      <c r="AG974" s="1043"/>
      <c r="AH974" s="1043"/>
      <c r="AI974" s="1043"/>
    </row>
    <row r="975" spans="30:35">
      <c r="AD975" s="1043"/>
      <c r="AE975" s="1043"/>
      <c r="AF975" s="1043"/>
      <c r="AG975" s="1043"/>
      <c r="AH975" s="1043"/>
      <c r="AI975" s="1043"/>
    </row>
    <row r="976" spans="30:35">
      <c r="AD976" s="1043"/>
      <c r="AE976" s="1043"/>
      <c r="AF976" s="1043"/>
      <c r="AG976" s="1043"/>
      <c r="AH976" s="1043"/>
      <c r="AI976" s="1043"/>
    </row>
    <row r="977" spans="30:35">
      <c r="AD977" s="1043"/>
      <c r="AE977" s="1043"/>
      <c r="AF977" s="1043"/>
      <c r="AG977" s="1043"/>
      <c r="AH977" s="1043"/>
      <c r="AI977" s="1043"/>
    </row>
    <row r="978" spans="30:35">
      <c r="AD978" s="1043"/>
      <c r="AE978" s="1043"/>
      <c r="AF978" s="1043"/>
      <c r="AG978" s="1043"/>
      <c r="AH978" s="1043"/>
      <c r="AI978" s="1043"/>
    </row>
    <row r="979" spans="30:35">
      <c r="AD979" s="1043"/>
      <c r="AE979" s="1043"/>
      <c r="AF979" s="1043"/>
      <c r="AG979" s="1043"/>
      <c r="AH979" s="1043"/>
      <c r="AI979" s="1043"/>
    </row>
    <row r="980" spans="30:35">
      <c r="AD980" s="1043"/>
      <c r="AE980" s="1043"/>
      <c r="AF980" s="1043"/>
      <c r="AG980" s="1043"/>
      <c r="AH980" s="1043"/>
      <c r="AI980" s="1043"/>
    </row>
    <row r="981" spans="30:35">
      <c r="AD981" s="1043"/>
      <c r="AE981" s="1043"/>
      <c r="AF981" s="1043"/>
      <c r="AG981" s="1043"/>
      <c r="AH981" s="1043"/>
      <c r="AI981" s="1043"/>
    </row>
    <row r="982" spans="30:35">
      <c r="AD982" s="1043"/>
      <c r="AE982" s="1043"/>
      <c r="AF982" s="1043"/>
      <c r="AG982" s="1043"/>
      <c r="AH982" s="1043"/>
      <c r="AI982" s="1043"/>
    </row>
    <row r="983" spans="30:35">
      <c r="AD983" s="1043"/>
      <c r="AE983" s="1043"/>
      <c r="AF983" s="1043"/>
      <c r="AG983" s="1043"/>
      <c r="AH983" s="1043"/>
      <c r="AI983" s="1043"/>
    </row>
    <row r="984" spans="30:35">
      <c r="AD984" s="1043"/>
      <c r="AE984" s="1043"/>
      <c r="AF984" s="1043"/>
      <c r="AG984" s="1043"/>
      <c r="AH984" s="1043"/>
      <c r="AI984" s="1043"/>
    </row>
    <row r="985" spans="30:35">
      <c r="AD985" s="1043"/>
      <c r="AE985" s="1043"/>
      <c r="AF985" s="1043"/>
      <c r="AG985" s="1043"/>
      <c r="AH985" s="1043"/>
      <c r="AI985" s="1043"/>
    </row>
    <row r="986" spans="30:35">
      <c r="AD986" s="1043"/>
      <c r="AE986" s="1043"/>
      <c r="AF986" s="1043"/>
      <c r="AG986" s="1043"/>
      <c r="AH986" s="1043"/>
      <c r="AI986" s="1043"/>
    </row>
    <row r="987" spans="30:35">
      <c r="AD987" s="1043"/>
      <c r="AE987" s="1043"/>
      <c r="AF987" s="1043"/>
      <c r="AG987" s="1043"/>
      <c r="AH987" s="1043"/>
      <c r="AI987" s="1043"/>
    </row>
    <row r="988" spans="30:35">
      <c r="AD988" s="1043"/>
      <c r="AE988" s="1043"/>
      <c r="AF988" s="1043"/>
      <c r="AG988" s="1043"/>
      <c r="AH988" s="1043"/>
      <c r="AI988" s="1043"/>
    </row>
    <row r="989" spans="30:35">
      <c r="AD989" s="1043"/>
      <c r="AE989" s="1043"/>
      <c r="AF989" s="1043"/>
      <c r="AG989" s="1043"/>
      <c r="AH989" s="1043"/>
      <c r="AI989" s="1043"/>
    </row>
    <row r="990" spans="30:35">
      <c r="AD990" s="1043"/>
      <c r="AE990" s="1043"/>
      <c r="AF990" s="1043"/>
      <c r="AG990" s="1043"/>
      <c r="AH990" s="1043"/>
      <c r="AI990" s="1043"/>
    </row>
    <row r="991" spans="30:35">
      <c r="AD991" s="1043"/>
      <c r="AE991" s="1043"/>
      <c r="AF991" s="1043"/>
      <c r="AG991" s="1043"/>
      <c r="AH991" s="1043"/>
      <c r="AI991" s="1043"/>
    </row>
    <row r="992" spans="30:35">
      <c r="AD992" s="1043"/>
      <c r="AE992" s="1043"/>
      <c r="AF992" s="1043"/>
      <c r="AG992" s="1043"/>
      <c r="AH992" s="1043"/>
      <c r="AI992" s="1043"/>
    </row>
    <row r="993" spans="30:35">
      <c r="AD993" s="1043"/>
      <c r="AE993" s="1043"/>
      <c r="AF993" s="1043"/>
      <c r="AG993" s="1043"/>
      <c r="AH993" s="1043"/>
      <c r="AI993" s="1043"/>
    </row>
    <row r="994" spans="30:35">
      <c r="AD994" s="1043"/>
      <c r="AE994" s="1043"/>
      <c r="AF994" s="1043"/>
      <c r="AG994" s="1043"/>
      <c r="AH994" s="1043"/>
      <c r="AI994" s="1043"/>
    </row>
    <row r="995" spans="30:35">
      <c r="AD995" s="1043"/>
      <c r="AE995" s="1043"/>
      <c r="AF995" s="1043"/>
      <c r="AG995" s="1043"/>
      <c r="AH995" s="1043"/>
      <c r="AI995" s="1043"/>
    </row>
    <row r="996" spans="30:35">
      <c r="AD996" s="1043"/>
      <c r="AE996" s="1043"/>
      <c r="AF996" s="1043"/>
      <c r="AG996" s="1043"/>
      <c r="AH996" s="1043"/>
      <c r="AI996" s="1043"/>
    </row>
    <row r="997" spans="30:35">
      <c r="AD997" s="1043"/>
      <c r="AE997" s="1043"/>
      <c r="AF997" s="1043"/>
      <c r="AG997" s="1043"/>
      <c r="AH997" s="1043"/>
      <c r="AI997" s="1043"/>
    </row>
    <row r="998" spans="30:35">
      <c r="AD998" s="1043"/>
      <c r="AE998" s="1043"/>
      <c r="AF998" s="1043"/>
      <c r="AG998" s="1043"/>
      <c r="AH998" s="1043"/>
      <c r="AI998" s="1043"/>
    </row>
    <row r="999" spans="30:35">
      <c r="AD999" s="1043"/>
      <c r="AE999" s="1043"/>
      <c r="AF999" s="1043"/>
      <c r="AG999" s="1043"/>
      <c r="AH999" s="1043"/>
      <c r="AI999" s="1043"/>
    </row>
    <row r="1000" spans="30:35">
      <c r="AD1000" s="1043"/>
      <c r="AE1000" s="1043"/>
      <c r="AF1000" s="1043"/>
      <c r="AG1000" s="1043"/>
      <c r="AH1000" s="1043"/>
      <c r="AI1000" s="1043"/>
    </row>
    <row r="1001" spans="30:35">
      <c r="AD1001" s="1043"/>
      <c r="AE1001" s="1043"/>
      <c r="AF1001" s="1043"/>
      <c r="AG1001" s="1043"/>
      <c r="AH1001" s="1043"/>
      <c r="AI1001" s="1043"/>
    </row>
    <row r="1002" spans="30:35">
      <c r="AD1002" s="1043"/>
      <c r="AE1002" s="1043"/>
      <c r="AF1002" s="1043"/>
      <c r="AG1002" s="1043"/>
      <c r="AH1002" s="1043"/>
      <c r="AI1002" s="1043"/>
    </row>
    <row r="1003" spans="30:35">
      <c r="AD1003" s="1043"/>
      <c r="AE1003" s="1043"/>
      <c r="AF1003" s="1043"/>
      <c r="AG1003" s="1043"/>
      <c r="AH1003" s="1043"/>
      <c r="AI1003" s="1043"/>
    </row>
    <row r="1004" spans="30:35">
      <c r="AD1004" s="1043"/>
      <c r="AE1004" s="1043"/>
      <c r="AF1004" s="1043"/>
      <c r="AG1004" s="1043"/>
      <c r="AH1004" s="1043"/>
      <c r="AI1004" s="1043"/>
    </row>
    <row r="1005" spans="30:35">
      <c r="AD1005" s="1043"/>
      <c r="AE1005" s="1043"/>
      <c r="AF1005" s="1043"/>
      <c r="AG1005" s="1043"/>
      <c r="AH1005" s="1043"/>
      <c r="AI1005" s="1043"/>
    </row>
    <row r="1006" spans="30:35">
      <c r="AD1006" s="1043"/>
      <c r="AE1006" s="1043"/>
      <c r="AF1006" s="1043"/>
      <c r="AG1006" s="1043"/>
      <c r="AH1006" s="1043"/>
      <c r="AI1006" s="1043"/>
    </row>
    <row r="1007" spans="30:35">
      <c r="AD1007" s="1043"/>
      <c r="AE1007" s="1043"/>
      <c r="AF1007" s="1043"/>
      <c r="AG1007" s="1043"/>
      <c r="AH1007" s="1043"/>
      <c r="AI1007" s="1043"/>
    </row>
    <row r="1008" spans="30:35">
      <c r="AD1008" s="1043"/>
      <c r="AE1008" s="1043"/>
      <c r="AF1008" s="1043"/>
      <c r="AG1008" s="1043"/>
      <c r="AH1008" s="1043"/>
      <c r="AI1008" s="1043"/>
    </row>
    <row r="1009" spans="30:35">
      <c r="AD1009" s="1043"/>
      <c r="AE1009" s="1043"/>
      <c r="AF1009" s="1043"/>
      <c r="AG1009" s="1043"/>
      <c r="AH1009" s="1043"/>
      <c r="AI1009" s="1043"/>
    </row>
    <row r="1010" spans="30:35">
      <c r="AD1010" s="1043"/>
      <c r="AE1010" s="1043"/>
      <c r="AF1010" s="1043"/>
      <c r="AG1010" s="1043"/>
      <c r="AH1010" s="1043"/>
      <c r="AI1010" s="1043"/>
    </row>
    <row r="1011" spans="30:35">
      <c r="AD1011" s="1043"/>
      <c r="AE1011" s="1043"/>
      <c r="AF1011" s="1043"/>
      <c r="AG1011" s="1043"/>
      <c r="AH1011" s="1043"/>
      <c r="AI1011" s="1043"/>
    </row>
    <row r="1012" spans="30:35">
      <c r="AD1012" s="1043"/>
      <c r="AE1012" s="1043"/>
      <c r="AF1012" s="1043"/>
      <c r="AG1012" s="1043"/>
      <c r="AH1012" s="1043"/>
      <c r="AI1012" s="1043"/>
    </row>
    <row r="1013" spans="30:35">
      <c r="AD1013" s="1043"/>
      <c r="AE1013" s="1043"/>
      <c r="AF1013" s="1043"/>
      <c r="AG1013" s="1043"/>
      <c r="AH1013" s="1043"/>
      <c r="AI1013" s="1043"/>
    </row>
    <row r="1014" spans="30:35">
      <c r="AD1014" s="1043"/>
      <c r="AE1014" s="1043"/>
      <c r="AF1014" s="1043"/>
      <c r="AG1014" s="1043"/>
      <c r="AH1014" s="1043"/>
      <c r="AI1014" s="1043"/>
    </row>
    <row r="1015" spans="30:35">
      <c r="AD1015" s="1043"/>
      <c r="AE1015" s="1043"/>
      <c r="AF1015" s="1043"/>
      <c r="AG1015" s="1043"/>
      <c r="AH1015" s="1043"/>
      <c r="AI1015" s="1043"/>
    </row>
    <row r="1016" spans="30:35">
      <c r="AD1016" s="1043"/>
      <c r="AE1016" s="1043"/>
      <c r="AF1016" s="1043"/>
      <c r="AG1016" s="1043"/>
      <c r="AH1016" s="1043"/>
      <c r="AI1016" s="1043"/>
    </row>
    <row r="1017" spans="30:35">
      <c r="AD1017" s="1043"/>
      <c r="AE1017" s="1043"/>
      <c r="AF1017" s="1043"/>
      <c r="AG1017" s="1043"/>
      <c r="AH1017" s="1043"/>
      <c r="AI1017" s="1043"/>
    </row>
    <row r="1018" spans="30:35">
      <c r="AD1018" s="1043"/>
      <c r="AE1018" s="1043"/>
      <c r="AF1018" s="1043"/>
      <c r="AG1018" s="1043"/>
      <c r="AH1018" s="1043"/>
      <c r="AI1018" s="1043"/>
    </row>
    <row r="1019" spans="30:35">
      <c r="AD1019" s="1043"/>
      <c r="AE1019" s="1043"/>
      <c r="AF1019" s="1043"/>
      <c r="AG1019" s="1043"/>
      <c r="AH1019" s="1043"/>
      <c r="AI1019" s="1043"/>
    </row>
    <row r="1020" spans="30:35">
      <c r="AD1020" s="1043"/>
      <c r="AE1020" s="1043"/>
      <c r="AF1020" s="1043"/>
      <c r="AG1020" s="1043"/>
      <c r="AH1020" s="1043"/>
      <c r="AI1020" s="1043"/>
    </row>
    <row r="1021" spans="30:35">
      <c r="AD1021" s="1043"/>
      <c r="AE1021" s="1043"/>
      <c r="AF1021" s="1043"/>
      <c r="AG1021" s="1043"/>
      <c r="AH1021" s="1043"/>
      <c r="AI1021" s="1043"/>
    </row>
    <row r="1022" spans="30:35">
      <c r="AD1022" s="1043"/>
      <c r="AE1022" s="1043"/>
      <c r="AF1022" s="1043"/>
      <c r="AG1022" s="1043"/>
      <c r="AH1022" s="1043"/>
      <c r="AI1022" s="1043"/>
    </row>
    <row r="1023" spans="30:35">
      <c r="AD1023" s="1043"/>
      <c r="AE1023" s="1043"/>
      <c r="AF1023" s="1043"/>
      <c r="AG1023" s="1043"/>
      <c r="AH1023" s="1043"/>
      <c r="AI1023" s="1043"/>
    </row>
    <row r="1024" spans="30:35">
      <c r="AD1024" s="1043"/>
      <c r="AE1024" s="1043"/>
      <c r="AF1024" s="1043"/>
      <c r="AG1024" s="1043"/>
      <c r="AH1024" s="1043"/>
      <c r="AI1024" s="1043"/>
    </row>
    <row r="1025" spans="30:35">
      <c r="AD1025" s="1043"/>
      <c r="AE1025" s="1043"/>
      <c r="AF1025" s="1043"/>
      <c r="AG1025" s="1043"/>
      <c r="AH1025" s="1043"/>
      <c r="AI1025" s="1043"/>
    </row>
    <row r="1026" spans="30:35">
      <c r="AD1026" s="1043"/>
      <c r="AE1026" s="1043"/>
      <c r="AF1026" s="1043"/>
      <c r="AG1026" s="1043"/>
      <c r="AH1026" s="1043"/>
      <c r="AI1026" s="1043"/>
    </row>
    <row r="1027" spans="30:35">
      <c r="AD1027" s="1043"/>
      <c r="AE1027" s="1043"/>
      <c r="AF1027" s="1043"/>
      <c r="AG1027" s="1043"/>
      <c r="AH1027" s="1043"/>
      <c r="AI1027" s="1043"/>
    </row>
    <row r="1028" spans="30:35">
      <c r="AD1028" s="1043"/>
      <c r="AE1028" s="1043"/>
      <c r="AF1028" s="1043"/>
      <c r="AG1028" s="1043"/>
      <c r="AH1028" s="1043"/>
      <c r="AI1028" s="1043"/>
    </row>
    <row r="1029" spans="30:35">
      <c r="AD1029" s="1043"/>
      <c r="AE1029" s="1043"/>
      <c r="AF1029" s="1043"/>
      <c r="AG1029" s="1043"/>
      <c r="AH1029" s="1043"/>
      <c r="AI1029" s="1043"/>
    </row>
    <row r="1030" spans="30:35">
      <c r="AD1030" s="1043"/>
      <c r="AE1030" s="1043"/>
      <c r="AF1030" s="1043"/>
      <c r="AG1030" s="1043"/>
      <c r="AH1030" s="1043"/>
      <c r="AI1030" s="1043"/>
    </row>
    <row r="1031" spans="30:35">
      <c r="AD1031" s="1043"/>
      <c r="AE1031" s="1043"/>
      <c r="AF1031" s="1043"/>
      <c r="AG1031" s="1043"/>
      <c r="AH1031" s="1043"/>
      <c r="AI1031" s="1043"/>
    </row>
    <row r="1032" spans="30:35">
      <c r="AD1032" s="1043"/>
      <c r="AE1032" s="1043"/>
      <c r="AF1032" s="1043"/>
      <c r="AG1032" s="1043"/>
      <c r="AH1032" s="1043"/>
      <c r="AI1032" s="1043"/>
    </row>
    <row r="1033" spans="30:35">
      <c r="AD1033" s="1043"/>
      <c r="AE1033" s="1043"/>
      <c r="AF1033" s="1043"/>
      <c r="AG1033" s="1043"/>
      <c r="AH1033" s="1043"/>
      <c r="AI1033" s="1043"/>
    </row>
    <row r="1034" spans="30:35">
      <c r="AD1034" s="1043"/>
      <c r="AE1034" s="1043"/>
      <c r="AF1034" s="1043"/>
      <c r="AG1034" s="1043"/>
      <c r="AH1034" s="1043"/>
      <c r="AI1034" s="1043"/>
    </row>
    <row r="1035" spans="30:35">
      <c r="AD1035" s="1043"/>
      <c r="AE1035" s="1043"/>
      <c r="AF1035" s="1043"/>
      <c r="AG1035" s="1043"/>
      <c r="AH1035" s="1043"/>
      <c r="AI1035" s="1043"/>
    </row>
    <row r="1036" spans="30:35">
      <c r="AD1036" s="1043"/>
      <c r="AE1036" s="1043"/>
      <c r="AF1036" s="1043"/>
      <c r="AG1036" s="1043"/>
      <c r="AH1036" s="1043"/>
      <c r="AI1036" s="1043"/>
    </row>
    <row r="1037" spans="30:35">
      <c r="AD1037" s="1043"/>
      <c r="AE1037" s="1043"/>
      <c r="AF1037" s="1043"/>
      <c r="AG1037" s="1043"/>
      <c r="AH1037" s="1043"/>
      <c r="AI1037" s="1043"/>
    </row>
    <row r="1038" spans="30:35">
      <c r="AD1038" s="1043"/>
      <c r="AE1038" s="1043"/>
      <c r="AF1038" s="1043"/>
      <c r="AG1038" s="1043"/>
      <c r="AH1038" s="1043"/>
      <c r="AI1038" s="1043"/>
    </row>
    <row r="1039" spans="30:35">
      <c r="AD1039" s="1043"/>
      <c r="AE1039" s="1043"/>
      <c r="AF1039" s="1043"/>
      <c r="AG1039" s="1043"/>
      <c r="AH1039" s="1043"/>
      <c r="AI1039" s="1043"/>
    </row>
    <row r="1040" spans="30:35">
      <c r="AD1040" s="1043"/>
      <c r="AE1040" s="1043"/>
      <c r="AF1040" s="1043"/>
      <c r="AG1040" s="1043"/>
      <c r="AH1040" s="1043"/>
      <c r="AI1040" s="1043"/>
    </row>
    <row r="1041" spans="30:35">
      <c r="AD1041" s="1043"/>
      <c r="AE1041" s="1043"/>
      <c r="AF1041" s="1043"/>
      <c r="AG1041" s="1043"/>
      <c r="AH1041" s="1043"/>
      <c r="AI1041" s="1043"/>
    </row>
    <row r="1042" spans="30:35">
      <c r="AD1042" s="1043"/>
      <c r="AE1042" s="1043"/>
      <c r="AF1042" s="1043"/>
      <c r="AG1042" s="1043"/>
      <c r="AH1042" s="1043"/>
      <c r="AI1042" s="1043"/>
    </row>
    <row r="1043" spans="30:35">
      <c r="AD1043" s="1043"/>
      <c r="AE1043" s="1043"/>
      <c r="AF1043" s="1043"/>
      <c r="AG1043" s="1043"/>
      <c r="AH1043" s="1043"/>
      <c r="AI1043" s="1043"/>
    </row>
    <row r="1044" spans="30:35">
      <c r="AD1044" s="1043"/>
      <c r="AE1044" s="1043"/>
      <c r="AF1044" s="1043"/>
      <c r="AG1044" s="1043"/>
      <c r="AH1044" s="1043"/>
      <c r="AI1044" s="1043"/>
    </row>
    <row r="1045" spans="30:35">
      <c r="AD1045" s="1043"/>
      <c r="AE1045" s="1043"/>
      <c r="AF1045" s="1043"/>
      <c r="AG1045" s="1043"/>
      <c r="AH1045" s="1043"/>
      <c r="AI1045" s="1043"/>
    </row>
    <row r="1046" spans="30:35">
      <c r="AD1046" s="1043"/>
      <c r="AE1046" s="1043"/>
      <c r="AF1046" s="1043"/>
      <c r="AG1046" s="1043"/>
      <c r="AH1046" s="1043"/>
      <c r="AI1046" s="1043"/>
    </row>
    <row r="1047" spans="30:35">
      <c r="AD1047" s="1043"/>
      <c r="AE1047" s="1043"/>
      <c r="AF1047" s="1043"/>
      <c r="AG1047" s="1043"/>
      <c r="AH1047" s="1043"/>
      <c r="AI1047" s="1043"/>
    </row>
    <row r="1048" spans="30:35">
      <c r="AD1048" s="1043"/>
      <c r="AE1048" s="1043"/>
      <c r="AF1048" s="1043"/>
      <c r="AG1048" s="1043"/>
      <c r="AH1048" s="1043"/>
      <c r="AI1048" s="1043"/>
    </row>
    <row r="1049" spans="30:35">
      <c r="AD1049" s="1043"/>
      <c r="AE1049" s="1043"/>
      <c r="AF1049" s="1043"/>
      <c r="AG1049" s="1043"/>
      <c r="AH1049" s="1043"/>
      <c r="AI1049" s="1043"/>
    </row>
    <row r="1050" spans="30:35">
      <c r="AD1050" s="1043"/>
      <c r="AE1050" s="1043"/>
      <c r="AF1050" s="1043"/>
      <c r="AG1050" s="1043"/>
      <c r="AH1050" s="1043"/>
      <c r="AI1050" s="1043"/>
    </row>
    <row r="1051" spans="30:35">
      <c r="AD1051" s="1043"/>
      <c r="AE1051" s="1043"/>
      <c r="AF1051" s="1043"/>
      <c r="AG1051" s="1043"/>
      <c r="AH1051" s="1043"/>
      <c r="AI1051" s="1043"/>
    </row>
    <row r="1052" spans="30:35">
      <c r="AD1052" s="1043"/>
      <c r="AE1052" s="1043"/>
      <c r="AF1052" s="1043"/>
      <c r="AG1052" s="1043"/>
      <c r="AH1052" s="1043"/>
      <c r="AI1052" s="1043"/>
    </row>
    <row r="1053" spans="30:35">
      <c r="AD1053" s="1043"/>
      <c r="AE1053" s="1043"/>
      <c r="AF1053" s="1043"/>
      <c r="AG1053" s="1043"/>
      <c r="AH1053" s="1043"/>
      <c r="AI1053" s="1043"/>
    </row>
    <row r="1054" spans="30:35">
      <c r="AD1054" s="1043"/>
      <c r="AE1054" s="1043"/>
      <c r="AF1054" s="1043"/>
      <c r="AG1054" s="1043"/>
      <c r="AH1054" s="1043"/>
      <c r="AI1054" s="1043"/>
    </row>
    <row r="1055" spans="30:35">
      <c r="AD1055" s="1043"/>
      <c r="AE1055" s="1043"/>
      <c r="AF1055" s="1043"/>
      <c r="AG1055" s="1043"/>
      <c r="AH1055" s="1043"/>
      <c r="AI1055" s="1043"/>
    </row>
    <row r="1056" spans="30:35">
      <c r="AD1056" s="1043"/>
      <c r="AE1056" s="1043"/>
      <c r="AF1056" s="1043"/>
      <c r="AG1056" s="1043"/>
      <c r="AH1056" s="1043"/>
      <c r="AI1056" s="1043"/>
    </row>
    <row r="1057" spans="30:35">
      <c r="AD1057" s="1043"/>
      <c r="AE1057" s="1043"/>
      <c r="AF1057" s="1043"/>
      <c r="AG1057" s="1043"/>
      <c r="AH1057" s="1043"/>
      <c r="AI1057" s="1043"/>
    </row>
    <row r="1058" spans="30:35">
      <c r="AD1058" s="1043"/>
      <c r="AE1058" s="1043"/>
      <c r="AF1058" s="1043"/>
      <c r="AG1058" s="1043"/>
      <c r="AH1058" s="1043"/>
      <c r="AI1058" s="1043"/>
    </row>
    <row r="1059" spans="30:35">
      <c r="AD1059" s="1043"/>
      <c r="AE1059" s="1043"/>
      <c r="AF1059" s="1043"/>
      <c r="AG1059" s="1043"/>
      <c r="AH1059" s="1043"/>
      <c r="AI1059" s="1043"/>
    </row>
    <row r="1060" spans="30:35">
      <c r="AD1060" s="1043"/>
      <c r="AE1060" s="1043"/>
      <c r="AF1060" s="1043"/>
      <c r="AG1060" s="1043"/>
      <c r="AH1060" s="1043"/>
      <c r="AI1060" s="1043"/>
    </row>
    <row r="1061" spans="30:35">
      <c r="AD1061" s="1043"/>
      <c r="AE1061" s="1043"/>
      <c r="AF1061" s="1043"/>
      <c r="AG1061" s="1043"/>
      <c r="AH1061" s="1043"/>
      <c r="AI1061" s="1043"/>
    </row>
    <row r="1062" spans="30:35">
      <c r="AD1062" s="1043"/>
      <c r="AE1062" s="1043"/>
      <c r="AF1062" s="1043"/>
      <c r="AG1062" s="1043"/>
      <c r="AH1062" s="1043"/>
      <c r="AI1062" s="1043"/>
    </row>
    <row r="1063" spans="30:35">
      <c r="AD1063" s="1043"/>
      <c r="AE1063" s="1043"/>
      <c r="AF1063" s="1043"/>
      <c r="AG1063" s="1043"/>
      <c r="AH1063" s="1043"/>
      <c r="AI1063" s="1043"/>
    </row>
    <row r="1064" spans="30:35">
      <c r="AD1064" s="1043"/>
      <c r="AE1064" s="1043"/>
      <c r="AF1064" s="1043"/>
      <c r="AG1064" s="1043"/>
      <c r="AH1064" s="1043"/>
      <c r="AI1064" s="1043"/>
    </row>
    <row r="1065" spans="30:35">
      <c r="AD1065" s="1043"/>
      <c r="AE1065" s="1043"/>
      <c r="AF1065" s="1043"/>
      <c r="AG1065" s="1043"/>
      <c r="AH1065" s="1043"/>
      <c r="AI1065" s="1043"/>
    </row>
    <row r="1066" spans="30:35">
      <c r="AD1066" s="1043"/>
      <c r="AE1066" s="1043"/>
      <c r="AF1066" s="1043"/>
      <c r="AG1066" s="1043"/>
      <c r="AH1066" s="1043"/>
      <c r="AI1066" s="1043"/>
    </row>
    <row r="1067" spans="30:35">
      <c r="AD1067" s="1043"/>
      <c r="AE1067" s="1043"/>
      <c r="AF1067" s="1043"/>
      <c r="AG1067" s="1043"/>
      <c r="AH1067" s="1043"/>
      <c r="AI1067" s="1043"/>
    </row>
    <row r="1068" spans="30:35">
      <c r="AD1068" s="1043"/>
      <c r="AE1068" s="1043"/>
      <c r="AF1068" s="1043"/>
      <c r="AG1068" s="1043"/>
      <c r="AH1068" s="1043"/>
      <c r="AI1068" s="1043"/>
    </row>
    <row r="1069" spans="30:35">
      <c r="AD1069" s="1043"/>
      <c r="AE1069" s="1043"/>
      <c r="AF1069" s="1043"/>
      <c r="AG1069" s="1043"/>
      <c r="AH1069" s="1043"/>
      <c r="AI1069" s="1043"/>
    </row>
    <row r="1070" spans="30:35">
      <c r="AD1070" s="1043"/>
      <c r="AE1070" s="1043"/>
      <c r="AF1070" s="1043"/>
      <c r="AG1070" s="1043"/>
      <c r="AH1070" s="1043"/>
      <c r="AI1070" s="1043"/>
    </row>
    <row r="1071" spans="30:35">
      <c r="AD1071" s="1043"/>
      <c r="AE1071" s="1043"/>
      <c r="AF1071" s="1043"/>
      <c r="AG1071" s="1043"/>
      <c r="AH1071" s="1043"/>
      <c r="AI1071" s="1043"/>
    </row>
    <row r="1072" spans="30:35">
      <c r="AD1072" s="1043"/>
      <c r="AE1072" s="1043"/>
      <c r="AF1072" s="1043"/>
      <c r="AG1072" s="1043"/>
      <c r="AH1072" s="1043"/>
      <c r="AI1072" s="1043"/>
    </row>
    <row r="1073" spans="30:35">
      <c r="AD1073" s="1043"/>
      <c r="AE1073" s="1043"/>
      <c r="AF1073" s="1043"/>
      <c r="AG1073" s="1043"/>
      <c r="AH1073" s="1043"/>
      <c r="AI1073" s="1043"/>
    </row>
    <row r="1074" spans="30:35">
      <c r="AD1074" s="1043"/>
      <c r="AE1074" s="1043"/>
      <c r="AF1074" s="1043"/>
      <c r="AG1074" s="1043"/>
      <c r="AH1074" s="1043"/>
      <c r="AI1074" s="1043"/>
    </row>
    <row r="1075" spans="30:35">
      <c r="AD1075" s="1043"/>
      <c r="AE1075" s="1043"/>
      <c r="AF1075" s="1043"/>
      <c r="AG1075" s="1043"/>
      <c r="AH1075" s="1043"/>
      <c r="AI1075" s="1043"/>
    </row>
    <row r="1076" spans="30:35">
      <c r="AD1076" s="1043"/>
      <c r="AE1076" s="1043"/>
      <c r="AF1076" s="1043"/>
      <c r="AG1076" s="1043"/>
      <c r="AH1076" s="1043"/>
      <c r="AI1076" s="1043"/>
    </row>
    <row r="1077" spans="30:35">
      <c r="AD1077" s="1043"/>
      <c r="AE1077" s="1043"/>
      <c r="AF1077" s="1043"/>
      <c r="AG1077" s="1043"/>
      <c r="AH1077" s="1043"/>
      <c r="AI1077" s="1043"/>
    </row>
    <row r="1078" spans="30:35">
      <c r="AD1078" s="1043"/>
      <c r="AE1078" s="1043"/>
      <c r="AF1078" s="1043"/>
      <c r="AG1078" s="1043"/>
      <c r="AH1078" s="1043"/>
      <c r="AI1078" s="1043"/>
    </row>
    <row r="1079" spans="30:35">
      <c r="AD1079" s="1043"/>
      <c r="AE1079" s="1043"/>
      <c r="AF1079" s="1043"/>
      <c r="AG1079" s="1043"/>
      <c r="AH1079" s="1043"/>
      <c r="AI1079" s="1043"/>
    </row>
    <row r="1080" spans="30:35">
      <c r="AD1080" s="1043"/>
      <c r="AE1080" s="1043"/>
      <c r="AF1080" s="1043"/>
      <c r="AG1080" s="1043"/>
      <c r="AH1080" s="1043"/>
      <c r="AI1080" s="1043"/>
    </row>
    <row r="1081" spans="30:35">
      <c r="AD1081" s="1043"/>
      <c r="AE1081" s="1043"/>
      <c r="AF1081" s="1043"/>
      <c r="AG1081" s="1043"/>
      <c r="AH1081" s="1043"/>
      <c r="AI1081" s="1043"/>
    </row>
    <row r="1082" spans="30:35">
      <c r="AD1082" s="1043"/>
      <c r="AE1082" s="1043"/>
      <c r="AF1082" s="1043"/>
      <c r="AG1082" s="1043"/>
      <c r="AH1082" s="1043"/>
      <c r="AI1082" s="1043"/>
    </row>
    <row r="1083" spans="30:35">
      <c r="AD1083" s="1043"/>
      <c r="AE1083" s="1043"/>
      <c r="AF1083" s="1043"/>
      <c r="AG1083" s="1043"/>
      <c r="AH1083" s="1043"/>
      <c r="AI1083" s="1043"/>
    </row>
    <row r="1084" spans="30:35">
      <c r="AD1084" s="1043"/>
      <c r="AE1084" s="1043"/>
      <c r="AF1084" s="1043"/>
      <c r="AG1084" s="1043"/>
      <c r="AH1084" s="1043"/>
      <c r="AI1084" s="1043"/>
    </row>
    <row r="1085" spans="30:35">
      <c r="AD1085" s="1043"/>
      <c r="AE1085" s="1043"/>
      <c r="AF1085" s="1043"/>
      <c r="AG1085" s="1043"/>
      <c r="AH1085" s="1043"/>
      <c r="AI1085" s="1043"/>
    </row>
    <row r="1086" spans="30:35">
      <c r="AD1086" s="1043"/>
      <c r="AE1086" s="1043"/>
      <c r="AF1086" s="1043"/>
      <c r="AG1086" s="1043"/>
      <c r="AH1086" s="1043"/>
      <c r="AI1086" s="1043"/>
    </row>
    <row r="1087" spans="30:35">
      <c r="AD1087" s="1043"/>
      <c r="AE1087" s="1043"/>
      <c r="AF1087" s="1043"/>
      <c r="AG1087" s="1043"/>
      <c r="AH1087" s="1043"/>
      <c r="AI1087" s="1043"/>
    </row>
    <row r="1088" spans="30:35">
      <c r="AD1088" s="1043"/>
      <c r="AE1088" s="1043"/>
      <c r="AF1088" s="1043"/>
      <c r="AG1088" s="1043"/>
      <c r="AH1088" s="1043"/>
      <c r="AI1088" s="1043"/>
    </row>
    <row r="1089" spans="30:35">
      <c r="AD1089" s="1043"/>
      <c r="AE1089" s="1043"/>
      <c r="AF1089" s="1043"/>
      <c r="AG1089" s="1043"/>
      <c r="AH1089" s="1043"/>
      <c r="AI1089" s="1043"/>
    </row>
    <row r="1090" spans="30:35">
      <c r="AD1090" s="1043"/>
      <c r="AE1090" s="1043"/>
      <c r="AF1090" s="1043"/>
      <c r="AG1090" s="1043"/>
      <c r="AH1090" s="1043"/>
      <c r="AI1090" s="1043"/>
    </row>
    <row r="1091" spans="30:35">
      <c r="AD1091" s="1043"/>
      <c r="AE1091" s="1043"/>
      <c r="AF1091" s="1043"/>
      <c r="AG1091" s="1043"/>
      <c r="AH1091" s="1043"/>
      <c r="AI1091" s="1043"/>
    </row>
    <row r="1092" spans="30:35">
      <c r="AD1092" s="1043"/>
      <c r="AE1092" s="1043"/>
      <c r="AF1092" s="1043"/>
      <c r="AG1092" s="1043"/>
      <c r="AH1092" s="1043"/>
      <c r="AI1092" s="1043"/>
    </row>
    <row r="1093" spans="30:35">
      <c r="AD1093" s="1043"/>
      <c r="AE1093" s="1043"/>
      <c r="AF1093" s="1043"/>
      <c r="AG1093" s="1043"/>
      <c r="AH1093" s="1043"/>
      <c r="AI1093" s="1043"/>
    </row>
    <row r="1094" spans="30:35">
      <c r="AD1094" s="1043"/>
      <c r="AE1094" s="1043"/>
      <c r="AF1094" s="1043"/>
      <c r="AG1094" s="1043"/>
      <c r="AH1094" s="1043"/>
      <c r="AI1094" s="1043"/>
    </row>
    <row r="1095" spans="30:35">
      <c r="AD1095" s="1043"/>
      <c r="AE1095" s="1043"/>
      <c r="AF1095" s="1043"/>
      <c r="AG1095" s="1043"/>
      <c r="AH1095" s="1043"/>
      <c r="AI1095" s="1043"/>
    </row>
    <row r="1096" spans="30:35">
      <c r="AD1096" s="1043"/>
      <c r="AE1096" s="1043"/>
      <c r="AF1096" s="1043"/>
      <c r="AG1096" s="1043"/>
      <c r="AH1096" s="1043"/>
      <c r="AI1096" s="1043"/>
    </row>
    <row r="1097" spans="30:35">
      <c r="AD1097" s="1043"/>
      <c r="AE1097" s="1043"/>
      <c r="AF1097" s="1043"/>
      <c r="AG1097" s="1043"/>
      <c r="AH1097" s="1043"/>
      <c r="AI1097" s="1043"/>
    </row>
    <row r="1098" spans="30:35">
      <c r="AD1098" s="1043"/>
      <c r="AE1098" s="1043"/>
      <c r="AF1098" s="1043"/>
      <c r="AG1098" s="1043"/>
      <c r="AH1098" s="1043"/>
      <c r="AI1098" s="1043"/>
    </row>
    <row r="1099" spans="30:35">
      <c r="AD1099" s="1043"/>
      <c r="AE1099" s="1043"/>
      <c r="AF1099" s="1043"/>
      <c r="AG1099" s="1043"/>
      <c r="AH1099" s="1043"/>
      <c r="AI1099" s="1043"/>
    </row>
    <row r="1100" spans="30:35">
      <c r="AD1100" s="1043"/>
      <c r="AE1100" s="1043"/>
      <c r="AF1100" s="1043"/>
      <c r="AG1100" s="1043"/>
      <c r="AH1100" s="1043"/>
      <c r="AI1100" s="1043"/>
    </row>
    <row r="1101" spans="30:35">
      <c r="AD1101" s="1043"/>
      <c r="AE1101" s="1043"/>
      <c r="AF1101" s="1043"/>
      <c r="AG1101" s="1043"/>
      <c r="AH1101" s="1043"/>
      <c r="AI1101" s="1043"/>
    </row>
    <row r="1102" spans="30:35">
      <c r="AD1102" s="1043"/>
      <c r="AE1102" s="1043"/>
      <c r="AF1102" s="1043"/>
      <c r="AG1102" s="1043"/>
      <c r="AH1102" s="1043"/>
      <c r="AI1102" s="1043"/>
    </row>
    <row r="1103" spans="30:35">
      <c r="AD1103" s="1043"/>
      <c r="AE1103" s="1043"/>
      <c r="AF1103" s="1043"/>
      <c r="AG1103" s="1043"/>
      <c r="AH1103" s="1043"/>
      <c r="AI1103" s="1043"/>
    </row>
    <row r="1104" spans="30:35">
      <c r="AD1104" s="1043"/>
      <c r="AE1104" s="1043"/>
      <c r="AF1104" s="1043"/>
      <c r="AG1104" s="1043"/>
      <c r="AH1104" s="1043"/>
      <c r="AI1104" s="1043"/>
    </row>
    <row r="1105" spans="30:35">
      <c r="AD1105" s="1043"/>
      <c r="AE1105" s="1043"/>
      <c r="AF1105" s="1043"/>
      <c r="AG1105" s="1043"/>
      <c r="AH1105" s="1043"/>
      <c r="AI1105" s="1043"/>
    </row>
    <row r="1106" spans="30:35">
      <c r="AD1106" s="1043"/>
      <c r="AE1106" s="1043"/>
      <c r="AF1106" s="1043"/>
      <c r="AG1106" s="1043"/>
      <c r="AH1106" s="1043"/>
      <c r="AI1106" s="1043"/>
    </row>
    <row r="1107" spans="30:35">
      <c r="AD1107" s="1043"/>
      <c r="AE1107" s="1043"/>
      <c r="AF1107" s="1043"/>
      <c r="AG1107" s="1043"/>
      <c r="AH1107" s="1043"/>
      <c r="AI1107" s="1043"/>
    </row>
    <row r="1108" spans="30:35">
      <c r="AD1108" s="1043"/>
      <c r="AE1108" s="1043"/>
      <c r="AF1108" s="1043"/>
      <c r="AG1108" s="1043"/>
      <c r="AH1108" s="1043"/>
      <c r="AI1108" s="1043"/>
    </row>
    <row r="1109" spans="30:35">
      <c r="AD1109" s="1043"/>
      <c r="AE1109" s="1043"/>
      <c r="AF1109" s="1043"/>
      <c r="AG1109" s="1043"/>
      <c r="AH1109" s="1043"/>
      <c r="AI1109" s="1043"/>
    </row>
    <row r="1110" spans="30:35">
      <c r="AD1110" s="1043"/>
      <c r="AE1110" s="1043"/>
      <c r="AF1110" s="1043"/>
      <c r="AG1110" s="1043"/>
      <c r="AH1110" s="1043"/>
      <c r="AI1110" s="1043"/>
    </row>
    <row r="1111" spans="30:35">
      <c r="AD1111" s="1043"/>
      <c r="AE1111" s="1043"/>
      <c r="AF1111" s="1043"/>
      <c r="AG1111" s="1043"/>
      <c r="AH1111" s="1043"/>
      <c r="AI1111" s="1043"/>
    </row>
    <row r="1112" spans="30:35">
      <c r="AD1112" s="1043"/>
      <c r="AE1112" s="1043"/>
      <c r="AF1112" s="1043"/>
      <c r="AG1112" s="1043"/>
      <c r="AH1112" s="1043"/>
      <c r="AI1112" s="1043"/>
    </row>
    <row r="1113" spans="30:35">
      <c r="AD1113" s="1043"/>
      <c r="AE1113" s="1043"/>
      <c r="AF1113" s="1043"/>
      <c r="AG1113" s="1043"/>
      <c r="AH1113" s="1043"/>
      <c r="AI1113" s="1043"/>
    </row>
    <row r="1114" spans="30:35">
      <c r="AD1114" s="1043"/>
      <c r="AE1114" s="1043"/>
      <c r="AF1114" s="1043"/>
      <c r="AG1114" s="1043"/>
      <c r="AH1114" s="1043"/>
      <c r="AI1114" s="1043"/>
    </row>
    <row r="1115" spans="30:35">
      <c r="AD1115" s="1043"/>
      <c r="AE1115" s="1043"/>
      <c r="AF1115" s="1043"/>
      <c r="AG1115" s="1043"/>
      <c r="AH1115" s="1043"/>
      <c r="AI1115" s="1043"/>
    </row>
    <row r="1116" spans="30:35">
      <c r="AD1116" s="1043"/>
      <c r="AE1116" s="1043"/>
      <c r="AF1116" s="1043"/>
      <c r="AG1116" s="1043"/>
      <c r="AH1116" s="1043"/>
      <c r="AI1116" s="1043"/>
    </row>
    <row r="1117" spans="30:35">
      <c r="AD1117" s="1043"/>
      <c r="AE1117" s="1043"/>
      <c r="AF1117" s="1043"/>
      <c r="AG1117" s="1043"/>
      <c r="AH1117" s="1043"/>
      <c r="AI1117" s="1043"/>
    </row>
    <row r="1118" spans="30:35">
      <c r="AD1118" s="1043"/>
      <c r="AE1118" s="1043"/>
      <c r="AF1118" s="1043"/>
      <c r="AG1118" s="1043"/>
      <c r="AH1118" s="1043"/>
      <c r="AI1118" s="1043"/>
    </row>
    <row r="1119" spans="30:35">
      <c r="AD1119" s="1043"/>
      <c r="AE1119" s="1043"/>
      <c r="AF1119" s="1043"/>
      <c r="AG1119" s="1043"/>
      <c r="AH1119" s="1043"/>
      <c r="AI1119" s="1043"/>
    </row>
    <row r="1120" spans="30:35">
      <c r="AD1120" s="1043"/>
      <c r="AE1120" s="1043"/>
      <c r="AF1120" s="1043"/>
      <c r="AG1120" s="1043"/>
      <c r="AH1120" s="1043"/>
      <c r="AI1120" s="1043"/>
    </row>
    <row r="1121" spans="30:35">
      <c r="AD1121" s="1043"/>
      <c r="AE1121" s="1043"/>
      <c r="AF1121" s="1043"/>
      <c r="AG1121" s="1043"/>
      <c r="AH1121" s="1043"/>
      <c r="AI1121" s="1043"/>
    </row>
    <row r="1122" spans="30:35">
      <c r="AD1122" s="1043"/>
      <c r="AE1122" s="1043"/>
      <c r="AF1122" s="1043"/>
      <c r="AG1122" s="1043"/>
      <c r="AH1122" s="1043"/>
      <c r="AI1122" s="1043"/>
    </row>
    <row r="1123" spans="30:35">
      <c r="AD1123" s="1043"/>
      <c r="AE1123" s="1043"/>
      <c r="AF1123" s="1043"/>
      <c r="AG1123" s="1043"/>
      <c r="AH1123" s="1043"/>
      <c r="AI1123" s="1043"/>
    </row>
    <row r="1124" spans="30:35">
      <c r="AD1124" s="1043"/>
      <c r="AE1124" s="1043"/>
      <c r="AF1124" s="1043"/>
      <c r="AG1124" s="1043"/>
      <c r="AH1124" s="1043"/>
      <c r="AI1124" s="1043"/>
    </row>
    <row r="1125" spans="30:35">
      <c r="AD1125" s="1043"/>
      <c r="AE1125" s="1043"/>
      <c r="AF1125" s="1043"/>
      <c r="AG1125" s="1043"/>
      <c r="AH1125" s="1043"/>
      <c r="AI1125" s="1043"/>
    </row>
    <row r="1126" spans="30:35">
      <c r="AD1126" s="1043"/>
      <c r="AE1126" s="1043"/>
      <c r="AF1126" s="1043"/>
      <c r="AG1126" s="1043"/>
      <c r="AH1126" s="1043"/>
      <c r="AI1126" s="1043"/>
    </row>
    <row r="1127" spans="30:35">
      <c r="AD1127" s="1043"/>
      <c r="AE1127" s="1043"/>
      <c r="AF1127" s="1043"/>
      <c r="AG1127" s="1043"/>
      <c r="AH1127" s="1043"/>
      <c r="AI1127" s="1043"/>
    </row>
    <row r="1128" spans="30:35">
      <c r="AD1128" s="1043"/>
      <c r="AE1128" s="1043"/>
      <c r="AF1128" s="1043"/>
      <c r="AG1128" s="1043"/>
      <c r="AH1128" s="1043"/>
      <c r="AI1128" s="1043"/>
    </row>
    <row r="1129" spans="30:35">
      <c r="AD1129" s="1043"/>
      <c r="AE1129" s="1043"/>
      <c r="AF1129" s="1043"/>
      <c r="AG1129" s="1043"/>
      <c r="AH1129" s="1043"/>
      <c r="AI1129" s="1043"/>
    </row>
    <row r="1130" spans="30:35">
      <c r="AD1130" s="1043"/>
      <c r="AE1130" s="1043"/>
      <c r="AF1130" s="1043"/>
      <c r="AG1130" s="1043"/>
      <c r="AH1130" s="1043"/>
      <c r="AI1130" s="1043"/>
    </row>
    <row r="1131" spans="30:35">
      <c r="AD1131" s="1043"/>
      <c r="AE1131" s="1043"/>
      <c r="AF1131" s="1043"/>
      <c r="AG1131" s="1043"/>
      <c r="AH1131" s="1043"/>
      <c r="AI1131" s="1043"/>
    </row>
    <row r="1132" spans="30:35">
      <c r="AD1132" s="1043"/>
      <c r="AE1132" s="1043"/>
      <c r="AF1132" s="1043"/>
      <c r="AG1132" s="1043"/>
      <c r="AH1132" s="1043"/>
      <c r="AI1132" s="1043"/>
    </row>
    <row r="1133" spans="30:35">
      <c r="AD1133" s="1043"/>
      <c r="AE1133" s="1043"/>
      <c r="AF1133" s="1043"/>
      <c r="AG1133" s="1043"/>
      <c r="AH1133" s="1043"/>
      <c r="AI1133" s="1043"/>
    </row>
    <row r="1134" spans="30:35">
      <c r="AD1134" s="1043"/>
      <c r="AE1134" s="1043"/>
      <c r="AF1134" s="1043"/>
      <c r="AG1134" s="1043"/>
      <c r="AH1134" s="1043"/>
      <c r="AI1134" s="1043"/>
    </row>
    <row r="1135" spans="30:35">
      <c r="AD1135" s="1043"/>
      <c r="AE1135" s="1043"/>
      <c r="AF1135" s="1043"/>
      <c r="AG1135" s="1043"/>
      <c r="AH1135" s="1043"/>
      <c r="AI1135" s="1043"/>
    </row>
    <row r="1136" spans="30:35">
      <c r="AD1136" s="1043"/>
      <c r="AE1136" s="1043"/>
      <c r="AF1136" s="1043"/>
      <c r="AG1136" s="1043"/>
      <c r="AH1136" s="1043"/>
      <c r="AI1136" s="1043"/>
    </row>
    <row r="1137" spans="30:35">
      <c r="AD1137" s="1043"/>
      <c r="AE1137" s="1043"/>
      <c r="AF1137" s="1043"/>
      <c r="AG1137" s="1043"/>
      <c r="AH1137" s="1043"/>
      <c r="AI1137" s="1043"/>
    </row>
    <row r="1138" spans="30:35">
      <c r="AD1138" s="1043"/>
      <c r="AE1138" s="1043"/>
      <c r="AF1138" s="1043"/>
      <c r="AG1138" s="1043"/>
      <c r="AH1138" s="1043"/>
      <c r="AI1138" s="1043"/>
    </row>
    <row r="1139" spans="30:35">
      <c r="AD1139" s="1043"/>
      <c r="AE1139" s="1043"/>
      <c r="AF1139" s="1043"/>
      <c r="AG1139" s="1043"/>
      <c r="AH1139" s="1043"/>
      <c r="AI1139" s="1043"/>
    </row>
    <row r="1140" spans="30:35">
      <c r="AD1140" s="1043"/>
      <c r="AE1140" s="1043"/>
      <c r="AF1140" s="1043"/>
      <c r="AG1140" s="1043"/>
      <c r="AH1140" s="1043"/>
      <c r="AI1140" s="1043"/>
    </row>
    <row r="1141" spans="30:35">
      <c r="AD1141" s="1043"/>
      <c r="AE1141" s="1043"/>
      <c r="AF1141" s="1043"/>
      <c r="AG1141" s="1043"/>
      <c r="AH1141" s="1043"/>
      <c r="AI1141" s="1043"/>
    </row>
    <row r="1142" spans="30:35">
      <c r="AD1142" s="1043"/>
      <c r="AE1142" s="1043"/>
      <c r="AF1142" s="1043"/>
      <c r="AG1142" s="1043"/>
      <c r="AH1142" s="1043"/>
      <c r="AI1142" s="1043"/>
    </row>
    <row r="1143" spans="30:35">
      <c r="AD1143" s="1043"/>
      <c r="AE1143" s="1043"/>
      <c r="AF1143" s="1043"/>
      <c r="AG1143" s="1043"/>
      <c r="AH1143" s="1043"/>
      <c r="AI1143" s="1043"/>
    </row>
    <row r="1144" spans="30:35">
      <c r="AD1144" s="1043"/>
      <c r="AE1144" s="1043"/>
      <c r="AF1144" s="1043"/>
      <c r="AG1144" s="1043"/>
      <c r="AH1144" s="1043"/>
      <c r="AI1144" s="1043"/>
    </row>
    <row r="1145" spans="30:35">
      <c r="AD1145" s="1043"/>
      <c r="AE1145" s="1043"/>
      <c r="AF1145" s="1043"/>
      <c r="AG1145" s="1043"/>
      <c r="AH1145" s="1043"/>
      <c r="AI1145" s="1043"/>
    </row>
    <row r="1146" spans="30:35">
      <c r="AD1146" s="1043"/>
      <c r="AE1146" s="1043"/>
      <c r="AF1146" s="1043"/>
      <c r="AG1146" s="1043"/>
      <c r="AH1146" s="1043"/>
      <c r="AI1146" s="1043"/>
    </row>
    <row r="1147" spans="30:35">
      <c r="AD1147" s="1043"/>
      <c r="AE1147" s="1043"/>
      <c r="AF1147" s="1043"/>
      <c r="AG1147" s="1043"/>
      <c r="AH1147" s="1043"/>
      <c r="AI1147" s="1043"/>
    </row>
    <row r="1148" spans="30:35">
      <c r="AD1148" s="1043"/>
      <c r="AE1148" s="1043"/>
      <c r="AF1148" s="1043"/>
      <c r="AG1148" s="1043"/>
      <c r="AH1148" s="1043"/>
      <c r="AI1148" s="1043"/>
    </row>
    <row r="1149" spans="30:35">
      <c r="AD1149" s="1043"/>
      <c r="AE1149" s="1043"/>
      <c r="AF1149" s="1043"/>
      <c r="AG1149" s="1043"/>
      <c r="AH1149" s="1043"/>
      <c r="AI1149" s="1043"/>
    </row>
    <row r="1150" spans="30:35">
      <c r="AD1150" s="1043"/>
      <c r="AE1150" s="1043"/>
      <c r="AF1150" s="1043"/>
      <c r="AG1150" s="1043"/>
      <c r="AH1150" s="1043"/>
      <c r="AI1150" s="1043"/>
    </row>
    <row r="1151" spans="30:35">
      <c r="AD1151" s="1043"/>
      <c r="AE1151" s="1043"/>
      <c r="AF1151" s="1043"/>
      <c r="AG1151" s="1043"/>
      <c r="AH1151" s="1043"/>
      <c r="AI1151" s="1043"/>
    </row>
    <row r="1152" spans="30:35">
      <c r="AD1152" s="1043"/>
      <c r="AE1152" s="1043"/>
      <c r="AF1152" s="1043"/>
      <c r="AG1152" s="1043"/>
      <c r="AH1152" s="1043"/>
      <c r="AI1152" s="1043"/>
    </row>
    <row r="1153" spans="30:35">
      <c r="AD1153" s="1043"/>
      <c r="AE1153" s="1043"/>
      <c r="AF1153" s="1043"/>
      <c r="AG1153" s="1043"/>
      <c r="AH1153" s="1043"/>
      <c r="AI1153" s="1043"/>
    </row>
    <row r="1154" spans="30:35">
      <c r="AD1154" s="1043"/>
      <c r="AE1154" s="1043"/>
      <c r="AF1154" s="1043"/>
      <c r="AG1154" s="1043"/>
      <c r="AH1154" s="1043"/>
      <c r="AI1154" s="1043"/>
    </row>
    <row r="1155" spans="30:35">
      <c r="AD1155" s="1043"/>
      <c r="AE1155" s="1043"/>
      <c r="AF1155" s="1043"/>
      <c r="AG1155" s="1043"/>
      <c r="AH1155" s="1043"/>
      <c r="AI1155" s="1043"/>
    </row>
    <row r="1156" spans="30:35">
      <c r="AD1156" s="1043"/>
      <c r="AE1156" s="1043"/>
      <c r="AF1156" s="1043"/>
      <c r="AG1156" s="1043"/>
      <c r="AH1156" s="1043"/>
      <c r="AI1156" s="1043"/>
    </row>
    <row r="1157" spans="30:35">
      <c r="AD1157" s="1043"/>
      <c r="AE1157" s="1043"/>
      <c r="AF1157" s="1043"/>
      <c r="AG1157" s="1043"/>
      <c r="AH1157" s="1043"/>
      <c r="AI1157" s="1043"/>
    </row>
    <row r="1158" spans="30:35">
      <c r="AD1158" s="1043"/>
      <c r="AE1158" s="1043"/>
      <c r="AF1158" s="1043"/>
      <c r="AG1158" s="1043"/>
      <c r="AH1158" s="1043"/>
      <c r="AI1158" s="1043"/>
    </row>
    <row r="1159" spans="30:35">
      <c r="AD1159" s="1043"/>
      <c r="AE1159" s="1043"/>
      <c r="AF1159" s="1043"/>
      <c r="AG1159" s="1043"/>
      <c r="AH1159" s="1043"/>
      <c r="AI1159" s="1043"/>
    </row>
    <row r="1160" spans="30:35">
      <c r="AD1160" s="1043"/>
      <c r="AE1160" s="1043"/>
      <c r="AF1160" s="1043"/>
      <c r="AG1160" s="1043"/>
      <c r="AH1160" s="1043"/>
      <c r="AI1160" s="1043"/>
    </row>
    <row r="1161" spans="30:35">
      <c r="AD1161" s="1043"/>
      <c r="AE1161" s="1043"/>
      <c r="AF1161" s="1043"/>
      <c r="AG1161" s="1043"/>
      <c r="AH1161" s="1043"/>
      <c r="AI1161" s="1043"/>
    </row>
    <row r="1162" spans="30:35">
      <c r="AD1162" s="1043"/>
      <c r="AE1162" s="1043"/>
      <c r="AF1162" s="1043"/>
      <c r="AG1162" s="1043"/>
      <c r="AH1162" s="1043"/>
      <c r="AI1162" s="1043"/>
    </row>
    <row r="1163" spans="30:35">
      <c r="AD1163" s="1043"/>
      <c r="AE1163" s="1043"/>
      <c r="AF1163" s="1043"/>
      <c r="AG1163" s="1043"/>
      <c r="AH1163" s="1043"/>
      <c r="AI1163" s="1043"/>
    </row>
    <row r="1164" spans="30:35">
      <c r="AD1164" s="1043"/>
      <c r="AE1164" s="1043"/>
      <c r="AF1164" s="1043"/>
      <c r="AG1164" s="1043"/>
      <c r="AH1164" s="1043"/>
      <c r="AI1164" s="1043"/>
    </row>
    <row r="1165" spans="30:35">
      <c r="AD1165" s="1043"/>
      <c r="AE1165" s="1043"/>
      <c r="AF1165" s="1043"/>
      <c r="AG1165" s="1043"/>
      <c r="AH1165" s="1043"/>
      <c r="AI1165" s="1043"/>
    </row>
    <row r="1166" spans="30:35">
      <c r="AD1166" s="1043"/>
      <c r="AE1166" s="1043"/>
      <c r="AF1166" s="1043"/>
      <c r="AG1166" s="1043"/>
      <c r="AH1166" s="1043"/>
      <c r="AI1166" s="1043"/>
    </row>
    <row r="1167" spans="30:35">
      <c r="AD1167" s="1043"/>
      <c r="AE1167" s="1043"/>
      <c r="AF1167" s="1043"/>
      <c r="AG1167" s="1043"/>
      <c r="AH1167" s="1043"/>
      <c r="AI1167" s="1043"/>
    </row>
    <row r="1168" spans="30:35">
      <c r="AD1168" s="1043"/>
      <c r="AE1168" s="1043"/>
      <c r="AF1168" s="1043"/>
      <c r="AG1168" s="1043"/>
      <c r="AH1168" s="1043"/>
      <c r="AI1168" s="1043"/>
    </row>
    <row r="1169" spans="30:35">
      <c r="AD1169" s="1043"/>
      <c r="AE1169" s="1043"/>
      <c r="AF1169" s="1043"/>
      <c r="AG1169" s="1043"/>
      <c r="AH1169" s="1043"/>
      <c r="AI1169" s="1043"/>
    </row>
    <row r="1170" spans="30:35">
      <c r="AD1170" s="1043"/>
      <c r="AE1170" s="1043"/>
      <c r="AF1170" s="1043"/>
      <c r="AG1170" s="1043"/>
      <c r="AH1170" s="1043"/>
      <c r="AI1170" s="1043"/>
    </row>
    <row r="1171" spans="30:35">
      <c r="AD1171" s="1043"/>
      <c r="AE1171" s="1043"/>
      <c r="AF1171" s="1043"/>
      <c r="AG1171" s="1043"/>
      <c r="AH1171" s="1043"/>
      <c r="AI1171" s="1043"/>
    </row>
    <row r="1172" spans="30:35">
      <c r="AD1172" s="1043"/>
      <c r="AE1172" s="1043"/>
      <c r="AF1172" s="1043"/>
      <c r="AG1172" s="1043"/>
      <c r="AH1172" s="1043"/>
      <c r="AI1172" s="1043"/>
    </row>
    <row r="1173" spans="30:35">
      <c r="AD1173" s="1043"/>
      <c r="AE1173" s="1043"/>
      <c r="AF1173" s="1043"/>
      <c r="AG1173" s="1043"/>
      <c r="AH1173" s="1043"/>
      <c r="AI1173" s="1043"/>
    </row>
    <row r="1174" spans="30:35">
      <c r="AD1174" s="1043"/>
      <c r="AE1174" s="1043"/>
      <c r="AF1174" s="1043"/>
      <c r="AG1174" s="1043"/>
      <c r="AH1174" s="1043"/>
      <c r="AI1174" s="1043"/>
    </row>
    <row r="1175" spans="30:35">
      <c r="AD1175" s="1043"/>
      <c r="AE1175" s="1043"/>
      <c r="AF1175" s="1043"/>
      <c r="AG1175" s="1043"/>
      <c r="AH1175" s="1043"/>
      <c r="AI1175" s="1043"/>
    </row>
    <row r="1176" spans="30:35">
      <c r="AD1176" s="1043"/>
      <c r="AE1176" s="1043"/>
      <c r="AF1176" s="1043"/>
      <c r="AG1176" s="1043"/>
      <c r="AH1176" s="1043"/>
      <c r="AI1176" s="1043"/>
    </row>
    <row r="1177" spans="30:35">
      <c r="AD1177" s="1043"/>
      <c r="AE1177" s="1043"/>
      <c r="AF1177" s="1043"/>
      <c r="AG1177" s="1043"/>
      <c r="AH1177" s="1043"/>
      <c r="AI1177" s="1043"/>
    </row>
    <row r="1178" spans="30:35">
      <c r="AD1178" s="1043"/>
      <c r="AE1178" s="1043"/>
      <c r="AF1178" s="1043"/>
      <c r="AG1178" s="1043"/>
      <c r="AH1178" s="1043"/>
      <c r="AI1178" s="1043"/>
    </row>
    <row r="1179" spans="30:35">
      <c r="AD1179" s="1043"/>
      <c r="AE1179" s="1043"/>
      <c r="AF1179" s="1043"/>
      <c r="AG1179" s="1043"/>
      <c r="AH1179" s="1043"/>
      <c r="AI1179" s="1043"/>
    </row>
    <row r="1180" spans="30:35">
      <c r="AD1180" s="1043"/>
      <c r="AE1180" s="1043"/>
      <c r="AF1180" s="1043"/>
      <c r="AG1180" s="1043"/>
      <c r="AH1180" s="1043"/>
      <c r="AI1180" s="1043"/>
    </row>
    <row r="1181" spans="30:35">
      <c r="AD1181" s="1043"/>
      <c r="AE1181" s="1043"/>
      <c r="AF1181" s="1043"/>
      <c r="AG1181" s="1043"/>
      <c r="AH1181" s="1043"/>
      <c r="AI1181" s="1043"/>
    </row>
    <row r="1182" spans="30:35">
      <c r="AD1182" s="1043"/>
      <c r="AE1182" s="1043"/>
      <c r="AF1182" s="1043"/>
      <c r="AG1182" s="1043"/>
      <c r="AH1182" s="1043"/>
      <c r="AI1182" s="1043"/>
    </row>
    <row r="1183" spans="30:35">
      <c r="AD1183" s="1043"/>
      <c r="AE1183" s="1043"/>
      <c r="AF1183" s="1043"/>
      <c r="AG1183" s="1043"/>
      <c r="AH1183" s="1043"/>
      <c r="AI1183" s="1043"/>
    </row>
    <row r="1184" spans="30:35">
      <c r="AD1184" s="1043"/>
      <c r="AE1184" s="1043"/>
      <c r="AF1184" s="1043"/>
      <c r="AG1184" s="1043"/>
      <c r="AH1184" s="1043"/>
      <c r="AI1184" s="1043"/>
    </row>
    <row r="1185" spans="30:35">
      <c r="AD1185" s="1043"/>
      <c r="AE1185" s="1043"/>
      <c r="AF1185" s="1043"/>
      <c r="AG1185" s="1043"/>
      <c r="AH1185" s="1043"/>
      <c r="AI1185" s="1043"/>
    </row>
    <row r="1186" spans="30:35">
      <c r="AD1186" s="1043"/>
      <c r="AE1186" s="1043"/>
      <c r="AF1186" s="1043"/>
      <c r="AG1186" s="1043"/>
      <c r="AH1186" s="1043"/>
      <c r="AI1186" s="1043"/>
    </row>
    <row r="1187" spans="30:35">
      <c r="AD1187" s="1043"/>
      <c r="AE1187" s="1043"/>
      <c r="AF1187" s="1043"/>
      <c r="AG1187" s="1043"/>
      <c r="AH1187" s="1043"/>
      <c r="AI1187" s="1043"/>
    </row>
    <row r="1188" spans="30:35">
      <c r="AD1188" s="1043"/>
      <c r="AE1188" s="1043"/>
      <c r="AF1188" s="1043"/>
      <c r="AG1188" s="1043"/>
      <c r="AH1188" s="1043"/>
      <c r="AI1188" s="1043"/>
    </row>
    <row r="1189" spans="30:35">
      <c r="AD1189" s="1043"/>
      <c r="AE1189" s="1043"/>
      <c r="AF1189" s="1043"/>
      <c r="AG1189" s="1043"/>
      <c r="AH1189" s="1043"/>
      <c r="AI1189" s="1043"/>
    </row>
    <row r="1190" spans="30:35">
      <c r="AD1190" s="1043"/>
      <c r="AE1190" s="1043"/>
      <c r="AF1190" s="1043"/>
      <c r="AG1190" s="1043"/>
      <c r="AH1190" s="1043"/>
      <c r="AI1190" s="1043"/>
    </row>
    <row r="1191" spans="30:35">
      <c r="AD1191" s="1043"/>
      <c r="AE1191" s="1043"/>
      <c r="AF1191" s="1043"/>
      <c r="AG1191" s="1043"/>
      <c r="AH1191" s="1043"/>
      <c r="AI1191" s="1043"/>
    </row>
    <row r="1192" spans="30:35">
      <c r="AD1192" s="1043"/>
      <c r="AE1192" s="1043"/>
      <c r="AF1192" s="1043"/>
      <c r="AG1192" s="1043"/>
      <c r="AH1192" s="1043"/>
      <c r="AI1192" s="1043"/>
    </row>
    <row r="1193" spans="30:35">
      <c r="AD1193" s="1043"/>
      <c r="AE1193" s="1043"/>
      <c r="AF1193" s="1043"/>
      <c r="AG1193" s="1043"/>
      <c r="AH1193" s="1043"/>
      <c r="AI1193" s="1043"/>
    </row>
    <row r="1194" spans="30:35">
      <c r="AD1194" s="1043"/>
      <c r="AE1194" s="1043"/>
      <c r="AF1194" s="1043"/>
      <c r="AG1194" s="1043"/>
      <c r="AH1194" s="1043"/>
      <c r="AI1194" s="1043"/>
    </row>
    <row r="1195" spans="30:35">
      <c r="AD1195" s="1043"/>
      <c r="AE1195" s="1043"/>
      <c r="AF1195" s="1043"/>
      <c r="AG1195" s="1043"/>
      <c r="AH1195" s="1043"/>
      <c r="AI1195" s="1043"/>
    </row>
    <row r="1196" spans="30:35">
      <c r="AD1196" s="1043"/>
      <c r="AE1196" s="1043"/>
      <c r="AF1196" s="1043"/>
      <c r="AG1196" s="1043"/>
      <c r="AH1196" s="1043"/>
      <c r="AI1196" s="1043"/>
    </row>
    <row r="1197" spans="30:35">
      <c r="AD1197" s="1043"/>
      <c r="AE1197" s="1043"/>
      <c r="AF1197" s="1043"/>
      <c r="AG1197" s="1043"/>
      <c r="AH1197" s="1043"/>
      <c r="AI1197" s="1043"/>
    </row>
    <row r="1198" spans="30:35">
      <c r="AD1198" s="1043"/>
      <c r="AE1198" s="1043"/>
      <c r="AF1198" s="1043"/>
      <c r="AG1198" s="1043"/>
      <c r="AH1198" s="1043"/>
      <c r="AI1198" s="1043"/>
    </row>
    <row r="1199" spans="30:35">
      <c r="AD1199" s="1043"/>
      <c r="AE1199" s="1043"/>
      <c r="AF1199" s="1043"/>
      <c r="AG1199" s="1043"/>
      <c r="AH1199" s="1043"/>
      <c r="AI1199" s="1043"/>
    </row>
    <row r="1200" spans="30:35">
      <c r="AD1200" s="1043"/>
      <c r="AE1200" s="1043"/>
      <c r="AF1200" s="1043"/>
      <c r="AG1200" s="1043"/>
      <c r="AH1200" s="1043"/>
      <c r="AI1200" s="1043"/>
    </row>
    <row r="1201" spans="30:35">
      <c r="AD1201" s="1043"/>
      <c r="AE1201" s="1043"/>
      <c r="AF1201" s="1043"/>
      <c r="AG1201" s="1043"/>
      <c r="AH1201" s="1043"/>
      <c r="AI1201" s="1043"/>
    </row>
    <row r="1202" spans="30:35">
      <c r="AD1202" s="1043"/>
      <c r="AE1202" s="1043"/>
      <c r="AF1202" s="1043"/>
      <c r="AG1202" s="1043"/>
      <c r="AH1202" s="1043"/>
      <c r="AI1202" s="1043"/>
    </row>
    <row r="1203" spans="30:35">
      <c r="AD1203" s="1043"/>
      <c r="AE1203" s="1043"/>
      <c r="AF1203" s="1043"/>
      <c r="AG1203" s="1043"/>
      <c r="AH1203" s="1043"/>
      <c r="AI1203" s="1043"/>
    </row>
    <row r="1204" spans="30:35">
      <c r="AD1204" s="1043"/>
      <c r="AE1204" s="1043"/>
      <c r="AF1204" s="1043"/>
      <c r="AG1204" s="1043"/>
      <c r="AH1204" s="1043"/>
      <c r="AI1204" s="1043"/>
    </row>
    <row r="1205" spans="30:35">
      <c r="AD1205" s="1043"/>
      <c r="AE1205" s="1043"/>
      <c r="AF1205" s="1043"/>
      <c r="AG1205" s="1043"/>
      <c r="AH1205" s="1043"/>
      <c r="AI1205" s="1043"/>
    </row>
    <row r="1206" spans="30:35">
      <c r="AD1206" s="1043"/>
      <c r="AE1206" s="1043"/>
      <c r="AF1206" s="1043"/>
      <c r="AG1206" s="1043"/>
      <c r="AH1206" s="1043"/>
      <c r="AI1206" s="1043"/>
    </row>
    <row r="1207" spans="30:35">
      <c r="AD1207" s="1043"/>
      <c r="AE1207" s="1043"/>
      <c r="AF1207" s="1043"/>
      <c r="AG1207" s="1043"/>
      <c r="AH1207" s="1043"/>
      <c r="AI1207" s="1043"/>
    </row>
    <row r="1208" spans="30:35">
      <c r="AD1208" s="1043"/>
      <c r="AE1208" s="1043"/>
      <c r="AF1208" s="1043"/>
      <c r="AG1208" s="1043"/>
      <c r="AH1208" s="1043"/>
      <c r="AI1208" s="1043"/>
    </row>
    <row r="1209" spans="30:35">
      <c r="AD1209" s="1043"/>
      <c r="AE1209" s="1043"/>
      <c r="AF1209" s="1043"/>
      <c r="AG1209" s="1043"/>
      <c r="AH1209" s="1043"/>
      <c r="AI1209" s="1043"/>
    </row>
    <row r="1210" spans="30:35">
      <c r="AD1210" s="1043"/>
      <c r="AE1210" s="1043"/>
      <c r="AF1210" s="1043"/>
      <c r="AG1210" s="1043"/>
      <c r="AH1210" s="1043"/>
      <c r="AI1210" s="1043"/>
    </row>
    <row r="1211" spans="30:35">
      <c r="AD1211" s="1043"/>
      <c r="AE1211" s="1043"/>
      <c r="AF1211" s="1043"/>
      <c r="AG1211" s="1043"/>
      <c r="AH1211" s="1043"/>
      <c r="AI1211" s="1043"/>
    </row>
    <row r="1212" spans="30:35">
      <c r="AD1212" s="1043"/>
      <c r="AE1212" s="1043"/>
      <c r="AF1212" s="1043"/>
      <c r="AG1212" s="1043"/>
      <c r="AH1212" s="1043"/>
      <c r="AI1212" s="1043"/>
    </row>
    <row r="1213" spans="30:35">
      <c r="AD1213" s="1043"/>
      <c r="AE1213" s="1043"/>
      <c r="AF1213" s="1043"/>
      <c r="AG1213" s="1043"/>
      <c r="AH1213" s="1043"/>
      <c r="AI1213" s="1043"/>
    </row>
    <row r="1214" spans="30:35">
      <c r="AD1214" s="1043"/>
      <c r="AE1214" s="1043"/>
      <c r="AF1214" s="1043"/>
      <c r="AG1214" s="1043"/>
      <c r="AH1214" s="1043"/>
      <c r="AI1214" s="1043"/>
    </row>
    <row r="1215" spans="30:35">
      <c r="AD1215" s="1043"/>
      <c r="AE1215" s="1043"/>
      <c r="AF1215" s="1043"/>
      <c r="AG1215" s="1043"/>
      <c r="AH1215" s="1043"/>
      <c r="AI1215" s="1043"/>
    </row>
    <row r="1216" spans="30:35">
      <c r="AD1216" s="1043"/>
      <c r="AE1216" s="1043"/>
      <c r="AF1216" s="1043"/>
      <c r="AG1216" s="1043"/>
      <c r="AH1216" s="1043"/>
      <c r="AI1216" s="1043"/>
    </row>
    <row r="1217" spans="30:35">
      <c r="AD1217" s="1043"/>
      <c r="AE1217" s="1043"/>
      <c r="AF1217" s="1043"/>
      <c r="AG1217" s="1043"/>
      <c r="AH1217" s="1043"/>
      <c r="AI1217" s="1043"/>
    </row>
    <row r="1218" spans="30:35">
      <c r="AD1218" s="1043"/>
      <c r="AE1218" s="1043"/>
      <c r="AF1218" s="1043"/>
      <c r="AG1218" s="1043"/>
      <c r="AH1218" s="1043"/>
      <c r="AI1218" s="1043"/>
    </row>
    <row r="1219" spans="30:35">
      <c r="AD1219" s="1043"/>
      <c r="AE1219" s="1043"/>
      <c r="AF1219" s="1043"/>
      <c r="AG1219" s="1043"/>
      <c r="AH1219" s="1043"/>
      <c r="AI1219" s="1043"/>
    </row>
    <row r="1220" spans="30:35">
      <c r="AD1220" s="1043"/>
      <c r="AE1220" s="1043"/>
      <c r="AF1220" s="1043"/>
      <c r="AG1220" s="1043"/>
      <c r="AH1220" s="1043"/>
      <c r="AI1220" s="1043"/>
    </row>
    <row r="1221" spans="30:35">
      <c r="AD1221" s="1043"/>
      <c r="AE1221" s="1043"/>
      <c r="AF1221" s="1043"/>
      <c r="AG1221" s="1043"/>
      <c r="AH1221" s="1043"/>
      <c r="AI1221" s="1043"/>
    </row>
    <row r="1222" spans="30:35">
      <c r="AD1222" s="1043"/>
      <c r="AE1222" s="1043"/>
      <c r="AF1222" s="1043"/>
      <c r="AG1222" s="1043"/>
      <c r="AH1222" s="1043"/>
      <c r="AI1222" s="1043"/>
    </row>
    <row r="1223" spans="30:35">
      <c r="AD1223" s="1043"/>
      <c r="AE1223" s="1043"/>
      <c r="AF1223" s="1043"/>
      <c r="AG1223" s="1043"/>
      <c r="AH1223" s="1043"/>
      <c r="AI1223" s="1043"/>
    </row>
    <row r="1224" spans="30:35">
      <c r="AD1224" s="1043"/>
      <c r="AE1224" s="1043"/>
      <c r="AF1224" s="1043"/>
      <c r="AG1224" s="1043"/>
      <c r="AH1224" s="1043"/>
      <c r="AI1224" s="1043"/>
    </row>
    <row r="1225" spans="30:35">
      <c r="AD1225" s="1043"/>
      <c r="AE1225" s="1043"/>
      <c r="AF1225" s="1043"/>
      <c r="AG1225" s="1043"/>
      <c r="AH1225" s="1043"/>
      <c r="AI1225" s="1043"/>
    </row>
    <row r="1226" spans="30:35">
      <c r="AD1226" s="1043"/>
      <c r="AE1226" s="1043"/>
      <c r="AF1226" s="1043"/>
      <c r="AG1226" s="1043"/>
      <c r="AH1226" s="1043"/>
      <c r="AI1226" s="1043"/>
    </row>
    <row r="1227" spans="30:35">
      <c r="AD1227" s="1043"/>
      <c r="AE1227" s="1043"/>
      <c r="AF1227" s="1043"/>
      <c r="AG1227" s="1043"/>
      <c r="AH1227" s="1043"/>
      <c r="AI1227" s="1043"/>
    </row>
    <row r="1228" spans="30:35">
      <c r="AD1228" s="1043"/>
      <c r="AE1228" s="1043"/>
      <c r="AF1228" s="1043"/>
      <c r="AG1228" s="1043"/>
      <c r="AH1228" s="1043"/>
      <c r="AI1228" s="1043"/>
    </row>
    <row r="1229" spans="30:35">
      <c r="AD1229" s="1043"/>
      <c r="AE1229" s="1043"/>
      <c r="AF1229" s="1043"/>
      <c r="AG1229" s="1043"/>
      <c r="AH1229" s="1043"/>
      <c r="AI1229" s="1043"/>
    </row>
    <row r="1230" spans="30:35">
      <c r="AD1230" s="1043"/>
      <c r="AE1230" s="1043"/>
      <c r="AF1230" s="1043"/>
      <c r="AG1230" s="1043"/>
      <c r="AH1230" s="1043"/>
      <c r="AI1230" s="1043"/>
    </row>
    <row r="1231" spans="30:35">
      <c r="AD1231" s="1043"/>
      <c r="AE1231" s="1043"/>
      <c r="AF1231" s="1043"/>
      <c r="AG1231" s="1043"/>
      <c r="AH1231" s="1043"/>
      <c r="AI1231" s="1043"/>
    </row>
    <row r="1232" spans="30:35">
      <c r="AD1232" s="1043"/>
      <c r="AE1232" s="1043"/>
      <c r="AF1232" s="1043"/>
      <c r="AG1232" s="1043"/>
      <c r="AH1232" s="1043"/>
      <c r="AI1232" s="1043"/>
    </row>
    <row r="1233" spans="30:35">
      <c r="AD1233" s="1043"/>
      <c r="AE1233" s="1043"/>
      <c r="AF1233" s="1043"/>
      <c r="AG1233" s="1043"/>
      <c r="AH1233" s="1043"/>
      <c r="AI1233" s="1043"/>
    </row>
    <row r="1234" spans="30:35">
      <c r="AD1234" s="1043"/>
      <c r="AE1234" s="1043"/>
      <c r="AF1234" s="1043"/>
      <c r="AG1234" s="1043"/>
      <c r="AH1234" s="1043"/>
      <c r="AI1234" s="1043"/>
    </row>
    <row r="1235" spans="30:35">
      <c r="AD1235" s="1043"/>
      <c r="AE1235" s="1043"/>
      <c r="AF1235" s="1043"/>
      <c r="AG1235" s="1043"/>
      <c r="AH1235" s="1043"/>
      <c r="AI1235" s="1043"/>
    </row>
    <row r="1236" spans="30:35">
      <c r="AD1236" s="1043"/>
      <c r="AE1236" s="1043"/>
      <c r="AF1236" s="1043"/>
      <c r="AG1236" s="1043"/>
      <c r="AH1236" s="1043"/>
      <c r="AI1236" s="1043"/>
    </row>
    <row r="1237" spans="30:35">
      <c r="AD1237" s="1043"/>
      <c r="AE1237" s="1043"/>
      <c r="AF1237" s="1043"/>
      <c r="AG1237" s="1043"/>
      <c r="AH1237" s="1043"/>
      <c r="AI1237" s="1043"/>
    </row>
    <row r="1238" spans="30:35">
      <c r="AD1238" s="1043"/>
      <c r="AE1238" s="1043"/>
      <c r="AF1238" s="1043"/>
      <c r="AG1238" s="1043"/>
      <c r="AH1238" s="1043"/>
      <c r="AI1238" s="1043"/>
    </row>
    <row r="1239" spans="30:35">
      <c r="AD1239" s="1043"/>
      <c r="AE1239" s="1043"/>
      <c r="AF1239" s="1043"/>
      <c r="AG1239" s="1043"/>
      <c r="AH1239" s="1043"/>
      <c r="AI1239" s="1043"/>
    </row>
    <row r="1240" spans="30:35">
      <c r="AD1240" s="1043"/>
      <c r="AE1240" s="1043"/>
      <c r="AF1240" s="1043"/>
      <c r="AG1240" s="1043"/>
      <c r="AH1240" s="1043"/>
      <c r="AI1240" s="1043"/>
    </row>
    <row r="1241" spans="30:35">
      <c r="AD1241" s="1043"/>
      <c r="AE1241" s="1043"/>
      <c r="AF1241" s="1043"/>
      <c r="AG1241" s="1043"/>
      <c r="AH1241" s="1043"/>
      <c r="AI1241" s="1043"/>
    </row>
    <row r="1242" spans="30:35">
      <c r="AD1242" s="1043"/>
      <c r="AE1242" s="1043"/>
      <c r="AF1242" s="1043"/>
      <c r="AG1242" s="1043"/>
      <c r="AH1242" s="1043"/>
      <c r="AI1242" s="1043"/>
    </row>
    <row r="1243" spans="30:35">
      <c r="AD1243" s="1043"/>
      <c r="AE1243" s="1043"/>
      <c r="AF1243" s="1043"/>
      <c r="AG1243" s="1043"/>
      <c r="AH1243" s="1043"/>
      <c r="AI1243" s="1043"/>
    </row>
    <row r="1244" spans="30:35">
      <c r="AD1244" s="1043"/>
      <c r="AE1244" s="1043"/>
      <c r="AF1244" s="1043"/>
      <c r="AG1244" s="1043"/>
      <c r="AH1244" s="1043"/>
      <c r="AI1244" s="1043"/>
    </row>
    <row r="1245" spans="30:35">
      <c r="AD1245" s="1043"/>
      <c r="AE1245" s="1043"/>
      <c r="AF1245" s="1043"/>
      <c r="AG1245" s="1043"/>
      <c r="AH1245" s="1043"/>
      <c r="AI1245" s="1043"/>
    </row>
    <row r="1246" spans="30:35">
      <c r="AD1246" s="1043"/>
      <c r="AE1246" s="1043"/>
      <c r="AF1246" s="1043"/>
      <c r="AG1246" s="1043"/>
      <c r="AH1246" s="1043"/>
      <c r="AI1246" s="1043"/>
    </row>
    <row r="1247" spans="30:35">
      <c r="AD1247" s="1043"/>
      <c r="AE1247" s="1043"/>
      <c r="AF1247" s="1043"/>
      <c r="AG1247" s="1043"/>
      <c r="AH1247" s="1043"/>
      <c r="AI1247" s="1043"/>
    </row>
    <row r="1248" spans="30:35">
      <c r="AD1248" s="1043"/>
      <c r="AE1248" s="1043"/>
      <c r="AF1248" s="1043"/>
      <c r="AG1248" s="1043"/>
      <c r="AH1248" s="1043"/>
      <c r="AI1248" s="1043"/>
    </row>
    <row r="1249" spans="30:35">
      <c r="AD1249" s="1043"/>
      <c r="AE1249" s="1043"/>
      <c r="AF1249" s="1043"/>
      <c r="AG1249" s="1043"/>
      <c r="AH1249" s="1043"/>
      <c r="AI1249" s="1043"/>
    </row>
    <row r="1250" spans="30:35">
      <c r="AD1250" s="1043"/>
      <c r="AE1250" s="1043"/>
      <c r="AF1250" s="1043"/>
      <c r="AG1250" s="1043"/>
      <c r="AH1250" s="1043"/>
      <c r="AI1250" s="1043"/>
    </row>
    <row r="1251" spans="30:35">
      <c r="AD1251" s="1043"/>
      <c r="AE1251" s="1043"/>
      <c r="AF1251" s="1043"/>
      <c r="AG1251" s="1043"/>
      <c r="AH1251" s="1043"/>
      <c r="AI1251" s="1043"/>
    </row>
    <row r="1252" spans="30:35">
      <c r="AD1252" s="1043"/>
      <c r="AE1252" s="1043"/>
      <c r="AF1252" s="1043"/>
      <c r="AG1252" s="1043"/>
      <c r="AH1252" s="1043"/>
      <c r="AI1252" s="1043"/>
    </row>
    <row r="1253" spans="30:35">
      <c r="AD1253" s="1043"/>
      <c r="AE1253" s="1043"/>
      <c r="AF1253" s="1043"/>
      <c r="AG1253" s="1043"/>
      <c r="AH1253" s="1043"/>
      <c r="AI1253" s="1043"/>
    </row>
    <row r="1254" spans="30:35">
      <c r="AD1254" s="1043"/>
      <c r="AE1254" s="1043"/>
      <c r="AF1254" s="1043"/>
      <c r="AG1254" s="1043"/>
      <c r="AH1254" s="1043"/>
      <c r="AI1254" s="1043"/>
    </row>
    <row r="1255" spans="30:35">
      <c r="AD1255" s="1043"/>
      <c r="AE1255" s="1043"/>
      <c r="AF1255" s="1043"/>
      <c r="AG1255" s="1043"/>
      <c r="AH1255" s="1043"/>
      <c r="AI1255" s="1043"/>
    </row>
    <row r="1256" spans="30:35">
      <c r="AD1256" s="1043"/>
      <c r="AE1256" s="1043"/>
      <c r="AF1256" s="1043"/>
      <c r="AG1256" s="1043"/>
      <c r="AH1256" s="1043"/>
      <c r="AI1256" s="1043"/>
    </row>
    <row r="1257" spans="30:35">
      <c r="AD1257" s="1043"/>
      <c r="AE1257" s="1043"/>
      <c r="AF1257" s="1043"/>
      <c r="AG1257" s="1043"/>
      <c r="AH1257" s="1043"/>
      <c r="AI1257" s="1043"/>
    </row>
    <row r="1258" spans="30:35">
      <c r="AD1258" s="1043"/>
      <c r="AE1258" s="1043"/>
      <c r="AF1258" s="1043"/>
      <c r="AG1258" s="1043"/>
      <c r="AH1258" s="1043"/>
      <c r="AI1258" s="1043"/>
    </row>
    <row r="1259" spans="30:35">
      <c r="AD1259" s="1043"/>
      <c r="AE1259" s="1043"/>
      <c r="AF1259" s="1043"/>
      <c r="AG1259" s="1043"/>
      <c r="AH1259" s="1043"/>
      <c r="AI1259" s="1043"/>
    </row>
    <row r="1260" spans="30:35">
      <c r="AD1260" s="1043"/>
      <c r="AE1260" s="1043"/>
      <c r="AF1260" s="1043"/>
      <c r="AG1260" s="1043"/>
      <c r="AH1260" s="1043"/>
      <c r="AI1260" s="1043"/>
    </row>
    <row r="1261" spans="30:35">
      <c r="AD1261" s="1043"/>
      <c r="AE1261" s="1043"/>
      <c r="AF1261" s="1043"/>
      <c r="AG1261" s="1043"/>
      <c r="AH1261" s="1043"/>
      <c r="AI1261" s="1043"/>
    </row>
    <row r="1262" spans="30:35">
      <c r="AD1262" s="1043"/>
      <c r="AE1262" s="1043"/>
      <c r="AF1262" s="1043"/>
      <c r="AG1262" s="1043"/>
      <c r="AH1262" s="1043"/>
      <c r="AI1262" s="1043"/>
    </row>
    <row r="1263" spans="30:35">
      <c r="AD1263" s="1043"/>
      <c r="AE1263" s="1043"/>
      <c r="AF1263" s="1043"/>
      <c r="AG1263" s="1043"/>
      <c r="AH1263" s="1043"/>
      <c r="AI1263" s="1043"/>
    </row>
    <row r="1264" spans="30:35">
      <c r="AD1264" s="1043"/>
      <c r="AE1264" s="1043"/>
      <c r="AF1264" s="1043"/>
      <c r="AG1264" s="1043"/>
      <c r="AH1264" s="1043"/>
      <c r="AI1264" s="1043"/>
    </row>
    <row r="1265" spans="30:35">
      <c r="AD1265" s="1043"/>
      <c r="AE1265" s="1043"/>
      <c r="AF1265" s="1043"/>
      <c r="AG1265" s="1043"/>
      <c r="AH1265" s="1043"/>
      <c r="AI1265" s="1043"/>
    </row>
    <row r="1266" spans="30:35">
      <c r="AD1266" s="1043"/>
      <c r="AE1266" s="1043"/>
      <c r="AF1266" s="1043"/>
      <c r="AG1266" s="1043"/>
      <c r="AH1266" s="1043"/>
      <c r="AI1266" s="1043"/>
    </row>
    <row r="1267" spans="30:35">
      <c r="AD1267" s="1043"/>
      <c r="AE1267" s="1043"/>
      <c r="AF1267" s="1043"/>
      <c r="AG1267" s="1043"/>
      <c r="AH1267" s="1043"/>
      <c r="AI1267" s="1043"/>
    </row>
    <row r="1268" spans="30:35">
      <c r="AD1268" s="1043"/>
      <c r="AE1268" s="1043"/>
      <c r="AF1268" s="1043"/>
      <c r="AG1268" s="1043"/>
      <c r="AH1268" s="1043"/>
      <c r="AI1268" s="1043"/>
    </row>
    <row r="1269" spans="30:35">
      <c r="AD1269" s="1043"/>
      <c r="AE1269" s="1043"/>
      <c r="AF1269" s="1043"/>
      <c r="AG1269" s="1043"/>
      <c r="AH1269" s="1043"/>
      <c r="AI1269" s="1043"/>
    </row>
    <row r="1270" spans="30:35">
      <c r="AD1270" s="1043"/>
      <c r="AE1270" s="1043"/>
      <c r="AF1270" s="1043"/>
      <c r="AG1270" s="1043"/>
      <c r="AH1270" s="1043"/>
      <c r="AI1270" s="1043"/>
    </row>
    <row r="1271" spans="30:35">
      <c r="AD1271" s="1043"/>
      <c r="AE1271" s="1043"/>
      <c r="AF1271" s="1043"/>
      <c r="AG1271" s="1043"/>
      <c r="AH1271" s="1043"/>
      <c r="AI1271" s="1043"/>
    </row>
    <row r="1272" spans="30:35">
      <c r="AD1272" s="1043"/>
      <c r="AE1272" s="1043"/>
      <c r="AF1272" s="1043"/>
      <c r="AG1272" s="1043"/>
      <c r="AH1272" s="1043"/>
      <c r="AI1272" s="1043"/>
    </row>
    <row r="1273" spans="30:35">
      <c r="AD1273" s="1043"/>
      <c r="AE1273" s="1043"/>
      <c r="AF1273" s="1043"/>
      <c r="AG1273" s="1043"/>
      <c r="AH1273" s="1043"/>
      <c r="AI1273" s="1043"/>
    </row>
    <row r="1274" spans="30:35">
      <c r="AD1274" s="1043"/>
      <c r="AE1274" s="1043"/>
      <c r="AF1274" s="1043"/>
      <c r="AG1274" s="1043"/>
      <c r="AH1274" s="1043"/>
      <c r="AI1274" s="1043"/>
    </row>
    <row r="1275" spans="30:35">
      <c r="AD1275" s="1043"/>
      <c r="AE1275" s="1043"/>
      <c r="AF1275" s="1043"/>
      <c r="AG1275" s="1043"/>
      <c r="AH1275" s="1043"/>
      <c r="AI1275" s="1043"/>
    </row>
    <row r="1276" spans="30:35">
      <c r="AD1276" s="1043"/>
      <c r="AE1276" s="1043"/>
      <c r="AF1276" s="1043"/>
      <c r="AG1276" s="1043"/>
      <c r="AH1276" s="1043"/>
      <c r="AI1276" s="1043"/>
    </row>
    <row r="1277" spans="30:35">
      <c r="AD1277" s="1043"/>
      <c r="AE1277" s="1043"/>
      <c r="AF1277" s="1043"/>
      <c r="AG1277" s="1043"/>
      <c r="AH1277" s="1043"/>
      <c r="AI1277" s="1043"/>
    </row>
    <row r="1278" spans="30:35">
      <c r="AD1278" s="1043"/>
      <c r="AE1278" s="1043"/>
      <c r="AF1278" s="1043"/>
      <c r="AG1278" s="1043"/>
      <c r="AH1278" s="1043"/>
      <c r="AI1278" s="1043"/>
    </row>
    <row r="1279" spans="30:35">
      <c r="AD1279" s="1043"/>
      <c r="AE1279" s="1043"/>
      <c r="AF1279" s="1043"/>
      <c r="AG1279" s="1043"/>
      <c r="AH1279" s="1043"/>
      <c r="AI1279" s="1043"/>
    </row>
    <row r="1280" spans="30:35">
      <c r="AD1280" s="1043"/>
      <c r="AE1280" s="1043"/>
      <c r="AF1280" s="1043"/>
      <c r="AG1280" s="1043"/>
      <c r="AH1280" s="1043"/>
      <c r="AI1280" s="1043"/>
    </row>
    <row r="1281" spans="30:35">
      <c r="AD1281" s="1043"/>
      <c r="AE1281" s="1043"/>
      <c r="AF1281" s="1043"/>
      <c r="AG1281" s="1043"/>
      <c r="AH1281" s="1043"/>
      <c r="AI1281" s="1043"/>
    </row>
    <row r="1282" spans="30:35">
      <c r="AD1282" s="1043"/>
      <c r="AE1282" s="1043"/>
      <c r="AF1282" s="1043"/>
      <c r="AG1282" s="1043"/>
      <c r="AH1282" s="1043"/>
      <c r="AI1282" s="1043"/>
    </row>
    <row r="1283" spans="30:35">
      <c r="AD1283" s="1043"/>
      <c r="AE1283" s="1043"/>
      <c r="AF1283" s="1043"/>
      <c r="AG1283" s="1043"/>
      <c r="AH1283" s="1043"/>
      <c r="AI1283" s="1043"/>
    </row>
    <row r="1284" spans="30:35">
      <c r="AD1284" s="1043"/>
      <c r="AE1284" s="1043"/>
      <c r="AF1284" s="1043"/>
      <c r="AG1284" s="1043"/>
      <c r="AH1284" s="1043"/>
      <c r="AI1284" s="1043"/>
    </row>
    <row r="1285" spans="30:35">
      <c r="AD1285" s="1043"/>
      <c r="AE1285" s="1043"/>
      <c r="AF1285" s="1043"/>
      <c r="AG1285" s="1043"/>
      <c r="AH1285" s="1043"/>
      <c r="AI1285" s="1043"/>
    </row>
    <row r="1286" spans="30:35">
      <c r="AD1286" s="1043"/>
      <c r="AE1286" s="1043"/>
      <c r="AF1286" s="1043"/>
      <c r="AG1286" s="1043"/>
      <c r="AH1286" s="1043"/>
      <c r="AI1286" s="1043"/>
    </row>
    <row r="1287" spans="30:35">
      <c r="AD1287" s="1043"/>
      <c r="AE1287" s="1043"/>
      <c r="AF1287" s="1043"/>
      <c r="AG1287" s="1043"/>
      <c r="AH1287" s="1043"/>
      <c r="AI1287" s="1043"/>
    </row>
  </sheetData>
  <customSheetViews>
    <customSheetView guid="{751D391F-C74F-4B53-B5B5-25E01AC12EA4}" showPageBreaks="1" printArea="1">
      <pane xSplit="2" ySplit="1" topLeftCell="C112" activePane="bottomRight" state="frozen"/>
      <selection pane="bottomRight" activeCell="B132" sqref="B132:AC194"/>
      <pageMargins left="0.31" right="0.16" top="0.46" bottom="0.38" header="0.13" footer="0.17"/>
      <pageSetup scale="45" orientation="landscape" horizontalDpi="4294967295" verticalDpi="4294967295" r:id="rId1"/>
    </customSheetView>
    <customSheetView guid="{5A803268-F6C5-4035-B3E1-A94CB9AA8994}" showPageBreaks="1" printArea="1" hiddenColumns="1">
      <pane xSplit="2" ySplit="2" topLeftCell="I45" activePane="bottomRight" state="frozen"/>
      <selection pane="bottomRight" activeCell="A84" sqref="A84:XFD84"/>
      <rowBreaks count="1" manualBreakCount="1">
        <brk id="85" max="28" man="1"/>
      </rowBreaks>
      <pageMargins left="0.31" right="0.16" top="0.46" bottom="0.38" header="0.13" footer="0.17"/>
      <pageSetup scale="45" orientation="landscape" r:id="rId2"/>
    </customSheetView>
    <customSheetView guid="{917057C8-5E5F-4164-B84C-85103677A2E5}">
      <pane xSplit="2" ySplit="1" topLeftCell="C99" activePane="bottomRight" state="frozen"/>
      <selection pane="bottomRight" activeCell="B121" sqref="B121:AC182"/>
      <pageMargins left="0.31" right="0.16" top="0.46" bottom="0.38" header="0.13" footer="0.17"/>
      <pageSetup scale="45" orientation="landscape" r:id="rId3"/>
    </customSheetView>
    <customSheetView guid="{4593F3EE-0998-4E0E-994A-E02D6BAF3A4B}" showPageBreaks="1" printArea="1" hiddenColumns="1">
      <pane xSplit="2" ySplit="2" topLeftCell="L141" activePane="bottomRight" state="frozen"/>
      <selection pane="bottomRight" sqref="A1:AC170"/>
      <rowBreaks count="1" manualBreakCount="1">
        <brk id="80" max="28" man="1"/>
      </rowBreaks>
      <pageMargins left="0.31" right="0.16" top="0.46" bottom="0.38" header="0.13" footer="0.17"/>
      <pageSetup scale="45" orientation="landscape" r:id="rId4"/>
    </customSheetView>
    <customSheetView guid="{23F4DC00-BC97-4745-AA5C-F05D469CB1EF}" scale="85" showPageBreaks="1" printArea="1" hiddenColumns="1">
      <pane xSplit="2" ySplit="2" topLeftCell="C118" activePane="bottomRight" state="frozen"/>
      <selection pane="bottomRight" activeCell="A151" sqref="A151:XFD151"/>
      <rowBreaks count="1" manualBreakCount="1">
        <brk id="84" max="29" man="1"/>
      </rowBreaks>
      <pageMargins left="0.31" right="0.16" top="0.46" bottom="0.38" header="0.13" footer="0.17"/>
      <pageSetup scale="50" orientation="landscape" r:id="rId5"/>
    </customSheetView>
    <customSheetView guid="{B91C2E87-5EDA-40AE-AC27-0E2C17E803CE}" showPageBreaks="1" printArea="1" hiddenColumns="1">
      <pane xSplit="2" ySplit="2" topLeftCell="C3" activePane="bottomRight" state="frozen"/>
      <selection pane="bottomRight" sqref="A1:AC181"/>
      <rowBreaks count="1" manualBreakCount="1">
        <brk id="81" max="28" man="1"/>
      </rowBreaks>
      <pageMargins left="0.31" right="0.16" top="0.46" bottom="0.38" header="0.13" footer="0.17"/>
      <pageSetup scale="44" orientation="landscape" r:id="rId6"/>
    </customSheetView>
    <customSheetView guid="{7C71EF2A-5ADA-494C-8F58-DDA71753DD90}" showPageBreaks="1" printArea="1">
      <pane xSplit="2" ySplit="1" topLeftCell="C101" activePane="bottomRight" state="frozen"/>
      <selection pane="bottomRight" activeCell="B123" sqref="B123:AC185"/>
      <pageMargins left="0.31" right="0.16" top="0.46" bottom="0.38" header="0.13" footer="0.17"/>
      <pageSetup scale="45" orientation="landscape" horizontalDpi="4294967295" verticalDpi="4294967295" r:id="rId7"/>
    </customSheetView>
    <customSheetView guid="{4DB6C640-CE65-4513-9E5A-F6CDD1F4B8AF}" showPageBreaks="1">
      <pane xSplit="2" ySplit="1" topLeftCell="H89" activePane="bottomRight" state="frozen"/>
      <selection pane="bottomRight" activeCell="A38" sqref="A38:XFD38"/>
      <pageMargins left="0.31" right="0.16" top="0.46" bottom="0.38" header="0.13" footer="0.17"/>
      <pageSetup scale="45" orientation="landscape" horizontalDpi="4294967295" verticalDpi="4294967295" r:id="rId8"/>
    </customSheetView>
    <customSheetView guid="{D1D1E152-95AB-45D3-AC07-4EC0834D3E0C}">
      <pane xSplit="2" ySplit="1" topLeftCell="C113" activePane="bottomRight" state="frozen"/>
      <selection pane="bottomRight" activeCell="B133" sqref="B133:AC196"/>
      <pageMargins left="0.31" right="0.16" top="0.46" bottom="0.38" header="0.13" footer="0.17"/>
      <pageSetup scale="45" orientation="landscape" horizontalDpi="4294967295" verticalDpi="4294967295" r:id="rId9"/>
    </customSheetView>
    <customSheetView guid="{C3348F62-02F2-4500-9BF2-19F2DEA57A8D}" showPageBreaks="1" printArea="1">
      <pane xSplit="2" ySplit="1" topLeftCell="C2" activePane="bottomRight" state="frozen"/>
      <selection pane="bottomRight" sqref="A1:AC195"/>
      <pageMargins left="0.31" right="0.16" top="0.46" bottom="0.38" header="0.13" footer="0.17"/>
      <pageSetup scale="45" orientation="landscape" horizontalDpi="4294967295" verticalDpi="4294967295" r:id="rId10"/>
    </customSheetView>
  </customSheetViews>
  <pageMargins left="0.31" right="0.16" top="0.46" bottom="0.38" header="0.13" footer="0.17"/>
  <pageSetup scale="45" orientation="landscape" horizontalDpi="4294967295" verticalDpi="4294967295" r:id="rId1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FF00"/>
  </sheetPr>
  <dimension ref="A1:EQ370"/>
  <sheetViews>
    <sheetView topLeftCell="A169" zoomScale="120" zoomScaleNormal="130" workbookViewId="0">
      <selection activeCell="H193" sqref="H193"/>
    </sheetView>
  </sheetViews>
  <sheetFormatPr defaultColWidth="9.140625" defaultRowHeight="14.25"/>
  <cols>
    <col min="1" max="1" width="5.7109375" style="68" customWidth="1"/>
    <col min="2" max="2" width="6.7109375" style="68" customWidth="1"/>
    <col min="3" max="3" width="31" style="68" customWidth="1"/>
    <col min="4" max="4" width="11.42578125" style="68" customWidth="1"/>
    <col min="5" max="5" width="22.140625" style="68" customWidth="1"/>
    <col min="6" max="6" width="10.7109375" style="68" customWidth="1"/>
    <col min="7" max="7" width="8.7109375" style="68" customWidth="1"/>
    <col min="8" max="8" width="14.7109375" style="68" customWidth="1"/>
    <col min="9" max="9" width="11.140625" style="68" customWidth="1"/>
    <col min="10" max="10" width="12.28515625" style="68" customWidth="1"/>
    <col min="11" max="11" width="11.5703125" style="68" customWidth="1"/>
    <col min="12" max="12" width="32.140625" style="68" customWidth="1"/>
    <col min="13" max="13" width="8.140625" style="68" customWidth="1"/>
    <col min="14" max="14" width="17.7109375" style="68" customWidth="1"/>
    <col min="15" max="15" width="21" style="68" customWidth="1"/>
    <col min="16" max="16" width="19" style="68" customWidth="1"/>
    <col min="17" max="17" width="14.85546875" style="68" customWidth="1"/>
    <col min="18" max="18" width="11.140625" style="68" customWidth="1"/>
    <col min="19" max="19" width="11.28515625" style="68" customWidth="1"/>
    <col min="20" max="20" width="16" style="68" customWidth="1"/>
    <col min="21" max="21" width="11.28515625" style="68" customWidth="1"/>
    <col min="22" max="22" width="12.42578125" style="68" customWidth="1"/>
    <col min="23" max="23" width="15.140625" style="68" customWidth="1"/>
    <col min="24" max="24" width="14.5703125" style="68" customWidth="1"/>
    <col min="25" max="25" width="14" style="68" customWidth="1"/>
    <col min="26" max="26" width="15.5703125" style="68" customWidth="1"/>
    <col min="27" max="27" width="16.28515625" style="68" customWidth="1"/>
    <col min="28" max="28" width="13" style="68" customWidth="1"/>
    <col min="29" max="29" width="12.5703125" style="68" customWidth="1"/>
    <col min="30" max="30" width="12" style="68" customWidth="1"/>
    <col min="31" max="31" width="16" style="68" customWidth="1"/>
    <col min="32" max="32" width="12.85546875" style="68" customWidth="1"/>
    <col min="33" max="33" width="13.28515625" style="68" customWidth="1"/>
    <col min="34" max="34" width="12" style="68" customWidth="1"/>
    <col min="35" max="35" width="15.140625" style="68" customWidth="1"/>
    <col min="36" max="36" width="10.28515625" style="68" customWidth="1"/>
    <col min="37" max="37" width="8.7109375" style="68" customWidth="1"/>
    <col min="38" max="38" width="12.85546875" style="68" customWidth="1"/>
    <col min="39" max="39" width="8.42578125" style="68" customWidth="1"/>
    <col min="40" max="41" width="8" style="68" customWidth="1"/>
    <col min="42" max="42" width="10.5703125" style="68" customWidth="1"/>
    <col min="43" max="43" width="8.7109375" style="68" customWidth="1"/>
    <col min="44" max="44" width="9.28515625" style="68" customWidth="1"/>
    <col min="45" max="45" width="11.85546875" style="68" customWidth="1"/>
    <col min="46" max="46" width="10.42578125" style="68" customWidth="1"/>
    <col min="47" max="47" width="11.28515625" style="68" customWidth="1"/>
    <col min="48" max="48" width="8.5703125" style="68" customWidth="1"/>
    <col min="49" max="49" width="13.28515625" style="68" customWidth="1"/>
    <col min="50" max="50" width="9" style="68" customWidth="1"/>
    <col min="51" max="51" width="7.28515625" style="68" customWidth="1"/>
    <col min="52" max="52" width="11.7109375" style="68" customWidth="1"/>
    <col min="53" max="53" width="11.28515625" style="68" customWidth="1"/>
    <col min="54" max="54" width="9.42578125" style="68" customWidth="1"/>
    <col min="55" max="55" width="8.28515625" style="68" customWidth="1"/>
    <col min="56" max="56" width="12" style="68" customWidth="1"/>
    <col min="57" max="57" width="10.5703125" style="68" customWidth="1"/>
    <col min="58" max="58" width="12.7109375" style="68" customWidth="1"/>
    <col min="59" max="59" width="14" style="68" customWidth="1"/>
    <col min="60" max="60" width="11.85546875" style="68" customWidth="1"/>
    <col min="61" max="61" width="10.42578125" style="68" customWidth="1"/>
    <col min="62" max="62" width="10.7109375" style="68" customWidth="1"/>
    <col min="63" max="63" width="10.5703125" style="68" customWidth="1"/>
    <col min="64" max="64" width="10.85546875" style="68" customWidth="1"/>
    <col min="65" max="65" width="9.140625" style="68" customWidth="1"/>
    <col min="66" max="66" width="11.28515625" style="68" customWidth="1"/>
    <col min="67" max="67" width="8.85546875" style="68" customWidth="1"/>
    <col min="68" max="68" width="13.140625" style="68" customWidth="1"/>
    <col min="69" max="69" width="14.7109375" style="68" customWidth="1"/>
    <col min="70" max="70" width="10.5703125" style="68" customWidth="1"/>
    <col min="71" max="71" width="12.7109375" style="68" customWidth="1"/>
    <col min="72" max="72" width="11.140625" style="68" customWidth="1"/>
    <col min="73" max="73" width="11.5703125" style="68" customWidth="1"/>
    <col min="74" max="74" width="10.28515625" style="68" customWidth="1"/>
    <col min="75" max="75" width="13.28515625" style="68" customWidth="1"/>
    <col min="76" max="76" width="14.28515625" style="68" customWidth="1"/>
    <col min="77" max="77" width="11.5703125" style="68" customWidth="1"/>
    <col min="78" max="78" width="10.7109375" style="68" customWidth="1"/>
    <col min="79" max="79" width="10" style="68" customWidth="1"/>
    <col min="80" max="80" width="13.7109375" style="68" customWidth="1"/>
    <col min="81" max="82" width="11.42578125" style="68" customWidth="1"/>
    <col min="83" max="83" width="9.7109375" style="68" customWidth="1"/>
    <col min="84" max="84" width="10.7109375" style="68" customWidth="1"/>
    <col min="85" max="85" width="14" style="68" customWidth="1"/>
    <col min="86" max="86" width="11.28515625" style="68" customWidth="1"/>
    <col min="87" max="87" width="10" style="68" customWidth="1"/>
    <col min="88" max="88" width="11.140625" style="68" customWidth="1"/>
    <col min="89" max="89" width="13" style="68" customWidth="1"/>
    <col min="90" max="90" width="10.85546875" style="68" customWidth="1"/>
    <col min="91" max="91" width="8.7109375" style="68" customWidth="1"/>
    <col min="92" max="92" width="8.42578125" style="68" customWidth="1"/>
    <col min="93" max="93" width="13.28515625" style="68" customWidth="1"/>
    <col min="94" max="94" width="10.140625" style="68" customWidth="1"/>
    <col min="95" max="95" width="9.140625" style="68" customWidth="1"/>
    <col min="96" max="97" width="12.5703125" style="68" customWidth="1"/>
    <col min="98" max="98" width="11.5703125" style="68" customWidth="1"/>
    <col min="99" max="99" width="14.7109375" style="68" customWidth="1"/>
    <col min="100" max="100" width="12.140625" style="68" customWidth="1"/>
    <col min="101" max="101" width="9.85546875" style="68" customWidth="1"/>
    <col min="102" max="102" width="11.140625" style="68" customWidth="1"/>
    <col min="103" max="103" width="13.5703125" style="68" customWidth="1"/>
    <col min="104" max="104" width="11.7109375" style="68" customWidth="1"/>
    <col min="105" max="105" width="12.85546875" style="68" customWidth="1"/>
    <col min="106" max="106" width="10.7109375" style="68" customWidth="1"/>
    <col min="107" max="107" width="9.85546875" style="68" customWidth="1"/>
    <col min="108" max="108" width="8.42578125" style="68" customWidth="1"/>
    <col min="109" max="109" width="8.140625" style="68" customWidth="1"/>
    <col min="110" max="110" width="10" style="68" customWidth="1"/>
    <col min="111" max="111" width="14.28515625" style="68" customWidth="1"/>
    <col min="112" max="112" width="8.85546875" style="68" customWidth="1"/>
    <col min="113" max="113" width="11.42578125" style="68" customWidth="1"/>
    <col min="114" max="114" width="11.28515625" style="68" customWidth="1"/>
    <col min="115" max="115" width="11.42578125" style="68" customWidth="1"/>
    <col min="116" max="116" width="15" style="68" customWidth="1"/>
    <col min="117" max="117" width="11.140625" style="68" customWidth="1"/>
    <col min="118" max="118" width="9.5703125" style="68" customWidth="1"/>
    <col min="119" max="119" width="8.42578125" style="68" customWidth="1"/>
    <col min="120" max="120" width="10.140625" style="68" customWidth="1"/>
    <col min="121" max="121" width="9.7109375" style="68" customWidth="1"/>
    <col min="122" max="122" width="10.7109375" style="68" customWidth="1"/>
    <col min="123" max="123" width="11.140625" style="68" customWidth="1"/>
    <col min="124" max="124" width="8.85546875" style="68" customWidth="1"/>
    <col min="125" max="125" width="11.28515625" style="68" customWidth="1"/>
    <col min="126" max="126" width="9.7109375" style="68" customWidth="1"/>
    <col min="127" max="127" width="9.5703125" style="68" customWidth="1"/>
    <col min="128" max="128" width="9.85546875" style="68" customWidth="1"/>
    <col min="129" max="130" width="11.7109375" style="68" customWidth="1"/>
    <col min="131" max="131" width="13.7109375" style="68" customWidth="1"/>
    <col min="132" max="132" width="15.28515625" style="68" customWidth="1"/>
    <col min="133" max="133" width="9" style="68" customWidth="1"/>
    <col min="134" max="134" width="17.7109375" style="68" customWidth="1"/>
    <col min="135" max="135" width="9.140625" style="68" customWidth="1"/>
    <col min="136" max="136" width="10.7109375" style="68" customWidth="1"/>
    <col min="137" max="137" width="10" style="68" customWidth="1"/>
    <col min="138" max="138" width="9" style="68" customWidth="1"/>
    <col min="139" max="139" width="9.140625" style="68" customWidth="1"/>
    <col min="140" max="140" width="7.140625" style="68" customWidth="1"/>
    <col min="141" max="141" width="7.7109375" style="68" customWidth="1"/>
    <col min="142" max="142" width="9.85546875" style="68" customWidth="1"/>
    <col min="143" max="144" width="12" style="68" customWidth="1"/>
    <col min="145" max="145" width="12.7109375" style="68" customWidth="1"/>
    <col min="146" max="146" width="9.28515625" style="68" customWidth="1"/>
    <col min="147" max="147" width="8.85546875" style="68" customWidth="1"/>
    <col min="148" max="148" width="22" style="68" customWidth="1"/>
    <col min="149" max="149" width="28.85546875" style="68" customWidth="1"/>
    <col min="150" max="151" width="9.140625" style="68"/>
    <col min="152" max="152" width="23.28515625" style="68" customWidth="1"/>
    <col min="153" max="153" width="18.42578125" style="68" customWidth="1"/>
    <col min="154" max="154" width="21.85546875" style="68" customWidth="1"/>
    <col min="155" max="156" width="9.140625" style="68"/>
    <col min="157" max="157" width="20.42578125" style="68" customWidth="1"/>
    <col min="158" max="158" width="25.42578125" style="68" customWidth="1"/>
    <col min="159" max="159" width="9.140625" style="68"/>
    <col min="160" max="160" width="31.140625" style="68" customWidth="1"/>
    <col min="161" max="16384" width="9.140625" style="68"/>
  </cols>
  <sheetData>
    <row r="1" spans="1:147" ht="15">
      <c r="A1" s="2724"/>
      <c r="H1" s="2417"/>
      <c r="I1" s="2417"/>
      <c r="J1" s="2417"/>
      <c r="K1" s="2417"/>
    </row>
    <row r="3" spans="1:147" ht="15">
      <c r="C3" s="1461"/>
      <c r="BA3" s="1305" t="s">
        <v>816</v>
      </c>
      <c r="BB3" s="1305">
        <v>210</v>
      </c>
    </row>
    <row r="4" spans="1:147" s="81" customFormat="1" ht="23.25" customHeight="1">
      <c r="A4" s="83"/>
      <c r="B4" s="121"/>
      <c r="C4" s="104" t="s">
        <v>18</v>
      </c>
      <c r="D4" s="1536" t="s">
        <v>151</v>
      </c>
      <c r="E4" s="1536"/>
      <c r="F4" s="1536"/>
      <c r="G4" s="1536"/>
      <c r="H4" s="1536"/>
      <c r="I4" s="1536"/>
      <c r="J4" s="1536"/>
      <c r="K4" s="121"/>
      <c r="L4" s="123" t="s">
        <v>29</v>
      </c>
      <c r="N4" s="1023" t="s">
        <v>772</v>
      </c>
      <c r="O4" s="1060">
        <v>43318.896898148145</v>
      </c>
    </row>
    <row r="5" spans="1:147" s="81" customFormat="1" ht="48" customHeight="1">
      <c r="A5" s="82"/>
      <c r="B5" s="124"/>
      <c r="C5" s="122"/>
      <c r="D5" s="158" t="s">
        <v>150</v>
      </c>
      <c r="E5" s="158"/>
      <c r="F5" s="158"/>
      <c r="G5" s="158"/>
      <c r="H5" s="158"/>
      <c r="I5" s="158"/>
      <c r="J5" s="158"/>
      <c r="K5" s="130"/>
      <c r="L5" s="125"/>
      <c r="N5" s="1936"/>
      <c r="O5" s="547"/>
      <c r="P5" s="547"/>
      <c r="Q5" s="547"/>
      <c r="R5" s="547"/>
      <c r="S5" s="547"/>
      <c r="T5" s="547"/>
      <c r="U5" s="547"/>
      <c r="V5" s="547"/>
      <c r="W5" s="547"/>
      <c r="X5" s="547"/>
      <c r="Y5" s="547"/>
      <c r="Z5" s="547"/>
      <c r="AA5" s="547"/>
      <c r="AB5" s="547"/>
      <c r="AC5" s="547"/>
      <c r="AD5" s="547"/>
      <c r="AE5" s="547"/>
      <c r="AF5" s="547"/>
      <c r="AG5" s="547"/>
      <c r="AH5" s="547"/>
      <c r="AI5" s="547"/>
      <c r="AJ5" s="547"/>
      <c r="AK5" s="547"/>
      <c r="AL5" s="547"/>
      <c r="AM5" s="547"/>
      <c r="AN5" s="547"/>
      <c r="AO5" s="547"/>
      <c r="AP5" s="547"/>
      <c r="AQ5" s="547"/>
      <c r="AR5" s="547"/>
      <c r="AS5" s="547"/>
      <c r="AT5" s="547"/>
      <c r="AU5" s="547"/>
      <c r="AV5" s="547"/>
      <c r="AW5" s="547"/>
      <c r="AX5" s="547"/>
      <c r="AY5" s="547"/>
      <c r="AZ5" s="547"/>
      <c r="BA5" s="547"/>
      <c r="BB5" s="547"/>
      <c r="BC5" s="547"/>
      <c r="BD5" s="547"/>
      <c r="BE5" s="547"/>
      <c r="BF5" s="547"/>
      <c r="BG5" s="547"/>
      <c r="BH5" s="547"/>
      <c r="BI5" s="547"/>
      <c r="BJ5" s="547"/>
      <c r="BK5" s="547"/>
      <c r="BL5" s="547"/>
      <c r="BM5" s="547"/>
      <c r="BN5" s="547"/>
      <c r="BO5" s="547"/>
      <c r="BP5" s="547"/>
      <c r="BQ5" s="547"/>
      <c r="BR5" s="547"/>
      <c r="BS5" s="547"/>
      <c r="BT5" s="547"/>
      <c r="BU5" s="547"/>
      <c r="BV5" s="547"/>
      <c r="BW5" s="547"/>
      <c r="BX5" s="547"/>
      <c r="BY5" s="547"/>
      <c r="BZ5" s="547"/>
      <c r="CA5" s="547"/>
      <c r="CB5" s="547"/>
      <c r="CC5" s="547"/>
      <c r="CD5" s="547"/>
      <c r="CE5" s="547"/>
      <c r="CF5" s="547"/>
      <c r="CG5" s="547"/>
      <c r="CH5" s="547"/>
      <c r="CI5" s="547"/>
      <c r="CJ5" s="547"/>
      <c r="CK5" s="547"/>
      <c r="CL5" s="547"/>
      <c r="CM5" s="547"/>
      <c r="CN5" s="547"/>
      <c r="CO5" s="547"/>
      <c r="CP5" s="547"/>
      <c r="CQ5" s="547"/>
      <c r="CR5" s="547"/>
      <c r="CS5" s="547"/>
      <c r="CT5" s="547"/>
      <c r="CU5" s="547"/>
      <c r="CV5" s="547"/>
      <c r="CW5" s="547"/>
      <c r="CX5" s="547"/>
      <c r="CY5" s="547"/>
      <c r="CZ5" s="547"/>
      <c r="DA5" s="547"/>
      <c r="DB5" s="547"/>
      <c r="DC5" s="547"/>
      <c r="DD5" s="547"/>
      <c r="DE5" s="547"/>
      <c r="DF5" s="547"/>
      <c r="DG5" s="547"/>
      <c r="DH5" s="547"/>
      <c r="DI5" s="547"/>
      <c r="DJ5" s="547"/>
      <c r="DK5" s="547"/>
      <c r="DL5" s="547"/>
      <c r="DM5" s="547"/>
      <c r="DN5" s="547"/>
      <c r="DO5" s="547"/>
      <c r="DP5" s="547"/>
      <c r="DQ5" s="547"/>
      <c r="DR5" s="547"/>
      <c r="DS5" s="547"/>
      <c r="DT5" s="547"/>
      <c r="DU5" s="547"/>
      <c r="DV5" s="547"/>
      <c r="DW5" s="547"/>
      <c r="DX5" s="547"/>
      <c r="DY5" s="547"/>
      <c r="DZ5" s="547"/>
      <c r="EA5" s="547"/>
      <c r="EB5" s="547"/>
      <c r="EC5" s="547"/>
      <c r="ED5" s="547"/>
      <c r="EE5" s="547"/>
      <c r="EF5" s="547"/>
      <c r="EG5" s="547"/>
      <c r="EH5" s="547"/>
      <c r="EI5" s="547"/>
      <c r="EJ5" s="547"/>
      <c r="EK5" s="547"/>
      <c r="EL5" s="547"/>
      <c r="EM5" s="547"/>
      <c r="EN5" s="547"/>
      <c r="EO5" s="547"/>
      <c r="EP5" s="547"/>
      <c r="EQ5" s="547"/>
    </row>
    <row r="6" spans="1:147" s="1896" customFormat="1" ht="18.75" thickBot="1">
      <c r="A6" s="1885"/>
      <c r="B6" s="1886" t="s">
        <v>149</v>
      </c>
      <c r="C6" s="1887">
        <f>Forecast!E3</f>
        <v>43318</v>
      </c>
      <c r="D6" s="1888" t="s">
        <v>834</v>
      </c>
      <c r="E6" s="1889"/>
      <c r="F6" s="1890">
        <f>D185</f>
        <v>13227</v>
      </c>
      <c r="G6" s="1891" t="s">
        <v>36</v>
      </c>
      <c r="H6" s="1891"/>
      <c r="I6" s="1892"/>
      <c r="J6" s="1893"/>
      <c r="K6" s="1894" t="s">
        <v>30</v>
      </c>
      <c r="L6" s="1895">
        <f>YesterdayGen!E42</f>
        <v>0.875</v>
      </c>
      <c r="O6" s="1897"/>
      <c r="P6" s="1898"/>
      <c r="Q6" s="1898"/>
      <c r="R6" s="1898"/>
      <c r="S6" s="1898"/>
      <c r="T6" s="1899"/>
      <c r="U6" s="1900"/>
      <c r="V6" s="1898"/>
      <c r="W6" s="1898"/>
      <c r="X6" s="1898"/>
      <c r="Y6" s="1898"/>
      <c r="Z6" s="1898"/>
      <c r="AA6" s="1898"/>
      <c r="AB6" s="1898"/>
      <c r="AC6" s="1898"/>
      <c r="AD6" s="1898"/>
      <c r="AE6" s="1898"/>
      <c r="AF6" s="1898"/>
      <c r="AG6" s="1898"/>
      <c r="AH6" s="1898"/>
      <c r="AI6" s="1898"/>
      <c r="AJ6" s="1898"/>
      <c r="AK6" s="1898"/>
      <c r="AL6" s="1898"/>
      <c r="AM6" s="1898"/>
      <c r="AN6" s="1898"/>
      <c r="AO6" s="1898"/>
      <c r="AP6" s="1898"/>
      <c r="AQ6" s="1898"/>
      <c r="AR6" s="1898"/>
      <c r="AS6" s="1898"/>
      <c r="AT6" s="1898"/>
      <c r="AU6" s="1898"/>
      <c r="AV6" s="1898"/>
      <c r="AW6" s="1898"/>
      <c r="AX6" s="1898"/>
      <c r="AY6" s="1898"/>
      <c r="AZ6" s="1898"/>
      <c r="BA6" s="1898"/>
      <c r="BB6" s="1898"/>
      <c r="BC6" s="1898"/>
      <c r="BD6" s="1898"/>
      <c r="BE6" s="1898"/>
      <c r="BF6" s="1898"/>
      <c r="BG6" s="1898"/>
      <c r="BH6" s="1898"/>
      <c r="BI6" s="1898"/>
      <c r="BJ6" s="1898"/>
      <c r="BK6" s="1898"/>
      <c r="BL6" s="1898"/>
      <c r="BM6" s="1898"/>
      <c r="BN6" s="1898"/>
      <c r="BO6" s="1898"/>
      <c r="BP6" s="1898"/>
      <c r="BQ6" s="1898"/>
      <c r="BR6" s="1898"/>
      <c r="BS6" s="1898"/>
      <c r="BT6" s="1898"/>
      <c r="BU6" s="1898"/>
      <c r="BV6" s="1898"/>
      <c r="BW6" s="1898"/>
      <c r="BX6" s="1898"/>
      <c r="BY6" s="1898"/>
      <c r="BZ6" s="1898"/>
      <c r="CA6" s="1898"/>
      <c r="CB6" s="1898"/>
      <c r="CC6" s="1898"/>
      <c r="CD6" s="1898"/>
      <c r="CE6" s="1898"/>
      <c r="CF6" s="1898"/>
      <c r="CG6" s="1898"/>
      <c r="CH6" s="1898"/>
      <c r="CI6" s="1898"/>
      <c r="CJ6" s="1898"/>
      <c r="CK6" s="1898"/>
      <c r="CL6" s="1898"/>
      <c r="CM6" s="1898"/>
      <c r="CN6" s="1898"/>
      <c r="CO6" s="1898"/>
      <c r="CP6" s="1898"/>
      <c r="CQ6" s="1898"/>
      <c r="CR6" s="1898"/>
      <c r="CS6" s="1898"/>
      <c r="CT6" s="1898"/>
      <c r="CU6" s="1898"/>
      <c r="CV6" s="1898"/>
      <c r="CW6" s="1898"/>
      <c r="CX6" s="1898"/>
      <c r="CY6" s="1898"/>
      <c r="CZ6" s="1898"/>
      <c r="DA6" s="1898"/>
      <c r="DB6" s="1898"/>
      <c r="DC6" s="1898"/>
      <c r="DD6" s="1898"/>
      <c r="DE6" s="1898"/>
      <c r="DF6" s="1898"/>
      <c r="DG6" s="1898"/>
      <c r="DH6" s="1898"/>
      <c r="DI6" s="1898"/>
      <c r="DJ6" s="1898"/>
      <c r="DK6" s="1898"/>
      <c r="DL6" s="1898"/>
      <c r="DM6" s="1898"/>
      <c r="DN6" s="1898"/>
      <c r="DO6" s="1898"/>
      <c r="DP6" s="1898"/>
      <c r="DQ6" s="1898"/>
      <c r="DR6" s="1898"/>
      <c r="DS6" s="1898"/>
      <c r="DT6" s="1898"/>
      <c r="DU6" s="1898"/>
      <c r="DV6" s="1898"/>
      <c r="DW6" s="1898"/>
      <c r="DX6" s="1898"/>
      <c r="DY6" s="1898"/>
      <c r="DZ6" s="1898"/>
      <c r="EA6" s="1898"/>
      <c r="EB6" s="1898"/>
      <c r="EC6" s="1898"/>
      <c r="ED6" s="1898"/>
      <c r="EE6" s="1898"/>
      <c r="EF6" s="1898"/>
      <c r="EG6" s="1898"/>
      <c r="EH6" s="1898"/>
      <c r="EI6" s="1898"/>
      <c r="EJ6" s="1898"/>
      <c r="EK6" s="1898"/>
      <c r="EL6" s="1898"/>
      <c r="EM6" s="1898"/>
      <c r="EN6" s="1898"/>
      <c r="EO6" s="1898"/>
      <c r="EP6" s="1898"/>
      <c r="EQ6" s="1898"/>
    </row>
    <row r="7" spans="1:147" s="1896" customFormat="1" ht="27.75" customHeight="1">
      <c r="A7" s="78"/>
      <c r="B7" s="5437" t="s">
        <v>148</v>
      </c>
      <c r="C7" s="5437" t="s">
        <v>31</v>
      </c>
      <c r="D7" s="5437" t="s">
        <v>32</v>
      </c>
      <c r="E7" s="5437" t="s">
        <v>33</v>
      </c>
      <c r="F7" s="1916" t="s">
        <v>147</v>
      </c>
      <c r="G7" s="1916" t="s">
        <v>146</v>
      </c>
      <c r="H7" s="2202" t="s">
        <v>145</v>
      </c>
      <c r="I7" s="2201" t="s">
        <v>144</v>
      </c>
      <c r="J7" s="1918" t="s">
        <v>34</v>
      </c>
      <c r="K7" s="1917" t="s">
        <v>35</v>
      </c>
      <c r="L7" s="1919" t="s">
        <v>163</v>
      </c>
      <c r="O7" s="1901"/>
      <c r="P7" s="1901"/>
      <c r="Q7" s="1901"/>
      <c r="R7" s="1901"/>
      <c r="S7" s="1901"/>
      <c r="T7" s="1899"/>
      <c r="U7" s="1902"/>
      <c r="V7" s="1901"/>
      <c r="W7" s="1901"/>
      <c r="X7" s="1901"/>
      <c r="Y7" s="1901"/>
      <c r="Z7" s="1901"/>
      <c r="AA7" s="1901"/>
      <c r="AB7" s="1901"/>
      <c r="AC7" s="1901"/>
      <c r="AD7" s="1901"/>
      <c r="AE7" s="1901"/>
      <c r="AF7" s="1901"/>
      <c r="AG7" s="1901"/>
      <c r="AH7" s="1901"/>
      <c r="AI7" s="1901"/>
      <c r="AJ7" s="1901"/>
      <c r="AK7" s="1901"/>
      <c r="AL7" s="1901"/>
      <c r="AM7" s="1901"/>
      <c r="AN7" s="1901"/>
      <c r="AO7" s="1901"/>
      <c r="AP7" s="1901"/>
      <c r="AQ7" s="1901"/>
      <c r="AR7" s="1901"/>
      <c r="AS7" s="1901"/>
      <c r="AT7" s="1901"/>
      <c r="AU7" s="1901"/>
      <c r="AV7" s="1901"/>
      <c r="AW7" s="1901"/>
      <c r="AX7" s="1901"/>
      <c r="AY7" s="1901"/>
      <c r="AZ7" s="1901"/>
      <c r="BA7" s="1901"/>
      <c r="BB7" s="1901"/>
      <c r="BC7" s="1901"/>
      <c r="BD7" s="1901"/>
      <c r="BE7" s="1901"/>
      <c r="BF7" s="1901"/>
      <c r="BG7" s="1901"/>
      <c r="BH7" s="1901"/>
      <c r="BI7" s="1901"/>
      <c r="BJ7" s="1901"/>
      <c r="BK7" s="1901"/>
      <c r="BL7" s="1901"/>
      <c r="BM7" s="1901"/>
      <c r="BN7" s="1901"/>
      <c r="BO7" s="1901"/>
      <c r="BP7" s="1901"/>
      <c r="BQ7" s="1901"/>
      <c r="BR7" s="1901"/>
      <c r="BS7" s="1901"/>
      <c r="BT7" s="1901"/>
      <c r="BU7" s="1901"/>
      <c r="BV7" s="1901"/>
      <c r="BW7" s="1901"/>
      <c r="BX7" s="1901"/>
      <c r="BY7" s="1901"/>
      <c r="BZ7" s="1901"/>
      <c r="CA7" s="1901"/>
      <c r="CB7" s="1901"/>
      <c r="CC7" s="1901"/>
      <c r="CD7" s="1901"/>
      <c r="CE7" s="1901"/>
      <c r="CF7" s="1901"/>
      <c r="CG7" s="1901"/>
      <c r="CH7" s="1901"/>
      <c r="CI7" s="1901"/>
      <c r="CJ7" s="1901"/>
      <c r="CK7" s="1901"/>
      <c r="CL7" s="1901"/>
      <c r="CM7" s="1901"/>
      <c r="CN7" s="1901"/>
      <c r="CO7" s="1901"/>
      <c r="CP7" s="1901"/>
      <c r="CQ7" s="1901"/>
      <c r="CR7" s="1901"/>
      <c r="CS7" s="1901"/>
      <c r="CT7" s="1901"/>
      <c r="CU7" s="1901"/>
      <c r="CV7" s="1901"/>
      <c r="CW7" s="1901"/>
      <c r="CX7" s="1901"/>
      <c r="CY7" s="1901"/>
      <c r="CZ7" s="1901"/>
      <c r="DA7" s="1901"/>
      <c r="DB7" s="1901"/>
      <c r="DC7" s="1901"/>
      <c r="DD7" s="1901"/>
      <c r="DE7" s="1901"/>
      <c r="DF7" s="1901"/>
      <c r="DG7" s="1901"/>
      <c r="DH7" s="1901"/>
      <c r="DI7" s="1901"/>
      <c r="DJ7" s="1901"/>
      <c r="DK7" s="1901"/>
      <c r="DL7" s="1901"/>
      <c r="DM7" s="1901"/>
      <c r="DN7" s="1901"/>
      <c r="DO7" s="1901"/>
      <c r="DP7" s="1901"/>
      <c r="DQ7" s="1901"/>
      <c r="DR7" s="1901"/>
      <c r="DS7" s="1901"/>
      <c r="DT7" s="1901"/>
      <c r="DU7" s="1901"/>
      <c r="DV7" s="1901"/>
      <c r="DW7" s="1901"/>
      <c r="DX7" s="1901"/>
      <c r="DY7" s="1901"/>
      <c r="DZ7" s="1901"/>
      <c r="EA7" s="1901"/>
      <c r="EB7" s="1901"/>
      <c r="EC7" s="1901"/>
      <c r="ED7" s="1901"/>
      <c r="EE7" s="1901"/>
      <c r="EF7" s="1901"/>
      <c r="EG7" s="1901"/>
      <c r="EH7" s="1901"/>
      <c r="EI7" s="1901"/>
      <c r="EJ7" s="1901"/>
      <c r="EK7" s="1901"/>
      <c r="EL7" s="1901"/>
      <c r="EM7" s="1901"/>
      <c r="EN7" s="1901"/>
      <c r="EO7" s="1901"/>
      <c r="EP7" s="1901"/>
      <c r="EQ7" s="1901"/>
    </row>
    <row r="8" spans="1:147" s="1896" customFormat="1" ht="15" customHeight="1" thickBot="1">
      <c r="A8" s="78"/>
      <c r="B8" s="5438"/>
      <c r="C8" s="5438"/>
      <c r="D8" s="5438"/>
      <c r="E8" s="5438"/>
      <c r="F8" s="1920" t="s">
        <v>36</v>
      </c>
      <c r="G8" s="1921" t="s">
        <v>36</v>
      </c>
      <c r="H8" s="1921" t="s">
        <v>36</v>
      </c>
      <c r="I8" s="1921" t="s">
        <v>36</v>
      </c>
      <c r="J8" s="1922" t="s">
        <v>36</v>
      </c>
      <c r="K8" s="1922" t="s">
        <v>36</v>
      </c>
      <c r="L8" s="1923"/>
      <c r="M8" s="1898"/>
      <c r="N8" s="1898"/>
      <c r="T8" s="1899"/>
      <c r="U8" s="1900"/>
    </row>
    <row r="9" spans="1:147" ht="12" customHeight="1">
      <c r="A9" s="75"/>
      <c r="B9" s="5065">
        <v>1</v>
      </c>
      <c r="C9" s="1714" t="str">
        <f>Master!C3</f>
        <v>Ghorasal Repowered CCPP:Unit-3 (GT</v>
      </c>
      <c r="D9" s="1928" t="str">
        <f>Master!C5</f>
        <v>Gas</v>
      </c>
      <c r="E9" s="1928" t="str">
        <f>Master!C4</f>
        <v>PDB</v>
      </c>
      <c r="F9" s="1929">
        <f>Master!C7</f>
        <v>260</v>
      </c>
      <c r="G9" s="1930">
        <f>Master!C8</f>
        <v>260</v>
      </c>
      <c r="H9" s="1925">
        <f>Forecast!M9</f>
        <v>0</v>
      </c>
      <c r="I9" s="1926">
        <f>YesterdayGen!C34</f>
        <v>0</v>
      </c>
      <c r="J9" s="1927">
        <f t="shared" ref="J9:J83" si="0">IF((I9-H9)&gt;0,(I9-H9),0)</f>
        <v>0</v>
      </c>
      <c r="K9" s="1927">
        <f>IF((H9-I9)&gt;L237,(H9-I9),0)</f>
        <v>0</v>
      </c>
      <c r="L9" s="5066" t="s">
        <v>117</v>
      </c>
      <c r="M9" s="5058"/>
      <c r="N9" s="548"/>
      <c r="P9" s="821"/>
      <c r="T9" s="980"/>
      <c r="U9" s="79"/>
    </row>
    <row r="10" spans="1:147" ht="12" customHeight="1">
      <c r="A10" s="75"/>
      <c r="B10" s="5067">
        <v>2</v>
      </c>
      <c r="C10" s="1714" t="str">
        <f>Master!D3</f>
        <v>Ghorasal Repowered CCPP Unit-4</v>
      </c>
      <c r="D10" s="1928" t="str">
        <f>Master!D5</f>
        <v>Gas</v>
      </c>
      <c r="E10" s="1928" t="str">
        <f>Master!D4</f>
        <v>PDB</v>
      </c>
      <c r="F10" s="1929">
        <f>Master!D7</f>
        <v>210</v>
      </c>
      <c r="G10" s="1930">
        <f>Master!D8</f>
        <v>180</v>
      </c>
      <c r="H10" s="1925">
        <f>Forecast!M10</f>
        <v>0</v>
      </c>
      <c r="I10" s="1931">
        <f>YesterdayGen!D34</f>
        <v>0</v>
      </c>
      <c r="J10" s="1927">
        <f t="shared" si="0"/>
        <v>0</v>
      </c>
      <c r="K10" s="1927">
        <f t="shared" ref="K10:K83" si="1">IF((H10-I10)&gt;0,(H10-I10),0)</f>
        <v>0</v>
      </c>
      <c r="L10" s="5068" t="s">
        <v>117</v>
      </c>
      <c r="M10" s="5059"/>
      <c r="N10" s="548"/>
      <c r="P10" s="821"/>
      <c r="T10" s="980"/>
      <c r="U10" s="79"/>
    </row>
    <row r="11" spans="1:147" ht="12" customHeight="1">
      <c r="A11" s="75"/>
      <c r="B11" s="5069"/>
      <c r="C11" s="1714" t="str">
        <f>Master!E3</f>
        <v>Ghorasal TPP Unit-5</v>
      </c>
      <c r="D11" s="1928" t="str">
        <f>Master!E5</f>
        <v>Gas</v>
      </c>
      <c r="E11" s="1928" t="str">
        <f>Master!E4</f>
        <v>PDB</v>
      </c>
      <c r="F11" s="1929">
        <f>Master!E7</f>
        <v>210</v>
      </c>
      <c r="G11" s="1930">
        <f>Master!E8</f>
        <v>190</v>
      </c>
      <c r="H11" s="1925">
        <f>Forecast!M11</f>
        <v>180</v>
      </c>
      <c r="I11" s="1931">
        <f>YesterdayGen!E34</f>
        <v>180</v>
      </c>
      <c r="J11" s="1927">
        <f t="shared" si="0"/>
        <v>0</v>
      </c>
      <c r="K11" s="1927">
        <f t="shared" si="1"/>
        <v>0</v>
      </c>
      <c r="L11" s="5070"/>
      <c r="M11" s="1021"/>
      <c r="N11" s="548"/>
      <c r="P11" s="821"/>
      <c r="T11" s="980"/>
      <c r="U11" s="79"/>
    </row>
    <row r="12" spans="1:147" ht="12" customHeight="1">
      <c r="A12" s="75"/>
      <c r="B12" s="5065">
        <v>3</v>
      </c>
      <c r="C12" s="1714" t="str">
        <f>Master!F3</f>
        <v>Ghorasal 365 MW CCPP Unit-7</v>
      </c>
      <c r="D12" s="1928" t="str">
        <f>Master!F5</f>
        <v>Gas</v>
      </c>
      <c r="E12" s="1928" t="str">
        <f>Master!F4</f>
        <v>PDB</v>
      </c>
      <c r="F12" s="1929">
        <f>Master!F7</f>
        <v>365</v>
      </c>
      <c r="G12" s="1930">
        <f>Master!F8</f>
        <v>365</v>
      </c>
      <c r="H12" s="1925">
        <f>Forecast!M12</f>
        <v>200</v>
      </c>
      <c r="I12" s="1931">
        <f>YesterdayGen!F34</f>
        <v>200</v>
      </c>
      <c r="J12" s="1927">
        <f t="shared" si="0"/>
        <v>0</v>
      </c>
      <c r="K12" s="1927">
        <f t="shared" si="1"/>
        <v>0</v>
      </c>
      <c r="L12" s="5070"/>
      <c r="M12" s="1021"/>
      <c r="N12" s="548"/>
      <c r="P12" s="821"/>
      <c r="T12" s="980"/>
      <c r="U12" s="79"/>
    </row>
    <row r="13" spans="1:147" ht="12" customHeight="1">
      <c r="A13" s="75"/>
      <c r="B13" s="5071"/>
      <c r="C13" s="2718" t="str">
        <f>Master!H3</f>
        <v>Ghorashal 78.5 MW PP(MAX)</v>
      </c>
      <c r="D13" s="2629" t="str">
        <f>Master!H5</f>
        <v>Gas</v>
      </c>
      <c r="E13" s="2629" t="str">
        <f>Master!H4</f>
        <v>QRPP</v>
      </c>
      <c r="F13" s="2719">
        <f>Master!H7</f>
        <v>0</v>
      </c>
      <c r="G13" s="2720">
        <f>Master!H8</f>
        <v>0</v>
      </c>
      <c r="H13" s="2721">
        <f>Forecast!M13</f>
        <v>0</v>
      </c>
      <c r="I13" s="2722">
        <f>YesterdayGen!H34</f>
        <v>0</v>
      </c>
      <c r="J13" s="2723">
        <f t="shared" si="0"/>
        <v>0</v>
      </c>
      <c r="K13" s="2723">
        <f t="shared" si="1"/>
        <v>0</v>
      </c>
      <c r="L13" s="5072" t="s">
        <v>847</v>
      </c>
      <c r="M13" s="1021"/>
      <c r="N13" s="548"/>
      <c r="P13" s="821"/>
      <c r="T13" s="980"/>
      <c r="U13" s="79"/>
    </row>
    <row r="14" spans="1:147" ht="12" customHeight="1">
      <c r="A14" s="75"/>
      <c r="B14" s="5065">
        <v>4</v>
      </c>
      <c r="C14" s="1714" t="str">
        <f>Master!G3</f>
        <v>Ghorashal 108MW PP (Regent)</v>
      </c>
      <c r="D14" s="1928" t="str">
        <f>Master!G5</f>
        <v>Gas</v>
      </c>
      <c r="E14" s="1928" t="str">
        <f>Master!G4</f>
        <v>IPP</v>
      </c>
      <c r="F14" s="1929">
        <f>Master!G7</f>
        <v>108</v>
      </c>
      <c r="G14" s="1930">
        <f>Master!G8</f>
        <v>108</v>
      </c>
      <c r="H14" s="1925">
        <f>Forecast!M14</f>
        <v>93</v>
      </c>
      <c r="I14" s="1931">
        <f>YesterdayGen!G34</f>
        <v>81</v>
      </c>
      <c r="J14" s="1927">
        <f t="shared" si="0"/>
        <v>0</v>
      </c>
      <c r="K14" s="1927">
        <f t="shared" si="1"/>
        <v>12</v>
      </c>
      <c r="L14" s="5073" t="s">
        <v>126</v>
      </c>
      <c r="M14" s="1021"/>
      <c r="N14" s="548"/>
      <c r="P14" s="821"/>
      <c r="T14" s="980"/>
      <c r="U14" s="79"/>
    </row>
    <row r="15" spans="1:147" ht="12" customHeight="1">
      <c r="A15" s="75"/>
      <c r="B15" s="5065">
        <v>5</v>
      </c>
      <c r="C15" s="1714" t="str">
        <f>Master!L3</f>
        <v>Haripur GTPP</v>
      </c>
      <c r="D15" s="1928" t="str">
        <f>Master!L5</f>
        <v>Gas</v>
      </c>
      <c r="E15" s="1928" t="str">
        <f>Master!L4</f>
        <v>SBU, PDB</v>
      </c>
      <c r="F15" s="1929">
        <f>Master!L7</f>
        <v>32</v>
      </c>
      <c r="G15" s="1930">
        <f>Master!L8</f>
        <v>20</v>
      </c>
      <c r="H15" s="1925">
        <f>Forecast!M15</f>
        <v>0</v>
      </c>
      <c r="I15" s="1931">
        <f>YesterdayGen!L34</f>
        <v>0</v>
      </c>
      <c r="J15" s="1927">
        <f>IF((I15-H15)&gt;0,(I15-H15),0)</f>
        <v>0</v>
      </c>
      <c r="K15" s="1927">
        <f t="shared" si="1"/>
        <v>0</v>
      </c>
      <c r="L15" s="5074" t="s">
        <v>117</v>
      </c>
      <c r="M15" s="5060"/>
      <c r="N15" s="548"/>
      <c r="P15" s="821"/>
      <c r="T15" s="980"/>
      <c r="U15" s="79"/>
    </row>
    <row r="16" spans="1:147" ht="12" customHeight="1">
      <c r="A16" s="75"/>
      <c r="B16" s="5065">
        <v>6</v>
      </c>
      <c r="C16" s="1714" t="str">
        <f>Master!I3</f>
        <v>Haripur  412 MW CCPP</v>
      </c>
      <c r="D16" s="1928" t="str">
        <f>Master!I5</f>
        <v>Gas</v>
      </c>
      <c r="E16" s="1928" t="str">
        <f>Master!I4</f>
        <v>EGCB</v>
      </c>
      <c r="F16" s="1929">
        <f>Master!I7</f>
        <v>412</v>
      </c>
      <c r="G16" s="1930">
        <f>Master!I8</f>
        <v>412</v>
      </c>
      <c r="H16" s="1925">
        <f>Forecast!M16</f>
        <v>412</v>
      </c>
      <c r="I16" s="1931">
        <f>YesterdayGen!I34</f>
        <v>397</v>
      </c>
      <c r="J16" s="1927">
        <f>IF((I16-H16)&gt;0,(I16-H16),0)</f>
        <v>0</v>
      </c>
      <c r="K16" s="1927">
        <f t="shared" si="1"/>
        <v>15</v>
      </c>
      <c r="L16" s="5075" t="s">
        <v>173</v>
      </c>
      <c r="M16" s="5060"/>
      <c r="N16" s="548"/>
      <c r="P16" s="821"/>
      <c r="T16" s="980"/>
      <c r="U16" s="79"/>
    </row>
    <row r="17" spans="1:58" ht="12" customHeight="1">
      <c r="A17" s="75"/>
      <c r="B17" s="5065">
        <v>7</v>
      </c>
      <c r="C17" s="1714" t="str">
        <f>Master!J3</f>
        <v>Haripur 360MW CCPP(HPL)</v>
      </c>
      <c r="D17" s="1928" t="str">
        <f>Master!J5</f>
        <v>Gas</v>
      </c>
      <c r="E17" s="1928" t="str">
        <f>Master!J4</f>
        <v>IPP</v>
      </c>
      <c r="F17" s="1929">
        <f>Master!J7</f>
        <v>360</v>
      </c>
      <c r="G17" s="1930">
        <f>Master!J8</f>
        <v>360</v>
      </c>
      <c r="H17" s="1925">
        <f>Forecast!M17</f>
        <v>330</v>
      </c>
      <c r="I17" s="1931">
        <f>YesterdayGen!J34</f>
        <v>257</v>
      </c>
      <c r="J17" s="1927">
        <f t="shared" si="0"/>
        <v>0</v>
      </c>
      <c r="K17" s="1927">
        <f t="shared" si="1"/>
        <v>73</v>
      </c>
      <c r="L17" s="5081" t="s">
        <v>173</v>
      </c>
      <c r="M17" s="1021"/>
      <c r="N17" s="548"/>
      <c r="T17" s="980"/>
      <c r="U17" s="79"/>
    </row>
    <row r="18" spans="1:58" ht="12" customHeight="1">
      <c r="A18" s="75"/>
      <c r="B18" s="5065">
        <v>8</v>
      </c>
      <c r="C18" s="1715" t="str">
        <f>Master!M3</f>
        <v>Meghnaghat 450 MW CCPP(MPL)</v>
      </c>
      <c r="D18" s="1928" t="str">
        <f>Master!M5</f>
        <v>Gas</v>
      </c>
      <c r="E18" s="1928" t="str">
        <f>Master!M4</f>
        <v>IPP</v>
      </c>
      <c r="F18" s="1929">
        <f>Master!M7</f>
        <v>450</v>
      </c>
      <c r="G18" s="1934">
        <f>Master!M8</f>
        <v>450</v>
      </c>
      <c r="H18" s="1925">
        <f>Forecast!M18</f>
        <v>225</v>
      </c>
      <c r="I18" s="1935">
        <f>YesterdayGen!M34</f>
        <v>225</v>
      </c>
      <c r="J18" s="1927">
        <f t="shared" si="0"/>
        <v>0</v>
      </c>
      <c r="K18" s="1927">
        <f t="shared" si="1"/>
        <v>0</v>
      </c>
      <c r="L18" s="5076" t="s">
        <v>1861</v>
      </c>
      <c r="M18" s="1021"/>
      <c r="N18" s="548"/>
      <c r="T18" s="980"/>
      <c r="U18" s="79"/>
    </row>
    <row r="19" spans="1:58" s="2911" customFormat="1" ht="12" customHeight="1">
      <c r="A19" s="75"/>
      <c r="B19" s="5065">
        <v>9</v>
      </c>
      <c r="C19" s="1715" t="str">
        <f>Master!O3</f>
        <v>Meghnaghat 100 MW(IEL)</v>
      </c>
      <c r="D19" s="1928" t="str">
        <f>Master!O5</f>
        <v>HFO</v>
      </c>
      <c r="E19" s="1928" t="str">
        <f>Master!O4</f>
        <v>NENP</v>
      </c>
      <c r="F19" s="3523">
        <f>Master!O7</f>
        <v>100</v>
      </c>
      <c r="G19" s="1934">
        <f>Master!O8</f>
        <v>100</v>
      </c>
      <c r="H19" s="1925">
        <f>Forecast!M19</f>
        <v>48</v>
      </c>
      <c r="I19" s="1935">
        <f>YesterdayGen!O34</f>
        <v>48</v>
      </c>
      <c r="J19" s="1927">
        <f t="shared" si="0"/>
        <v>0</v>
      </c>
      <c r="K19" s="1927">
        <f>IF((H19-I19)&gt;0,(H19-I19),0)</f>
        <v>0</v>
      </c>
      <c r="L19" s="3552" t="s">
        <v>1347</v>
      </c>
      <c r="M19" s="79"/>
      <c r="N19" s="986"/>
      <c r="T19" s="3005"/>
      <c r="U19" s="3006"/>
    </row>
    <row r="20" spans="1:58" ht="12" customHeight="1">
      <c r="A20" s="75"/>
      <c r="B20" s="5065">
        <v>10</v>
      </c>
      <c r="C20" s="1715" t="str">
        <f>Master!N3</f>
        <v>Meghnaghat CCPP(Summit)</v>
      </c>
      <c r="D20" s="1928" t="str">
        <f>Master!N5</f>
        <v>Gas</v>
      </c>
      <c r="E20" s="1928" t="str">
        <f>Master!N4</f>
        <v>IPP</v>
      </c>
      <c r="F20" s="1929">
        <f>Master!N7</f>
        <v>335</v>
      </c>
      <c r="G20" s="1934">
        <f>Master!N8</f>
        <v>335</v>
      </c>
      <c r="H20" s="1925">
        <f>Forecast!M20</f>
        <v>0</v>
      </c>
      <c r="I20" s="1935">
        <f>YesterdayGen!N34</f>
        <v>0</v>
      </c>
      <c r="J20" s="1927">
        <f t="shared" si="0"/>
        <v>0</v>
      </c>
      <c r="K20" s="1927">
        <f t="shared" si="1"/>
        <v>0</v>
      </c>
      <c r="L20" s="5076" t="s">
        <v>173</v>
      </c>
      <c r="M20" s="5061"/>
      <c r="N20" s="986"/>
      <c r="O20" s="2972"/>
      <c r="P20" s="2973"/>
      <c r="Q20" s="2973"/>
      <c r="R20" s="2973"/>
      <c r="S20" s="2973"/>
      <c r="T20" s="980"/>
      <c r="U20" s="79"/>
      <c r="V20" s="2973"/>
      <c r="W20" s="2973"/>
      <c r="X20" s="2973"/>
      <c r="Y20" s="2973"/>
      <c r="Z20" s="2973"/>
      <c r="AA20" s="2973"/>
      <c r="AB20" s="2973"/>
      <c r="AC20" s="2973"/>
      <c r="AD20" s="2973"/>
      <c r="AE20" s="2973"/>
      <c r="AF20" s="2973"/>
      <c r="AG20" s="2973"/>
      <c r="AH20" s="2973"/>
      <c r="AI20" s="2973"/>
      <c r="AJ20" s="2973"/>
      <c r="AK20" s="2973"/>
      <c r="AL20" s="2973"/>
      <c r="AM20" s="2973"/>
      <c r="AN20" s="2973"/>
      <c r="AO20" s="2973"/>
      <c r="AP20" s="2973"/>
      <c r="AQ20" s="2973"/>
      <c r="AR20" s="2973"/>
      <c r="AS20" s="2973"/>
      <c r="AT20" s="2973"/>
      <c r="AU20" s="2973"/>
      <c r="AV20" s="2973"/>
      <c r="AW20" s="2973"/>
      <c r="AX20" s="2973"/>
      <c r="AY20" s="2973"/>
      <c r="AZ20" s="2973"/>
      <c r="BA20" s="2973"/>
      <c r="BB20" s="2973"/>
      <c r="BC20" s="2973"/>
      <c r="BD20" s="2973"/>
      <c r="BE20" s="2973"/>
      <c r="BF20" s="2973"/>
    </row>
    <row r="21" spans="1:58" s="2911" customFormat="1" ht="12" customHeight="1">
      <c r="A21" s="75"/>
      <c r="B21" s="5065">
        <v>11</v>
      </c>
      <c r="C21" s="1715" t="str">
        <f>Master!P3</f>
        <v>Madanganj 102 PP(Summit)</v>
      </c>
      <c r="D21" s="1928" t="str">
        <f>Master!P5</f>
        <v>HFO</v>
      </c>
      <c r="E21" s="1928" t="str">
        <f>Master!P4</f>
        <v>NENP</v>
      </c>
      <c r="F21" s="3523">
        <f>Master!P7</f>
        <v>102</v>
      </c>
      <c r="G21" s="1934">
        <f>Master!P8</f>
        <v>102</v>
      </c>
      <c r="H21" s="1925">
        <f>Forecast!M21</f>
        <v>0</v>
      </c>
      <c r="I21" s="1935">
        <f>YesterdayGen!P34</f>
        <v>0</v>
      </c>
      <c r="J21" s="1927">
        <f t="shared" si="0"/>
        <v>0</v>
      </c>
      <c r="K21" s="1927">
        <v>0</v>
      </c>
      <c r="L21" s="5076" t="s">
        <v>117</v>
      </c>
      <c r="M21" s="5061"/>
      <c r="N21" s="986"/>
      <c r="O21" s="2973"/>
      <c r="P21" s="2973"/>
      <c r="Q21" s="2973"/>
      <c r="R21" s="2973"/>
      <c r="S21" s="2973"/>
      <c r="T21" s="980"/>
      <c r="U21" s="79"/>
      <c r="V21" s="2973"/>
      <c r="W21" s="2973"/>
      <c r="X21" s="2973"/>
      <c r="Y21" s="2973"/>
      <c r="Z21" s="2973"/>
      <c r="AA21" s="2973"/>
      <c r="AB21" s="2973"/>
      <c r="AC21" s="2973"/>
      <c r="AD21" s="2973"/>
      <c r="AE21" s="2973"/>
      <c r="AF21" s="2973"/>
      <c r="AG21" s="2973"/>
      <c r="AH21" s="2973"/>
      <c r="AI21" s="2973"/>
      <c r="AJ21" s="2973"/>
      <c r="AK21" s="2973"/>
      <c r="AL21" s="2973"/>
      <c r="AM21" s="2973"/>
      <c r="AN21" s="2973"/>
      <c r="AO21" s="2973"/>
      <c r="AP21" s="2973"/>
      <c r="AQ21" s="2973"/>
      <c r="AR21" s="2973"/>
      <c r="AS21" s="2973"/>
      <c r="AT21" s="2973"/>
      <c r="AU21" s="2973"/>
      <c r="AV21" s="2973"/>
      <c r="AW21" s="2973"/>
      <c r="AX21" s="2973"/>
      <c r="AY21" s="2973"/>
      <c r="AZ21" s="2973"/>
      <c r="BA21" s="2973"/>
      <c r="BB21" s="2973"/>
      <c r="BC21" s="2973"/>
      <c r="BD21" s="2973"/>
      <c r="BE21" s="2973"/>
      <c r="BF21" s="2973"/>
    </row>
    <row r="22" spans="1:58" ht="12" customHeight="1">
      <c r="A22" s="75"/>
      <c r="B22" s="5065">
        <v>12</v>
      </c>
      <c r="C22" s="1716" t="str">
        <f>Master!Q3</f>
        <v>Madanganj-55 MW PP(Summit)</v>
      </c>
      <c r="D22" s="1937" t="str">
        <f>Master!Q5</f>
        <v>HFO</v>
      </c>
      <c r="E22" s="1938" t="str">
        <f>Master!Q4</f>
        <v>IPP</v>
      </c>
      <c r="F22" s="1929">
        <f>Master!Q7</f>
        <v>55</v>
      </c>
      <c r="G22" s="1939">
        <f>Master!Q8</f>
        <v>55</v>
      </c>
      <c r="H22" s="1925">
        <f>Forecast!M22</f>
        <v>30</v>
      </c>
      <c r="I22" s="1940">
        <f>YesterdayGen!Q34</f>
        <v>30</v>
      </c>
      <c r="J22" s="1927">
        <f t="shared" si="0"/>
        <v>0</v>
      </c>
      <c r="K22" s="1927">
        <f t="shared" si="1"/>
        <v>0</v>
      </c>
      <c r="L22" s="5077" t="s">
        <v>126</v>
      </c>
      <c r="M22" s="1021"/>
      <c r="N22" s="548"/>
      <c r="T22" s="980"/>
      <c r="U22" s="79"/>
    </row>
    <row r="23" spans="1:58" ht="12" customHeight="1">
      <c r="A23" s="75"/>
      <c r="B23" s="5071">
        <v>13</v>
      </c>
      <c r="C23" s="3578" t="str">
        <f>Master!X3</f>
        <v>Keraniganj 100 MW PP (Powerpac)</v>
      </c>
      <c r="D23" s="3569" t="str">
        <f>Master!X5</f>
        <v>HFO</v>
      </c>
      <c r="E23" s="3569" t="str">
        <f>Master!X4</f>
        <v>QRPP</v>
      </c>
      <c r="F23" s="3579">
        <f>Master!X7</f>
        <v>100</v>
      </c>
      <c r="G23" s="3580">
        <f>Master!X8</f>
        <v>0</v>
      </c>
      <c r="H23" s="3581">
        <f>Forecast!M23</f>
        <v>0</v>
      </c>
      <c r="I23" s="3582">
        <f>YesterdayGen!X34</f>
        <v>0</v>
      </c>
      <c r="J23" s="3570">
        <f t="shared" si="0"/>
        <v>0</v>
      </c>
      <c r="K23" s="3570">
        <f t="shared" si="1"/>
        <v>0</v>
      </c>
      <c r="L23" s="5078" t="s">
        <v>847</v>
      </c>
      <c r="M23" s="1021"/>
      <c r="N23" s="548"/>
      <c r="T23" s="980"/>
      <c r="U23" s="79"/>
    </row>
    <row r="24" spans="1:58" ht="12" customHeight="1">
      <c r="A24" s="75"/>
      <c r="B24" s="5065">
        <v>14</v>
      </c>
      <c r="C24" s="1714" t="str">
        <f>Master!AE3</f>
        <v>Narshingdi 22 MW PP  (Doreen)</v>
      </c>
      <c r="D24" s="1928" t="str">
        <f>Master!AE5</f>
        <v>Gas</v>
      </c>
      <c r="E24" s="1941" t="str">
        <f>Master!AE4</f>
        <v>SIPP, REB</v>
      </c>
      <c r="F24" s="1929">
        <f>Master!AE7</f>
        <v>22</v>
      </c>
      <c r="G24" s="1930">
        <f>Master!AE8</f>
        <v>22</v>
      </c>
      <c r="H24" s="1925">
        <f>Forecast!M24</f>
        <v>19</v>
      </c>
      <c r="I24" s="1931">
        <f>YesterdayGen!AE34</f>
        <v>22</v>
      </c>
      <c r="J24" s="1927">
        <f t="shared" si="0"/>
        <v>3</v>
      </c>
      <c r="K24" s="1927">
        <f t="shared" si="1"/>
        <v>0</v>
      </c>
      <c r="L24" s="5079"/>
      <c r="M24" s="1021"/>
      <c r="N24" s="548"/>
      <c r="T24" s="980"/>
      <c r="U24" s="79"/>
    </row>
    <row r="25" spans="1:58" ht="12" customHeight="1">
      <c r="A25" s="75"/>
      <c r="B25" s="5065">
        <v>15</v>
      </c>
      <c r="C25" s="1714" t="str">
        <f>Master!S3</f>
        <v>210 MW Siddhirgonj TPP</v>
      </c>
      <c r="D25" s="1928" t="str">
        <f>Master!S5</f>
        <v>Gas</v>
      </c>
      <c r="E25" s="1928" t="str">
        <f>Master!S4</f>
        <v>PDB</v>
      </c>
      <c r="F25" s="1929">
        <f>Master!S7</f>
        <v>210</v>
      </c>
      <c r="G25" s="1930">
        <f>Master!S8</f>
        <v>115</v>
      </c>
      <c r="H25" s="1925">
        <f>Forecast!M25</f>
        <v>0</v>
      </c>
      <c r="I25" s="1931">
        <f>YesterdayGen!S34</f>
        <v>0</v>
      </c>
      <c r="J25" s="1927">
        <f t="shared" si="0"/>
        <v>0</v>
      </c>
      <c r="K25" s="1927">
        <f t="shared" si="1"/>
        <v>0</v>
      </c>
      <c r="L25" s="4936" t="s">
        <v>117</v>
      </c>
      <c r="M25" s="1021"/>
      <c r="N25" s="548"/>
      <c r="T25" s="980"/>
      <c r="U25" s="79"/>
    </row>
    <row r="26" spans="1:58" ht="12" customHeight="1">
      <c r="A26" s="75"/>
      <c r="B26" s="5065">
        <v>16</v>
      </c>
      <c r="C26" s="1714" t="str">
        <f>Master!T3</f>
        <v xml:space="preserve">Siddhirgonj 2*120 MW GTPP </v>
      </c>
      <c r="D26" s="1928" t="str">
        <f>Master!T5</f>
        <v>Gas</v>
      </c>
      <c r="E26" s="1928" t="str">
        <f>Master!T4</f>
        <v>EGCB</v>
      </c>
      <c r="F26" s="1929">
        <f>Master!T7</f>
        <v>210</v>
      </c>
      <c r="G26" s="1930">
        <f>Master!T8</f>
        <v>210</v>
      </c>
      <c r="H26" s="1925">
        <f>Forecast!M26</f>
        <v>0</v>
      </c>
      <c r="I26" s="1931">
        <f>YesterdayGen!T34</f>
        <v>0</v>
      </c>
      <c r="J26" s="1927">
        <f t="shared" si="0"/>
        <v>0</v>
      </c>
      <c r="K26" s="1927">
        <f t="shared" si="1"/>
        <v>0</v>
      </c>
      <c r="L26" s="5080" t="s">
        <v>173</v>
      </c>
      <c r="M26" s="1021"/>
      <c r="N26" s="548"/>
      <c r="T26" s="987"/>
      <c r="U26" s="79"/>
    </row>
    <row r="27" spans="1:58" ht="12" customHeight="1">
      <c r="A27" s="75"/>
      <c r="B27" s="5065">
        <v>17</v>
      </c>
      <c r="C27" s="1715" t="str">
        <f>Master!U3</f>
        <v>Siddhirganj 100 PP(Dutch Bangla)</v>
      </c>
      <c r="D27" s="1928" t="str">
        <f>Master!U5</f>
        <v>HFO</v>
      </c>
      <c r="E27" s="1928" t="str">
        <f>Master!U4</f>
        <v>NENP</v>
      </c>
      <c r="F27" s="3523">
        <f>Master!U7</f>
        <v>100</v>
      </c>
      <c r="G27" s="1934">
        <f>Master!U8</f>
        <v>100</v>
      </c>
      <c r="H27" s="1925">
        <f>Forecast!M27</f>
        <v>50</v>
      </c>
      <c r="I27" s="1935">
        <f>YesterdayGen!U34</f>
        <v>48</v>
      </c>
      <c r="J27" s="1927">
        <f t="shared" si="0"/>
        <v>0</v>
      </c>
      <c r="K27" s="1927">
        <f t="shared" si="1"/>
        <v>2</v>
      </c>
      <c r="L27" s="5081" t="s">
        <v>1347</v>
      </c>
      <c r="M27" s="1021"/>
      <c r="N27" s="548"/>
      <c r="T27" s="980"/>
      <c r="U27" s="79"/>
    </row>
    <row r="28" spans="1:58" ht="12" customHeight="1">
      <c r="A28" s="75"/>
      <c r="B28" s="5065">
        <v>18</v>
      </c>
      <c r="C28" s="1717" t="str">
        <f>Master!R3</f>
        <v>Siddhirganj 335 MW CCPP</v>
      </c>
      <c r="D28" s="1928" t="str">
        <f>Master!R5</f>
        <v>Gas</v>
      </c>
      <c r="E28" s="1928" t="str">
        <f>Master!R4</f>
        <v>EGCB</v>
      </c>
      <c r="F28" s="1929">
        <f>Master!R7</f>
        <v>335</v>
      </c>
      <c r="G28" s="1942">
        <f>Master!R8</f>
        <v>335</v>
      </c>
      <c r="H28" s="1925">
        <f>Forecast!M28</f>
        <v>0</v>
      </c>
      <c r="I28" s="1943">
        <f>YesterdayGen!R34</f>
        <v>0</v>
      </c>
      <c r="J28" s="1927">
        <f t="shared" si="0"/>
        <v>0</v>
      </c>
      <c r="K28" s="1927">
        <f t="shared" si="1"/>
        <v>0</v>
      </c>
      <c r="L28" s="5082" t="s">
        <v>173</v>
      </c>
      <c r="M28" s="1021"/>
      <c r="N28" s="548"/>
      <c r="T28" s="980"/>
      <c r="U28" s="79"/>
    </row>
    <row r="29" spans="1:58" ht="12" customHeight="1">
      <c r="A29" s="75"/>
      <c r="B29" s="5065">
        <v>19</v>
      </c>
      <c r="C29" s="1714" t="str">
        <f>Master!V3</f>
        <v>Gagnagar 102 MW PP (Digital Power)</v>
      </c>
      <c r="D29" s="1928" t="str">
        <f>Master!V5</f>
        <v>HFO</v>
      </c>
      <c r="E29" s="1928" t="str">
        <f>Master!V4</f>
        <v>IPP</v>
      </c>
      <c r="F29" s="1944">
        <f>Master!V7</f>
        <v>102</v>
      </c>
      <c r="G29" s="1930">
        <f>Master!V8</f>
        <v>102</v>
      </c>
      <c r="H29" s="1925">
        <f>Forecast!M29</f>
        <v>30</v>
      </c>
      <c r="I29" s="1943">
        <f>YesterdayGen!V34</f>
        <v>50</v>
      </c>
      <c r="J29" s="1927">
        <f t="shared" si="0"/>
        <v>20</v>
      </c>
      <c r="K29" s="1927">
        <f>IF((H29-I29)&gt;0,(H29-I29),0)</f>
        <v>0</v>
      </c>
      <c r="L29" s="1936" t="s">
        <v>1347</v>
      </c>
      <c r="M29" s="1021"/>
      <c r="N29" s="548"/>
      <c r="T29" s="980"/>
      <c r="U29" s="79"/>
    </row>
    <row r="30" spans="1:58" ht="13.5" customHeight="1">
      <c r="A30" s="75"/>
      <c r="B30" s="5065">
        <v>20</v>
      </c>
      <c r="C30" s="1714" t="str">
        <f>Master!AA3</f>
        <v>Katpotti 52 MW PP (Sinha)</v>
      </c>
      <c r="D30" s="1928" t="str">
        <f>Master!AA5</f>
        <v>HFO</v>
      </c>
      <c r="E30" s="1928" t="str">
        <f>Master!AA4</f>
        <v>IPP</v>
      </c>
      <c r="F30" s="1945">
        <f>Master!AA7</f>
        <v>51</v>
      </c>
      <c r="G30" s="1930">
        <f>Master!AA8</f>
        <v>0</v>
      </c>
      <c r="H30" s="1925">
        <f>Forecast!M30</f>
        <v>0</v>
      </c>
      <c r="I30" s="1943">
        <f>YesterdayGen!AA34</f>
        <v>0</v>
      </c>
      <c r="J30" s="1927">
        <f t="shared" si="0"/>
        <v>0</v>
      </c>
      <c r="K30" s="1927">
        <v>51</v>
      </c>
      <c r="L30" s="1936" t="s">
        <v>1347</v>
      </c>
      <c r="M30" s="1021"/>
      <c r="N30" s="548"/>
      <c r="T30" s="980"/>
      <c r="U30" s="79"/>
    </row>
    <row r="31" spans="1:58" ht="13.5" customHeight="1">
      <c r="A31" s="75"/>
      <c r="B31" s="5065">
        <v>21</v>
      </c>
      <c r="C31" s="1714" t="str">
        <f>Master!AB3</f>
        <v>Kamalaghat 54 MW PP(Banco Energy)</v>
      </c>
      <c r="D31" s="1928" t="str">
        <f>Master!AB5</f>
        <v>HFO</v>
      </c>
      <c r="E31" s="1928" t="str">
        <f>Master!AB4</f>
        <v>IPP</v>
      </c>
      <c r="F31" s="1945">
        <f>Master!AB7</f>
        <v>54</v>
      </c>
      <c r="G31" s="1930">
        <f>Master!AB8</f>
        <v>54</v>
      </c>
      <c r="H31" s="1925">
        <f>Forecast!M31</f>
        <v>54</v>
      </c>
      <c r="I31" s="1943">
        <f>YesterdayGen!AB34</f>
        <v>54</v>
      </c>
      <c r="J31" s="1927">
        <f t="shared" si="0"/>
        <v>0</v>
      </c>
      <c r="K31" s="1927">
        <f t="shared" si="1"/>
        <v>0</v>
      </c>
      <c r="L31" s="1936"/>
      <c r="M31" s="1021"/>
      <c r="N31" s="548"/>
      <c r="T31" s="980"/>
      <c r="U31" s="79"/>
    </row>
    <row r="32" spans="1:58" ht="16.5" customHeight="1">
      <c r="A32" s="75"/>
      <c r="B32" s="5065">
        <v>22</v>
      </c>
      <c r="C32" s="1714" t="str">
        <f>Master!W3</f>
        <v>Kodda 150MW PP</v>
      </c>
      <c r="D32" s="1928" t="str">
        <f>Master!W5</f>
        <v>HFO</v>
      </c>
      <c r="E32" s="1928" t="str">
        <f>Master!W4</f>
        <v>BPDB-RPCL</v>
      </c>
      <c r="F32" s="1945">
        <f>Master!W7</f>
        <v>149</v>
      </c>
      <c r="G32" s="1930">
        <f>Master!W8</f>
        <v>149</v>
      </c>
      <c r="H32" s="1925">
        <f>Forecast!M32</f>
        <v>132</v>
      </c>
      <c r="I32" s="1943">
        <f>YesterdayGen!W34</f>
        <v>128</v>
      </c>
      <c r="J32" s="1927">
        <f t="shared" si="0"/>
        <v>0</v>
      </c>
      <c r="K32" s="1927">
        <f t="shared" si="1"/>
        <v>4</v>
      </c>
      <c r="L32" s="1936" t="s">
        <v>126</v>
      </c>
      <c r="M32" s="1021"/>
      <c r="N32" s="548"/>
      <c r="T32" s="980"/>
      <c r="U32" s="79"/>
    </row>
    <row r="33" spans="1:21" ht="16.5" customHeight="1">
      <c r="A33" s="75"/>
      <c r="B33" s="5065">
        <v>23</v>
      </c>
      <c r="C33" s="1714" t="str">
        <f>Master!AC3</f>
        <v>Manikganj 55 MW PP (Northern)</v>
      </c>
      <c r="D33" s="1928" t="str">
        <f>Master!AC5</f>
        <v>HFO</v>
      </c>
      <c r="E33" s="1928" t="str">
        <f>Master!AC4</f>
        <v>IPP</v>
      </c>
      <c r="F33" s="1945">
        <f>Master!AC7</f>
        <v>55</v>
      </c>
      <c r="G33" s="1930">
        <f>Master!AC8</f>
        <v>55</v>
      </c>
      <c r="H33" s="1925">
        <f>Forecast!M33</f>
        <v>55</v>
      </c>
      <c r="I33" s="1943">
        <f>YesterdayGen!AC34</f>
        <v>55</v>
      </c>
      <c r="J33" s="1927">
        <f t="shared" si="0"/>
        <v>0</v>
      </c>
      <c r="K33" s="1927">
        <f t="shared" si="1"/>
        <v>0</v>
      </c>
      <c r="L33" s="1936"/>
      <c r="M33" s="1021"/>
      <c r="N33" s="548"/>
      <c r="T33" s="980"/>
      <c r="U33" s="79"/>
    </row>
    <row r="34" spans="1:21" ht="12.75" customHeight="1">
      <c r="A34" s="75"/>
      <c r="B34" s="5065">
        <v>24</v>
      </c>
      <c r="C34" s="1714" t="str">
        <f>Master!AD3</f>
        <v>Nababganj 55 MW PP (Southern power )</v>
      </c>
      <c r="D34" s="1928" t="str">
        <f>Master!AD5</f>
        <v>HFO</v>
      </c>
      <c r="E34" s="1928" t="str">
        <f>Master!AD4</f>
        <v>IPP</v>
      </c>
      <c r="F34" s="1945">
        <f>Master!AD7</f>
        <v>55</v>
      </c>
      <c r="G34" s="1930">
        <f>Master!AD8</f>
        <v>55</v>
      </c>
      <c r="H34" s="1925">
        <f>Forecast!M34</f>
        <v>55</v>
      </c>
      <c r="I34" s="1943">
        <f>YesterdayGen!AD34</f>
        <v>55</v>
      </c>
      <c r="J34" s="1927">
        <f t="shared" si="0"/>
        <v>0</v>
      </c>
      <c r="K34" s="1927">
        <f t="shared" si="1"/>
        <v>0</v>
      </c>
      <c r="L34" s="1936" t="s">
        <v>126</v>
      </c>
      <c r="M34" s="1021"/>
      <c r="N34" s="548"/>
      <c r="T34" s="980"/>
      <c r="U34" s="79"/>
    </row>
    <row r="35" spans="1:21" ht="12.75" customHeight="1">
      <c r="A35" s="75"/>
      <c r="B35" s="5065">
        <v>25</v>
      </c>
      <c r="C35" s="2718" t="str">
        <f>Master!Y3</f>
        <v>Bosila 108MW PP(CLC)</v>
      </c>
      <c r="D35" s="2629" t="str">
        <f>Master!Y5</f>
        <v>HFO</v>
      </c>
      <c r="E35" s="2629" t="str">
        <f>Master!Y4</f>
        <v>IPP</v>
      </c>
      <c r="F35" s="2631">
        <f>Master!Y7</f>
        <v>108</v>
      </c>
      <c r="G35" s="2720">
        <f>Master!Y8</f>
        <v>0</v>
      </c>
      <c r="H35" s="2721">
        <f>Forecast!M35</f>
        <v>0</v>
      </c>
      <c r="I35" s="3093">
        <f>YesterdayGen!Y34</f>
        <v>0</v>
      </c>
      <c r="J35" s="2723">
        <f t="shared" si="0"/>
        <v>0</v>
      </c>
      <c r="K35" s="2723">
        <f t="shared" si="1"/>
        <v>0</v>
      </c>
      <c r="L35" s="3094"/>
      <c r="M35" s="1021"/>
      <c r="N35" s="548"/>
      <c r="T35" s="980"/>
      <c r="U35" s="79"/>
    </row>
    <row r="36" spans="1:21" ht="12.75" customHeight="1">
      <c r="A36" s="75"/>
      <c r="B36" s="5065">
        <v>26</v>
      </c>
      <c r="C36" s="1714" t="s">
        <v>154</v>
      </c>
      <c r="D36" s="1928" t="str">
        <f>Master!G5</f>
        <v>Gas</v>
      </c>
      <c r="E36" s="1928" t="str">
        <f>Master!Y4</f>
        <v>IPP</v>
      </c>
      <c r="F36" s="1945">
        <f>Master!AF7+Master!AG7</f>
        <v>80</v>
      </c>
      <c r="G36" s="1930">
        <f>Master!AF8+Master!AG8</f>
        <v>80</v>
      </c>
      <c r="H36" s="1925">
        <f>Forecast!M36</f>
        <v>50</v>
      </c>
      <c r="I36" s="1943">
        <f>YesterdayGen!AF34+YesterdayGen!AG34</f>
        <v>52</v>
      </c>
      <c r="J36" s="1927">
        <f t="shared" si="0"/>
        <v>2</v>
      </c>
      <c r="K36" s="1927">
        <f t="shared" si="1"/>
        <v>0</v>
      </c>
      <c r="L36" s="1936" t="s">
        <v>126</v>
      </c>
      <c r="M36" s="1021"/>
      <c r="N36" s="548"/>
      <c r="T36" s="980"/>
      <c r="U36" s="79"/>
    </row>
    <row r="37" spans="1:21" ht="12.75" customHeight="1">
      <c r="A37" s="75"/>
      <c r="B37" s="5065">
        <v>27</v>
      </c>
      <c r="C37" s="1714" t="str">
        <f>Master!AH3</f>
        <v>Maona 33 MW PP(Summit)</v>
      </c>
      <c r="D37" s="1928" t="str">
        <f>Master!AH5</f>
        <v>Gas</v>
      </c>
      <c r="E37" s="1928" t="str">
        <f>Master!AH4</f>
        <v>SIPP,REB</v>
      </c>
      <c r="F37" s="1945">
        <f>Master!AH7</f>
        <v>33</v>
      </c>
      <c r="G37" s="1930">
        <f>Master!AH8</f>
        <v>33</v>
      </c>
      <c r="H37" s="1925">
        <f>Forecast!M37</f>
        <v>33</v>
      </c>
      <c r="I37" s="1943">
        <f>YesterdayGen!AH34</f>
        <v>33</v>
      </c>
      <c r="J37" s="1927">
        <f t="shared" si="0"/>
        <v>0</v>
      </c>
      <c r="K37" s="1927">
        <f t="shared" si="1"/>
        <v>0</v>
      </c>
      <c r="L37" s="1936" t="s">
        <v>126</v>
      </c>
      <c r="M37" s="1021"/>
      <c r="N37" s="548"/>
      <c r="T37" s="980"/>
      <c r="U37" s="79"/>
    </row>
    <row r="38" spans="1:21" ht="15" customHeight="1">
      <c r="A38" s="75"/>
      <c r="B38" s="5065">
        <v>28</v>
      </c>
      <c r="C38" s="1714" t="str">
        <f>Master!AI3</f>
        <v xml:space="preserve">Rupganj 33 MW PP(Summit) </v>
      </c>
      <c r="D38" s="1928" t="str">
        <f>Master!AI5</f>
        <v>Gas</v>
      </c>
      <c r="E38" s="1941" t="str">
        <f>Master!AI4</f>
        <v>SIPP,REB</v>
      </c>
      <c r="F38" s="1946">
        <f>Master!AI7</f>
        <v>33</v>
      </c>
      <c r="G38" s="1930">
        <f>Master!AI8</f>
        <v>33</v>
      </c>
      <c r="H38" s="1925">
        <f>Forecast!M38</f>
        <v>33</v>
      </c>
      <c r="I38" s="1931">
        <f>YesterdayGen!AI34</f>
        <v>30</v>
      </c>
      <c r="J38" s="1927">
        <f t="shared" si="0"/>
        <v>0</v>
      </c>
      <c r="K38" s="1927">
        <f t="shared" si="1"/>
        <v>3</v>
      </c>
      <c r="L38" s="1936"/>
      <c r="M38" s="1021"/>
      <c r="N38" s="548"/>
      <c r="T38" s="981"/>
      <c r="U38" s="79"/>
    </row>
    <row r="39" spans="1:21" ht="12" customHeight="1">
      <c r="A39" s="75"/>
      <c r="B39" s="5065">
        <v>29</v>
      </c>
      <c r="C39" s="1718" t="str">
        <f>Master!AJ3</f>
        <v>Gazipur 52 MW PP</v>
      </c>
      <c r="D39" s="1928" t="str">
        <f>Master!AJ5</f>
        <v>HFO</v>
      </c>
      <c r="E39" s="1947" t="str">
        <f>Master!AJ4</f>
        <v>RPCL</v>
      </c>
      <c r="F39" s="1946">
        <f>Master!AJ7</f>
        <v>52</v>
      </c>
      <c r="G39" s="1948">
        <f>Master!AJ8</f>
        <v>52</v>
      </c>
      <c r="H39" s="1949">
        <f>Forecast!M39</f>
        <v>51</v>
      </c>
      <c r="I39" s="1931">
        <f>YesterdayGen!AJ34</f>
        <v>49</v>
      </c>
      <c r="J39" s="1927">
        <f t="shared" ref="J39:J44" si="2">IF((I39-H39)&gt;0,(I39-H39),0)</f>
        <v>0</v>
      </c>
      <c r="K39" s="1927">
        <f t="shared" ref="K39:K44" si="3">IF((H39-I39)&gt;0,(H39-I39),0)</f>
        <v>2</v>
      </c>
      <c r="L39" s="1936"/>
      <c r="M39" s="1021"/>
      <c r="N39" s="548"/>
      <c r="T39" s="980"/>
      <c r="U39" s="79"/>
    </row>
    <row r="40" spans="1:21" ht="12" customHeight="1">
      <c r="A40" s="75"/>
      <c r="B40" s="5065">
        <v>30</v>
      </c>
      <c r="C40" s="1719" t="str">
        <f>Master!AK3</f>
        <v>Tongi 80 MW GTPP</v>
      </c>
      <c r="D40" s="1950" t="str">
        <f>Master!AK5</f>
        <v>Gas</v>
      </c>
      <c r="E40" s="1928" t="str">
        <f>Master!AK4</f>
        <v>PDB</v>
      </c>
      <c r="F40" s="1945">
        <f>Master!AK7</f>
        <v>105</v>
      </c>
      <c r="G40" s="1951">
        <f>Master!AK8</f>
        <v>105</v>
      </c>
      <c r="H40" s="1952">
        <f>Forecast!M40</f>
        <v>0</v>
      </c>
      <c r="I40" s="1953">
        <f>YesterdayGen!AK34</f>
        <v>0</v>
      </c>
      <c r="J40" s="1927">
        <f t="shared" si="2"/>
        <v>0</v>
      </c>
      <c r="K40" s="1927">
        <f t="shared" si="3"/>
        <v>0</v>
      </c>
      <c r="L40" s="1936" t="s">
        <v>117</v>
      </c>
      <c r="M40" s="1021"/>
      <c r="N40" s="548"/>
      <c r="T40" s="980"/>
      <c r="U40" s="79"/>
    </row>
    <row r="41" spans="1:21" ht="12" customHeight="1">
      <c r="A41" s="75"/>
      <c r="B41" s="5083">
        <v>31</v>
      </c>
      <c r="C41" s="1720" t="str">
        <f>Master!CS3</f>
        <v xml:space="preserve">Kodda 300 MW PP Unit-2 (Summit) </v>
      </c>
      <c r="D41" s="1950" t="str">
        <f>Master!CS5</f>
        <v>HFO</v>
      </c>
      <c r="E41" s="1941" t="str">
        <f>Master!CS4</f>
        <v>IPP</v>
      </c>
      <c r="F41" s="1946">
        <f>Master!CS7</f>
        <v>300</v>
      </c>
      <c r="G41" s="1951">
        <f>Master!CS8</f>
        <v>300</v>
      </c>
      <c r="H41" s="1954">
        <f>Forecast!M41</f>
        <v>275</v>
      </c>
      <c r="I41" s="1955">
        <f>YesterdayGen!CS34</f>
        <v>242</v>
      </c>
      <c r="J41" s="1927">
        <f t="shared" si="2"/>
        <v>0</v>
      </c>
      <c r="K41" s="1927">
        <f>IF((H41-I41)&gt;0,(H41-I41),0)</f>
        <v>33</v>
      </c>
      <c r="L41" s="1936" t="s">
        <v>126</v>
      </c>
      <c r="M41" s="1021"/>
      <c r="N41" s="548"/>
      <c r="T41" s="980"/>
      <c r="U41" s="79"/>
    </row>
    <row r="42" spans="1:21" ht="12" customHeight="1">
      <c r="A42" s="75"/>
      <c r="B42" s="5084">
        <v>32</v>
      </c>
      <c r="C42" s="1719" t="str">
        <f>Master!CT3</f>
        <v xml:space="preserve"> Keranigonj 300 MW PP (APR)</v>
      </c>
      <c r="D42" s="1950" t="str">
        <f>Master!CT5</f>
        <v>HSD</v>
      </c>
      <c r="E42" s="1956" t="str">
        <f>Master!CT4</f>
        <v>IPP</v>
      </c>
      <c r="F42" s="1957">
        <v>300</v>
      </c>
      <c r="G42" s="1951">
        <v>300</v>
      </c>
      <c r="H42" s="1954">
        <f>Forecast!M42</f>
        <v>284</v>
      </c>
      <c r="I42" s="1955">
        <f>YesterdayGen!CT34</f>
        <v>284</v>
      </c>
      <c r="J42" s="1927">
        <f t="shared" si="2"/>
        <v>0</v>
      </c>
      <c r="K42" s="1927">
        <f t="shared" si="3"/>
        <v>0</v>
      </c>
      <c r="L42" s="1936"/>
      <c r="M42" s="1021"/>
      <c r="N42" s="548"/>
      <c r="T42" s="980"/>
      <c r="U42" s="79"/>
    </row>
    <row r="43" spans="1:21" ht="12" customHeight="1">
      <c r="A43" s="75"/>
      <c r="B43" s="5085">
        <v>33</v>
      </c>
      <c r="C43" s="2697" t="str">
        <f>Master!CU3</f>
        <v xml:space="preserve"> Bramhangoan 100 MW PP (Aggreko)</v>
      </c>
      <c r="D43" s="1928" t="str">
        <f>Master!CU5</f>
        <v>HSD</v>
      </c>
      <c r="E43" s="1958" t="str">
        <f>Master!CU4</f>
        <v>IPP</v>
      </c>
      <c r="F43" s="1945">
        <f>Master!CU7</f>
        <v>100</v>
      </c>
      <c r="G43" s="1948">
        <f>Master!CU8</f>
        <v>100</v>
      </c>
      <c r="H43" s="1959">
        <f>Forecast!M43</f>
        <v>96</v>
      </c>
      <c r="I43" s="1960">
        <f>YesterdayGen!CU34</f>
        <v>96</v>
      </c>
      <c r="J43" s="1927">
        <f t="shared" si="2"/>
        <v>0</v>
      </c>
      <c r="K43" s="1927">
        <f t="shared" si="3"/>
        <v>0</v>
      </c>
      <c r="L43" s="1936"/>
      <c r="M43" s="1021"/>
      <c r="N43" s="548"/>
      <c r="T43" s="980"/>
      <c r="U43" s="79"/>
    </row>
    <row r="44" spans="1:21" ht="12" customHeight="1">
      <c r="A44" s="75"/>
      <c r="B44" s="5083">
        <v>34</v>
      </c>
      <c r="C44" s="1721" t="str">
        <f>Master!CW3</f>
        <v>Aurahati 100MW PP (Aggreko)</v>
      </c>
      <c r="D44" s="1928" t="str">
        <f>Master!CW5</f>
        <v>HSD</v>
      </c>
      <c r="E44" s="1958" t="str">
        <f>Master!CW4</f>
        <v>IPP</v>
      </c>
      <c r="F44" s="1945">
        <f>Master!CW7</f>
        <v>100</v>
      </c>
      <c r="G44" s="1948">
        <f>Master!CW8</f>
        <v>100</v>
      </c>
      <c r="H44" s="1961">
        <f>Forecast!M44</f>
        <v>100</v>
      </c>
      <c r="I44" s="1960">
        <f>YesterdayGen!CW34</f>
        <v>100</v>
      </c>
      <c r="J44" s="1962">
        <f t="shared" si="2"/>
        <v>0</v>
      </c>
      <c r="K44" s="1962">
        <f t="shared" si="3"/>
        <v>0</v>
      </c>
      <c r="L44" s="1936"/>
      <c r="M44" s="1021"/>
      <c r="N44" s="548"/>
      <c r="T44" s="980"/>
      <c r="U44" s="79"/>
    </row>
    <row r="45" spans="1:21" ht="12" customHeight="1">
      <c r="A45" s="75"/>
      <c r="B45" s="5083">
        <v>35</v>
      </c>
      <c r="C45" s="1722" t="str">
        <f>Master!CX3</f>
        <v xml:space="preserve">Kodda 149 MW PP Unit-1 (Summit) </v>
      </c>
      <c r="D45" s="1950" t="str">
        <f>Master!CX5</f>
        <v>HFO</v>
      </c>
      <c r="E45" s="1950" t="str">
        <f>Master!CX4</f>
        <v>IPP</v>
      </c>
      <c r="F45" s="1963">
        <f>Master!CX7</f>
        <v>149</v>
      </c>
      <c r="G45" s="1951">
        <f>Master!CX8</f>
        <v>149</v>
      </c>
      <c r="H45" s="1964">
        <f>Forecast!M45</f>
        <v>149</v>
      </c>
      <c r="I45" s="1955">
        <f>YesterdayGen!CX34</f>
        <v>149</v>
      </c>
      <c r="J45" s="1965">
        <f t="shared" ref="J45:J50" si="4">IF((I45-H45)&gt;0,(I45-H45),0)</f>
        <v>0</v>
      </c>
      <c r="K45" s="1965">
        <f t="shared" ref="K45:K50" si="5">IF((H45-I45)&gt;0,(H45-I45),0)</f>
        <v>0</v>
      </c>
      <c r="L45" s="1936"/>
      <c r="M45" s="1021"/>
      <c r="N45" s="548"/>
      <c r="T45" s="980"/>
      <c r="U45" s="79"/>
    </row>
    <row r="46" spans="1:21" ht="12" customHeight="1">
      <c r="A46" s="75"/>
      <c r="B46" s="5086">
        <v>36</v>
      </c>
      <c r="C46" s="2503" t="str">
        <f>Master!DE3</f>
        <v>Gazipur 100 MW PP</v>
      </c>
      <c r="D46" s="1950" t="str">
        <f>Master!DE5</f>
        <v>HFO</v>
      </c>
      <c r="E46" s="1950" t="str">
        <f>Master!DE4</f>
        <v>RPCL</v>
      </c>
      <c r="F46" s="1963">
        <f>Master!DE7</f>
        <v>105</v>
      </c>
      <c r="G46" s="1951">
        <f>Master!DE8</f>
        <v>105</v>
      </c>
      <c r="H46" s="1964">
        <f>Forecast!M46</f>
        <v>105</v>
      </c>
      <c r="I46" s="1955">
        <f>YesterdayGen!DE34</f>
        <v>105</v>
      </c>
      <c r="J46" s="1965">
        <f t="shared" si="4"/>
        <v>0</v>
      </c>
      <c r="K46" s="1965">
        <f t="shared" si="5"/>
        <v>0</v>
      </c>
      <c r="L46" s="3252"/>
      <c r="M46" s="1021"/>
      <c r="N46" s="548"/>
      <c r="T46" s="980"/>
      <c r="U46" s="79"/>
    </row>
    <row r="47" spans="1:21" ht="12" customHeight="1">
      <c r="A47" s="75"/>
      <c r="B47" s="5086">
        <v>37</v>
      </c>
      <c r="C47" s="2503" t="str">
        <f>Master!DO3</f>
        <v>Meghnaghat 104 MW PP (OPCL)</v>
      </c>
      <c r="D47" s="1950" t="str">
        <f>Master!DO5</f>
        <v>HFO</v>
      </c>
      <c r="E47" s="1997" t="str">
        <f>Master!DO4</f>
        <v>IPP</v>
      </c>
      <c r="F47" s="1945">
        <f>Master!DO7</f>
        <v>104</v>
      </c>
      <c r="G47" s="1951">
        <f>Master!DO8</f>
        <v>104</v>
      </c>
      <c r="H47" s="1964">
        <f>Forecast!M47</f>
        <v>104</v>
      </c>
      <c r="I47" s="1955">
        <f>YesterdayGen!DO34</f>
        <v>52</v>
      </c>
      <c r="J47" s="1965">
        <f t="shared" si="4"/>
        <v>0</v>
      </c>
      <c r="K47" s="1965">
        <f t="shared" si="5"/>
        <v>52</v>
      </c>
      <c r="L47" s="1936" t="s">
        <v>1347</v>
      </c>
      <c r="M47" s="1021"/>
      <c r="N47" s="548"/>
      <c r="T47" s="980"/>
      <c r="U47" s="79"/>
    </row>
    <row r="48" spans="1:21" ht="12" customHeight="1">
      <c r="A48" s="75"/>
      <c r="B48" s="5086">
        <v>38</v>
      </c>
      <c r="C48" s="1719" t="str">
        <f>Master!DQ3</f>
        <v>Manikgonj 162MW PP(MPGL)</v>
      </c>
      <c r="D48" s="1950" t="str">
        <f>Master!DQ5</f>
        <v>HFO</v>
      </c>
      <c r="E48" s="1950" t="str">
        <f>Master!DQ4</f>
        <v>IPP</v>
      </c>
      <c r="F48" s="1991">
        <f>Master!DQ7</f>
        <v>162</v>
      </c>
      <c r="G48" s="1991">
        <f>Master!DQ8</f>
        <v>162</v>
      </c>
      <c r="H48" s="1964">
        <f>Forecast!M48</f>
        <v>162</v>
      </c>
      <c r="I48" s="1953">
        <f>YesterdayGen!DQ34</f>
        <v>162</v>
      </c>
      <c r="J48" s="1965">
        <f t="shared" si="4"/>
        <v>0</v>
      </c>
      <c r="K48" s="1965">
        <f t="shared" si="5"/>
        <v>0</v>
      </c>
      <c r="L48" s="3252"/>
      <c r="M48" s="1021"/>
      <c r="N48" s="548"/>
      <c r="T48" s="980"/>
      <c r="U48" s="79"/>
    </row>
    <row r="49" spans="1:21" ht="12" customHeight="1">
      <c r="A49" s="75"/>
      <c r="B49" s="5087">
        <v>39</v>
      </c>
      <c r="C49" s="1719" t="str">
        <f>Master!DU3</f>
        <v>Spectra Solar Plant Ltd.</v>
      </c>
      <c r="D49" s="1950" t="str">
        <f>Master!DU5</f>
        <v>Solar</v>
      </c>
      <c r="E49" s="1997" t="str">
        <f>Master!DU4</f>
        <v>IPP</v>
      </c>
      <c r="F49" s="1991">
        <f>Master!DU7</f>
        <v>35</v>
      </c>
      <c r="G49" s="1951">
        <f>Master!DU8</f>
        <v>35</v>
      </c>
      <c r="H49" s="1964">
        <f>Forecast!M49</f>
        <v>0</v>
      </c>
      <c r="I49" s="1955">
        <f>YesterdayGen!DU34</f>
        <v>0</v>
      </c>
      <c r="J49" s="1965">
        <f t="shared" si="4"/>
        <v>0</v>
      </c>
      <c r="K49" s="1965">
        <f t="shared" si="5"/>
        <v>0</v>
      </c>
      <c r="L49" s="2399"/>
      <c r="M49" s="1021"/>
      <c r="N49" s="548"/>
      <c r="T49" s="980"/>
      <c r="U49" s="79"/>
    </row>
    <row r="50" spans="1:21" s="3137" customFormat="1" ht="12" customHeight="1" thickBot="1">
      <c r="A50" s="75"/>
      <c r="B50" s="5088">
        <v>40</v>
      </c>
      <c r="C50" s="2610" t="str">
        <f>Master!DW3</f>
        <v>Kanchan Purbachal Power Generation  Ltd.</v>
      </c>
      <c r="D50" s="1966" t="str">
        <f>Master!DW5</f>
        <v>HFO</v>
      </c>
      <c r="E50" s="1966" t="str">
        <f>Master!DW4</f>
        <v>IPP</v>
      </c>
      <c r="F50" s="2611">
        <f>Master!DW7</f>
        <v>55</v>
      </c>
      <c r="G50" s="2611">
        <f>Master!DW8</f>
        <v>55</v>
      </c>
      <c r="H50" s="1967">
        <f>Forecast!M50</f>
        <v>55</v>
      </c>
      <c r="I50" s="3118">
        <f>YesterdayGen!DW34</f>
        <v>55</v>
      </c>
      <c r="J50" s="1968">
        <f t="shared" si="4"/>
        <v>0</v>
      </c>
      <c r="K50" s="1968">
        <f t="shared" si="5"/>
        <v>0</v>
      </c>
      <c r="L50" s="2612"/>
      <c r="M50" s="5062"/>
      <c r="N50" s="3138"/>
      <c r="T50" s="980"/>
      <c r="U50" s="3139"/>
    </row>
    <row r="51" spans="1:21" ht="13.5" customHeight="1" thickBot="1">
      <c r="A51" s="75"/>
      <c r="B51" s="1861"/>
      <c r="C51" s="5089" t="s">
        <v>39</v>
      </c>
      <c r="D51" s="5090"/>
      <c r="E51" s="1969"/>
      <c r="F51" s="1970">
        <f t="shared" ref="F51:K51" si="6">SUM(F9:F50)</f>
        <v>6263</v>
      </c>
      <c r="G51" s="1971">
        <f t="shared" si="6"/>
        <v>5847</v>
      </c>
      <c r="H51" s="5091">
        <f t="shared" si="6"/>
        <v>3410</v>
      </c>
      <c r="I51" s="1972">
        <f t="shared" si="6"/>
        <v>3239</v>
      </c>
      <c r="J51" s="1973">
        <f t="shared" si="6"/>
        <v>25</v>
      </c>
      <c r="K51" s="1973">
        <f t="shared" si="6"/>
        <v>247</v>
      </c>
      <c r="L51" s="5092"/>
      <c r="M51" s="1021"/>
      <c r="N51" s="1022"/>
      <c r="T51" s="980"/>
      <c r="U51" s="79"/>
    </row>
    <row r="52" spans="1:21" ht="12" customHeight="1">
      <c r="A52" s="75"/>
      <c r="B52" s="2094">
        <v>41</v>
      </c>
      <c r="C52" s="1974" t="str">
        <f>Master!AN3</f>
        <v xml:space="preserve">Chattogram TPP-1 </v>
      </c>
      <c r="D52" s="1924" t="str">
        <f>Master!AN5</f>
        <v>Gas</v>
      </c>
      <c r="E52" s="1975" t="str">
        <f>Master!AN4</f>
        <v>PDB</v>
      </c>
      <c r="F52" s="1945">
        <f>Master!AN7</f>
        <v>210</v>
      </c>
      <c r="G52" s="5093">
        <f>Master!AN8</f>
        <v>180</v>
      </c>
      <c r="H52" s="1976">
        <f>Forecast!M52</f>
        <v>100</v>
      </c>
      <c r="I52" s="1977">
        <f>YesterdayGen!AN34</f>
        <v>100</v>
      </c>
      <c r="J52" s="1927">
        <f t="shared" si="0"/>
        <v>0</v>
      </c>
      <c r="K52" s="1927">
        <f t="shared" si="1"/>
        <v>0</v>
      </c>
      <c r="L52" s="1936" t="s">
        <v>1207</v>
      </c>
      <c r="M52" s="1021"/>
      <c r="N52" s="548"/>
      <c r="T52" s="980"/>
      <c r="U52" s="79"/>
    </row>
    <row r="53" spans="1:21" ht="12" customHeight="1">
      <c r="A53" s="75"/>
      <c r="B53" s="5065"/>
      <c r="C53" s="1974" t="str">
        <f>Master!AO3</f>
        <v>Chattogram TPP-2</v>
      </c>
      <c r="D53" s="1924" t="str">
        <f>Master!AO5</f>
        <v>Gas</v>
      </c>
      <c r="E53" s="1975" t="str">
        <f>Master!AO4</f>
        <v>PDB</v>
      </c>
      <c r="F53" s="1945">
        <f>Master!AO7</f>
        <v>210</v>
      </c>
      <c r="G53" s="5093">
        <f>Master!AO8</f>
        <v>180</v>
      </c>
      <c r="H53" s="1978">
        <f>Forecast!M53</f>
        <v>0</v>
      </c>
      <c r="I53" s="1977">
        <f>YesterdayGen!AO34</f>
        <v>0</v>
      </c>
      <c r="J53" s="1927">
        <f t="shared" si="0"/>
        <v>0</v>
      </c>
      <c r="K53" s="1927">
        <f t="shared" si="1"/>
        <v>0</v>
      </c>
      <c r="L53" s="1936" t="s">
        <v>173</v>
      </c>
      <c r="M53" s="1021"/>
      <c r="N53" s="548"/>
      <c r="T53" s="980"/>
      <c r="U53" s="79"/>
    </row>
    <row r="54" spans="1:21" ht="12" customHeight="1">
      <c r="A54" s="75"/>
      <c r="B54" s="5065">
        <v>42</v>
      </c>
      <c r="C54" s="1718" t="str">
        <f>Master!AP3</f>
        <v>Raozan 25 MW PP</v>
      </c>
      <c r="D54" s="1928" t="str">
        <f>Master!AP5</f>
        <v>HFO</v>
      </c>
      <c r="E54" s="1958" t="str">
        <f>Master!AP4</f>
        <v>RPCL</v>
      </c>
      <c r="F54" s="1945">
        <f>Master!AP7</f>
        <v>25</v>
      </c>
      <c r="G54" s="1948">
        <f>Master!AP8</f>
        <v>25</v>
      </c>
      <c r="H54" s="1978">
        <f>Forecast!M54</f>
        <v>25</v>
      </c>
      <c r="I54" s="1960">
        <f>YesterdayGen!AP34</f>
        <v>25</v>
      </c>
      <c r="J54" s="1927">
        <f t="shared" si="0"/>
        <v>0</v>
      </c>
      <c r="K54" s="1927">
        <f t="shared" si="1"/>
        <v>0</v>
      </c>
      <c r="L54" s="1936"/>
      <c r="M54" s="1021"/>
      <c r="N54" s="548"/>
      <c r="T54" s="980"/>
      <c r="U54" s="79"/>
    </row>
    <row r="55" spans="1:21" ht="12" customHeight="1">
      <c r="A55" s="75"/>
      <c r="B55" s="5065">
        <v>43</v>
      </c>
      <c r="C55" s="1718" t="str">
        <f>Master!CY3</f>
        <v>Teknaf  20MW PP (Solartech)</v>
      </c>
      <c r="D55" s="1928" t="str">
        <f>Master!CY5</f>
        <v>Solar</v>
      </c>
      <c r="E55" s="1958" t="str">
        <f>Master!CY4</f>
        <v>IPP</v>
      </c>
      <c r="F55" s="1945">
        <f>Master!CY7</f>
        <v>20</v>
      </c>
      <c r="G55" s="1948">
        <f>Master!CY8</f>
        <v>20</v>
      </c>
      <c r="H55" s="1978">
        <f>Forecast!M55</f>
        <v>0</v>
      </c>
      <c r="I55" s="1960">
        <f>YesterdayGen!CY34</f>
        <v>0</v>
      </c>
      <c r="J55" s="1927">
        <f t="shared" si="0"/>
        <v>0</v>
      </c>
      <c r="K55" s="1927">
        <f t="shared" si="1"/>
        <v>0</v>
      </c>
      <c r="L55" s="3252"/>
      <c r="M55" s="1021"/>
      <c r="N55" s="548"/>
      <c r="T55" s="980"/>
      <c r="U55" s="79"/>
    </row>
    <row r="56" spans="1:21" ht="12" customHeight="1">
      <c r="A56" s="75"/>
      <c r="B56" s="5065">
        <v>44</v>
      </c>
      <c r="C56" s="1718" t="str">
        <f>Master!BA3</f>
        <v>Patenga 50MW PP (Baraka)</v>
      </c>
      <c r="D56" s="1928" t="str">
        <f>Master!BA5</f>
        <v>HFO</v>
      </c>
      <c r="E56" s="1958" t="str">
        <f>Master!BA4</f>
        <v>IPP</v>
      </c>
      <c r="F56" s="1945">
        <f>Master!BA7</f>
        <v>50</v>
      </c>
      <c r="G56" s="1948">
        <f>Master!BA8</f>
        <v>50</v>
      </c>
      <c r="H56" s="1978">
        <f>Forecast!M56</f>
        <v>32</v>
      </c>
      <c r="I56" s="1960">
        <f>YesterdayGen!BA34</f>
        <v>25</v>
      </c>
      <c r="J56" s="1927">
        <f t="shared" si="0"/>
        <v>0</v>
      </c>
      <c r="K56" s="1927">
        <f t="shared" si="1"/>
        <v>7</v>
      </c>
      <c r="L56" s="5094" t="s">
        <v>126</v>
      </c>
      <c r="M56" s="1021"/>
      <c r="N56" s="548"/>
      <c r="T56" s="980"/>
      <c r="U56" s="79"/>
    </row>
    <row r="57" spans="1:21" ht="12" customHeight="1">
      <c r="A57" s="75"/>
      <c r="B57" s="5065">
        <v>45</v>
      </c>
      <c r="C57" s="1718" t="s">
        <v>159</v>
      </c>
      <c r="D57" s="1928" t="str">
        <f>Master!AL5</f>
        <v>Hydro</v>
      </c>
      <c r="E57" s="1958" t="str">
        <f>Master!AL4</f>
        <v>PDB</v>
      </c>
      <c r="F57" s="1945">
        <f>Master!AL7+Master!AM7</f>
        <v>230</v>
      </c>
      <c r="G57" s="1948">
        <f>Master!AL8+Master!AM8</f>
        <v>230</v>
      </c>
      <c r="H57" s="1978">
        <f>Forecast!M57</f>
        <v>118</v>
      </c>
      <c r="I57" s="1960">
        <f>YesterdayGen!AL34+YesterdayGen!AM34</f>
        <v>116</v>
      </c>
      <c r="J57" s="1927">
        <f t="shared" si="0"/>
        <v>0</v>
      </c>
      <c r="K57" s="1927">
        <f t="shared" si="1"/>
        <v>2</v>
      </c>
      <c r="L57" s="3252" t="s">
        <v>1342</v>
      </c>
      <c r="M57" s="1021"/>
      <c r="N57" s="548"/>
      <c r="T57" s="980"/>
      <c r="U57" s="79"/>
    </row>
    <row r="58" spans="1:21" ht="12" customHeight="1">
      <c r="A58" s="75"/>
      <c r="B58" s="5065">
        <v>46</v>
      </c>
      <c r="C58" s="1980" t="s">
        <v>169</v>
      </c>
      <c r="D58" s="1928" t="s">
        <v>682</v>
      </c>
      <c r="E58" s="1958" t="str">
        <f>Master!AQ4</f>
        <v>PDB</v>
      </c>
      <c r="F58" s="1945">
        <f>Master!AQ7</f>
        <v>225</v>
      </c>
      <c r="G58" s="1945">
        <f>Master!AQ8</f>
        <v>225</v>
      </c>
      <c r="H58" s="1978">
        <f>Forecast!M58</f>
        <v>0</v>
      </c>
      <c r="I58" s="1960">
        <f>YesterdayGen!AQ34+YesterdayGen!AR34</f>
        <v>0</v>
      </c>
      <c r="J58" s="1927">
        <f t="shared" si="0"/>
        <v>0</v>
      </c>
      <c r="K58" s="1927">
        <f t="shared" si="1"/>
        <v>0</v>
      </c>
      <c r="L58" s="1936" t="s">
        <v>1791</v>
      </c>
      <c r="M58" s="1021"/>
      <c r="N58" s="548"/>
      <c r="T58" s="980"/>
      <c r="U58" s="79"/>
    </row>
    <row r="59" spans="1:21" ht="12" customHeight="1">
      <c r="A59" s="75"/>
      <c r="B59" s="5065">
        <v>47</v>
      </c>
      <c r="C59" s="1980" t="s">
        <v>115</v>
      </c>
      <c r="D59" s="1928" t="s">
        <v>682</v>
      </c>
      <c r="E59" s="1958" t="str">
        <f>Master!AS4</f>
        <v>PDB</v>
      </c>
      <c r="F59" s="1945">
        <f>Master!AS7</f>
        <v>150</v>
      </c>
      <c r="G59" s="1948">
        <f>Master!AS8</f>
        <v>150</v>
      </c>
      <c r="H59" s="1978">
        <f>Forecast!M59</f>
        <v>0</v>
      </c>
      <c r="I59" s="1960">
        <f>YesterdayGen!AS34+YesterdayGen!AT34</f>
        <v>0</v>
      </c>
      <c r="J59" s="1927">
        <f t="shared" si="0"/>
        <v>0</v>
      </c>
      <c r="K59" s="1927">
        <f t="shared" si="1"/>
        <v>0</v>
      </c>
      <c r="L59" s="1936" t="s">
        <v>117</v>
      </c>
      <c r="M59" s="1021"/>
      <c r="N59" s="548"/>
      <c r="T59" s="980"/>
      <c r="U59" s="79"/>
    </row>
    <row r="60" spans="1:21" ht="12" customHeight="1">
      <c r="A60" s="75"/>
      <c r="B60" s="5065">
        <v>48</v>
      </c>
      <c r="C60" s="1980" t="str">
        <f>Master!DF3</f>
        <v>Sikalbaha 105 MW PP (Baraka Sikalbaha)</v>
      </c>
      <c r="D60" s="1928" t="str">
        <f>Master!DF5</f>
        <v>HFO</v>
      </c>
      <c r="E60" s="1958" t="str">
        <f>Master!DF4</f>
        <v>IPP</v>
      </c>
      <c r="F60" s="1945">
        <f>Master!DF7</f>
        <v>105</v>
      </c>
      <c r="G60" s="1981">
        <f>Master!DF8</f>
        <v>105</v>
      </c>
      <c r="H60" s="1978">
        <f>Forecast!M60</f>
        <v>90</v>
      </c>
      <c r="I60" s="1982">
        <f>YesterdayGen!DF34</f>
        <v>105</v>
      </c>
      <c r="J60" s="1927">
        <f>IF((I60-H60)&gt;0,(I60-H60),0)</f>
        <v>15</v>
      </c>
      <c r="K60" s="1927">
        <f>IF((H60-I60)&gt;0,(H60-I60),0)</f>
        <v>0</v>
      </c>
      <c r="L60" s="1936"/>
      <c r="M60" s="1021"/>
      <c r="N60" s="548"/>
      <c r="T60" s="980"/>
      <c r="U60" s="79"/>
    </row>
    <row r="61" spans="1:21" ht="12" customHeight="1">
      <c r="A61" s="75"/>
      <c r="B61" s="5065">
        <v>49</v>
      </c>
      <c r="C61" s="1980" t="str">
        <f>Master!AW3</f>
        <v>Hathazari 100 MW peaking PP</v>
      </c>
      <c r="D61" s="1928" t="str">
        <f>Master!AW5</f>
        <v>HFO</v>
      </c>
      <c r="E61" s="1958" t="str">
        <f>Master!AW4</f>
        <v>PDB</v>
      </c>
      <c r="F61" s="1945">
        <f>Master!AW7</f>
        <v>98</v>
      </c>
      <c r="G61" s="1948">
        <f>Master!AW8</f>
        <v>98</v>
      </c>
      <c r="H61" s="1978">
        <f>Forecast!M61</f>
        <v>26</v>
      </c>
      <c r="I61" s="1960">
        <f>YesterdayGen!AW34</f>
        <v>34</v>
      </c>
      <c r="J61" s="1927">
        <f t="shared" si="0"/>
        <v>8</v>
      </c>
      <c r="K61" s="1927">
        <f t="shared" si="1"/>
        <v>0</v>
      </c>
      <c r="L61" s="1936" t="s">
        <v>1347</v>
      </c>
      <c r="M61" s="1021"/>
      <c r="N61" s="548"/>
      <c r="T61" s="980"/>
      <c r="U61" s="79"/>
    </row>
    <row r="62" spans="1:21" ht="12" customHeight="1">
      <c r="A62" s="75"/>
      <c r="B62" s="5065">
        <v>50</v>
      </c>
      <c r="C62" s="1980" t="str">
        <f>Master!AX3</f>
        <v>Dohazari -Kalaish 100 MW Peaking</v>
      </c>
      <c r="D62" s="1928" t="str">
        <f>Master!AX5</f>
        <v>HFO</v>
      </c>
      <c r="E62" s="1958" t="str">
        <f>Master!AX4</f>
        <v>PDB</v>
      </c>
      <c r="F62" s="1945">
        <f>Master!AX7</f>
        <v>102</v>
      </c>
      <c r="G62" s="1948">
        <f>Master!AX8</f>
        <v>102</v>
      </c>
      <c r="H62" s="1978">
        <f>Forecast!M62</f>
        <v>51</v>
      </c>
      <c r="I62" s="1960">
        <f>YesterdayGen!AX34</f>
        <v>51</v>
      </c>
      <c r="J62" s="1927">
        <f t="shared" si="0"/>
        <v>0</v>
      </c>
      <c r="K62" s="1927">
        <f t="shared" si="1"/>
        <v>0</v>
      </c>
      <c r="L62" s="1936" t="s">
        <v>1347</v>
      </c>
      <c r="M62" s="1021"/>
      <c r="N62" s="548"/>
      <c r="T62" s="980"/>
      <c r="U62" s="79"/>
    </row>
    <row r="63" spans="1:21" ht="12" customHeight="1">
      <c r="A63" s="75"/>
      <c r="B63" s="5065">
        <v>51</v>
      </c>
      <c r="C63" s="1980" t="str">
        <f>Master!AY3</f>
        <v>Juldah 100 MW Unit-1 (Acorn)</v>
      </c>
      <c r="D63" s="1928" t="str">
        <f>Master!AY5</f>
        <v>HFO</v>
      </c>
      <c r="E63" s="1958" t="str">
        <f>Master!AY4</f>
        <v>NENP</v>
      </c>
      <c r="F63" s="1945">
        <f>Master!AY7</f>
        <v>100</v>
      </c>
      <c r="G63" s="1948">
        <f>Master!AY8</f>
        <v>100</v>
      </c>
      <c r="H63" s="1978">
        <f>Forecast!M63</f>
        <v>56</v>
      </c>
      <c r="I63" s="1960">
        <f>YesterdayGen!AY34</f>
        <v>33</v>
      </c>
      <c r="J63" s="1927">
        <f t="shared" si="0"/>
        <v>0</v>
      </c>
      <c r="K63" s="1927">
        <f t="shared" si="1"/>
        <v>23</v>
      </c>
      <c r="L63" s="1936" t="s">
        <v>1347</v>
      </c>
      <c r="M63" s="1021"/>
      <c r="N63" s="548"/>
      <c r="T63" s="980"/>
      <c r="U63" s="79"/>
    </row>
    <row r="64" spans="1:21" ht="12" customHeight="1">
      <c r="A64" s="75"/>
      <c r="B64" s="5065">
        <v>52</v>
      </c>
      <c r="C64" s="1980" t="str">
        <f>Master!CZ3</f>
        <v>Juldah 100 MW PP Unit-3 (Acorn)</v>
      </c>
      <c r="D64" s="1928" t="str">
        <f>Master!CZ5</f>
        <v>HFO</v>
      </c>
      <c r="E64" s="1958" t="str">
        <f>Master!CZ4</f>
        <v>IPP</v>
      </c>
      <c r="F64" s="1945">
        <f>Master!CZ7</f>
        <v>100</v>
      </c>
      <c r="G64" s="1948">
        <f>Master!CZ8</f>
        <v>100</v>
      </c>
      <c r="H64" s="1978">
        <f>Forecast!M64</f>
        <v>90</v>
      </c>
      <c r="I64" s="1960">
        <f>YesterdayGen!CZ34</f>
        <v>90</v>
      </c>
      <c r="J64" s="1927">
        <f t="shared" si="0"/>
        <v>0</v>
      </c>
      <c r="K64" s="1927">
        <f t="shared" si="1"/>
        <v>0</v>
      </c>
      <c r="L64" s="1936" t="s">
        <v>126</v>
      </c>
      <c r="M64" s="1021"/>
      <c r="N64" s="548"/>
      <c r="T64" s="980"/>
      <c r="U64" s="79"/>
    </row>
    <row r="65" spans="1:21" ht="12" customHeight="1">
      <c r="A65" s="75"/>
      <c r="B65" s="5065">
        <v>53</v>
      </c>
      <c r="C65" s="1980" t="str">
        <f>Master!BB3</f>
        <v>Barabkunda  22 MW PP (Regent)</v>
      </c>
      <c r="D65" s="1928" t="str">
        <f>Master!BB5</f>
        <v>Gas</v>
      </c>
      <c r="E65" s="1947" t="str">
        <f>Master!BB4</f>
        <v>SIPP, PDB</v>
      </c>
      <c r="F65" s="1946">
        <f>Master!BB7</f>
        <v>22</v>
      </c>
      <c r="G65" s="1948">
        <f>Master!BB8</f>
        <v>22</v>
      </c>
      <c r="H65" s="1978">
        <f>Forecast!M65</f>
        <v>17</v>
      </c>
      <c r="I65" s="1960">
        <f>YesterdayGen!BB34</f>
        <v>15</v>
      </c>
      <c r="J65" s="1927">
        <f t="shared" si="0"/>
        <v>0</v>
      </c>
      <c r="K65" s="1927">
        <f t="shared" si="1"/>
        <v>2</v>
      </c>
      <c r="L65" s="1936" t="s">
        <v>126</v>
      </c>
      <c r="M65" s="1021"/>
      <c r="N65" s="548"/>
      <c r="T65" s="981"/>
      <c r="U65" s="79"/>
    </row>
    <row r="66" spans="1:21" ht="12" customHeight="1">
      <c r="A66" s="75"/>
      <c r="B66" s="5065" t="s">
        <v>143</v>
      </c>
      <c r="C66" s="1983" t="str">
        <f>Master!BC3</f>
        <v>Malancha, Ctg. EPZ (United)</v>
      </c>
      <c r="D66" s="1984" t="str">
        <f>Master!BC5</f>
        <v>Gas</v>
      </c>
      <c r="E66" s="1985"/>
      <c r="F66" s="1986"/>
      <c r="G66" s="1987"/>
      <c r="H66" s="1978">
        <f>Forecast!M66</f>
        <v>10</v>
      </c>
      <c r="I66" s="1988">
        <f>YesterdayGen!BC34</f>
        <v>30</v>
      </c>
      <c r="J66" s="1927">
        <f t="shared" si="0"/>
        <v>20</v>
      </c>
      <c r="K66" s="1927">
        <f t="shared" si="1"/>
        <v>0</v>
      </c>
      <c r="L66" s="1989"/>
      <c r="M66" s="1021"/>
      <c r="N66" s="548"/>
      <c r="T66" s="982"/>
      <c r="U66" s="79"/>
    </row>
    <row r="67" spans="1:21" ht="12" customHeight="1">
      <c r="A67" s="75"/>
      <c r="B67" s="2095">
        <v>54</v>
      </c>
      <c r="C67" s="1980" t="str">
        <f>Master!AZ3</f>
        <v>Chattogram 108 MW PP (ECPV)</v>
      </c>
      <c r="D67" s="1928" t="str">
        <f>Master!AZ5</f>
        <v>HFO</v>
      </c>
      <c r="E67" s="1947" t="str">
        <f>Master!AZ4</f>
        <v>IPP</v>
      </c>
      <c r="F67" s="1957">
        <f>Master!AZ7</f>
        <v>108</v>
      </c>
      <c r="G67" s="1948">
        <f>Master!AZ8</f>
        <v>108</v>
      </c>
      <c r="H67" s="1978">
        <f>Forecast!M67</f>
        <v>95</v>
      </c>
      <c r="I67" s="1960">
        <f>YesterdayGen!AZ34</f>
        <v>80</v>
      </c>
      <c r="J67" s="1927">
        <f t="shared" si="0"/>
        <v>0</v>
      </c>
      <c r="K67" s="1927">
        <f t="shared" si="1"/>
        <v>15</v>
      </c>
      <c r="L67" s="1936" t="s">
        <v>126</v>
      </c>
      <c r="M67" s="1021"/>
      <c r="N67" s="548"/>
      <c r="T67" s="980"/>
      <c r="U67" s="79"/>
    </row>
    <row r="68" spans="1:21" ht="12" customHeight="1">
      <c r="A68" s="75"/>
      <c r="B68" s="5065">
        <v>55</v>
      </c>
      <c r="C68" s="1980" t="str">
        <f>Master!DG3</f>
        <v>Kaptai 7 MW  Solar PP</v>
      </c>
      <c r="D68" s="1928" t="str">
        <f>Master!DG5</f>
        <v>Solar</v>
      </c>
      <c r="E68" s="1941" t="str">
        <f>Master!DG4</f>
        <v>PDB</v>
      </c>
      <c r="F68" s="1986">
        <f>Master!DG7</f>
        <v>7</v>
      </c>
      <c r="G68" s="1987">
        <f>Master!DG8</f>
        <v>7</v>
      </c>
      <c r="H68" s="1978">
        <f>Forecast!M68</f>
        <v>0</v>
      </c>
      <c r="I68" s="1988">
        <f>YesterdayGen!DG34</f>
        <v>0</v>
      </c>
      <c r="J68" s="1927">
        <f t="shared" ref="J68:J73" si="7">IF((I68-H68)&gt;0,(I68-H68),0)</f>
        <v>0</v>
      </c>
      <c r="K68" s="1962">
        <f t="shared" si="1"/>
        <v>0</v>
      </c>
      <c r="L68" s="3252"/>
      <c r="M68" s="1021"/>
      <c r="N68" s="548"/>
      <c r="T68" s="980"/>
      <c r="U68" s="79"/>
    </row>
    <row r="69" spans="1:21" ht="12" customHeight="1">
      <c r="A69" s="75"/>
      <c r="B69" s="5095">
        <v>56</v>
      </c>
      <c r="C69" s="1720" t="str">
        <f>Master!DH3</f>
        <v>Anwara 300 MW PP (United)</v>
      </c>
      <c r="D69" s="1950" t="str">
        <f>Master!DH5</f>
        <v>HFO</v>
      </c>
      <c r="E69" s="1990" t="str">
        <f>Master!DH4</f>
        <v>IPP</v>
      </c>
      <c r="F69" s="1957">
        <f>Master!DH7</f>
        <v>300</v>
      </c>
      <c r="G69" s="1948">
        <f>Master!DH8</f>
        <v>300</v>
      </c>
      <c r="H69" s="1978">
        <f>Forecast!M69</f>
        <v>214</v>
      </c>
      <c r="I69" s="1960">
        <f>YesterdayGen!DH34</f>
        <v>214</v>
      </c>
      <c r="J69" s="1927">
        <f t="shared" si="7"/>
        <v>0</v>
      </c>
      <c r="K69" s="1962">
        <f>IF((H69-I69)&gt;0,(H69-I69),0)</f>
        <v>0</v>
      </c>
      <c r="L69" s="1936" t="s">
        <v>126</v>
      </c>
      <c r="M69" s="1021"/>
      <c r="N69" s="548"/>
      <c r="T69" s="980"/>
      <c r="U69" s="79"/>
    </row>
    <row r="70" spans="1:21" ht="12" customHeight="1">
      <c r="A70" s="75"/>
      <c r="B70" s="5096">
        <v>57</v>
      </c>
      <c r="C70" s="1980" t="str">
        <f>Master!DI3</f>
        <v>Jodiac Power</v>
      </c>
      <c r="D70" s="1928" t="str">
        <f>Master!DI5</f>
        <v>HFO</v>
      </c>
      <c r="E70" s="1941" t="str">
        <f>Master!DI4</f>
        <v>IPP</v>
      </c>
      <c r="F70" s="1946">
        <f>Master!DI7</f>
        <v>54</v>
      </c>
      <c r="G70" s="1945">
        <f>Master!DI8</f>
        <v>54</v>
      </c>
      <c r="H70" s="1978">
        <f>Forecast!M70</f>
        <v>36</v>
      </c>
      <c r="I70" s="1931">
        <f>YesterdayGen!DI34</f>
        <v>36</v>
      </c>
      <c r="J70" s="1962">
        <f t="shared" si="7"/>
        <v>0</v>
      </c>
      <c r="K70" s="1962">
        <f>IF((H70-I70)&gt;0,(H70-I70),0)</f>
        <v>0</v>
      </c>
      <c r="L70" s="1936" t="s">
        <v>1347</v>
      </c>
      <c r="M70" s="1021"/>
      <c r="N70" s="548"/>
      <c r="T70" s="980"/>
      <c r="U70" s="79"/>
    </row>
    <row r="71" spans="1:21" ht="12" customHeight="1">
      <c r="A71" s="75"/>
      <c r="B71" s="5086">
        <v>58</v>
      </c>
      <c r="C71" s="1720" t="str">
        <f>Master!DJ3</f>
        <v>Karnaphuli Power Ltd.</v>
      </c>
      <c r="D71" s="1950" t="str">
        <f>Master!DJ5</f>
        <v>HFO</v>
      </c>
      <c r="E71" s="1990" t="str">
        <f>Master!DJ4</f>
        <v>IPP</v>
      </c>
      <c r="F71" s="1957">
        <f>Master!DJ7</f>
        <v>110</v>
      </c>
      <c r="G71" s="1991">
        <f>Master!DJ8</f>
        <v>110</v>
      </c>
      <c r="H71" s="1992">
        <f>Forecast!M71</f>
        <v>55</v>
      </c>
      <c r="I71" s="1953">
        <f>YesterdayGen!DJ34</f>
        <v>73</v>
      </c>
      <c r="J71" s="1962">
        <f t="shared" si="7"/>
        <v>18</v>
      </c>
      <c r="K71" s="1962">
        <f>IF((H71-I71)&gt;0,(H71-I71),0)</f>
        <v>0</v>
      </c>
      <c r="L71" s="1936" t="s">
        <v>1347</v>
      </c>
      <c r="M71" s="1021"/>
      <c r="N71" s="548"/>
      <c r="T71" s="980"/>
      <c r="U71" s="79"/>
    </row>
    <row r="72" spans="1:21" ht="12" customHeight="1">
      <c r="A72" s="75"/>
      <c r="B72" s="5086">
        <v>59</v>
      </c>
      <c r="C72" s="1720" t="str">
        <f>Master!DM3</f>
        <v>Juldah unit-2 (Acorn)</v>
      </c>
      <c r="D72" s="1950" t="str">
        <f>Master!DM5</f>
        <v>HFO</v>
      </c>
      <c r="E72" s="1956" t="str">
        <f>Master!DM4</f>
        <v>IPP</v>
      </c>
      <c r="F72" s="1946">
        <f>Master!DM7</f>
        <v>100</v>
      </c>
      <c r="G72" s="1945">
        <f>Master!DM8</f>
        <v>100</v>
      </c>
      <c r="H72" s="1978">
        <f>Forecast!M72</f>
        <v>100</v>
      </c>
      <c r="I72" s="1931">
        <f>YesterdayGen!DM34</f>
        <v>100</v>
      </c>
      <c r="J72" s="1962">
        <f t="shared" si="7"/>
        <v>0</v>
      </c>
      <c r="K72" s="1962">
        <f>IF((H72-I72)&gt;0,(H72-I72),0)</f>
        <v>0</v>
      </c>
      <c r="L72" s="3136"/>
      <c r="M72" s="1021"/>
      <c r="N72" s="548"/>
      <c r="T72" s="980"/>
      <c r="U72" s="79"/>
    </row>
    <row r="73" spans="1:21" ht="12" customHeight="1" thickBot="1">
      <c r="A73" s="75"/>
      <c r="B73" s="5088">
        <v>60</v>
      </c>
      <c r="C73" s="1720" t="str">
        <f>Master!DR3</f>
        <v>Anlima Energy Ltd.</v>
      </c>
      <c r="D73" s="1950" t="str">
        <f>Master!DR5</f>
        <v>HFO</v>
      </c>
      <c r="E73" s="1956" t="str">
        <f>Master!DR4</f>
        <v>IPP</v>
      </c>
      <c r="F73" s="2645">
        <f>Master!DR7</f>
        <v>116</v>
      </c>
      <c r="G73" s="1951">
        <f>Master!DR8</f>
        <v>116</v>
      </c>
      <c r="H73" s="1992">
        <f>Forecast!M73</f>
        <v>108</v>
      </c>
      <c r="I73" s="1955">
        <f>YesterdayGen!DR34</f>
        <v>108</v>
      </c>
      <c r="J73" s="1962">
        <f t="shared" si="7"/>
        <v>0</v>
      </c>
      <c r="K73" s="1962">
        <f>IF((H73-I73)&gt;0,(H73-I73),0)</f>
        <v>0</v>
      </c>
      <c r="L73" s="1936" t="s">
        <v>126</v>
      </c>
      <c r="M73" s="1021"/>
      <c r="N73" s="548"/>
      <c r="T73" s="980"/>
      <c r="U73" s="79"/>
    </row>
    <row r="74" spans="1:21" ht="12" customHeight="1" thickBot="1">
      <c r="A74" s="75"/>
      <c r="B74" s="1861"/>
      <c r="C74" s="5089" t="s">
        <v>862</v>
      </c>
      <c r="D74" s="5090"/>
      <c r="E74" s="1993"/>
      <c r="F74" s="5097">
        <f t="shared" ref="F74:K74" si="8">SUM(F52:F73)</f>
        <v>2442</v>
      </c>
      <c r="G74" s="1971">
        <f t="shared" si="8"/>
        <v>2382</v>
      </c>
      <c r="H74" s="5097">
        <f t="shared" si="8"/>
        <v>1223</v>
      </c>
      <c r="I74" s="1970">
        <f t="shared" si="8"/>
        <v>1235</v>
      </c>
      <c r="J74" s="1994">
        <f t="shared" si="8"/>
        <v>61</v>
      </c>
      <c r="K74" s="1994">
        <f t="shared" si="8"/>
        <v>49</v>
      </c>
      <c r="L74" s="5098"/>
      <c r="M74" s="1021"/>
      <c r="N74" s="1022"/>
      <c r="T74" s="980"/>
      <c r="U74" s="79"/>
    </row>
    <row r="75" spans="1:21" ht="12" customHeight="1">
      <c r="A75" s="75"/>
      <c r="B75" s="3183">
        <v>61</v>
      </c>
      <c r="C75" s="3029" t="str">
        <f>Master!BD3</f>
        <v>Ashuganj TPP Unit- 3</v>
      </c>
      <c r="D75" s="3030" t="str">
        <f>Master!BD5</f>
        <v>Gas</v>
      </c>
      <c r="E75" s="3031" t="str">
        <f>Master!BD4</f>
        <v>APSCL</v>
      </c>
      <c r="F75" s="3032">
        <f>Master!BD7</f>
        <v>0</v>
      </c>
      <c r="G75" s="3036">
        <f>Master!BD8</f>
        <v>0</v>
      </c>
      <c r="H75" s="3184">
        <f>Forecast!M75</f>
        <v>0</v>
      </c>
      <c r="I75" s="3033">
        <f>YesterdayGen!BD34</f>
        <v>0</v>
      </c>
      <c r="J75" s="3034">
        <f t="shared" si="0"/>
        <v>0</v>
      </c>
      <c r="K75" s="3034">
        <f t="shared" si="1"/>
        <v>0</v>
      </c>
      <c r="L75" s="3185" t="s">
        <v>847</v>
      </c>
      <c r="M75" s="1021"/>
      <c r="N75" s="548"/>
      <c r="T75" s="980"/>
      <c r="U75" s="79"/>
    </row>
    <row r="76" spans="1:21" ht="12" customHeight="1">
      <c r="A76" s="75"/>
      <c r="B76" s="3183"/>
      <c r="C76" s="3029" t="str">
        <f>Master!BE3</f>
        <v>Ashuganj TPP Unit- 4</v>
      </c>
      <c r="D76" s="3030" t="str">
        <f>Master!BE5</f>
        <v>Gas</v>
      </c>
      <c r="E76" s="3031" t="str">
        <f>Master!BE4</f>
        <v>APSCL</v>
      </c>
      <c r="F76" s="3032">
        <f>Master!BE7</f>
        <v>0</v>
      </c>
      <c r="G76" s="3036">
        <f>Master!BE8</f>
        <v>0</v>
      </c>
      <c r="H76" s="3184">
        <f>Forecast!M76</f>
        <v>0</v>
      </c>
      <c r="I76" s="3033">
        <f>YesterdayGen!BE34</f>
        <v>0</v>
      </c>
      <c r="J76" s="3034">
        <f t="shared" si="0"/>
        <v>0</v>
      </c>
      <c r="K76" s="3034">
        <f t="shared" si="1"/>
        <v>0</v>
      </c>
      <c r="L76" s="3185" t="s">
        <v>847</v>
      </c>
      <c r="M76" s="1021"/>
      <c r="N76" s="548"/>
      <c r="T76" s="980"/>
      <c r="U76" s="79"/>
    </row>
    <row r="77" spans="1:21" ht="15.75" customHeight="1">
      <c r="A77" s="75"/>
      <c r="B77" s="2096"/>
      <c r="C77" s="1718" t="str">
        <f>Master!BF3</f>
        <v>Ashuganj TPP Unit- 5</v>
      </c>
      <c r="D77" s="1928" t="str">
        <f>Master!BF5</f>
        <v>Gas</v>
      </c>
      <c r="E77" s="1958" t="str">
        <f>Master!BF4</f>
        <v>APSCL</v>
      </c>
      <c r="F77" s="1945">
        <f>Master!BF7</f>
        <v>150</v>
      </c>
      <c r="G77" s="1948">
        <f>Master!BF8</f>
        <v>134</v>
      </c>
      <c r="H77" s="1954">
        <f>Forecast!M77</f>
        <v>0</v>
      </c>
      <c r="I77" s="1960">
        <f>YesterdayGen!BF34</f>
        <v>0</v>
      </c>
      <c r="J77" s="1927">
        <f t="shared" si="0"/>
        <v>0</v>
      </c>
      <c r="K77" s="1927">
        <f t="shared" si="1"/>
        <v>0</v>
      </c>
      <c r="L77" s="4936" t="s">
        <v>173</v>
      </c>
      <c r="M77" s="1021"/>
      <c r="N77" s="548"/>
      <c r="T77" s="980"/>
      <c r="U77" s="79"/>
    </row>
    <row r="78" spans="1:21" ht="15" customHeight="1">
      <c r="A78" s="75"/>
      <c r="B78" s="5099">
        <v>62</v>
      </c>
      <c r="C78" s="1718" t="str">
        <f>Master!BI3</f>
        <v xml:space="preserve">Ashuganj 225 MW  CCPP </v>
      </c>
      <c r="D78" s="1928" t="str">
        <f>Master!BI5</f>
        <v>Gas</v>
      </c>
      <c r="E78" s="1958" t="str">
        <f>Master!BI4</f>
        <v>APSCL</v>
      </c>
      <c r="F78" s="1945">
        <f>Master!BI7</f>
        <v>221</v>
      </c>
      <c r="G78" s="1948">
        <f>Master!BI8</f>
        <v>221</v>
      </c>
      <c r="H78" s="1954">
        <f>Forecast!M78</f>
        <v>210</v>
      </c>
      <c r="I78" s="1960">
        <f>YesterdayGen!BI34</f>
        <v>208</v>
      </c>
      <c r="J78" s="1927">
        <f t="shared" si="0"/>
        <v>0</v>
      </c>
      <c r="K78" s="1927">
        <f t="shared" si="1"/>
        <v>2</v>
      </c>
      <c r="L78" s="4936" t="s">
        <v>173</v>
      </c>
      <c r="M78" s="1021"/>
      <c r="N78" s="548"/>
      <c r="T78" s="980"/>
      <c r="U78" s="79"/>
    </row>
    <row r="79" spans="1:21" ht="15" customHeight="1">
      <c r="A79" s="75"/>
      <c r="B79" s="5065">
        <v>63</v>
      </c>
      <c r="C79" s="1718" t="str">
        <f>Master!BG3</f>
        <v>Ashuganj 450 MW CCPP(North)</v>
      </c>
      <c r="D79" s="1928" t="str">
        <f>Master!BG5</f>
        <v>Gas</v>
      </c>
      <c r="E79" s="1958" t="str">
        <f>Master!BG4</f>
        <v>APSCL</v>
      </c>
      <c r="F79" s="1945">
        <f>Master!BG7</f>
        <v>360</v>
      </c>
      <c r="G79" s="1948">
        <f>Master!BG8</f>
        <v>360</v>
      </c>
      <c r="H79" s="1954">
        <f>Forecast!M79</f>
        <v>330</v>
      </c>
      <c r="I79" s="1960">
        <f>YesterdayGen!BG34</f>
        <v>320</v>
      </c>
      <c r="J79" s="1927">
        <f t="shared" si="0"/>
        <v>0</v>
      </c>
      <c r="K79" s="1927">
        <f t="shared" si="1"/>
        <v>10</v>
      </c>
      <c r="L79" s="4936" t="s">
        <v>173</v>
      </c>
      <c r="M79" s="1021"/>
      <c r="N79" s="548"/>
      <c r="T79" s="980"/>
      <c r="U79" s="79"/>
    </row>
    <row r="80" spans="1:21" ht="16.5" customHeight="1">
      <c r="A80" s="75"/>
      <c r="B80" s="5099">
        <v>64</v>
      </c>
      <c r="C80" s="1718" t="str">
        <f>Master!BH3</f>
        <v>Ashuganj 450 MW CCPP(South)</v>
      </c>
      <c r="D80" s="1928" t="str">
        <f>Master!BH5</f>
        <v>Gas</v>
      </c>
      <c r="E80" s="1958" t="str">
        <f>Master!BH4</f>
        <v>APSCL</v>
      </c>
      <c r="F80" s="1945">
        <f>Master!BH7</f>
        <v>360</v>
      </c>
      <c r="G80" s="1948">
        <f>Master!BH8</f>
        <v>360</v>
      </c>
      <c r="H80" s="1954">
        <f>Forecast!M80</f>
        <v>320</v>
      </c>
      <c r="I80" s="1960">
        <f>YesterdayGen!BH34</f>
        <v>305</v>
      </c>
      <c r="J80" s="1927">
        <f t="shared" si="0"/>
        <v>0</v>
      </c>
      <c r="K80" s="1927">
        <f t="shared" si="1"/>
        <v>15</v>
      </c>
      <c r="L80" s="4936" t="s">
        <v>173</v>
      </c>
      <c r="M80" s="1021"/>
      <c r="N80" s="548"/>
      <c r="T80" s="980"/>
      <c r="U80" s="79"/>
    </row>
    <row r="81" spans="1:21" ht="16.5" customHeight="1">
      <c r="A81" s="75"/>
      <c r="B81" s="4697"/>
      <c r="C81" s="1718" t="str">
        <f>Master!DX3</f>
        <v>Ashuganj 420 MW CCPP(East)</v>
      </c>
      <c r="D81" s="1928" t="str">
        <f>Master!DX5</f>
        <v>Gas</v>
      </c>
      <c r="E81" s="1958" t="str">
        <f>Master!DX4</f>
        <v>APSCL</v>
      </c>
      <c r="F81" s="1945">
        <f>Master!DX7</f>
        <v>284</v>
      </c>
      <c r="G81" s="1948">
        <f>Master!DX8</f>
        <v>284</v>
      </c>
      <c r="H81" s="1954">
        <f>Forecast!M81</f>
        <v>0</v>
      </c>
      <c r="I81" s="1960">
        <f>YesterdayGen!DX34</f>
        <v>0</v>
      </c>
      <c r="J81" s="1927">
        <f>IF((I81-H81)&gt;0,(I81-H81),0)</f>
        <v>0</v>
      </c>
      <c r="K81" s="1927">
        <f>IF((H81-I81)&gt;0,(H81-I81),0)</f>
        <v>0</v>
      </c>
      <c r="L81" s="3283" t="s">
        <v>1810</v>
      </c>
      <c r="M81" s="1021"/>
      <c r="N81" s="548"/>
      <c r="T81" s="980"/>
      <c r="U81" s="79"/>
    </row>
    <row r="82" spans="1:21" ht="15.75" customHeight="1">
      <c r="A82" s="75"/>
      <c r="B82" s="5065">
        <v>65</v>
      </c>
      <c r="C82" s="1718" t="str">
        <f>Master!BL3</f>
        <v xml:space="preserve">Ashuganj 50 MW PP </v>
      </c>
      <c r="D82" s="1928" t="str">
        <f>Master!BL5</f>
        <v>Gas</v>
      </c>
      <c r="E82" s="1958" t="str">
        <f>Master!BL4</f>
        <v>APSCL</v>
      </c>
      <c r="F82" s="1945">
        <f>Master!BL7</f>
        <v>53</v>
      </c>
      <c r="G82" s="1948">
        <f>Master!BL8</f>
        <v>45</v>
      </c>
      <c r="H82" s="1954">
        <f>Forecast!M82</f>
        <v>39</v>
      </c>
      <c r="I82" s="1960">
        <f>YesterdayGen!BL34</f>
        <v>41</v>
      </c>
      <c r="J82" s="1927">
        <f t="shared" si="0"/>
        <v>2</v>
      </c>
      <c r="K82" s="1927">
        <f t="shared" si="1"/>
        <v>0</v>
      </c>
      <c r="L82" s="1936" t="s">
        <v>1207</v>
      </c>
      <c r="M82" s="1021"/>
      <c r="N82" s="548"/>
      <c r="T82" s="983"/>
      <c r="U82" s="79"/>
    </row>
    <row r="83" spans="1:21" ht="12" customHeight="1">
      <c r="A83" s="75"/>
      <c r="B83" s="5099">
        <v>66</v>
      </c>
      <c r="C83" s="1718" t="str">
        <f>Master!BM3</f>
        <v xml:space="preserve">Ashuganj 55 MW PP  (Precision) </v>
      </c>
      <c r="D83" s="1928" t="str">
        <f>Master!BM5</f>
        <v>Gas</v>
      </c>
      <c r="E83" s="1958" t="str">
        <f>Master!BM4</f>
        <v>QRPP</v>
      </c>
      <c r="F83" s="1945">
        <f>Master!BM7</f>
        <v>55</v>
      </c>
      <c r="G83" s="1995">
        <f>Master!BM8</f>
        <v>55</v>
      </c>
      <c r="H83" s="1954">
        <f>Forecast!M83</f>
        <v>55</v>
      </c>
      <c r="I83" s="1960">
        <f>YesterdayGen!BM34</f>
        <v>40</v>
      </c>
      <c r="J83" s="1927">
        <f t="shared" si="0"/>
        <v>0</v>
      </c>
      <c r="K83" s="1927">
        <f t="shared" si="1"/>
        <v>15</v>
      </c>
      <c r="L83" s="1936" t="s">
        <v>173</v>
      </c>
      <c r="M83" s="1021"/>
      <c r="N83" s="548"/>
      <c r="T83" s="980"/>
      <c r="U83" s="79"/>
    </row>
    <row r="84" spans="1:21" ht="15.75" customHeight="1">
      <c r="A84" s="75"/>
      <c r="B84" s="5099">
        <v>67</v>
      </c>
      <c r="C84" s="1718" t="str">
        <f>Master!BJ3</f>
        <v xml:space="preserve">Ashuganj 195MW PP (APSCL-United) </v>
      </c>
      <c r="D84" s="1928" t="str">
        <f>Master!BJ5</f>
        <v>Gas</v>
      </c>
      <c r="E84" s="1958" t="str">
        <f>Master!BJ4</f>
        <v>IPP</v>
      </c>
      <c r="F84" s="1945">
        <f>Master!BJ7</f>
        <v>195</v>
      </c>
      <c r="G84" s="1995">
        <f>Master!BJ8</f>
        <v>195</v>
      </c>
      <c r="H84" s="1954">
        <f>Forecast!M84</f>
        <v>8</v>
      </c>
      <c r="I84" s="1960">
        <f>YesterdayGen!BJ34</f>
        <v>8</v>
      </c>
      <c r="J84" s="1927">
        <f t="shared" ref="J84:J164" si="9">IF((I84-H84)&gt;0,(I84-H84),0)</f>
        <v>0</v>
      </c>
      <c r="K84" s="1927">
        <f t="shared" ref="K84:K164" si="10">IF((H84-I84)&gt;0,(H84-I84),0)</f>
        <v>0</v>
      </c>
      <c r="L84" s="4936"/>
      <c r="M84" s="1021"/>
      <c r="N84" s="548"/>
      <c r="T84" s="980"/>
      <c r="U84" s="79"/>
    </row>
    <row r="85" spans="1:21" ht="12" customHeight="1">
      <c r="A85" s="75"/>
      <c r="B85" s="5065">
        <v>68</v>
      </c>
      <c r="C85" s="1718" t="str">
        <f>Master!BO3</f>
        <v>Ashuganj  51 MW PP (Midland)</v>
      </c>
      <c r="D85" s="1928" t="str">
        <f>Master!BO5</f>
        <v>Gas</v>
      </c>
      <c r="E85" s="1958" t="str">
        <f>Master!BO4</f>
        <v>IPP</v>
      </c>
      <c r="F85" s="1945">
        <f>Master!BO7</f>
        <v>51</v>
      </c>
      <c r="G85" s="1995">
        <f>Master!BO8</f>
        <v>51</v>
      </c>
      <c r="H85" s="1954">
        <f>Forecast!M85</f>
        <v>51</v>
      </c>
      <c r="I85" s="1960">
        <f>YesterdayGen!BO34</f>
        <v>51</v>
      </c>
      <c r="J85" s="1927">
        <f t="shared" si="9"/>
        <v>0</v>
      </c>
      <c r="K85" s="1927">
        <f t="shared" si="10"/>
        <v>0</v>
      </c>
      <c r="L85" s="1936"/>
      <c r="M85" s="1021"/>
      <c r="N85" s="548"/>
      <c r="T85" s="980"/>
      <c r="U85" s="79"/>
    </row>
    <row r="86" spans="1:21" ht="12" customHeight="1">
      <c r="A86" s="75"/>
      <c r="B86" s="5099">
        <v>69</v>
      </c>
      <c r="C86" s="1718" t="str">
        <f>Master!DB3</f>
        <v>Ashuganj 150MW PP (Midland)</v>
      </c>
      <c r="D86" s="1928" t="str">
        <f>Master!DB5</f>
        <v>HFO</v>
      </c>
      <c r="E86" s="1958" t="str">
        <f>Master!DB4</f>
        <v>IPP</v>
      </c>
      <c r="F86" s="1945">
        <f>Master!DB7</f>
        <v>150</v>
      </c>
      <c r="G86" s="1995">
        <f>Master!DB8</f>
        <v>150</v>
      </c>
      <c r="H86" s="1954">
        <f>Forecast!M86</f>
        <v>132</v>
      </c>
      <c r="I86" s="1960">
        <f>YesterdayGen!DB34</f>
        <v>122</v>
      </c>
      <c r="J86" s="1927">
        <f>IF((I86-H86)&gt;0,(I86-H86),0)</f>
        <v>0</v>
      </c>
      <c r="K86" s="1927">
        <f>IF((H86-I86)&gt;0,(H86-I86),0)</f>
        <v>10</v>
      </c>
      <c r="L86" s="1936" t="s">
        <v>126</v>
      </c>
      <c r="M86" s="1021"/>
      <c r="N86" s="548"/>
      <c r="T86" s="980"/>
      <c r="U86" s="79"/>
    </row>
    <row r="87" spans="1:21" ht="12" customHeight="1">
      <c r="A87" s="75"/>
      <c r="B87" s="5099">
        <v>70</v>
      </c>
      <c r="C87" s="1718" t="str">
        <f>Master!BQ3</f>
        <v>Titas 50 MW Peaking PP</v>
      </c>
      <c r="D87" s="1928" t="str">
        <f>Master!BQ5</f>
        <v>HFO</v>
      </c>
      <c r="E87" s="1958" t="str">
        <f>Master!BQ4</f>
        <v>PDB</v>
      </c>
      <c r="F87" s="1945">
        <f>Master!BQ7</f>
        <v>52</v>
      </c>
      <c r="G87" s="1948">
        <f>Master!BQ8</f>
        <v>52</v>
      </c>
      <c r="H87" s="1954">
        <f>Forecast!M87</f>
        <v>40</v>
      </c>
      <c r="I87" s="1960">
        <f>YesterdayGen!BQ34</f>
        <v>38</v>
      </c>
      <c r="J87" s="1927">
        <f t="shared" si="9"/>
        <v>0</v>
      </c>
      <c r="K87" s="1927">
        <f t="shared" si="10"/>
        <v>2</v>
      </c>
      <c r="L87" s="1936" t="s">
        <v>126</v>
      </c>
      <c r="M87" s="1021"/>
      <c r="N87" s="548"/>
      <c r="T87" s="980"/>
      <c r="U87" s="79"/>
    </row>
    <row r="88" spans="1:21" ht="12" customHeight="1">
      <c r="A88" s="75"/>
      <c r="B88" s="5100">
        <v>71</v>
      </c>
      <c r="C88" s="1718" t="str">
        <f>Master!BK3</f>
        <v>Chandpur 150 MW CCPP</v>
      </c>
      <c r="D88" s="1928" t="str">
        <f>Master!BK5</f>
        <v>Gas</v>
      </c>
      <c r="E88" s="1958" t="str">
        <f>Master!BK4</f>
        <v>PDB</v>
      </c>
      <c r="F88" s="1945">
        <f>Master!BK7</f>
        <v>163</v>
      </c>
      <c r="G88" s="1948">
        <f>Master!BK8</f>
        <v>163</v>
      </c>
      <c r="H88" s="1954">
        <f>Forecast!M88</f>
        <v>142</v>
      </c>
      <c r="I88" s="1960">
        <f>YesterdayGen!BK34</f>
        <v>129</v>
      </c>
      <c r="J88" s="1927">
        <f t="shared" si="9"/>
        <v>0</v>
      </c>
      <c r="K88" s="1927">
        <f t="shared" si="10"/>
        <v>13</v>
      </c>
      <c r="L88" s="1936" t="s">
        <v>1207</v>
      </c>
      <c r="M88" s="1021"/>
      <c r="N88" s="548"/>
      <c r="T88" s="980"/>
      <c r="U88" s="79"/>
    </row>
    <row r="89" spans="1:21" ht="12" customHeight="1">
      <c r="A89" s="75"/>
      <c r="B89" s="5099">
        <v>72</v>
      </c>
      <c r="C89" s="1718" t="str">
        <f>Master!DA3</f>
        <v>Chandpur 200MW (Desh energy)</v>
      </c>
      <c r="D89" s="1928" t="str">
        <f>Master!DA5</f>
        <v>HFO</v>
      </c>
      <c r="E89" s="1958" t="str">
        <f>Master!DA4</f>
        <v>IPP</v>
      </c>
      <c r="F89" s="1945">
        <f>Master!DA7</f>
        <v>200</v>
      </c>
      <c r="G89" s="1948">
        <f>Master!DA8</f>
        <v>200</v>
      </c>
      <c r="H89" s="1954">
        <f>Forecast!M89</f>
        <v>34</v>
      </c>
      <c r="I89" s="1960">
        <f>YesterdayGen!DA34</f>
        <v>34</v>
      </c>
      <c r="J89" s="1927">
        <f t="shared" si="9"/>
        <v>0</v>
      </c>
      <c r="K89" s="1927">
        <f t="shared" si="10"/>
        <v>0</v>
      </c>
      <c r="L89" s="1936" t="s">
        <v>1347</v>
      </c>
      <c r="M89" s="1021"/>
      <c r="N89" s="548"/>
      <c r="T89" s="980"/>
      <c r="U89" s="79"/>
    </row>
    <row r="90" spans="1:21" ht="12" customHeight="1">
      <c r="A90" s="75"/>
      <c r="B90" s="5100">
        <v>73</v>
      </c>
      <c r="C90" s="1718" t="str">
        <f>Master!BS3</f>
        <v>Feni  22MW PP (Doreen)</v>
      </c>
      <c r="D90" s="1928" t="str">
        <f>Master!BS5</f>
        <v>Gas</v>
      </c>
      <c r="E90" s="1947" t="str">
        <f>Master!BS4</f>
        <v>SIPP, PDB</v>
      </c>
      <c r="F90" s="1946">
        <f>Master!BS7</f>
        <v>22</v>
      </c>
      <c r="G90" s="1948">
        <f>Master!BS8</f>
        <v>22</v>
      </c>
      <c r="H90" s="1954">
        <f>Forecast!M90</f>
        <v>22</v>
      </c>
      <c r="I90" s="1960">
        <f>YesterdayGen!BS34</f>
        <v>19</v>
      </c>
      <c r="J90" s="1927">
        <f t="shared" si="9"/>
        <v>0</v>
      </c>
      <c r="K90" s="1927">
        <f>IF((H90-I90)&gt;0,(H90-I90),0)</f>
        <v>3</v>
      </c>
      <c r="L90" s="3252"/>
      <c r="M90" s="1021"/>
      <c r="N90" s="548"/>
      <c r="T90" s="980"/>
      <c r="U90" s="79"/>
    </row>
    <row r="91" spans="1:21" ht="12" customHeight="1">
      <c r="A91" s="75"/>
      <c r="B91" s="5099">
        <v>74</v>
      </c>
      <c r="C91" s="1718" t="str">
        <f>Master!BT3</f>
        <v>Feni 11 MW PP  (Doreen)</v>
      </c>
      <c r="D91" s="1928" t="str">
        <f>Master!BT5</f>
        <v>Gas</v>
      </c>
      <c r="E91" s="1947" t="str">
        <f>Master!BT4</f>
        <v>SIPP, REB</v>
      </c>
      <c r="F91" s="1946">
        <f>Master!BT7</f>
        <v>11</v>
      </c>
      <c r="G91" s="1948">
        <f>Master!BT8</f>
        <v>11</v>
      </c>
      <c r="H91" s="1954">
        <f>Forecast!M91</f>
        <v>10</v>
      </c>
      <c r="I91" s="1960">
        <f>YesterdayGen!BT34</f>
        <v>10</v>
      </c>
      <c r="J91" s="1927">
        <f t="shared" si="9"/>
        <v>0</v>
      </c>
      <c r="K91" s="1927">
        <f t="shared" si="10"/>
        <v>0</v>
      </c>
      <c r="L91" s="3252"/>
      <c r="M91" s="1021"/>
      <c r="N91" s="548"/>
      <c r="T91" s="980"/>
      <c r="U91" s="79"/>
    </row>
    <row r="92" spans="1:21" ht="12" customHeight="1">
      <c r="A92" s="75"/>
      <c r="B92" s="5101" t="s">
        <v>142</v>
      </c>
      <c r="C92" s="1996" t="str">
        <f>Master!BW3</f>
        <v>Impoprt (Tripura)</v>
      </c>
      <c r="D92" s="1932">
        <f>Master!BW5</f>
        <v>0</v>
      </c>
      <c r="E92" s="1947" t="str">
        <f>Master!BW4</f>
        <v>Imported power</v>
      </c>
      <c r="F92" s="1946">
        <f>Master!BW7</f>
        <v>160</v>
      </c>
      <c r="G92" s="1948">
        <f>Master!BW8</f>
        <v>160</v>
      </c>
      <c r="H92" s="1954">
        <f>Forecast!M92</f>
        <v>166</v>
      </c>
      <c r="I92" s="1960">
        <f>YesterdayGen!BW34</f>
        <v>160</v>
      </c>
      <c r="J92" s="1927">
        <f t="shared" si="9"/>
        <v>0</v>
      </c>
      <c r="K92" s="1927">
        <f t="shared" si="10"/>
        <v>6</v>
      </c>
      <c r="L92" s="3252"/>
      <c r="M92" s="1021"/>
      <c r="N92" s="548"/>
      <c r="T92" s="980"/>
      <c r="U92" s="79"/>
    </row>
    <row r="93" spans="1:21" ht="12" customHeight="1">
      <c r="A93" s="75"/>
      <c r="B93" s="5065">
        <v>75</v>
      </c>
      <c r="C93" s="1980" t="str">
        <f>Master!BU3</f>
        <v xml:space="preserve">Jangalia 33MW PP (Summit) </v>
      </c>
      <c r="D93" s="1928" t="str">
        <f>Master!BU5</f>
        <v>Gas</v>
      </c>
      <c r="E93" s="1947" t="str">
        <f>Master!BU4</f>
        <v>SIPP, PDB</v>
      </c>
      <c r="F93" s="1946">
        <f>Master!BU7</f>
        <v>33</v>
      </c>
      <c r="G93" s="1948">
        <f>Master!BU8</f>
        <v>33</v>
      </c>
      <c r="H93" s="1954">
        <f>Forecast!M93</f>
        <v>33</v>
      </c>
      <c r="I93" s="1960">
        <f>YesterdayGen!BU34</f>
        <v>33</v>
      </c>
      <c r="J93" s="1927">
        <f t="shared" si="9"/>
        <v>0</v>
      </c>
      <c r="K93" s="1927">
        <f t="shared" si="10"/>
        <v>0</v>
      </c>
      <c r="L93" s="3252"/>
      <c r="M93" s="1021"/>
      <c r="N93" s="548"/>
      <c r="T93" s="980"/>
      <c r="U93" s="79"/>
    </row>
    <row r="94" spans="1:21" ht="12" customHeight="1">
      <c r="A94" s="75"/>
      <c r="B94" s="5065">
        <v>76</v>
      </c>
      <c r="C94" s="1720" t="str">
        <f>Master!BR3</f>
        <v>Jangalia 52 MW PP (Lakdanavi)</v>
      </c>
      <c r="D94" s="1950" t="str">
        <f>Master!BR5</f>
        <v>HFO</v>
      </c>
      <c r="E94" s="1956" t="str">
        <f>Master!BR4</f>
        <v>IPP</v>
      </c>
      <c r="F94" s="1957">
        <f>Master!BR7</f>
        <v>52</v>
      </c>
      <c r="G94" s="1951">
        <f>Master!BR8</f>
        <v>52</v>
      </c>
      <c r="H94" s="1954">
        <f>Forecast!M94</f>
        <v>43</v>
      </c>
      <c r="I94" s="1955">
        <f>YesterdayGen!BR34</f>
        <v>43</v>
      </c>
      <c r="J94" s="1927">
        <f t="shared" si="9"/>
        <v>0</v>
      </c>
      <c r="K94" s="1927">
        <f t="shared" si="10"/>
        <v>0</v>
      </c>
      <c r="L94" s="1936" t="s">
        <v>1347</v>
      </c>
      <c r="M94" s="1021"/>
      <c r="N94" s="548"/>
      <c r="T94" s="981"/>
      <c r="U94" s="79"/>
    </row>
    <row r="95" spans="1:21" ht="12" customHeight="1">
      <c r="A95" s="75"/>
      <c r="B95" s="5065">
        <v>77</v>
      </c>
      <c r="C95" s="1719" t="str">
        <f>Master!BV3</f>
        <v>Cumilla 25 MW PP (Summit)</v>
      </c>
      <c r="D95" s="1950" t="str">
        <f>Master!BV5</f>
        <v>Gas</v>
      </c>
      <c r="E95" s="1956" t="str">
        <f>Master!BV4</f>
        <v>SIPP, REB</v>
      </c>
      <c r="F95" s="1957">
        <f>Master!BV7</f>
        <v>25</v>
      </c>
      <c r="G95" s="1951">
        <f>Master!BV8</f>
        <v>25</v>
      </c>
      <c r="H95" s="1954">
        <f>Forecast!M95</f>
        <v>20</v>
      </c>
      <c r="I95" s="1955">
        <f>YesterdayGen!BV34</f>
        <v>20</v>
      </c>
      <c r="J95" s="1927">
        <f t="shared" si="9"/>
        <v>0</v>
      </c>
      <c r="K95" s="1927">
        <f t="shared" si="10"/>
        <v>0</v>
      </c>
      <c r="L95" s="1936" t="s">
        <v>126</v>
      </c>
      <c r="M95" s="1021"/>
      <c r="N95" s="548"/>
      <c r="T95" s="980"/>
      <c r="U95" s="79"/>
    </row>
    <row r="96" spans="1:21" ht="12" customHeight="1">
      <c r="A96" s="75"/>
      <c r="B96" s="5102">
        <v>78</v>
      </c>
      <c r="C96" s="1719" t="str">
        <f>Master!CR3</f>
        <v>Daudkandi 200 MW PP (B.Trac)</v>
      </c>
      <c r="D96" s="1950" t="str">
        <f>Master!CR5</f>
        <v>HSD</v>
      </c>
      <c r="E96" s="1956" t="str">
        <f>Master!CR4</f>
        <v>IPP</v>
      </c>
      <c r="F96" s="1957">
        <f>Master!CR7</f>
        <v>200</v>
      </c>
      <c r="G96" s="1951">
        <f>Master!CR8</f>
        <v>200</v>
      </c>
      <c r="H96" s="1959">
        <f>Forecast!M96</f>
        <v>195</v>
      </c>
      <c r="I96" s="1955">
        <f>YesterdayGen!CR34</f>
        <v>195</v>
      </c>
      <c r="J96" s="1927">
        <f t="shared" si="9"/>
        <v>0</v>
      </c>
      <c r="K96" s="1927">
        <f t="shared" si="10"/>
        <v>0</v>
      </c>
      <c r="L96" s="1936"/>
      <c r="M96" s="1021"/>
      <c r="N96" s="548"/>
      <c r="T96" s="980"/>
      <c r="U96" s="79"/>
    </row>
    <row r="97" spans="1:21" ht="12" customHeight="1">
      <c r="A97" s="75"/>
      <c r="B97" s="5102">
        <v>79</v>
      </c>
      <c r="C97" s="1719" t="str">
        <f>Master!DK3</f>
        <v>Feni Lanka Power</v>
      </c>
      <c r="D97" s="1950" t="str">
        <f>Master!DK5</f>
        <v>HFO</v>
      </c>
      <c r="E97" s="1997" t="str">
        <f>Master!DK4</f>
        <v>IPP</v>
      </c>
      <c r="F97" s="1991">
        <f>Master!DK7</f>
        <v>114</v>
      </c>
      <c r="G97" s="1951">
        <f>Master!DK8</f>
        <v>114</v>
      </c>
      <c r="H97" s="2001">
        <f>Forecast!M97</f>
        <v>114</v>
      </c>
      <c r="I97" s="1955">
        <f>YesterdayGen!DK34</f>
        <v>114</v>
      </c>
      <c r="J97" s="1927">
        <f>IF((I97-H97)&gt;0,(I97-H97),0)</f>
        <v>0</v>
      </c>
      <c r="K97" s="1927">
        <f>IF((H97-I97)&gt;0,(H97-I97),0)</f>
        <v>0</v>
      </c>
      <c r="L97" s="1936"/>
      <c r="M97" s="1021"/>
      <c r="N97" s="548"/>
      <c r="T97" s="980"/>
      <c r="U97" s="79"/>
    </row>
    <row r="98" spans="1:21" ht="12" customHeight="1">
      <c r="A98" s="75"/>
      <c r="B98" s="5103">
        <v>80</v>
      </c>
      <c r="C98" s="2007" t="str">
        <f>Master!DL3</f>
        <v>Chowmuhani 113 MW</v>
      </c>
      <c r="D98" s="1950" t="str">
        <f>Master!DL5</f>
        <v>HFO</v>
      </c>
      <c r="E98" s="1997" t="str">
        <f>Master!DL4</f>
        <v>IPP</v>
      </c>
      <c r="F98" s="1991">
        <f>Master!DL7</f>
        <v>113</v>
      </c>
      <c r="G98" s="1951">
        <f>Master!DL8</f>
        <v>113</v>
      </c>
      <c r="H98" s="1959">
        <f>Forecast!M98</f>
        <v>113</v>
      </c>
      <c r="I98" s="1955">
        <f>YesterdayGen!DL34</f>
        <v>115</v>
      </c>
      <c r="J98" s="1927">
        <f>IF((I98-H98)&gt;0,(I98-H98),0)</f>
        <v>2</v>
      </c>
      <c r="K98" s="1927">
        <f>IF((H98-I98)&gt;0,(H98-I98),0)</f>
        <v>0</v>
      </c>
      <c r="L98" s="1936"/>
      <c r="M98" s="1021"/>
      <c r="N98" s="548"/>
      <c r="T98" s="980"/>
      <c r="U98" s="79"/>
    </row>
    <row r="99" spans="1:21" ht="12" customHeight="1">
      <c r="A99" s="75"/>
      <c r="B99" s="5103">
        <v>81</v>
      </c>
      <c r="C99" s="2007" t="str">
        <f>Master!DT3</f>
        <v>Bhairob 54.5 MW</v>
      </c>
      <c r="D99" s="1950" t="str">
        <f>Master!DT5</f>
        <v>HFO</v>
      </c>
      <c r="E99" s="1997" t="str">
        <f>Master!DT4</f>
        <v>IPP</v>
      </c>
      <c r="F99" s="1991">
        <f>Master!DT7</f>
        <v>54</v>
      </c>
      <c r="G99" s="1951">
        <f>Master!DT8</f>
        <v>54</v>
      </c>
      <c r="H99" s="1964">
        <f>Forecast!M99</f>
        <v>35</v>
      </c>
      <c r="I99" s="1955">
        <f>YesterdayGen!DT34</f>
        <v>6</v>
      </c>
      <c r="J99" s="1965">
        <f>IF((I99-H99)&gt;0,(I99-H99),0)</f>
        <v>0</v>
      </c>
      <c r="K99" s="1965">
        <f>IF((H99-I99)&gt;0,(H99-I99),0)</f>
        <v>29</v>
      </c>
      <c r="L99" s="2435" t="s">
        <v>1731</v>
      </c>
      <c r="M99" s="1021"/>
      <c r="N99" s="548"/>
      <c r="T99" s="980"/>
      <c r="U99" s="79"/>
    </row>
    <row r="100" spans="1:21" ht="12" customHeight="1" thickBot="1">
      <c r="A100" s="75"/>
      <c r="B100" s="5104">
        <v>82</v>
      </c>
      <c r="C100" s="3117" t="str">
        <f>Master!DV3</f>
        <v xml:space="preserve">Chandpur 115(Doreen) </v>
      </c>
      <c r="D100" s="1966" t="str">
        <f>Master!DV5</f>
        <v>HFO</v>
      </c>
      <c r="E100" s="1966" t="str">
        <f>Master!DV4</f>
        <v>IPP</v>
      </c>
      <c r="F100" s="2611">
        <f>Master!DV7</f>
        <v>115</v>
      </c>
      <c r="G100" s="2611">
        <f>Master!DV8</f>
        <v>115</v>
      </c>
      <c r="H100" s="1967">
        <f>Forecast!M100</f>
        <v>71</v>
      </c>
      <c r="I100" s="3118">
        <f>YesterdayGen!DV34</f>
        <v>75</v>
      </c>
      <c r="J100" s="1968">
        <f>IF((I100-H100)&gt;0,(I100-H100),0)</f>
        <v>4</v>
      </c>
      <c r="K100" s="1968">
        <f>IF((H100-I100)&gt;0,(H100-I100),0)</f>
        <v>0</v>
      </c>
      <c r="L100" s="3119" t="s">
        <v>1347</v>
      </c>
      <c r="M100" s="1021"/>
      <c r="N100" s="548"/>
      <c r="T100" s="980"/>
      <c r="U100" s="79"/>
    </row>
    <row r="101" spans="1:21" ht="12" customHeight="1" thickBot="1">
      <c r="A101" s="75"/>
      <c r="B101" s="1861"/>
      <c r="C101" s="5089" t="s">
        <v>860</v>
      </c>
      <c r="D101" s="5090"/>
      <c r="E101" s="1969"/>
      <c r="F101" s="1970">
        <f t="shared" ref="F101:K101" si="11">SUM(F75:F100)</f>
        <v>3193</v>
      </c>
      <c r="G101" s="1971">
        <f t="shared" si="11"/>
        <v>3169</v>
      </c>
      <c r="H101" s="5091">
        <f t="shared" si="11"/>
        <v>2183</v>
      </c>
      <c r="I101" s="1972">
        <f t="shared" si="11"/>
        <v>2086</v>
      </c>
      <c r="J101" s="1973">
        <f t="shared" si="11"/>
        <v>8</v>
      </c>
      <c r="K101" s="1973">
        <f t="shared" si="11"/>
        <v>105</v>
      </c>
      <c r="L101" s="5092"/>
      <c r="M101" s="1021"/>
      <c r="N101" s="1022"/>
      <c r="T101" s="980"/>
      <c r="U101" s="79"/>
    </row>
    <row r="102" spans="1:21" ht="12" customHeight="1">
      <c r="A102" s="75"/>
      <c r="B102" s="5102">
        <v>83</v>
      </c>
      <c r="C102" s="1974" t="str">
        <f>Master!BX3</f>
        <v>RPCL 210MW CCPP</v>
      </c>
      <c r="D102" s="1924" t="str">
        <f>Master!BX5</f>
        <v>Gas</v>
      </c>
      <c r="E102" s="1975" t="str">
        <f>Master!BX4</f>
        <v>IPP</v>
      </c>
      <c r="F102" s="2000">
        <f>Master!BX7</f>
        <v>210</v>
      </c>
      <c r="G102" s="5093">
        <f>Master!BX8</f>
        <v>202</v>
      </c>
      <c r="H102" s="1959">
        <f>Forecast!M102</f>
        <v>102</v>
      </c>
      <c r="I102" s="1977">
        <f>YesterdayGen!BX34</f>
        <v>100</v>
      </c>
      <c r="J102" s="1927">
        <f t="shared" si="9"/>
        <v>0</v>
      </c>
      <c r="K102" s="1927">
        <f t="shared" si="10"/>
        <v>2</v>
      </c>
      <c r="L102" s="1933" t="s">
        <v>173</v>
      </c>
      <c r="M102" s="1021"/>
      <c r="N102" s="548"/>
      <c r="T102" s="980"/>
      <c r="U102" s="79"/>
    </row>
    <row r="103" spans="1:21" ht="12" customHeight="1">
      <c r="A103" s="75"/>
      <c r="B103" s="5102">
        <v>84</v>
      </c>
      <c r="C103" s="1720" t="str">
        <f>Master!BZ3</f>
        <v>Tangail  22 MW PP (Doreen)</v>
      </c>
      <c r="D103" s="1950" t="str">
        <f>Master!BZ5</f>
        <v>Gas</v>
      </c>
      <c r="E103" s="1956" t="str">
        <f>Master!BZ4</f>
        <v>SIPP, PDB</v>
      </c>
      <c r="F103" s="1957">
        <f>Master!BZ7</f>
        <v>22</v>
      </c>
      <c r="G103" s="1951">
        <f>Master!BZ8</f>
        <v>22</v>
      </c>
      <c r="H103" s="1959">
        <f>Forecast!M103</f>
        <v>20</v>
      </c>
      <c r="I103" s="1955">
        <f>YesterdayGen!BZ34</f>
        <v>20</v>
      </c>
      <c r="J103" s="1927">
        <f t="shared" si="9"/>
        <v>0</v>
      </c>
      <c r="K103" s="1927">
        <f t="shared" si="10"/>
        <v>0</v>
      </c>
      <c r="L103" s="1936"/>
      <c r="M103" s="1021"/>
      <c r="N103" s="548"/>
      <c r="T103" s="980"/>
      <c r="U103" s="79"/>
    </row>
    <row r="104" spans="1:21" ht="12" customHeight="1">
      <c r="A104" s="75"/>
      <c r="B104" s="5102">
        <v>85</v>
      </c>
      <c r="C104" s="1719" t="str">
        <f>Master!BY3</f>
        <v>Jamalpur 95 MW PP(Powerpac)</v>
      </c>
      <c r="D104" s="1928" t="str">
        <f>Master!BY5</f>
        <v>HFO</v>
      </c>
      <c r="E104" s="1956" t="str">
        <f>Master!BY4</f>
        <v>IPP</v>
      </c>
      <c r="F104" s="1957">
        <f>Master!BY7</f>
        <v>95</v>
      </c>
      <c r="G104" s="1951">
        <f>Master!BY8</f>
        <v>0</v>
      </c>
      <c r="H104" s="1959">
        <f>Forecast!M104</f>
        <v>0</v>
      </c>
      <c r="I104" s="1955">
        <f>YesterdayGen!BY34</f>
        <v>0</v>
      </c>
      <c r="J104" s="1927">
        <f t="shared" ref="J104:J109" si="12">IF((I104-H104)&gt;0,(I104-H104),0)</f>
        <v>0</v>
      </c>
      <c r="K104" s="1927">
        <f t="shared" ref="K104:K109" si="13">IF((H104-I104)&gt;0,(H104-I104),0)</f>
        <v>0</v>
      </c>
      <c r="L104" s="1936" t="s">
        <v>117</v>
      </c>
      <c r="M104" s="1021"/>
      <c r="N104" s="548"/>
      <c r="T104" s="981"/>
      <c r="U104" s="79"/>
    </row>
    <row r="105" spans="1:21" ht="12" customHeight="1">
      <c r="A105" s="75"/>
      <c r="B105" s="5102">
        <v>86</v>
      </c>
      <c r="C105" s="1719" t="str">
        <f>Master!CA3</f>
        <v>Sarishabari 3 MW Solar Plant</v>
      </c>
      <c r="D105" s="1950" t="str">
        <f>Master!CA5</f>
        <v>Solar</v>
      </c>
      <c r="E105" s="1956" t="str">
        <f>Master!CA4</f>
        <v>IPP</v>
      </c>
      <c r="F105" s="1957">
        <f>Master!CA7</f>
        <v>3</v>
      </c>
      <c r="G105" s="1951">
        <f>Master!CA8</f>
        <v>3</v>
      </c>
      <c r="H105" s="1959">
        <f>Forecast!M105</f>
        <v>0</v>
      </c>
      <c r="I105" s="1955">
        <f>YesterdayGen!CA34</f>
        <v>0</v>
      </c>
      <c r="J105" s="1927">
        <f t="shared" si="12"/>
        <v>0</v>
      </c>
      <c r="K105" s="1927">
        <f t="shared" si="13"/>
        <v>0</v>
      </c>
      <c r="L105" s="1936"/>
      <c r="M105" s="1021"/>
      <c r="N105" s="548"/>
      <c r="T105" s="980"/>
      <c r="U105" s="79"/>
    </row>
    <row r="106" spans="1:21" ht="12" customHeight="1">
      <c r="A106" s="75"/>
      <c r="B106" s="5102">
        <v>87</v>
      </c>
      <c r="C106" s="1719" t="str">
        <f>Master!CV3</f>
        <v xml:space="preserve"> Mymensingh 200 MW PP (United)</v>
      </c>
      <c r="D106" s="1950" t="str">
        <f>Master!CV5</f>
        <v>HFO</v>
      </c>
      <c r="E106" s="1997" t="str">
        <f>Master!CV4</f>
        <v>IPP</v>
      </c>
      <c r="F106" s="1991">
        <f>Master!CV7</f>
        <v>200</v>
      </c>
      <c r="G106" s="1951">
        <f>Master!CV8</f>
        <v>200</v>
      </c>
      <c r="H106" s="2001">
        <f>Forecast!M106</f>
        <v>180</v>
      </c>
      <c r="I106" s="1955">
        <f>YesterdayGen!CV34</f>
        <v>154</v>
      </c>
      <c r="J106" s="1927">
        <f t="shared" si="12"/>
        <v>0</v>
      </c>
      <c r="K106" s="1927">
        <f t="shared" si="13"/>
        <v>26</v>
      </c>
      <c r="L106" s="5105" t="s">
        <v>126</v>
      </c>
      <c r="M106" s="1021"/>
      <c r="N106" s="548"/>
      <c r="T106" s="980"/>
      <c r="U106" s="79"/>
    </row>
    <row r="107" spans="1:21" ht="12" customHeight="1">
      <c r="A107" s="75"/>
      <c r="B107" s="2093">
        <v>88</v>
      </c>
      <c r="C107" s="1719" t="str">
        <f>Master!DD3</f>
        <v>Jamalpur 115 MW PP (United)</v>
      </c>
      <c r="D107" s="1950" t="str">
        <f>Master!DD5</f>
        <v>HFO</v>
      </c>
      <c r="E107" s="1997" t="str">
        <f>Master!DD4</f>
        <v>IPP</v>
      </c>
      <c r="F107" s="1991">
        <f>Master!DD7</f>
        <v>115</v>
      </c>
      <c r="G107" s="1951">
        <f>Master!DD8</f>
        <v>115</v>
      </c>
      <c r="H107" s="2014">
        <f>Forecast!M107</f>
        <v>79</v>
      </c>
      <c r="I107" s="1955">
        <f>YesterdayGen!DD34</f>
        <v>106</v>
      </c>
      <c r="J107" s="2016">
        <f t="shared" si="12"/>
        <v>27</v>
      </c>
      <c r="K107" s="2016">
        <f t="shared" si="13"/>
        <v>0</v>
      </c>
      <c r="L107" s="1936" t="s">
        <v>126</v>
      </c>
      <c r="M107" s="1021"/>
      <c r="N107" s="548"/>
      <c r="T107" s="980"/>
      <c r="U107" s="79"/>
    </row>
    <row r="108" spans="1:21" ht="12" customHeight="1">
      <c r="A108" s="75"/>
      <c r="B108" s="5103">
        <v>89</v>
      </c>
      <c r="C108" s="1718" t="str">
        <f>Master!DP3</f>
        <v>Sutiakhali 50 MW Solar PP</v>
      </c>
      <c r="D108" s="1928" t="str">
        <f>Master!DP5</f>
        <v>Solar</v>
      </c>
      <c r="E108" s="1928" t="str">
        <f>Master!DP4</f>
        <v>IPP</v>
      </c>
      <c r="F108" s="1945">
        <f>Master!DP7</f>
        <v>50</v>
      </c>
      <c r="G108" s="1945">
        <f>Master!DP8</f>
        <v>50</v>
      </c>
      <c r="H108" s="1961">
        <f>Forecast!M108</f>
        <v>0</v>
      </c>
      <c r="I108" s="1931">
        <f>YesterdayGen!DP34</f>
        <v>0</v>
      </c>
      <c r="J108" s="1962">
        <f t="shared" si="12"/>
        <v>0</v>
      </c>
      <c r="K108" s="1962">
        <f t="shared" si="13"/>
        <v>0</v>
      </c>
      <c r="L108" s="1936"/>
      <c r="M108" s="1021"/>
      <c r="N108" s="548"/>
      <c r="T108" s="980"/>
      <c r="U108" s="79"/>
    </row>
    <row r="109" spans="1:21" ht="12" customHeight="1" thickBot="1">
      <c r="A109" s="75"/>
      <c r="B109" s="5104">
        <v>90</v>
      </c>
      <c r="C109" s="1719" t="str">
        <f>Master!AV3</f>
        <v>Tangail Palli Power Gen 22 MW</v>
      </c>
      <c r="D109" s="1950" t="str">
        <f>Master!AV5</f>
        <v>HFO</v>
      </c>
      <c r="E109" s="1950" t="str">
        <f>Master!AV4</f>
        <v>IPP</v>
      </c>
      <c r="F109" s="1991">
        <f>Master!AV7</f>
        <v>22</v>
      </c>
      <c r="G109" s="1991">
        <f>Master!AV8</f>
        <v>22</v>
      </c>
      <c r="H109" s="1964">
        <f>Forecast!M109</f>
        <v>11</v>
      </c>
      <c r="I109" s="1953">
        <f>YesterdayGen!AV34</f>
        <v>6</v>
      </c>
      <c r="J109" s="1962">
        <f t="shared" si="12"/>
        <v>0</v>
      </c>
      <c r="K109" s="1962">
        <f t="shared" si="13"/>
        <v>5</v>
      </c>
      <c r="L109" s="2399" t="s">
        <v>126</v>
      </c>
      <c r="M109" s="1021"/>
      <c r="N109" s="548"/>
      <c r="T109" s="980"/>
      <c r="U109" s="79"/>
    </row>
    <row r="110" spans="1:21" ht="12" customHeight="1" thickTop="1" thickBot="1">
      <c r="A110" s="75"/>
      <c r="B110" s="1861"/>
      <c r="C110" s="5089" t="s">
        <v>122</v>
      </c>
      <c r="D110" s="5090"/>
      <c r="E110" s="1969"/>
      <c r="F110" s="2002">
        <f t="shared" ref="F110:K110" si="14">SUM(F102:F109)</f>
        <v>717</v>
      </c>
      <c r="G110" s="2003">
        <f t="shared" si="14"/>
        <v>614</v>
      </c>
      <c r="H110" s="5091">
        <f t="shared" si="14"/>
        <v>392</v>
      </c>
      <c r="I110" s="2004">
        <f t="shared" si="14"/>
        <v>386</v>
      </c>
      <c r="J110" s="2005">
        <f t="shared" si="14"/>
        <v>27</v>
      </c>
      <c r="K110" s="2005">
        <f t="shared" si="14"/>
        <v>33</v>
      </c>
      <c r="L110" s="5092"/>
      <c r="M110" s="1021"/>
      <c r="N110" s="1022"/>
      <c r="T110" s="980"/>
      <c r="U110" s="79"/>
    </row>
    <row r="111" spans="1:21" ht="12" customHeight="1">
      <c r="A111" s="75"/>
      <c r="B111" s="5065">
        <v>91</v>
      </c>
      <c r="C111" s="1718" t="str">
        <f>Master!CB3</f>
        <v>Fenchugonj CCPP Phase-1</v>
      </c>
      <c r="D111" s="1928" t="str">
        <f>Master!CB5</f>
        <v>Gas</v>
      </c>
      <c r="E111" s="1958" t="str">
        <f>Master!CB4</f>
        <v>PDB</v>
      </c>
      <c r="F111" s="1945">
        <f>Master!CB7</f>
        <v>97</v>
      </c>
      <c r="G111" s="1948">
        <f>Master!CB8</f>
        <v>70</v>
      </c>
      <c r="H111" s="1961">
        <f>Forecast!M111</f>
        <v>43</v>
      </c>
      <c r="I111" s="1960">
        <f>YesterdayGen!CB34</f>
        <v>44</v>
      </c>
      <c r="J111" s="1962">
        <f t="shared" si="9"/>
        <v>1</v>
      </c>
      <c r="K111" s="1962">
        <f t="shared" si="10"/>
        <v>0</v>
      </c>
      <c r="L111" s="3252" t="s">
        <v>1207</v>
      </c>
      <c r="M111" s="1021"/>
      <c r="N111" s="548"/>
      <c r="T111" s="980"/>
      <c r="U111" s="79"/>
    </row>
    <row r="112" spans="1:21" ht="12" customHeight="1">
      <c r="A112" s="75"/>
      <c r="B112" s="5065">
        <v>92</v>
      </c>
      <c r="C112" s="1718" t="str">
        <f>Master!CC3</f>
        <v>Fenchugonj CCPP Phase-2</v>
      </c>
      <c r="D112" s="1928" t="str">
        <f>Master!CC5</f>
        <v>Gas</v>
      </c>
      <c r="E112" s="1958" t="str">
        <f>Master!CC4</f>
        <v>PDB</v>
      </c>
      <c r="F112" s="1945">
        <f>Master!CC7</f>
        <v>104</v>
      </c>
      <c r="G112" s="1948">
        <f>Master!CC8</f>
        <v>90</v>
      </c>
      <c r="H112" s="1959">
        <f>Forecast!M112</f>
        <v>41</v>
      </c>
      <c r="I112" s="1960">
        <f>YesterdayGen!CC34</f>
        <v>41</v>
      </c>
      <c r="J112" s="1927">
        <f t="shared" si="9"/>
        <v>0</v>
      </c>
      <c r="K112" s="1927">
        <f t="shared" si="10"/>
        <v>0</v>
      </c>
      <c r="L112" s="3252" t="s">
        <v>1207</v>
      </c>
      <c r="M112" s="1021"/>
      <c r="N112" s="548"/>
      <c r="T112" s="980"/>
      <c r="U112" s="79"/>
    </row>
    <row r="113" spans="1:21" ht="12" customHeight="1">
      <c r="A113" s="75"/>
      <c r="B113" s="5065">
        <v>93</v>
      </c>
      <c r="C113" s="1718" t="str">
        <f>Master!CF3</f>
        <v>Kushiara 163 MW CCPP (KP)</v>
      </c>
      <c r="D113" s="1928" t="str">
        <f>Master!CF5</f>
        <v>Gas</v>
      </c>
      <c r="E113" s="1958" t="str">
        <f>Master!CF4</f>
        <v>IPP</v>
      </c>
      <c r="F113" s="1945">
        <f>Master!CF7</f>
        <v>163</v>
      </c>
      <c r="G113" s="1948">
        <f>Master!CF8</f>
        <v>163</v>
      </c>
      <c r="H113" s="1959">
        <f>Forecast!M113</f>
        <v>110</v>
      </c>
      <c r="I113" s="1960">
        <f>YesterdayGen!CF34</f>
        <v>110</v>
      </c>
      <c r="J113" s="1927">
        <f t="shared" si="9"/>
        <v>0</v>
      </c>
      <c r="K113" s="1927">
        <f t="shared" si="10"/>
        <v>0</v>
      </c>
      <c r="L113" s="4578" t="s">
        <v>1900</v>
      </c>
      <c r="M113" s="1021"/>
      <c r="N113" s="548"/>
      <c r="T113" s="980"/>
      <c r="U113" s="79"/>
    </row>
    <row r="114" spans="1:21" ht="12" customHeight="1">
      <c r="A114" s="75"/>
      <c r="B114" s="5065">
        <v>94</v>
      </c>
      <c r="C114" s="1718" t="str">
        <f>Master!CG3</f>
        <v>Shajibazar 330 MW CCPP</v>
      </c>
      <c r="D114" s="1928" t="str">
        <f>Master!CG5</f>
        <v>Gas</v>
      </c>
      <c r="E114" s="1958" t="str">
        <f>Master!CG4</f>
        <v>PDB</v>
      </c>
      <c r="F114" s="1945">
        <f>Master!CG7</f>
        <v>330</v>
      </c>
      <c r="G114" s="1948">
        <f>Master!CG8</f>
        <v>330</v>
      </c>
      <c r="H114" s="1959">
        <f>Forecast!M114</f>
        <v>0</v>
      </c>
      <c r="I114" s="1960">
        <f>YesterdayGen!CG34</f>
        <v>0</v>
      </c>
      <c r="J114" s="1927">
        <f t="shared" si="9"/>
        <v>0</v>
      </c>
      <c r="K114" s="1927">
        <f t="shared" si="10"/>
        <v>0</v>
      </c>
      <c r="L114" s="5106" t="s">
        <v>117</v>
      </c>
      <c r="M114" s="5063"/>
      <c r="N114" s="548"/>
      <c r="T114" s="980"/>
      <c r="U114" s="79"/>
    </row>
    <row r="115" spans="1:21" ht="12" customHeight="1">
      <c r="A115" s="75"/>
      <c r="B115" s="5065">
        <v>95</v>
      </c>
      <c r="C115" s="1980" t="str">
        <f>Master!CD3</f>
        <v xml:space="preserve">Fenchugonj 51 MW PP  (Barakatullah) </v>
      </c>
      <c r="D115" s="1928" t="str">
        <f>Master!CD5</f>
        <v>Gas</v>
      </c>
      <c r="E115" s="1958" t="str">
        <f>Master!CD4</f>
        <v xml:space="preserve">RPP </v>
      </c>
      <c r="F115" s="1945">
        <f>Master!CD7</f>
        <v>51</v>
      </c>
      <c r="G115" s="1948">
        <f>Master!CD8</f>
        <v>51</v>
      </c>
      <c r="H115" s="1959">
        <f>Forecast!M115</f>
        <v>53</v>
      </c>
      <c r="I115" s="1960">
        <f>YesterdayGen!CD34</f>
        <v>53</v>
      </c>
      <c r="J115" s="1927">
        <f t="shared" si="9"/>
        <v>0</v>
      </c>
      <c r="K115" s="1927">
        <f t="shared" si="10"/>
        <v>0</v>
      </c>
      <c r="L115" s="1936"/>
      <c r="M115" s="1021"/>
      <c r="N115" s="548"/>
      <c r="T115" s="980"/>
      <c r="U115" s="79"/>
    </row>
    <row r="116" spans="1:21" s="2880" customFormat="1" ht="12" customHeight="1">
      <c r="A116" s="3035"/>
      <c r="B116" s="5065">
        <v>96</v>
      </c>
      <c r="C116" s="1980" t="str">
        <f>Master!CE3</f>
        <v>Fenchuganj  44MW (Energyprima)</v>
      </c>
      <c r="D116" s="1928" t="str">
        <f>Master!CE5</f>
        <v>Gas</v>
      </c>
      <c r="E116" s="1958" t="str">
        <f>Master!CE4</f>
        <v>NENP</v>
      </c>
      <c r="F116" s="1945">
        <f>Master!CE7</f>
        <v>50</v>
      </c>
      <c r="G116" s="1948">
        <f>Master!CE8</f>
        <v>50</v>
      </c>
      <c r="H116" s="1959">
        <f>Forecast!M116</f>
        <v>49</v>
      </c>
      <c r="I116" s="1960">
        <f>YesterdayGen!CE34</f>
        <v>48</v>
      </c>
      <c r="J116" s="1927">
        <f t="shared" si="9"/>
        <v>0</v>
      </c>
      <c r="K116" s="1927">
        <f t="shared" si="10"/>
        <v>1</v>
      </c>
      <c r="L116" s="1936"/>
      <c r="M116" s="79"/>
      <c r="N116" s="986"/>
      <c r="O116" s="2973"/>
      <c r="T116" s="2881"/>
      <c r="U116" s="2882"/>
    </row>
    <row r="117" spans="1:21" ht="12" customHeight="1">
      <c r="A117" s="75"/>
      <c r="B117" s="5065">
        <v>97</v>
      </c>
      <c r="C117" s="1980" t="str">
        <f>Master!CQ3</f>
        <v>Hobiganj  11MW PP Cofidence-E</v>
      </c>
      <c r="D117" s="1928" t="str">
        <f>Master!CQ5</f>
        <v>Gas</v>
      </c>
      <c r="E117" s="1947" t="str">
        <f>Master!CQ4</f>
        <v>SIPP, REB</v>
      </c>
      <c r="F117" s="1946">
        <f>Master!CQ7</f>
        <v>11</v>
      </c>
      <c r="G117" s="1948">
        <f>Master!CQ8</f>
        <v>11</v>
      </c>
      <c r="H117" s="1959">
        <f>Forecast!M117</f>
        <v>11</v>
      </c>
      <c r="I117" s="1960">
        <f>YesterdayGen!CQ34</f>
        <v>0</v>
      </c>
      <c r="J117" s="1927">
        <f t="shared" si="9"/>
        <v>0</v>
      </c>
      <c r="K117" s="1927">
        <f t="shared" si="10"/>
        <v>11</v>
      </c>
      <c r="L117" s="1936"/>
      <c r="M117" s="1021"/>
      <c r="N117" s="548"/>
      <c r="T117" s="980"/>
      <c r="U117" s="79"/>
    </row>
    <row r="118" spans="1:21" ht="12" customHeight="1">
      <c r="A118" s="75"/>
      <c r="B118" s="5065">
        <v>98</v>
      </c>
      <c r="C118" s="1718" t="str">
        <f>Master!CH3</f>
        <v xml:space="preserve">Shahjibazar GTPP Unit- 8 &amp; 9 </v>
      </c>
      <c r="D118" s="1928" t="str">
        <f>Master!CH5</f>
        <v>Gas</v>
      </c>
      <c r="E118" s="1958" t="str">
        <f>Master!CH4</f>
        <v>PDB</v>
      </c>
      <c r="F118" s="1945">
        <f>Master!CH7</f>
        <v>70</v>
      </c>
      <c r="G118" s="1995">
        <f>Master!CH8</f>
        <v>66</v>
      </c>
      <c r="H118" s="1959">
        <f>Forecast!M118</f>
        <v>61</v>
      </c>
      <c r="I118" s="1960">
        <f>YesterdayGen!CH34</f>
        <v>56</v>
      </c>
      <c r="J118" s="1927">
        <f t="shared" si="9"/>
        <v>0</v>
      </c>
      <c r="K118" s="1927">
        <f t="shared" si="10"/>
        <v>5</v>
      </c>
      <c r="L118" s="3043"/>
      <c r="M118" s="1021"/>
      <c r="N118" s="548"/>
      <c r="T118" s="980"/>
      <c r="U118" s="79"/>
    </row>
    <row r="119" spans="1:21" ht="12" customHeight="1">
      <c r="A119" s="75"/>
      <c r="B119" s="5065">
        <v>99</v>
      </c>
      <c r="C119" s="1718" t="str">
        <f>Master!CI3</f>
        <v>Shahjibazar 86MW PP (Shahjibazar)</v>
      </c>
      <c r="D119" s="1928" t="str">
        <f>Master!CI5</f>
        <v>Gas</v>
      </c>
      <c r="E119" s="1958" t="str">
        <f>Master!CI4</f>
        <v xml:space="preserve">RPP </v>
      </c>
      <c r="F119" s="1945">
        <f>Master!CI7</f>
        <v>86</v>
      </c>
      <c r="G119" s="1995">
        <f>Master!CI8</f>
        <v>86</v>
      </c>
      <c r="H119" s="1959">
        <f>Forecast!M119</f>
        <v>81</v>
      </c>
      <c r="I119" s="1960">
        <f>YesterdayGen!CI34</f>
        <v>81</v>
      </c>
      <c r="J119" s="1927">
        <f>IF((I119-H119)&gt;0,(I119-H119),0)</f>
        <v>0</v>
      </c>
      <c r="K119" s="1927">
        <f t="shared" si="10"/>
        <v>0</v>
      </c>
      <c r="L119" s="3252" t="s">
        <v>126</v>
      </c>
      <c r="M119" s="1021"/>
      <c r="N119" s="548"/>
      <c r="T119" s="980"/>
      <c r="U119" s="79"/>
    </row>
    <row r="120" spans="1:21" ht="12" customHeight="1">
      <c r="A120" s="75"/>
      <c r="B120" s="5065">
        <v>100</v>
      </c>
      <c r="C120" s="1718" t="str">
        <f>Master!DS3</f>
        <v>Shahjibazar 100 MW GTPP</v>
      </c>
      <c r="D120" s="1928" t="str">
        <f>Master!DS5</f>
        <v>Gas</v>
      </c>
      <c r="E120" s="1958" t="str">
        <f>Master!DS4</f>
        <v>PDB</v>
      </c>
      <c r="F120" s="1945">
        <f>Master!DS7</f>
        <v>100</v>
      </c>
      <c r="G120" s="1995">
        <f>Master!DS8</f>
        <v>100</v>
      </c>
      <c r="H120" s="1959">
        <f>Forecast!M120</f>
        <v>0</v>
      </c>
      <c r="I120" s="1960">
        <f>YesterdayGen!DS34</f>
        <v>0</v>
      </c>
      <c r="J120" s="1927">
        <f>IF((I120-H120)&gt;0,(I120-H120),0)</f>
        <v>0</v>
      </c>
      <c r="K120" s="1927">
        <f t="shared" si="10"/>
        <v>0</v>
      </c>
      <c r="L120" s="1933" t="s">
        <v>117</v>
      </c>
      <c r="M120" s="1021"/>
      <c r="N120" s="548"/>
      <c r="T120" s="980"/>
      <c r="U120" s="79"/>
    </row>
    <row r="121" spans="1:21" ht="12" customHeight="1">
      <c r="A121" s="75"/>
      <c r="B121" s="5065">
        <v>101</v>
      </c>
      <c r="C121" s="1980" t="str">
        <f>Master!CK3</f>
        <v>Sylhet 225 MW CCPP</v>
      </c>
      <c r="D121" s="1928" t="str">
        <f>Master!CK5</f>
        <v>Gas</v>
      </c>
      <c r="E121" s="1958" t="str">
        <f>Master!CK4</f>
        <v>PDB</v>
      </c>
      <c r="F121" s="1945">
        <f>Master!CK7</f>
        <v>231</v>
      </c>
      <c r="G121" s="1948">
        <f>Master!CK8</f>
        <v>231</v>
      </c>
      <c r="H121" s="1959">
        <f>Forecast!M121</f>
        <v>220</v>
      </c>
      <c r="I121" s="1960">
        <f>YesterdayGen!CK34</f>
        <v>221</v>
      </c>
      <c r="J121" s="1927">
        <f>IF((I121-H121)&gt;0,(I121-H121),0)</f>
        <v>1</v>
      </c>
      <c r="K121" s="1927">
        <f>IF((H121-I121)&gt;0,(H121-I121),0)</f>
        <v>0</v>
      </c>
      <c r="L121" s="1933"/>
      <c r="M121" s="1021"/>
      <c r="N121" s="548"/>
      <c r="T121" s="983"/>
      <c r="U121" s="79"/>
    </row>
    <row r="122" spans="1:21" ht="12" customHeight="1">
      <c r="A122" s="75"/>
      <c r="B122" s="5065">
        <v>102</v>
      </c>
      <c r="C122" s="1718" t="str">
        <f>Master!CL3</f>
        <v>Sylhet  20 MW GTPP</v>
      </c>
      <c r="D122" s="1928" t="str">
        <f>Master!CL5</f>
        <v>Gas</v>
      </c>
      <c r="E122" s="1958" t="str">
        <f>Master!CL4</f>
        <v>PDB</v>
      </c>
      <c r="F122" s="1945">
        <f>Master!CL7</f>
        <v>20</v>
      </c>
      <c r="G122" s="1948">
        <f>Master!CL8</f>
        <v>20</v>
      </c>
      <c r="H122" s="1959">
        <f>Forecast!M122</f>
        <v>0</v>
      </c>
      <c r="I122" s="2006">
        <f>YesterdayGen!CL34</f>
        <v>0</v>
      </c>
      <c r="J122" s="1927">
        <f t="shared" si="9"/>
        <v>0</v>
      </c>
      <c r="K122" s="1927">
        <f t="shared" si="10"/>
        <v>0</v>
      </c>
      <c r="L122" s="1933" t="s">
        <v>173</v>
      </c>
      <c r="M122" s="1021"/>
      <c r="N122" s="548"/>
      <c r="T122" s="980"/>
      <c r="U122" s="79"/>
    </row>
    <row r="123" spans="1:21" ht="12" customHeight="1">
      <c r="A123" s="75"/>
      <c r="B123" s="5107">
        <v>103</v>
      </c>
      <c r="C123" s="2008" t="str">
        <f>Master!CM3</f>
        <v>Sylhet  50MW PP (EPL)</v>
      </c>
      <c r="D123" s="3528" t="str">
        <f>Master!CM5</f>
        <v>Gas</v>
      </c>
      <c r="E123" s="3529" t="str">
        <f>Master!CM4</f>
        <v>NENP</v>
      </c>
      <c r="F123" s="3533">
        <f>Master!CM7</f>
        <v>50</v>
      </c>
      <c r="G123" s="3533">
        <f>Master!CM8</f>
        <v>50</v>
      </c>
      <c r="H123" s="3530">
        <f>Forecast!M123</f>
        <v>32</v>
      </c>
      <c r="I123" s="3531">
        <f>YesterdayGen!CM34</f>
        <v>31</v>
      </c>
      <c r="J123" s="3532">
        <f t="shared" si="9"/>
        <v>0</v>
      </c>
      <c r="K123" s="3532">
        <f>IF((H123-I123)&gt;0,(H123-I123),0)</f>
        <v>1</v>
      </c>
      <c r="L123" s="3585" t="s">
        <v>173</v>
      </c>
      <c r="M123" s="1021"/>
      <c r="N123" s="548"/>
      <c r="T123" s="980"/>
      <c r="U123" s="79"/>
    </row>
    <row r="124" spans="1:21" ht="12" customHeight="1">
      <c r="A124" s="75"/>
      <c r="B124" s="5065">
        <v>104</v>
      </c>
      <c r="C124" s="1719" t="str">
        <f>Master!CP3</f>
        <v>Shahjahanulla 25 MW PP</v>
      </c>
      <c r="D124" s="1928" t="str">
        <f>Master!CP5</f>
        <v>Gas</v>
      </c>
      <c r="E124" s="1997" t="str">
        <f>Master!CP4</f>
        <v>SIPP, REB</v>
      </c>
      <c r="F124" s="1991">
        <f>Master!CP7</f>
        <v>25</v>
      </c>
      <c r="G124" s="1951">
        <f>Master!CP8</f>
        <v>25</v>
      </c>
      <c r="H124" s="1959">
        <f>Forecast!M124</f>
        <v>16</v>
      </c>
      <c r="I124" s="1955">
        <f>YesterdayGen!CP34</f>
        <v>16</v>
      </c>
      <c r="J124" s="1927">
        <f t="shared" si="9"/>
        <v>0</v>
      </c>
      <c r="K124" s="1927">
        <f>IF((H124-I124)&gt;0,(H124-I124),0)</f>
        <v>0</v>
      </c>
      <c r="L124" s="3252" t="s">
        <v>126</v>
      </c>
      <c r="M124" s="1021"/>
      <c r="N124" s="548"/>
      <c r="T124" s="980"/>
      <c r="U124" s="79"/>
    </row>
    <row r="125" spans="1:21" ht="12" customHeight="1">
      <c r="A125" s="75"/>
      <c r="B125" s="5065">
        <v>105</v>
      </c>
      <c r="C125" s="1719" t="str">
        <f>Master!CO3</f>
        <v>Bibiana-II 341 MW CCPP (Summit)</v>
      </c>
      <c r="D125" s="1950" t="str">
        <f>Master!CO5</f>
        <v>Gas</v>
      </c>
      <c r="E125" s="1997" t="str">
        <f>Master!CO4</f>
        <v>IPP</v>
      </c>
      <c r="F125" s="1991">
        <f>Master!CO7</f>
        <v>341</v>
      </c>
      <c r="G125" s="1951">
        <f>Master!CO8</f>
        <v>341</v>
      </c>
      <c r="H125" s="1959">
        <f>Forecast!M125</f>
        <v>290</v>
      </c>
      <c r="I125" s="1955">
        <f>YesterdayGen!CO34</f>
        <v>275</v>
      </c>
      <c r="J125" s="1927">
        <f t="shared" si="9"/>
        <v>0</v>
      </c>
      <c r="K125" s="1927">
        <f t="shared" si="10"/>
        <v>15</v>
      </c>
      <c r="L125" s="5108" t="s">
        <v>171</v>
      </c>
      <c r="M125" s="1021"/>
      <c r="N125" s="548"/>
      <c r="T125" s="981"/>
      <c r="U125" s="79"/>
    </row>
    <row r="126" spans="1:21" ht="12" customHeight="1">
      <c r="A126" s="75"/>
      <c r="B126" s="5065">
        <v>106</v>
      </c>
      <c r="C126" s="1719" t="str">
        <f>Master!DC3</f>
        <v>Bibiyana-III     400 MW CCPP</v>
      </c>
      <c r="D126" s="1950" t="str">
        <f>Master!DC5</f>
        <v>Gas</v>
      </c>
      <c r="E126" s="1997" t="str">
        <f>Master!DC4</f>
        <v>PDB</v>
      </c>
      <c r="F126" s="1991">
        <f>Master!DC7</f>
        <v>400</v>
      </c>
      <c r="G126" s="1951">
        <f>Master!DC8</f>
        <v>400</v>
      </c>
      <c r="H126" s="1959">
        <f>Forecast!M126</f>
        <v>400</v>
      </c>
      <c r="I126" s="1955">
        <f>YesterdayGen!DC34</f>
        <v>402</v>
      </c>
      <c r="J126" s="1927">
        <f t="shared" si="9"/>
        <v>2</v>
      </c>
      <c r="K126" s="1927">
        <f t="shared" si="10"/>
        <v>0</v>
      </c>
      <c r="L126" s="5108"/>
      <c r="M126" s="1021"/>
      <c r="N126" s="548"/>
      <c r="T126" s="981"/>
      <c r="U126" s="79"/>
    </row>
    <row r="127" spans="1:21" ht="12" customHeight="1">
      <c r="A127" s="75"/>
      <c r="B127" s="5065">
        <v>107</v>
      </c>
      <c r="C127" s="2007" t="str">
        <f>Master!CN3</f>
        <v xml:space="preserve">Sylhet 10MW PP (Desh)  </v>
      </c>
      <c r="D127" s="1950" t="str">
        <f>Master!CN5</f>
        <v>Gas</v>
      </c>
      <c r="E127" s="1997" t="str">
        <f>Master!CN4</f>
        <v xml:space="preserve">RPP </v>
      </c>
      <c r="F127" s="1991">
        <f>Master!CN7</f>
        <v>10</v>
      </c>
      <c r="G127" s="1951">
        <f>Master!CN8</f>
        <v>10</v>
      </c>
      <c r="H127" s="1959">
        <f>Forecast!M127</f>
        <v>10</v>
      </c>
      <c r="I127" s="1955">
        <f>YesterdayGen!CN34</f>
        <v>9</v>
      </c>
      <c r="J127" s="1927">
        <f t="shared" si="9"/>
        <v>0</v>
      </c>
      <c r="K127" s="1927">
        <f t="shared" si="10"/>
        <v>1</v>
      </c>
      <c r="L127" s="3252"/>
      <c r="M127" s="1021"/>
      <c r="N127" s="548"/>
      <c r="T127" s="980"/>
      <c r="U127" s="79"/>
    </row>
    <row r="128" spans="1:21" ht="12" customHeight="1" thickBot="1">
      <c r="A128" s="75"/>
      <c r="B128" s="5086">
        <v>108</v>
      </c>
      <c r="C128" s="2007" t="str">
        <f>Master!DN3</f>
        <v>Bibiyana South 400 MW</v>
      </c>
      <c r="D128" s="1950" t="str">
        <f>Master!DN5</f>
        <v>Gas</v>
      </c>
      <c r="E128" s="1997" t="str">
        <f>Master!DN4</f>
        <v>PDB</v>
      </c>
      <c r="F128" s="2611">
        <f>Master!DN7</f>
        <v>383</v>
      </c>
      <c r="G128" s="1951">
        <f>Master!DN8</f>
        <v>383</v>
      </c>
      <c r="H128" s="1964">
        <f>Forecast!M128</f>
        <v>0</v>
      </c>
      <c r="I128" s="1955">
        <f>YesterdayGen!DN34</f>
        <v>0</v>
      </c>
      <c r="J128" s="1962">
        <f>IF((I128-H128)&gt;0,(I128-H128),0)</f>
        <v>0</v>
      </c>
      <c r="K128" s="1962">
        <f>IF((H128-I128)&gt;0,(H128-I128),0)</f>
        <v>0</v>
      </c>
      <c r="L128" s="1933" t="s">
        <v>117</v>
      </c>
      <c r="M128" s="1021"/>
      <c r="N128" s="548"/>
      <c r="T128" s="980"/>
      <c r="U128" s="79"/>
    </row>
    <row r="129" spans="1:25" ht="14.25" customHeight="1" thickBot="1">
      <c r="A129" s="75"/>
      <c r="B129" s="1861"/>
      <c r="C129" s="5089" t="s">
        <v>41</v>
      </c>
      <c r="D129" s="5090"/>
      <c r="E129" s="1969"/>
      <c r="F129" s="1970">
        <f t="shared" ref="F129:K129" si="15">SUM(F111:F128)</f>
        <v>2522</v>
      </c>
      <c r="G129" s="1971">
        <f t="shared" si="15"/>
        <v>2477</v>
      </c>
      <c r="H129" s="5109">
        <f t="shared" si="15"/>
        <v>1417</v>
      </c>
      <c r="I129" s="1998">
        <f t="shared" si="15"/>
        <v>1387</v>
      </c>
      <c r="J129" s="1999">
        <f t="shared" si="15"/>
        <v>4</v>
      </c>
      <c r="K129" s="1999">
        <f t="shared" si="15"/>
        <v>34</v>
      </c>
      <c r="L129" s="5092"/>
      <c r="M129" s="1021"/>
      <c r="O129" s="3255"/>
      <c r="P129" s="3255"/>
      <c r="Q129" s="3255"/>
      <c r="R129" s="3255"/>
      <c r="S129" s="3255"/>
      <c r="T129" s="3255"/>
      <c r="U129" s="3255"/>
      <c r="V129" s="3255"/>
      <c r="W129" s="3256"/>
      <c r="X129" s="3256"/>
      <c r="Y129" s="79"/>
    </row>
    <row r="130" spans="1:25" ht="12" customHeight="1">
      <c r="A130" s="75"/>
      <c r="B130" s="5110">
        <v>109</v>
      </c>
      <c r="C130" s="1974" t="str">
        <f>Master!EA3</f>
        <v>Bheramara GTPP Unit-3</v>
      </c>
      <c r="D130" s="1924" t="str">
        <f>Master!EA5</f>
        <v>HSD</v>
      </c>
      <c r="E130" s="1975" t="str">
        <f>Master!EA4</f>
        <v>PDB</v>
      </c>
      <c r="F130" s="2000">
        <f>Master!EA7</f>
        <v>20</v>
      </c>
      <c r="G130" s="5093">
        <f>Master!EA8</f>
        <v>16</v>
      </c>
      <c r="H130" s="1959">
        <f>Forecast!M130</f>
        <v>0</v>
      </c>
      <c r="I130" s="1977">
        <f>YesterdayGen!EA34</f>
        <v>0</v>
      </c>
      <c r="J130" s="1927">
        <f t="shared" si="9"/>
        <v>0</v>
      </c>
      <c r="K130" s="1927">
        <f t="shared" si="10"/>
        <v>0</v>
      </c>
      <c r="L130" s="1979" t="s">
        <v>1172</v>
      </c>
      <c r="M130" s="1021"/>
      <c r="O130" s="3257"/>
      <c r="P130" s="3258"/>
      <c r="Q130" s="3258"/>
      <c r="R130" s="3258"/>
      <c r="S130" s="3258"/>
      <c r="T130" s="3258"/>
      <c r="U130" s="3259"/>
      <c r="V130" s="3258"/>
      <c r="W130" s="3258"/>
      <c r="X130" s="3260"/>
      <c r="Y130" s="79"/>
    </row>
    <row r="131" spans="1:25" ht="12" customHeight="1">
      <c r="A131" s="75"/>
      <c r="B131" s="5065" t="s">
        <v>142</v>
      </c>
      <c r="C131" s="1996" t="str">
        <f>Master!DZ3</f>
        <v>Bheramara (HVDC )</v>
      </c>
      <c r="D131" s="1932">
        <f>Master!DZ5</f>
        <v>0</v>
      </c>
      <c r="E131" s="1958" t="str">
        <f>Master!DZ4</f>
        <v>Imported power</v>
      </c>
      <c r="F131" s="1945">
        <f>Master!DZ7</f>
        <v>1000</v>
      </c>
      <c r="G131" s="1948">
        <f>Master!DZ8</f>
        <v>1000</v>
      </c>
      <c r="H131" s="1959">
        <f>Forecast!M131</f>
        <v>931</v>
      </c>
      <c r="I131" s="1960">
        <f>YesterdayGen!DZ34</f>
        <v>909</v>
      </c>
      <c r="J131" s="1927">
        <f t="shared" si="9"/>
        <v>0</v>
      </c>
      <c r="K131" s="1927">
        <f t="shared" si="10"/>
        <v>22</v>
      </c>
      <c r="L131" s="3252"/>
      <c r="M131" s="1021"/>
      <c r="O131" s="3254"/>
      <c r="P131" s="3254"/>
      <c r="Q131" s="3254"/>
      <c r="R131" s="3254"/>
      <c r="S131" s="3254"/>
      <c r="T131" s="3254"/>
      <c r="U131" s="3254"/>
      <c r="V131" s="3254"/>
      <c r="W131" s="3261"/>
      <c r="X131" s="3262"/>
      <c r="Y131" s="79"/>
    </row>
    <row r="132" spans="1:25" ht="12" customHeight="1">
      <c r="A132" s="75"/>
      <c r="B132" s="5065">
        <v>110</v>
      </c>
      <c r="C132" s="1718" t="str">
        <f>Master!ED3</f>
        <v>Khulna 115 PP MW (KPCL-2)</v>
      </c>
      <c r="D132" s="1928" t="str">
        <f>Master!ED5</f>
        <v>HFO</v>
      </c>
      <c r="E132" s="1958" t="str">
        <f>Master!ED4</f>
        <v>NENP</v>
      </c>
      <c r="F132" s="1945">
        <f>Master!ED7</f>
        <v>115</v>
      </c>
      <c r="G132" s="1995">
        <f>Master!ED8</f>
        <v>115</v>
      </c>
      <c r="H132" s="1959">
        <f>Forecast!M132</f>
        <v>16</v>
      </c>
      <c r="I132" s="1960">
        <f>YesterdayGen!ED34</f>
        <v>32</v>
      </c>
      <c r="J132" s="1927">
        <f t="shared" si="9"/>
        <v>16</v>
      </c>
      <c r="K132" s="1927">
        <f t="shared" si="10"/>
        <v>0</v>
      </c>
      <c r="L132" s="3252" t="s">
        <v>1347</v>
      </c>
      <c r="M132" s="1021"/>
      <c r="O132" s="3254"/>
      <c r="P132" s="79"/>
      <c r="Q132" s="79"/>
      <c r="R132" s="79"/>
      <c r="S132" s="79"/>
      <c r="T132" s="79"/>
      <c r="U132" s="980"/>
      <c r="V132" s="79"/>
      <c r="W132" s="79"/>
      <c r="X132" s="79"/>
      <c r="Y132" s="79"/>
    </row>
    <row r="133" spans="1:25" ht="12" customHeight="1">
      <c r="A133" s="75"/>
      <c r="B133" s="5065">
        <v>111</v>
      </c>
      <c r="C133" s="1718" t="str">
        <f>Master!EH3</f>
        <v>Faridpur 50 MW Peaking PP</v>
      </c>
      <c r="D133" s="1928" t="str">
        <f>Master!EH5</f>
        <v>HFO</v>
      </c>
      <c r="E133" s="1958" t="str">
        <f>Master!EH4</f>
        <v>PDB</v>
      </c>
      <c r="F133" s="1945">
        <f>Master!EH7</f>
        <v>54</v>
      </c>
      <c r="G133" s="1995">
        <f>Master!EH8</f>
        <v>54</v>
      </c>
      <c r="H133" s="1959">
        <f>Forecast!M133</f>
        <v>32</v>
      </c>
      <c r="I133" s="1960">
        <f>YesterdayGen!EH34</f>
        <v>38</v>
      </c>
      <c r="J133" s="1927">
        <f t="shared" si="9"/>
        <v>6</v>
      </c>
      <c r="K133" s="1927">
        <f t="shared" si="10"/>
        <v>0</v>
      </c>
      <c r="L133" s="1936" t="s">
        <v>126</v>
      </c>
      <c r="M133" s="1021"/>
      <c r="O133" s="3254"/>
      <c r="P133" s="79"/>
      <c r="Q133" s="79"/>
      <c r="R133" s="79"/>
      <c r="S133" s="79"/>
      <c r="T133" s="79"/>
      <c r="U133" s="980"/>
      <c r="V133" s="79"/>
      <c r="W133" s="79"/>
      <c r="X133" s="79"/>
      <c r="Y133" s="79"/>
    </row>
    <row r="134" spans="1:25" ht="12" customHeight="1">
      <c r="A134" s="75"/>
      <c r="B134" s="5065">
        <v>112</v>
      </c>
      <c r="C134" s="1718" t="str">
        <f>Master!EE3</f>
        <v>Khulna  225 MW CCPP</v>
      </c>
      <c r="D134" s="1928" t="str">
        <f>Master!EE5</f>
        <v>HSD</v>
      </c>
      <c r="E134" s="1958" t="str">
        <f>Master!EE4</f>
        <v>NWPGCL</v>
      </c>
      <c r="F134" s="1945">
        <f>Master!EE7</f>
        <v>230</v>
      </c>
      <c r="G134" s="1995">
        <f>Master!EE8</f>
        <v>230</v>
      </c>
      <c r="H134" s="1959">
        <f>Forecast!M134</f>
        <v>225</v>
      </c>
      <c r="I134" s="1960">
        <f>YesterdayGen!EE34</f>
        <v>228</v>
      </c>
      <c r="J134" s="1927">
        <f t="shared" si="9"/>
        <v>3</v>
      </c>
      <c r="K134" s="1927">
        <f t="shared" si="10"/>
        <v>0</v>
      </c>
      <c r="L134" s="3252"/>
      <c r="M134" s="1021"/>
      <c r="O134" s="3254"/>
      <c r="P134" s="79"/>
      <c r="Q134" s="79"/>
      <c r="R134" s="79"/>
      <c r="S134" s="79"/>
      <c r="T134" s="79"/>
      <c r="U134" s="980"/>
      <c r="V134" s="79"/>
      <c r="W134" s="79"/>
      <c r="X134" s="79"/>
      <c r="Y134" s="79"/>
    </row>
    <row r="135" spans="1:25" ht="12" customHeight="1">
      <c r="A135" s="75"/>
      <c r="B135" s="5065">
        <v>113</v>
      </c>
      <c r="C135" s="1718" t="str">
        <f>Master!EI3</f>
        <v>Gopalganj 100 MW Peaking PP</v>
      </c>
      <c r="D135" s="1928" t="str">
        <f>Master!EI5</f>
        <v>HFO</v>
      </c>
      <c r="E135" s="1958" t="str">
        <f>Master!EI4</f>
        <v>PDB</v>
      </c>
      <c r="F135" s="1945">
        <f>Master!EI7</f>
        <v>109</v>
      </c>
      <c r="G135" s="1995">
        <f>Master!EI8</f>
        <v>109</v>
      </c>
      <c r="H135" s="1959">
        <f>Forecast!M135</f>
        <v>70</v>
      </c>
      <c r="I135" s="1960">
        <f>YesterdayGen!EI34</f>
        <v>72</v>
      </c>
      <c r="J135" s="1927">
        <f t="shared" si="9"/>
        <v>2</v>
      </c>
      <c r="K135" s="1927">
        <f t="shared" si="10"/>
        <v>0</v>
      </c>
      <c r="L135" s="1936" t="s">
        <v>1370</v>
      </c>
      <c r="M135" s="1021"/>
      <c r="O135" s="3254"/>
      <c r="P135" s="79"/>
      <c r="Q135" s="79"/>
      <c r="R135" s="79"/>
      <c r="S135" s="79"/>
      <c r="T135" s="79"/>
      <c r="U135" s="980"/>
      <c r="V135" s="79"/>
      <c r="W135" s="79"/>
      <c r="X135" s="79"/>
      <c r="Y135" s="79"/>
    </row>
    <row r="136" spans="1:25" ht="12" customHeight="1">
      <c r="A136" s="75"/>
      <c r="B136" s="5065">
        <v>114</v>
      </c>
      <c r="C136" s="2008" t="str">
        <f>Master!EB3</f>
        <v>Bheramara 410 MW CCPP</v>
      </c>
      <c r="D136" s="1928" t="str">
        <f>Master!EB5</f>
        <v>Gas</v>
      </c>
      <c r="E136" s="1958" t="str">
        <f>Master!EB4</f>
        <v>NWPGCL</v>
      </c>
      <c r="F136" s="1945">
        <f>Master!EB7</f>
        <v>410</v>
      </c>
      <c r="G136" s="1995">
        <f>Master!EB8</f>
        <v>410</v>
      </c>
      <c r="H136" s="1959">
        <f>Forecast!M136</f>
        <v>185</v>
      </c>
      <c r="I136" s="1960">
        <f>YesterdayGen!EB34</f>
        <v>150</v>
      </c>
      <c r="J136" s="1927">
        <f t="shared" si="9"/>
        <v>0</v>
      </c>
      <c r="K136" s="1927">
        <f t="shared" si="10"/>
        <v>35</v>
      </c>
      <c r="L136" s="1933" t="s">
        <v>1892</v>
      </c>
      <c r="M136" s="1021"/>
      <c r="O136" s="3254"/>
      <c r="P136" s="79"/>
      <c r="Q136" s="79"/>
      <c r="R136" s="79"/>
      <c r="S136" s="79"/>
      <c r="T136" s="79"/>
      <c r="U136" s="980"/>
      <c r="V136" s="79"/>
      <c r="W136" s="79"/>
      <c r="X136" s="79"/>
      <c r="Y136" s="79"/>
    </row>
    <row r="137" spans="1:25" s="3025" customFormat="1" ht="12" customHeight="1">
      <c r="A137" s="3035"/>
      <c r="B137" s="5107">
        <v>115</v>
      </c>
      <c r="C137" s="2008" t="str">
        <f>Master!EJ3</f>
        <v>Noapara 40 MW PP (Khanjahan Ali)</v>
      </c>
      <c r="D137" s="3528" t="str">
        <f>Master!EJ5</f>
        <v>HFO</v>
      </c>
      <c r="E137" s="3529" t="str">
        <f>Master!EJ4</f>
        <v>NENP</v>
      </c>
      <c r="F137" s="3533">
        <f>Master!EJ7</f>
        <v>40</v>
      </c>
      <c r="G137" s="3534">
        <f>Master!EJ8</f>
        <v>40</v>
      </c>
      <c r="H137" s="3530">
        <f>Forecast!M137</f>
        <v>8</v>
      </c>
      <c r="I137" s="3531">
        <f>YesterdayGen!EJ34</f>
        <v>8</v>
      </c>
      <c r="J137" s="3532">
        <f t="shared" si="9"/>
        <v>0</v>
      </c>
      <c r="K137" s="3532">
        <f t="shared" si="10"/>
        <v>0</v>
      </c>
      <c r="L137" s="4936" t="s">
        <v>1347</v>
      </c>
      <c r="M137" s="3559"/>
      <c r="N137" s="3535"/>
      <c r="O137" s="3254"/>
      <c r="P137" s="79"/>
      <c r="Q137" s="79"/>
      <c r="R137" s="79"/>
      <c r="S137" s="79"/>
      <c r="T137" s="79"/>
      <c r="U137" s="980"/>
      <c r="V137" s="79"/>
      <c r="W137" s="79"/>
      <c r="X137" s="79"/>
      <c r="Y137" s="79"/>
    </row>
    <row r="138" spans="1:25" ht="12" customHeight="1">
      <c r="A138" s="75"/>
      <c r="B138" s="5065">
        <v>116</v>
      </c>
      <c r="C138" s="2009" t="str">
        <f>Master!FL3</f>
        <v xml:space="preserve"> Noapara 100 MW PP (Bangla Trac)</v>
      </c>
      <c r="D138" s="2010" t="str">
        <f>Master!FL5</f>
        <v>HSD</v>
      </c>
      <c r="E138" s="2011" t="str">
        <f>Master!FL4</f>
        <v>IPP</v>
      </c>
      <c r="F138" s="2012">
        <f>Master!FL7</f>
        <v>100</v>
      </c>
      <c r="G138" s="2013">
        <f>Master!FL8</f>
        <v>100</v>
      </c>
      <c r="H138" s="2014">
        <f>Forecast!M138</f>
        <v>96</v>
      </c>
      <c r="I138" s="2015">
        <f>YesterdayGen!FL34</f>
        <v>96</v>
      </c>
      <c r="J138" s="2016">
        <f>IF((I138-H138)&gt;0,(I138-H138),0)</f>
        <v>0</v>
      </c>
      <c r="K138" s="2016">
        <f>IF((H138-I138)&gt;0,(H138-I138),0)</f>
        <v>0</v>
      </c>
      <c r="L138" s="3252"/>
      <c r="M138" s="1021"/>
      <c r="N138" s="2973"/>
      <c r="O138" s="3254"/>
      <c r="P138" s="79"/>
      <c r="Q138" s="79"/>
      <c r="R138" s="79"/>
      <c r="S138" s="79"/>
      <c r="T138" s="79"/>
      <c r="U138" s="980"/>
      <c r="V138" s="79"/>
      <c r="W138" s="79"/>
      <c r="X138" s="79"/>
      <c r="Y138" s="79"/>
    </row>
    <row r="139" spans="1:25" ht="12" customHeight="1">
      <c r="A139" s="75"/>
      <c r="B139" s="5065">
        <v>117</v>
      </c>
      <c r="C139" s="1719" t="str">
        <f>Master!FP3</f>
        <v>Rupsha 105 MW PP (Orion rupsha)</v>
      </c>
      <c r="D139" s="1950" t="str">
        <f>Master!FP5</f>
        <v>HFO</v>
      </c>
      <c r="E139" s="1950" t="str">
        <f>Master!FP4</f>
        <v>IPP</v>
      </c>
      <c r="F139" s="1991">
        <f>Master!FP7</f>
        <v>105</v>
      </c>
      <c r="G139" s="1991">
        <f>Master!FP8</f>
        <v>105</v>
      </c>
      <c r="H139" s="1964">
        <f>Forecast!M139</f>
        <v>35</v>
      </c>
      <c r="I139" s="1953">
        <f>YesterdayGen!FP34</f>
        <v>53</v>
      </c>
      <c r="J139" s="1965">
        <f>IF((I139-H139)&gt;0,(I139-H139),0)</f>
        <v>18</v>
      </c>
      <c r="K139" s="1965">
        <f>IF((H139-I139)&gt;0,(H139-I139),0)</f>
        <v>0</v>
      </c>
      <c r="L139" s="3252" t="s">
        <v>1347</v>
      </c>
      <c r="M139" s="1021"/>
      <c r="N139" s="2973"/>
      <c r="O139" s="3254"/>
      <c r="P139" s="79"/>
      <c r="Q139" s="79"/>
      <c r="R139" s="79"/>
      <c r="S139" s="79"/>
      <c r="T139" s="79"/>
      <c r="U139" s="980"/>
      <c r="V139" s="79"/>
      <c r="W139" s="79"/>
      <c r="X139" s="79"/>
      <c r="Y139" s="79"/>
    </row>
    <row r="140" spans="1:25" ht="12" customHeight="1">
      <c r="A140" s="75"/>
      <c r="B140" s="5083">
        <v>118</v>
      </c>
      <c r="C140" s="1719" t="str">
        <f>Master!FS3</f>
        <v>Madhumati 100 MW PP</v>
      </c>
      <c r="D140" s="1950" t="str">
        <f>Master!FS5</f>
        <v>HFO</v>
      </c>
      <c r="E140" s="1997" t="str">
        <f>Master!FS4</f>
        <v>NWPGCL</v>
      </c>
      <c r="F140" s="1991">
        <f>Master!FS7</f>
        <v>105</v>
      </c>
      <c r="G140" s="1951">
        <f>Master!FS8</f>
        <v>105</v>
      </c>
      <c r="H140" s="1964">
        <f>Forecast!M140</f>
        <v>105</v>
      </c>
      <c r="I140" s="1955">
        <f>YesterdayGen!FS34</f>
        <v>105</v>
      </c>
      <c r="J140" s="1965">
        <f>IF((I140-H140)&gt;0,(I140-H140),0)</f>
        <v>0</v>
      </c>
      <c r="K140" s="1965">
        <f>IF((H140-I140)&gt;0,(H140-I140),0)</f>
        <v>0</v>
      </c>
      <c r="L140" s="2435"/>
      <c r="M140" s="1021"/>
      <c r="N140" s="2973"/>
      <c r="O140" s="3255"/>
      <c r="P140" s="79"/>
      <c r="Q140" s="79"/>
      <c r="R140" s="79"/>
      <c r="S140" s="79"/>
      <c r="T140" s="79"/>
      <c r="U140" s="980"/>
      <c r="V140" s="79"/>
      <c r="W140" s="79"/>
      <c r="X140" s="79"/>
      <c r="Y140" s="79"/>
    </row>
    <row r="141" spans="1:25" ht="12" customHeight="1">
      <c r="A141" s="75"/>
      <c r="B141" s="5096">
        <v>119</v>
      </c>
      <c r="C141" s="5111" t="str">
        <f>Master!GC3</f>
        <v>Mongla Orion 100 MW Solar PP</v>
      </c>
      <c r="D141" s="5112" t="str">
        <f>Master!GC5</f>
        <v>Solar</v>
      </c>
      <c r="E141" s="5112" t="str">
        <f>Master!GC4</f>
        <v>IPP</v>
      </c>
      <c r="F141" s="5113">
        <f>Master!GC7</f>
        <v>100</v>
      </c>
      <c r="G141" s="5113">
        <f>Master!GC8</f>
        <v>100</v>
      </c>
      <c r="H141" s="5114">
        <f>Forecast!M141</f>
        <v>0</v>
      </c>
      <c r="I141" s="5115">
        <f>YesterdayGen!GC34</f>
        <v>0</v>
      </c>
      <c r="J141" s="5116">
        <f>IF((I141-H141)&gt;0,(I141-H141),0)</f>
        <v>0</v>
      </c>
      <c r="K141" s="5116">
        <f>IF((H141-I141)&gt;0,(H141-I141),0)</f>
        <v>0</v>
      </c>
      <c r="L141" s="5117"/>
      <c r="M141" s="1021"/>
      <c r="N141" s="2973"/>
      <c r="O141" s="3255"/>
      <c r="P141" s="79"/>
      <c r="Q141" s="79"/>
      <c r="R141" s="79"/>
      <c r="S141" s="79"/>
      <c r="T141" s="79"/>
      <c r="U141" s="980"/>
      <c r="V141" s="79"/>
      <c r="W141" s="79"/>
      <c r="X141" s="79"/>
      <c r="Y141" s="79"/>
    </row>
    <row r="142" spans="1:25" ht="12" customHeight="1" thickBot="1">
      <c r="A142" s="75"/>
      <c r="B142" s="5088"/>
      <c r="C142" s="5118" t="str">
        <f>Master!GE3</f>
        <v>Khulna 330 MW CCPP (OIL)</v>
      </c>
      <c r="D142" s="5119" t="s">
        <v>682</v>
      </c>
      <c r="E142" s="5119" t="str">
        <f>Master!GE4</f>
        <v>BPDB</v>
      </c>
      <c r="F142" s="5120">
        <f>Master!GE7</f>
        <v>0</v>
      </c>
      <c r="G142" s="5120">
        <f>Master!GE8</f>
        <v>0</v>
      </c>
      <c r="H142" s="5121">
        <f>Forecast!M142</f>
        <v>0</v>
      </c>
      <c r="I142" s="5122">
        <f>YesterdayGen!GE34+YesterdayGen!GF34</f>
        <v>0</v>
      </c>
      <c r="J142" s="5123">
        <f>IF((I142-H142)&gt;0,(I142-H142),0)</f>
        <v>0</v>
      </c>
      <c r="K142" s="5123">
        <f>IF((H142-I142)&gt;0,(H142-I142),0)</f>
        <v>0</v>
      </c>
      <c r="L142" s="5124" t="s">
        <v>1810</v>
      </c>
      <c r="M142" s="1021"/>
      <c r="N142" s="79"/>
      <c r="O142" s="3255"/>
      <c r="P142" s="79"/>
      <c r="Q142" s="79"/>
      <c r="R142" s="79"/>
      <c r="S142" s="79"/>
      <c r="T142" s="79"/>
      <c r="U142" s="980"/>
      <c r="V142" s="79"/>
      <c r="W142" s="79"/>
      <c r="X142" s="79"/>
      <c r="Y142" s="79"/>
    </row>
    <row r="143" spans="1:25" ht="13.5" customHeight="1" thickBot="1">
      <c r="A143" s="75"/>
      <c r="B143" s="1861"/>
      <c r="C143" s="5089" t="s">
        <v>42</v>
      </c>
      <c r="D143" s="5090"/>
      <c r="E143" s="1969"/>
      <c r="F143" s="1970">
        <f t="shared" ref="F143:K143" si="16">SUM(F130:F142)</f>
        <v>2388</v>
      </c>
      <c r="G143" s="1970">
        <f t="shared" si="16"/>
        <v>2384</v>
      </c>
      <c r="H143" s="1970">
        <f t="shared" si="16"/>
        <v>1703</v>
      </c>
      <c r="I143" s="1970">
        <f t="shared" si="16"/>
        <v>1691</v>
      </c>
      <c r="J143" s="1994">
        <f t="shared" si="16"/>
        <v>45</v>
      </c>
      <c r="K143" s="1994">
        <f t="shared" si="16"/>
        <v>57</v>
      </c>
      <c r="L143" s="5092"/>
      <c r="M143" s="1021"/>
      <c r="N143" s="5145"/>
      <c r="O143" s="2973"/>
      <c r="T143" s="980"/>
      <c r="U143" s="79"/>
    </row>
    <row r="144" spans="1:25" ht="12" customHeight="1">
      <c r="A144" s="75"/>
      <c r="B144" s="5083">
        <v>120</v>
      </c>
      <c r="C144" s="1974" t="str">
        <f>Master!EM3</f>
        <v>Barisal 110 MW PP (Summit )</v>
      </c>
      <c r="D144" s="1924" t="str">
        <f>Master!EM5</f>
        <v>HFO</v>
      </c>
      <c r="E144" s="1975" t="str">
        <f>Master!EM4</f>
        <v>IPP</v>
      </c>
      <c r="F144" s="2000">
        <f>Master!EM7</f>
        <v>110</v>
      </c>
      <c r="G144" s="5093">
        <f>Master!EM8</f>
        <v>110</v>
      </c>
      <c r="H144" s="1959">
        <f>Forecast!M144</f>
        <v>64</v>
      </c>
      <c r="I144" s="1977">
        <f>YesterdayGen!EM34</f>
        <v>64</v>
      </c>
      <c r="J144" s="1927">
        <f t="shared" si="9"/>
        <v>0</v>
      </c>
      <c r="K144" s="1927">
        <f t="shared" si="10"/>
        <v>0</v>
      </c>
      <c r="L144" s="2646" t="s">
        <v>1370</v>
      </c>
      <c r="M144" s="1021"/>
      <c r="N144" s="986"/>
      <c r="O144" s="2973"/>
      <c r="T144" s="980"/>
      <c r="U144" s="79"/>
    </row>
    <row r="145" spans="1:52" ht="12" customHeight="1">
      <c r="A145" s="75"/>
      <c r="B145" s="5083">
        <v>121</v>
      </c>
      <c r="C145" s="1718" t="str">
        <f>Master!EL3</f>
        <v>Bhola  33 MW PP (Venture)</v>
      </c>
      <c r="D145" s="1928" t="str">
        <f>Master!EL5</f>
        <v>Gas</v>
      </c>
      <c r="E145" s="1958" t="str">
        <f>Master!EL4</f>
        <v>NENP</v>
      </c>
      <c r="F145" s="1945">
        <f>Master!EL7</f>
        <v>40</v>
      </c>
      <c r="G145" s="1948">
        <f>Master!EL8</f>
        <v>40</v>
      </c>
      <c r="H145" s="1959">
        <f>Forecast!M145</f>
        <v>30</v>
      </c>
      <c r="I145" s="1960">
        <f>YesterdayGen!EL34</f>
        <v>33</v>
      </c>
      <c r="J145" s="1927">
        <f t="shared" si="9"/>
        <v>3</v>
      </c>
      <c r="K145" s="1927">
        <f t="shared" si="10"/>
        <v>0</v>
      </c>
      <c r="L145" s="3252" t="s">
        <v>126</v>
      </c>
      <c r="M145" s="1021"/>
      <c r="N145" s="548"/>
      <c r="T145" s="984"/>
      <c r="U145" s="79"/>
    </row>
    <row r="146" spans="1:52" ht="12" customHeight="1">
      <c r="A146" s="75"/>
      <c r="B146" s="5065">
        <v>122</v>
      </c>
      <c r="C146" s="2009" t="str">
        <f>Master!EK3</f>
        <v>Bhola 225 MW  CCPP</v>
      </c>
      <c r="D146" s="2010" t="str">
        <f>Master!EK5</f>
        <v>Gas</v>
      </c>
      <c r="E146" s="2011" t="str">
        <f>Master!EK4</f>
        <v>PDB</v>
      </c>
      <c r="F146" s="2012">
        <f>Master!EK7</f>
        <v>194</v>
      </c>
      <c r="G146" s="2013">
        <f>Master!EK8</f>
        <v>194</v>
      </c>
      <c r="H146" s="2014">
        <f>Forecast!M146</f>
        <v>88</v>
      </c>
      <c r="I146" s="2015">
        <f>YesterdayGen!EK34</f>
        <v>88</v>
      </c>
      <c r="J146" s="2016">
        <f t="shared" ref="J146:J150" si="17">IF((I146-H146)&gt;0,(I146-H146),0)</f>
        <v>0</v>
      </c>
      <c r="K146" s="2016">
        <f t="shared" ref="K146:K150" si="18">IF((H146-I146)&gt;0,(H146-I146),0)</f>
        <v>0</v>
      </c>
      <c r="L146" s="2646" t="s">
        <v>1898</v>
      </c>
      <c r="M146" s="1021"/>
      <c r="N146" s="548"/>
      <c r="T146" s="985"/>
      <c r="U146" s="79"/>
    </row>
    <row r="147" spans="1:52" ht="12" customHeight="1">
      <c r="A147" s="75"/>
      <c r="B147" s="5071"/>
      <c r="C147" s="3586" t="str">
        <f>Master!FK3</f>
        <v>Bhola 95 MW PP (Aggreko)</v>
      </c>
      <c r="D147" s="3587" t="str">
        <f>Master!FK5</f>
        <v>Gas</v>
      </c>
      <c r="E147" s="3587" t="str">
        <f>Master!FK4</f>
        <v>QRPP</v>
      </c>
      <c r="F147" s="3588">
        <f>Master!FK7</f>
        <v>0</v>
      </c>
      <c r="G147" s="3588">
        <f>Master!FK8</f>
        <v>0</v>
      </c>
      <c r="H147" s="3589">
        <f>Forecast!M147</f>
        <v>0</v>
      </c>
      <c r="I147" s="3590">
        <f>YesterdayGen!FK34</f>
        <v>0</v>
      </c>
      <c r="J147" s="3591">
        <f t="shared" si="17"/>
        <v>0</v>
      </c>
      <c r="K147" s="3591">
        <f t="shared" si="18"/>
        <v>0</v>
      </c>
      <c r="L147" s="3592" t="s">
        <v>847</v>
      </c>
      <c r="M147" s="1021"/>
      <c r="N147" s="548"/>
      <c r="T147" s="985"/>
      <c r="U147" s="79"/>
    </row>
    <row r="148" spans="1:52" ht="12" customHeight="1">
      <c r="A148" s="75"/>
      <c r="B148" s="5083">
        <v>123</v>
      </c>
      <c r="C148" s="1718" t="str">
        <f>Master!FX3</f>
        <v>Payra 1320 MW</v>
      </c>
      <c r="D148" s="1928" t="str">
        <f>Master!FX5</f>
        <v>Coal</v>
      </c>
      <c r="E148" s="1958" t="str">
        <f>Master!FX4</f>
        <v>BCPCL</v>
      </c>
      <c r="F148" s="1945">
        <f>Master!FX7</f>
        <v>1244</v>
      </c>
      <c r="G148" s="1948">
        <f>Master!FX8</f>
        <v>1244</v>
      </c>
      <c r="H148" s="1961">
        <f>Forecast!M148</f>
        <v>600</v>
      </c>
      <c r="I148" s="1960">
        <f>YesterdayGen!FX34</f>
        <v>800</v>
      </c>
      <c r="J148" s="1962">
        <f t="shared" si="17"/>
        <v>200</v>
      </c>
      <c r="K148" s="1962">
        <f t="shared" si="18"/>
        <v>0</v>
      </c>
      <c r="L148" s="2646" t="s">
        <v>1761</v>
      </c>
      <c r="M148" s="1021"/>
      <c r="N148" s="548"/>
      <c r="T148" s="985"/>
      <c r="U148" s="79"/>
    </row>
    <row r="149" spans="1:52" ht="12" customHeight="1">
      <c r="A149" s="75"/>
      <c r="B149" s="5096">
        <v>124</v>
      </c>
      <c r="C149" s="2647" t="s">
        <v>1179</v>
      </c>
      <c r="D149" s="1924" t="str">
        <f>Master!FY5</f>
        <v>Gas</v>
      </c>
      <c r="E149" s="1924" t="str">
        <f>Master!FY4</f>
        <v>IPP</v>
      </c>
      <c r="F149" s="2000">
        <f>Master!FY7</f>
        <v>220</v>
      </c>
      <c r="G149" s="2000">
        <f>Master!FY8</f>
        <v>220</v>
      </c>
      <c r="H149" s="1959">
        <f>Forecast!M149</f>
        <v>220</v>
      </c>
      <c r="I149" s="1926">
        <f>YesterdayGen!FY34</f>
        <v>187</v>
      </c>
      <c r="J149" s="1962">
        <f t="shared" si="17"/>
        <v>0</v>
      </c>
      <c r="K149" s="1962">
        <f t="shared" si="18"/>
        <v>33</v>
      </c>
      <c r="L149" s="2646"/>
      <c r="M149" s="1021"/>
      <c r="N149" s="3264"/>
      <c r="O149" s="3263"/>
      <c r="T149" s="985"/>
      <c r="U149" s="79"/>
    </row>
    <row r="150" spans="1:52" ht="12" customHeight="1" thickBot="1">
      <c r="A150" s="75"/>
      <c r="B150" s="5086">
        <v>125</v>
      </c>
      <c r="C150" s="2503" t="str">
        <f>Master!GA3</f>
        <v>United Payra Power Ltd.</v>
      </c>
      <c r="D150" s="1950" t="str">
        <f>Master!GA5</f>
        <v>HFO</v>
      </c>
      <c r="E150" s="1950" t="str">
        <f>Master!GA4</f>
        <v>IPP</v>
      </c>
      <c r="F150" s="1991">
        <f>Master!GA7</f>
        <v>150</v>
      </c>
      <c r="G150" s="1991">
        <f>Master!GA8</f>
        <v>150</v>
      </c>
      <c r="H150" s="1964">
        <f>Forecast!M150</f>
        <v>150</v>
      </c>
      <c r="I150" s="1953">
        <f>YesterdayGen!GA34</f>
        <v>150</v>
      </c>
      <c r="J150" s="1962">
        <f t="shared" si="17"/>
        <v>0</v>
      </c>
      <c r="K150" s="1962">
        <f t="shared" si="18"/>
        <v>0</v>
      </c>
      <c r="L150" s="2646"/>
      <c r="M150" s="1021"/>
      <c r="N150" s="5146"/>
      <c r="O150" s="3263"/>
      <c r="T150" s="985"/>
      <c r="U150" s="79"/>
    </row>
    <row r="151" spans="1:52" ht="12" customHeight="1" thickBot="1">
      <c r="A151" s="75"/>
      <c r="B151" s="1861"/>
      <c r="C151" s="5089" t="s">
        <v>43</v>
      </c>
      <c r="D151" s="5090"/>
      <c r="E151" s="1969"/>
      <c r="F151" s="1970">
        <f t="shared" ref="F151:K151" si="19">SUM(F144:F150)</f>
        <v>1958</v>
      </c>
      <c r="G151" s="1970">
        <f t="shared" si="19"/>
        <v>1958</v>
      </c>
      <c r="H151" s="1970">
        <f t="shared" si="19"/>
        <v>1152</v>
      </c>
      <c r="I151" s="1970">
        <f t="shared" si="19"/>
        <v>1322</v>
      </c>
      <c r="J151" s="1994">
        <f t="shared" si="19"/>
        <v>203</v>
      </c>
      <c r="K151" s="1994">
        <f t="shared" si="19"/>
        <v>33</v>
      </c>
      <c r="L151" s="5092"/>
      <c r="M151" s="1021"/>
      <c r="N151" s="5147"/>
      <c r="T151" s="985"/>
      <c r="U151" s="79"/>
    </row>
    <row r="152" spans="1:52" ht="12" customHeight="1">
      <c r="A152" s="75"/>
      <c r="B152" s="2094">
        <v>126</v>
      </c>
      <c r="C152" s="1974" t="str">
        <f>Master!EP3</f>
        <v>Baghabari 71 MW GTPP</v>
      </c>
      <c r="D152" s="1924" t="str">
        <f>Master!EP5</f>
        <v>Gas</v>
      </c>
      <c r="E152" s="1975" t="str">
        <f>Master!EP4</f>
        <v>PDB</v>
      </c>
      <c r="F152" s="2000">
        <f>Master!EP7</f>
        <v>71</v>
      </c>
      <c r="G152" s="5093">
        <f>Master!EP8</f>
        <v>71</v>
      </c>
      <c r="H152" s="1959">
        <f>Forecast!M152</f>
        <v>0</v>
      </c>
      <c r="I152" s="1977">
        <f>YesterdayGen!EP34</f>
        <v>0</v>
      </c>
      <c r="J152" s="1927">
        <f t="shared" si="9"/>
        <v>0</v>
      </c>
      <c r="K152" s="1927">
        <f t="shared" si="10"/>
        <v>0</v>
      </c>
      <c r="L152" s="1936" t="s">
        <v>173</v>
      </c>
      <c r="M152" s="1021"/>
      <c r="N152" s="926"/>
      <c r="O152" s="2973"/>
      <c r="P152" s="2973"/>
      <c r="Q152" s="2973"/>
      <c r="R152" s="2973"/>
      <c r="S152" s="2973"/>
      <c r="T152" s="980"/>
      <c r="U152" s="79"/>
      <c r="V152" s="2973"/>
      <c r="W152" s="2973"/>
      <c r="X152" s="2973"/>
      <c r="Y152" s="2973"/>
      <c r="Z152" s="2973"/>
      <c r="AA152" s="2973"/>
      <c r="AB152" s="2973"/>
      <c r="AC152" s="2973"/>
      <c r="AD152" s="2973"/>
      <c r="AE152" s="2973"/>
      <c r="AF152" s="2973"/>
      <c r="AG152" s="2973"/>
      <c r="AH152" s="2973"/>
      <c r="AI152" s="2973"/>
      <c r="AJ152" s="2973"/>
      <c r="AK152" s="2973"/>
      <c r="AL152" s="2973"/>
      <c r="AM152" s="2973"/>
      <c r="AN152" s="2973"/>
      <c r="AO152" s="2973"/>
      <c r="AP152" s="2973"/>
      <c r="AQ152" s="2973"/>
      <c r="AR152" s="2973"/>
      <c r="AS152" s="2973"/>
      <c r="AT152" s="2973"/>
      <c r="AU152" s="2973"/>
      <c r="AV152" s="2973"/>
      <c r="AW152" s="2973"/>
      <c r="AX152" s="2973"/>
      <c r="AY152" s="2973"/>
      <c r="AZ152" s="2973"/>
    </row>
    <row r="153" spans="1:52" ht="11.25" customHeight="1">
      <c r="A153" s="75"/>
      <c r="B153" s="5125"/>
      <c r="C153" s="1718" t="str">
        <f>Master!EO3</f>
        <v>Baghabari  100 MW GTPP</v>
      </c>
      <c r="D153" s="1928" t="str">
        <f>Master!EO5</f>
        <v>Gas</v>
      </c>
      <c r="E153" s="1958" t="str">
        <f>Master!EO4</f>
        <v>PDB</v>
      </c>
      <c r="F153" s="1945">
        <f>Master!EO7</f>
        <v>100</v>
      </c>
      <c r="G153" s="1948">
        <f>Master!EO8</f>
        <v>100</v>
      </c>
      <c r="H153" s="1959">
        <f>Forecast!M153</f>
        <v>0</v>
      </c>
      <c r="I153" s="1960">
        <f>YesterdayGen!EO34</f>
        <v>0</v>
      </c>
      <c r="J153" s="1927">
        <f t="shared" si="9"/>
        <v>0</v>
      </c>
      <c r="K153" s="1927">
        <f t="shared" si="10"/>
        <v>0</v>
      </c>
      <c r="L153" s="1936" t="s">
        <v>173</v>
      </c>
      <c r="M153" s="1021"/>
      <c r="N153" s="5148"/>
      <c r="O153" s="2973"/>
      <c r="P153" s="2973"/>
      <c r="Q153" s="2973"/>
      <c r="R153" s="2973"/>
      <c r="S153" s="2973"/>
      <c r="T153" s="981"/>
      <c r="U153" s="79"/>
      <c r="V153" s="2973"/>
      <c r="W153" s="2973"/>
      <c r="X153" s="2973"/>
      <c r="Y153" s="2973"/>
      <c r="Z153" s="2973"/>
      <c r="AA153" s="2973"/>
      <c r="AB153" s="2973"/>
      <c r="AC153" s="2973"/>
      <c r="AD153" s="2973"/>
      <c r="AE153" s="2973"/>
      <c r="AF153" s="2973"/>
      <c r="AG153" s="2973"/>
      <c r="AH153" s="2973"/>
      <c r="AI153" s="2973"/>
      <c r="AJ153" s="2973"/>
      <c r="AK153" s="2973"/>
      <c r="AL153" s="2973"/>
      <c r="AM153" s="2973"/>
      <c r="AN153" s="2973"/>
      <c r="AO153" s="2973"/>
      <c r="AP153" s="2973"/>
      <c r="AQ153" s="2973"/>
      <c r="AR153" s="2973"/>
      <c r="AS153" s="2973"/>
      <c r="AT153" s="2973"/>
      <c r="AU153" s="2973"/>
      <c r="AV153" s="2973"/>
      <c r="AW153" s="2973"/>
      <c r="AX153" s="2973"/>
      <c r="AY153" s="2973"/>
      <c r="AZ153" s="2973"/>
    </row>
    <row r="154" spans="1:52" ht="12" customHeight="1">
      <c r="A154" s="75"/>
      <c r="B154" s="5095">
        <v>127</v>
      </c>
      <c r="C154" s="1718" t="str">
        <f>Master!EQ3</f>
        <v>Baghabari  50 MW Peaking PP</v>
      </c>
      <c r="D154" s="1928" t="str">
        <f>Master!EQ5</f>
        <v>HFO</v>
      </c>
      <c r="E154" s="1958" t="str">
        <f>Master!EQ4</f>
        <v>PDB</v>
      </c>
      <c r="F154" s="1945">
        <f>Master!EQ7</f>
        <v>52</v>
      </c>
      <c r="G154" s="1948">
        <f>Master!EQ8</f>
        <v>52</v>
      </c>
      <c r="H154" s="1959">
        <f>Forecast!M154</f>
        <v>32</v>
      </c>
      <c r="I154" s="1960">
        <f>YesterdayGen!EQ34</f>
        <v>32</v>
      </c>
      <c r="J154" s="1927">
        <f t="shared" si="9"/>
        <v>0</v>
      </c>
      <c r="K154" s="1927">
        <f t="shared" si="10"/>
        <v>0</v>
      </c>
      <c r="L154" s="3252" t="s">
        <v>126</v>
      </c>
      <c r="M154" s="1021"/>
      <c r="N154" s="548"/>
      <c r="O154" s="2973"/>
      <c r="P154" s="2973"/>
      <c r="Q154" s="2973"/>
      <c r="R154" s="2973"/>
      <c r="S154" s="2973"/>
      <c r="T154" s="982"/>
      <c r="U154" s="79"/>
      <c r="V154" s="2973"/>
      <c r="W154" s="2973"/>
      <c r="X154" s="2973"/>
      <c r="Y154" s="2973"/>
      <c r="Z154" s="2973"/>
      <c r="AA154" s="2973"/>
      <c r="AB154" s="2973"/>
      <c r="AC154" s="2973"/>
      <c r="AD154" s="2973"/>
      <c r="AE154" s="2973"/>
      <c r="AF154" s="2973"/>
      <c r="AG154" s="2973"/>
      <c r="AH154" s="2973"/>
      <c r="AI154" s="2973"/>
      <c r="AJ154" s="2973"/>
      <c r="AK154" s="2973"/>
      <c r="AL154" s="2973"/>
      <c r="AM154" s="2973"/>
      <c r="AN154" s="2973"/>
      <c r="AO154" s="2973"/>
      <c r="AP154" s="2973"/>
      <c r="AQ154" s="2973"/>
      <c r="AR154" s="2973"/>
      <c r="AS154" s="2973"/>
      <c r="AT154" s="2973"/>
      <c r="AU154" s="2973"/>
      <c r="AV154" s="2973"/>
      <c r="AW154" s="2973"/>
      <c r="AX154" s="2973"/>
      <c r="AY154" s="2973"/>
      <c r="AZ154" s="2973"/>
    </row>
    <row r="155" spans="1:52" ht="12" customHeight="1">
      <c r="A155" s="75"/>
      <c r="B155" s="5096">
        <v>128</v>
      </c>
      <c r="C155" s="1718" t="str">
        <f>Master!ER3</f>
        <v>Bera 70 MW Peaking PP</v>
      </c>
      <c r="D155" s="1928" t="str">
        <f>Master!ER5</f>
        <v>HFO</v>
      </c>
      <c r="E155" s="1958" t="str">
        <f>Master!ER4</f>
        <v>PDB</v>
      </c>
      <c r="F155" s="1945">
        <f>Master!ER7</f>
        <v>71</v>
      </c>
      <c r="G155" s="1995">
        <f>Master!ER8</f>
        <v>71</v>
      </c>
      <c r="H155" s="1959">
        <f>Forecast!M155</f>
        <v>40</v>
      </c>
      <c r="I155" s="1960">
        <f>YesterdayGen!ER34</f>
        <v>25</v>
      </c>
      <c r="J155" s="1927">
        <f t="shared" si="9"/>
        <v>0</v>
      </c>
      <c r="K155" s="1927">
        <f t="shared" si="10"/>
        <v>15</v>
      </c>
      <c r="L155" s="3252" t="s">
        <v>126</v>
      </c>
      <c r="M155" s="79"/>
      <c r="N155" s="986"/>
      <c r="O155" s="2973"/>
      <c r="P155" s="2973"/>
      <c r="Q155" s="2973"/>
      <c r="R155" s="2973"/>
      <c r="S155" s="2973"/>
      <c r="T155" s="980"/>
      <c r="U155" s="79"/>
      <c r="V155" s="2973"/>
      <c r="W155" s="2973"/>
      <c r="X155" s="2973"/>
      <c r="Y155" s="2973"/>
      <c r="Z155" s="2973"/>
      <c r="AA155" s="2973"/>
      <c r="AB155" s="2973"/>
      <c r="AC155" s="2973"/>
      <c r="AD155" s="2973"/>
      <c r="AE155" s="2973"/>
      <c r="AF155" s="2973"/>
      <c r="AG155" s="2973"/>
      <c r="AH155" s="2973"/>
      <c r="AI155" s="2973"/>
      <c r="AJ155" s="2973"/>
      <c r="AK155" s="2973"/>
      <c r="AL155" s="2973"/>
      <c r="AM155" s="2973"/>
      <c r="AN155" s="2973"/>
      <c r="AO155" s="2973"/>
      <c r="AP155" s="2973"/>
      <c r="AQ155" s="2973"/>
      <c r="AR155" s="2973"/>
      <c r="AS155" s="2973"/>
      <c r="AT155" s="2973"/>
      <c r="AU155" s="2973"/>
      <c r="AV155" s="2973"/>
      <c r="AW155" s="2973"/>
      <c r="AX155" s="2973"/>
      <c r="AY155" s="2973"/>
      <c r="AZ155" s="2973"/>
    </row>
    <row r="156" spans="1:52" s="3535" customFormat="1" ht="12" customHeight="1">
      <c r="A156" s="3035"/>
      <c r="B156" s="5126">
        <v>129</v>
      </c>
      <c r="C156" s="3574" t="str">
        <f>Master!ET3</f>
        <v>Amnura 50 MW PP(Sinha)</v>
      </c>
      <c r="D156" s="3569" t="str">
        <f>Master!ET5</f>
        <v>HFO</v>
      </c>
      <c r="E156" s="3571" t="str">
        <f>Master!ET4</f>
        <v>QRPP</v>
      </c>
      <c r="F156" s="3572">
        <f>Master!ET7</f>
        <v>50</v>
      </c>
      <c r="G156" s="3575">
        <f>Master!ET8</f>
        <v>0</v>
      </c>
      <c r="H156" s="3576">
        <f>Forecast!M156</f>
        <v>0</v>
      </c>
      <c r="I156" s="3573">
        <f>YesterdayGen!ET34</f>
        <v>0</v>
      </c>
      <c r="J156" s="3570">
        <f t="shared" si="9"/>
        <v>0</v>
      </c>
      <c r="K156" s="3570">
        <f t="shared" si="10"/>
        <v>0</v>
      </c>
      <c r="L156" s="3577" t="s">
        <v>847</v>
      </c>
      <c r="M156" s="3559"/>
      <c r="N156" s="3557"/>
      <c r="T156" s="3558"/>
      <c r="U156" s="3559"/>
    </row>
    <row r="157" spans="1:52" ht="12" customHeight="1">
      <c r="A157" s="75"/>
      <c r="B157" s="5096">
        <v>130</v>
      </c>
      <c r="C157" s="1718" t="str">
        <f>Master!EU3</f>
        <v>Katakhali 50 MW PP (Northern)</v>
      </c>
      <c r="D157" s="1928" t="str">
        <f>Master!EU5</f>
        <v>HFO</v>
      </c>
      <c r="E157" s="1958" t="str">
        <f>Master!EU4</f>
        <v>QRPP</v>
      </c>
      <c r="F157" s="1945">
        <f>Master!EU7</f>
        <v>50</v>
      </c>
      <c r="G157" s="1995">
        <f>Master!EU8</f>
        <v>50</v>
      </c>
      <c r="H157" s="1959">
        <f>Forecast!M157</f>
        <v>42</v>
      </c>
      <c r="I157" s="1960">
        <f>YesterdayGen!EU34</f>
        <v>0</v>
      </c>
      <c r="J157" s="1927">
        <f t="shared" si="9"/>
        <v>0</v>
      </c>
      <c r="K157" s="1927">
        <f t="shared" si="10"/>
        <v>42</v>
      </c>
      <c r="L157" s="3252" t="s">
        <v>126</v>
      </c>
      <c r="M157" s="79"/>
      <c r="N157" s="986"/>
      <c r="O157" s="2973"/>
      <c r="P157" s="2973"/>
      <c r="Q157" s="2973"/>
      <c r="R157" s="2973"/>
      <c r="S157" s="2973"/>
      <c r="T157" s="980"/>
      <c r="U157" s="79"/>
      <c r="V157" s="2973"/>
      <c r="W157" s="2973"/>
      <c r="X157" s="2973"/>
      <c r="Y157" s="2973"/>
      <c r="Z157" s="2973"/>
      <c r="AA157" s="2973"/>
      <c r="AB157" s="2973"/>
      <c r="AC157" s="2973"/>
      <c r="AD157" s="2973"/>
      <c r="AE157" s="2973"/>
      <c r="AF157" s="2973"/>
      <c r="AG157" s="2973"/>
      <c r="AH157" s="2973"/>
      <c r="AI157" s="2973"/>
      <c r="AJ157" s="2973"/>
      <c r="AK157" s="2973"/>
      <c r="AL157" s="2973"/>
      <c r="AM157" s="2973"/>
      <c r="AN157" s="2973"/>
      <c r="AO157" s="2973"/>
      <c r="AP157" s="2973"/>
      <c r="AQ157" s="2973"/>
      <c r="AR157" s="2973"/>
      <c r="AS157" s="2973"/>
      <c r="AT157" s="2973"/>
      <c r="AU157" s="2973"/>
      <c r="AV157" s="2973"/>
      <c r="AW157" s="2973"/>
      <c r="AX157" s="2973"/>
      <c r="AY157" s="2973"/>
      <c r="AZ157" s="2973"/>
    </row>
    <row r="158" spans="1:52" ht="12" customHeight="1">
      <c r="A158" s="75"/>
      <c r="B158" s="5096">
        <v>131</v>
      </c>
      <c r="C158" s="1718" t="str">
        <f>Master!EV3</f>
        <v>Katakhali 50 MW Peaking PP</v>
      </c>
      <c r="D158" s="1928" t="str">
        <f>Master!EV5</f>
        <v>HFO</v>
      </c>
      <c r="E158" s="1958" t="str">
        <f>Master!EV4</f>
        <v>PDB</v>
      </c>
      <c r="F158" s="1945">
        <f>Master!EV7</f>
        <v>50</v>
      </c>
      <c r="G158" s="1995">
        <f>Master!EV8</f>
        <v>50</v>
      </c>
      <c r="H158" s="1959">
        <f>Forecast!M158</f>
        <v>32</v>
      </c>
      <c r="I158" s="1960">
        <f>YesterdayGen!EV34</f>
        <v>32</v>
      </c>
      <c r="J158" s="1927">
        <f t="shared" si="9"/>
        <v>0</v>
      </c>
      <c r="K158" s="1927">
        <f t="shared" si="10"/>
        <v>0</v>
      </c>
      <c r="L158" s="3252" t="s">
        <v>126</v>
      </c>
      <c r="M158" s="2973"/>
      <c r="N158" s="986"/>
      <c r="O158" s="3265"/>
      <c r="P158" s="2973"/>
      <c r="Q158" s="2973"/>
      <c r="R158" s="2973"/>
      <c r="S158" s="2973"/>
      <c r="T158" s="980"/>
      <c r="U158" s="79"/>
      <c r="V158" s="2973"/>
      <c r="W158" s="2973"/>
      <c r="X158" s="2973"/>
      <c r="Y158" s="2973"/>
      <c r="Z158" s="2973"/>
      <c r="AA158" s="2973"/>
      <c r="AB158" s="2973"/>
      <c r="AC158" s="2973"/>
      <c r="AD158" s="2973"/>
      <c r="AE158" s="2973"/>
      <c r="AF158" s="2973"/>
      <c r="AG158" s="2973"/>
      <c r="AH158" s="2973"/>
      <c r="AI158" s="2973"/>
      <c r="AJ158" s="2973"/>
      <c r="AK158" s="2973"/>
      <c r="AL158" s="2973"/>
      <c r="AM158" s="2973"/>
      <c r="AN158" s="2973"/>
      <c r="AO158" s="2973"/>
      <c r="AP158" s="2973"/>
      <c r="AQ158" s="2973"/>
      <c r="AR158" s="2973"/>
      <c r="AS158" s="2973"/>
      <c r="AT158" s="2973"/>
      <c r="AU158" s="2973"/>
      <c r="AV158" s="2973"/>
      <c r="AW158" s="2973"/>
      <c r="AX158" s="2973"/>
      <c r="AY158" s="2973"/>
      <c r="AZ158" s="2973"/>
    </row>
    <row r="159" spans="1:52" ht="12" customHeight="1">
      <c r="A159" s="75"/>
      <c r="B159" s="5096">
        <v>132</v>
      </c>
      <c r="C159" s="5127" t="s">
        <v>811</v>
      </c>
      <c r="D159" s="1928" t="s">
        <v>682</v>
      </c>
      <c r="E159" s="1958" t="str">
        <f>Master!FG4</f>
        <v>NWPGCL</v>
      </c>
      <c r="F159" s="1945">
        <f>Master!FG7</f>
        <v>210</v>
      </c>
      <c r="G159" s="1995">
        <f>Master!FG8</f>
        <v>210</v>
      </c>
      <c r="H159" s="1959">
        <f>Forecast!M159</f>
        <v>190</v>
      </c>
      <c r="I159" s="1960">
        <f>YesterdayGen!FG34+YesterdayGen!FH34</f>
        <v>170</v>
      </c>
      <c r="J159" s="1927">
        <f t="shared" si="9"/>
        <v>0</v>
      </c>
      <c r="K159" s="1927">
        <v>0</v>
      </c>
      <c r="L159" s="5128" t="s">
        <v>173</v>
      </c>
      <c r="M159" s="2973"/>
      <c r="N159" s="986"/>
      <c r="O159" s="79"/>
      <c r="P159" s="2973"/>
      <c r="Q159" s="2973"/>
      <c r="R159" s="2973"/>
      <c r="S159" s="2973"/>
      <c r="T159" s="980"/>
      <c r="U159" s="79"/>
      <c r="V159" s="2973"/>
      <c r="W159" s="2973"/>
      <c r="X159" s="2973"/>
      <c r="Y159" s="2973"/>
      <c r="Z159" s="2973"/>
      <c r="AA159" s="2973"/>
      <c r="AB159" s="2973"/>
      <c r="AC159" s="2973"/>
      <c r="AD159" s="2973"/>
      <c r="AE159" s="2973"/>
      <c r="AF159" s="2973"/>
      <c r="AG159" s="2973"/>
      <c r="AH159" s="2973"/>
      <c r="AI159" s="2973"/>
      <c r="AJ159" s="2973"/>
      <c r="AK159" s="2973"/>
      <c r="AL159" s="2973"/>
      <c r="AM159" s="2973"/>
      <c r="AN159" s="2973"/>
      <c r="AO159" s="2973"/>
      <c r="AP159" s="2973"/>
      <c r="AQ159" s="2973"/>
      <c r="AR159" s="2973"/>
      <c r="AS159" s="2973"/>
      <c r="AT159" s="2973"/>
      <c r="AU159" s="2973"/>
      <c r="AV159" s="2973"/>
      <c r="AW159" s="2973"/>
      <c r="AX159" s="2973"/>
      <c r="AY159" s="2973"/>
      <c r="AZ159" s="2973"/>
    </row>
    <row r="160" spans="1:52" ht="12" customHeight="1">
      <c r="A160" s="75"/>
      <c r="B160" s="5096">
        <v>133</v>
      </c>
      <c r="C160" s="5127" t="s">
        <v>812</v>
      </c>
      <c r="D160" s="1928" t="s">
        <v>682</v>
      </c>
      <c r="E160" s="1958" t="str">
        <f>Master!FI4</f>
        <v>NWPGCL</v>
      </c>
      <c r="F160" s="1945">
        <f>Master!FI7</f>
        <v>220</v>
      </c>
      <c r="G160" s="1995">
        <f>Master!FI8</f>
        <v>220</v>
      </c>
      <c r="H160" s="1959">
        <f>Forecast!M160</f>
        <v>210</v>
      </c>
      <c r="I160" s="1960">
        <f>YesterdayGen!FI34+YesterdayGen!FJ34</f>
        <v>213</v>
      </c>
      <c r="J160" s="1927">
        <f t="shared" si="9"/>
        <v>3</v>
      </c>
      <c r="K160" s="1927">
        <f t="shared" si="10"/>
        <v>0</v>
      </c>
      <c r="L160" s="5128"/>
      <c r="M160" s="2973"/>
      <c r="N160" s="986"/>
      <c r="O160" s="79"/>
      <c r="P160" s="2973"/>
      <c r="Q160" s="2973"/>
      <c r="R160" s="2973"/>
      <c r="S160" s="2973"/>
      <c r="T160" s="980"/>
      <c r="U160" s="79"/>
      <c r="V160" s="2973"/>
      <c r="W160" s="2973"/>
      <c r="X160" s="2973"/>
      <c r="Y160" s="2973"/>
      <c r="Z160" s="2973"/>
      <c r="AA160" s="2973"/>
      <c r="AB160" s="2973"/>
      <c r="AC160" s="2973"/>
      <c r="AD160" s="2973"/>
      <c r="AE160" s="2973"/>
      <c r="AF160" s="2973"/>
      <c r="AG160" s="2973"/>
      <c r="AH160" s="2973"/>
      <c r="AI160" s="2973"/>
      <c r="AJ160" s="2973"/>
      <c r="AK160" s="2973"/>
      <c r="AL160" s="2973"/>
      <c r="AM160" s="2973"/>
      <c r="AN160" s="2973"/>
      <c r="AO160" s="2973"/>
      <c r="AP160" s="2973"/>
      <c r="AQ160" s="2973"/>
      <c r="AR160" s="2973"/>
      <c r="AS160" s="2973"/>
      <c r="AT160" s="2973"/>
      <c r="AU160" s="2973"/>
      <c r="AV160" s="2973"/>
      <c r="AW160" s="2973"/>
      <c r="AX160" s="2973"/>
      <c r="AY160" s="2973"/>
      <c r="AZ160" s="2973"/>
    </row>
    <row r="161" spans="1:23" ht="12" customHeight="1">
      <c r="A161" s="75"/>
      <c r="B161" s="5096">
        <v>134</v>
      </c>
      <c r="C161" s="5127" t="s">
        <v>833</v>
      </c>
      <c r="D161" s="1928" t="s">
        <v>682</v>
      </c>
      <c r="E161" s="1958" t="str">
        <f>Master!FM4</f>
        <v>NWPGCL</v>
      </c>
      <c r="F161" s="1945">
        <f>Master!FM7</f>
        <v>220</v>
      </c>
      <c r="G161" s="1995">
        <f>Master!FM8</f>
        <v>220</v>
      </c>
      <c r="H161" s="1959">
        <f>Forecast!M161</f>
        <v>167</v>
      </c>
      <c r="I161" s="1960">
        <f>YesterdayGen!FM34+YesterdayGen!FN34</f>
        <v>143</v>
      </c>
      <c r="J161" s="1927">
        <f t="shared" si="9"/>
        <v>0</v>
      </c>
      <c r="K161" s="1927">
        <f t="shared" si="10"/>
        <v>24</v>
      </c>
      <c r="L161" s="5128" t="s">
        <v>173</v>
      </c>
      <c r="M161" s="2973"/>
      <c r="N161" s="2138"/>
      <c r="O161" s="2182"/>
      <c r="P161" s="2973"/>
      <c r="T161" s="980"/>
      <c r="U161" s="79"/>
    </row>
    <row r="162" spans="1:23" ht="12" customHeight="1">
      <c r="A162" s="75"/>
      <c r="B162" s="5096">
        <v>135</v>
      </c>
      <c r="C162" s="2017" t="str">
        <f>Master!FO3</f>
        <v>Sirajgonj 400 MW CCPP Unit-4</v>
      </c>
      <c r="D162" s="1928" t="s">
        <v>682</v>
      </c>
      <c r="E162" s="1958" t="str">
        <f>Master!FO4</f>
        <v>SNWPGCL</v>
      </c>
      <c r="F162" s="1945">
        <f>Master!FO7</f>
        <v>414</v>
      </c>
      <c r="G162" s="1995">
        <f>Master!FO8</f>
        <v>414</v>
      </c>
      <c r="H162" s="1959">
        <f>Forecast!M162</f>
        <v>350</v>
      </c>
      <c r="I162" s="1960">
        <f>YesterdayGen!FO34+YesterdayGen!FU34</f>
        <v>286</v>
      </c>
      <c r="J162" s="1927">
        <f t="shared" si="9"/>
        <v>0</v>
      </c>
      <c r="K162" s="1927">
        <f t="shared" si="10"/>
        <v>64</v>
      </c>
      <c r="L162" s="5128" t="s">
        <v>173</v>
      </c>
      <c r="N162" s="2137"/>
      <c r="O162" s="2182"/>
      <c r="T162" s="980"/>
      <c r="U162" s="79"/>
    </row>
    <row r="163" spans="1:23" ht="12" customHeight="1">
      <c r="A163" s="75"/>
      <c r="B163" s="5096">
        <v>136</v>
      </c>
      <c r="C163" s="1718" t="str">
        <f>Master!EX3</f>
        <v>Santahar  50 MW Peaking PP</v>
      </c>
      <c r="D163" s="1928" t="str">
        <f>Master!EX5</f>
        <v>HFO</v>
      </c>
      <c r="E163" s="1958" t="str">
        <f>Master!EX4</f>
        <v>PDB</v>
      </c>
      <c r="F163" s="1945">
        <f>Master!EX7</f>
        <v>50</v>
      </c>
      <c r="G163" s="1995">
        <f>Master!EX8</f>
        <v>50</v>
      </c>
      <c r="H163" s="1959">
        <f>Forecast!M163</f>
        <v>33</v>
      </c>
      <c r="I163" s="1960">
        <f>YesterdayGen!EX34</f>
        <v>34</v>
      </c>
      <c r="J163" s="1927">
        <f t="shared" si="9"/>
        <v>1</v>
      </c>
      <c r="K163" s="1927">
        <f t="shared" si="10"/>
        <v>0</v>
      </c>
      <c r="L163" s="3252" t="s">
        <v>126</v>
      </c>
      <c r="N163" s="2137"/>
      <c r="O163" s="2182"/>
      <c r="T163" s="980"/>
      <c r="U163" s="79"/>
    </row>
    <row r="164" spans="1:23" ht="12" customHeight="1" thickBot="1">
      <c r="A164" s="75"/>
      <c r="B164" s="5096">
        <v>137</v>
      </c>
      <c r="C164" s="1718" t="str">
        <f>Master!EY3</f>
        <v>Bogra 22 MW PP (GBB)</v>
      </c>
      <c r="D164" s="1928" t="str">
        <f>Master!EY5</f>
        <v>Gas</v>
      </c>
      <c r="E164" s="1958" t="str">
        <f>Master!EY4</f>
        <v xml:space="preserve">RPP </v>
      </c>
      <c r="F164" s="1945">
        <f>Master!EY7</f>
        <v>22</v>
      </c>
      <c r="G164" s="1948">
        <f>Master!EY8</f>
        <v>22</v>
      </c>
      <c r="H164" s="1959">
        <f>Forecast!M164</f>
        <v>21</v>
      </c>
      <c r="I164" s="1960">
        <f>YesterdayGen!EY34</f>
        <v>21</v>
      </c>
      <c r="J164" s="1927">
        <f t="shared" si="9"/>
        <v>0</v>
      </c>
      <c r="K164" s="1927">
        <f t="shared" si="10"/>
        <v>0</v>
      </c>
      <c r="L164" s="1936"/>
      <c r="N164" s="3274" t="s">
        <v>1521</v>
      </c>
      <c r="O164" s="2182"/>
      <c r="T164" s="980"/>
      <c r="U164" s="79"/>
    </row>
    <row r="165" spans="1:23" ht="12" customHeight="1" thickBot="1">
      <c r="A165" s="75"/>
      <c r="B165" s="5129">
        <v>138</v>
      </c>
      <c r="C165" s="2628" t="str">
        <f>Master!EZ3</f>
        <v>Bogura 20 MW PP (Energyprima)</v>
      </c>
      <c r="D165" s="2629" t="str">
        <f>Master!EZ5</f>
        <v>Gas</v>
      </c>
      <c r="E165" s="2630" t="str">
        <f>Master!EZ4</f>
        <v>NENP</v>
      </c>
      <c r="F165" s="2631">
        <f>Master!EZ7</f>
        <v>20</v>
      </c>
      <c r="G165" s="2632">
        <f>Master!EZ8</f>
        <v>0</v>
      </c>
      <c r="H165" s="2633">
        <f>Forecast!M165</f>
        <v>0</v>
      </c>
      <c r="I165" s="2636">
        <f>YesterdayGen!EZ34</f>
        <v>0</v>
      </c>
      <c r="J165" s="2634">
        <f t="shared" ref="J165:J170" si="20">IF((I165-H165)&gt;0,(I165-H165),0)</f>
        <v>0</v>
      </c>
      <c r="K165" s="2634">
        <f t="shared" ref="K165:K178" si="21">IF((H165-I165)&gt;0,(H165-I165),0)</f>
        <v>0</v>
      </c>
      <c r="L165" s="2635" t="s">
        <v>372</v>
      </c>
      <c r="N165" s="5294">
        <v>4821.78</v>
      </c>
      <c r="O165" s="5294">
        <v>1245.5</v>
      </c>
      <c r="P165" s="5294">
        <v>1168</v>
      </c>
      <c r="Q165" s="5294">
        <v>839</v>
      </c>
      <c r="R165" s="5294">
        <v>488</v>
      </c>
      <c r="S165" s="5294">
        <v>1480</v>
      </c>
      <c r="T165" s="5294">
        <v>401.86</v>
      </c>
      <c r="U165" s="5294">
        <v>1251.4000000000001</v>
      </c>
      <c r="V165" s="5294">
        <v>908</v>
      </c>
      <c r="W165" s="5295">
        <v>1</v>
      </c>
    </row>
    <row r="166" spans="1:23" ht="12" customHeight="1">
      <c r="A166" s="75"/>
      <c r="B166" s="5096">
        <v>139</v>
      </c>
      <c r="C166" s="1718" t="str">
        <f>Master!FA3</f>
        <v>Ullapara 11 MW PP  (Summit)</v>
      </c>
      <c r="D166" s="1928" t="str">
        <f>Master!FA5</f>
        <v>Gas</v>
      </c>
      <c r="E166" s="1958" t="str">
        <f>Master!FA4</f>
        <v>SIPP, REB</v>
      </c>
      <c r="F166" s="1945">
        <f>Master!FA7</f>
        <v>11</v>
      </c>
      <c r="G166" s="1948">
        <f>Master!FA8</f>
        <v>11</v>
      </c>
      <c r="H166" s="1959">
        <f>Forecast!M166</f>
        <v>11</v>
      </c>
      <c r="I166" s="1960">
        <f>YesterdayGen!FA34</f>
        <v>11</v>
      </c>
      <c r="J166" s="1927">
        <f t="shared" si="20"/>
        <v>0</v>
      </c>
      <c r="K166" s="1927">
        <f t="shared" si="21"/>
        <v>0</v>
      </c>
      <c r="L166" s="3252"/>
      <c r="N166" s="2182" t="s">
        <v>10</v>
      </c>
      <c r="O166" s="2182" t="s">
        <v>1722</v>
      </c>
      <c r="P166" s="68" t="s">
        <v>9</v>
      </c>
      <c r="Q166" s="68" t="s">
        <v>1639</v>
      </c>
      <c r="R166" s="68" t="s">
        <v>4</v>
      </c>
      <c r="S166" s="68" t="s">
        <v>5</v>
      </c>
      <c r="T166" s="980" t="s">
        <v>1195</v>
      </c>
      <c r="U166" s="79" t="s">
        <v>55</v>
      </c>
      <c r="V166" s="68" t="s">
        <v>6</v>
      </c>
    </row>
    <row r="167" spans="1:23" ht="12" customHeight="1" thickBot="1">
      <c r="A167" s="75"/>
      <c r="B167" s="5096">
        <v>140</v>
      </c>
      <c r="C167" s="1718" t="str">
        <f>Master!EW3</f>
        <v xml:space="preserve">Natore 52 MW PP (Rajlanka) </v>
      </c>
      <c r="D167" s="1928" t="str">
        <f>Master!EW5</f>
        <v>HFO</v>
      </c>
      <c r="E167" s="1958" t="str">
        <f>Master!EW4</f>
        <v>IPP</v>
      </c>
      <c r="F167" s="1945">
        <f>Master!EW7</f>
        <v>52</v>
      </c>
      <c r="G167" s="1948">
        <f>Master!EW8</f>
        <v>52</v>
      </c>
      <c r="H167" s="1959">
        <f>Forecast!M167</f>
        <v>52</v>
      </c>
      <c r="I167" s="1960">
        <f>YesterdayGen!EW34</f>
        <v>52</v>
      </c>
      <c r="J167" s="1927">
        <f t="shared" si="20"/>
        <v>0</v>
      </c>
      <c r="K167" s="1927">
        <f t="shared" si="21"/>
        <v>0</v>
      </c>
      <c r="L167" s="3252"/>
      <c r="N167" s="3275" t="s">
        <v>1335</v>
      </c>
      <c r="O167" s="2182"/>
      <c r="T167" s="980"/>
      <c r="U167" s="79"/>
    </row>
    <row r="168" spans="1:23" ht="12" customHeight="1" thickBot="1">
      <c r="A168" s="75"/>
      <c r="B168" s="5096">
        <v>141</v>
      </c>
      <c r="C168" s="1718" t="str">
        <f>Master!ES3</f>
        <v>Chapainawabganj 100 MW Peaking PP</v>
      </c>
      <c r="D168" s="1928" t="str">
        <f>Master!ES5</f>
        <v>HFO</v>
      </c>
      <c r="E168" s="1958" t="str">
        <f>Master!ES4</f>
        <v>PDB</v>
      </c>
      <c r="F168" s="1945">
        <f>Master!ES7</f>
        <v>104</v>
      </c>
      <c r="G168" s="1948">
        <f>Master!ES8</f>
        <v>104</v>
      </c>
      <c r="H168" s="1959">
        <f>Forecast!M168</f>
        <v>86</v>
      </c>
      <c r="I168" s="2018">
        <f>YesterdayGen!ES34</f>
        <v>80</v>
      </c>
      <c r="J168" s="1927">
        <f t="shared" si="20"/>
        <v>0</v>
      </c>
      <c r="K168" s="1927">
        <f t="shared" si="21"/>
        <v>6</v>
      </c>
      <c r="L168" s="3253" t="s">
        <v>126</v>
      </c>
      <c r="M168" s="5064" t="s">
        <v>10</v>
      </c>
      <c r="N168" s="3463">
        <f>N165</f>
        <v>4821.78</v>
      </c>
      <c r="O168" s="2182"/>
      <c r="P168" s="2506"/>
      <c r="Q168" s="79"/>
      <c r="T168" s="980"/>
      <c r="U168" s="79"/>
    </row>
    <row r="169" spans="1:23" ht="12" customHeight="1" thickBot="1">
      <c r="A169" s="75"/>
      <c r="B169" s="5096">
        <v>142</v>
      </c>
      <c r="C169" s="2019" t="str">
        <f>Master!FQ3</f>
        <v>Baghabari 200 MW PP (Paramount)</v>
      </c>
      <c r="D169" s="1928" t="str">
        <f>Master!FQ5</f>
        <v>HSD</v>
      </c>
      <c r="E169" s="1958" t="str">
        <f>Master!FQ4</f>
        <v>IPP</v>
      </c>
      <c r="F169" s="1945">
        <f>Master!FQ7</f>
        <v>200</v>
      </c>
      <c r="G169" s="1951">
        <f>Master!FQ8</f>
        <v>200</v>
      </c>
      <c r="H169" s="1959">
        <f>Forecast!M169</f>
        <v>172</v>
      </c>
      <c r="I169" s="1955">
        <f>YesterdayGen!FQ34</f>
        <v>172</v>
      </c>
      <c r="J169" s="1927">
        <f t="shared" si="20"/>
        <v>0</v>
      </c>
      <c r="K169" s="1927">
        <f>IF((H169-I169)&gt;0,(H169-I169),0)</f>
        <v>0</v>
      </c>
      <c r="L169" s="5130" t="s">
        <v>1862</v>
      </c>
      <c r="M169" s="5064" t="s">
        <v>859</v>
      </c>
      <c r="N169" s="3464">
        <f>O165</f>
        <v>1245.5</v>
      </c>
      <c r="O169" s="2182"/>
      <c r="P169" s="2506"/>
      <c r="Q169" s="79"/>
      <c r="T169" s="980"/>
      <c r="U169" s="79"/>
    </row>
    <row r="170" spans="1:23" ht="12" customHeight="1" thickBot="1">
      <c r="A170" s="75"/>
      <c r="B170" s="5096">
        <v>143</v>
      </c>
      <c r="C170" s="1718" t="str">
        <f>Master!FR3</f>
        <v>Bagura 113 MW PP (Confidence)-2</v>
      </c>
      <c r="D170" s="1928" t="str">
        <f>Master!FR5</f>
        <v>HFO</v>
      </c>
      <c r="E170" s="1958" t="str">
        <f>Master!FR4</f>
        <v>IPP</v>
      </c>
      <c r="F170" s="1945">
        <v>113</v>
      </c>
      <c r="G170" s="1948">
        <v>113</v>
      </c>
      <c r="H170" s="1959">
        <f>Forecast!M170</f>
        <v>94</v>
      </c>
      <c r="I170" s="1960">
        <f>YesterdayGen!FR34</f>
        <v>94</v>
      </c>
      <c r="J170" s="1927">
        <f t="shared" si="20"/>
        <v>0</v>
      </c>
      <c r="K170" s="1927">
        <f t="shared" si="21"/>
        <v>0</v>
      </c>
      <c r="L170" s="3253" t="s">
        <v>126</v>
      </c>
      <c r="M170" s="5064" t="s">
        <v>858</v>
      </c>
      <c r="N170" s="3463">
        <f>P165</f>
        <v>1168</v>
      </c>
      <c r="O170" s="2182"/>
      <c r="P170" s="2506"/>
      <c r="Q170" s="79"/>
      <c r="T170" s="980"/>
      <c r="U170" s="79"/>
    </row>
    <row r="171" spans="1:23" ht="12" customHeight="1" thickBot="1">
      <c r="A171" s="75"/>
      <c r="B171" s="5096">
        <v>144</v>
      </c>
      <c r="C171" s="1718" t="str">
        <f>Master!FW3</f>
        <v>Confidence Power Bogura Unit-1 113 MW</v>
      </c>
      <c r="D171" s="1928" t="str">
        <f>Master!FW5</f>
        <v>HFO</v>
      </c>
      <c r="E171" s="1958" t="str">
        <f>Master!FW4</f>
        <v>IPP</v>
      </c>
      <c r="F171" s="1945">
        <f>Master!FW7</f>
        <v>113</v>
      </c>
      <c r="G171" s="1948">
        <f>Master!FW8</f>
        <v>113</v>
      </c>
      <c r="H171" s="1959">
        <f>Forecast!M171</f>
        <v>95</v>
      </c>
      <c r="I171" s="1960">
        <f>YesterdayGen!FW34</f>
        <v>95</v>
      </c>
      <c r="J171" s="1927">
        <f>IF((I171-H171)&gt;0,(I171-H171),0)</f>
        <v>0</v>
      </c>
      <c r="K171" s="1927">
        <f>IF((H171-I171)&gt;0,(H171-I171),0)</f>
        <v>0</v>
      </c>
      <c r="L171" s="3253" t="s">
        <v>126</v>
      </c>
      <c r="M171" s="5064" t="s">
        <v>106</v>
      </c>
      <c r="N171" s="3464">
        <f>Q165</f>
        <v>839</v>
      </c>
      <c r="O171" s="2182"/>
      <c r="P171" s="2506"/>
      <c r="Q171" s="79"/>
      <c r="T171" s="980"/>
      <c r="U171" s="79"/>
    </row>
    <row r="172" spans="1:23" ht="12" customHeight="1" thickBot="1">
      <c r="A172" s="75"/>
      <c r="B172" s="5088">
        <v>145</v>
      </c>
      <c r="C172" s="1718" t="str">
        <f>Master!GB3</f>
        <v xml:space="preserve"> Sirajgonj 6.55 MW Solar</v>
      </c>
      <c r="D172" s="1928" t="str">
        <f>Master!GB5</f>
        <v>Solar</v>
      </c>
      <c r="E172" s="1958" t="str">
        <f>Master!GB4</f>
        <v>NWPGCL</v>
      </c>
      <c r="F172" s="1945">
        <f>Master!GB7</f>
        <v>6</v>
      </c>
      <c r="G172" s="1948">
        <f>Master!GB8</f>
        <v>6</v>
      </c>
      <c r="H172" s="1959">
        <f>Forecast!M172</f>
        <v>0</v>
      </c>
      <c r="I172" s="1960">
        <f>YesterdayGen!GB34</f>
        <v>0</v>
      </c>
      <c r="J172" s="1927">
        <f>IF((I172-H172)&gt;0,(I172-H172),0)</f>
        <v>0</v>
      </c>
      <c r="K172" s="1927">
        <f>IF((H172-I172)&gt;0,(H172-I172),0)</f>
        <v>0</v>
      </c>
      <c r="L172" s="3253"/>
      <c r="M172" s="5064" t="s">
        <v>4</v>
      </c>
      <c r="N172" s="3463">
        <f>R165</f>
        <v>488</v>
      </c>
      <c r="O172" s="2182"/>
      <c r="P172" s="3267"/>
      <c r="Q172" s="79"/>
      <c r="T172" s="980"/>
      <c r="U172" s="79"/>
    </row>
    <row r="173" spans="1:23" ht="12" customHeight="1" thickBot="1">
      <c r="A173" s="75"/>
      <c r="B173" s="1861"/>
      <c r="C173" s="5089" t="s">
        <v>44</v>
      </c>
      <c r="D173" s="5089"/>
      <c r="E173" s="2020"/>
      <c r="F173" s="5097">
        <f t="shared" ref="F173:K173" si="22">SUM(F152:F172)</f>
        <v>2199</v>
      </c>
      <c r="G173" s="1970">
        <f t="shared" si="22"/>
        <v>2129</v>
      </c>
      <c r="H173" s="5131">
        <f t="shared" si="22"/>
        <v>1627</v>
      </c>
      <c r="I173" s="5131">
        <f t="shared" si="22"/>
        <v>1460</v>
      </c>
      <c r="J173" s="5132">
        <f t="shared" si="22"/>
        <v>4</v>
      </c>
      <c r="K173" s="2021">
        <f t="shared" si="22"/>
        <v>151</v>
      </c>
      <c r="L173" s="5133"/>
      <c r="M173" s="5064" t="s">
        <v>5</v>
      </c>
      <c r="N173" s="3464">
        <f>S165</f>
        <v>1480</v>
      </c>
      <c r="O173" s="2181"/>
      <c r="P173" s="2506"/>
      <c r="Q173" s="79"/>
      <c r="T173" s="980"/>
      <c r="U173" s="79"/>
    </row>
    <row r="174" spans="1:23" ht="16.899999999999999" customHeight="1" thickBot="1">
      <c r="A174" s="75"/>
      <c r="B174" s="3186">
        <v>146</v>
      </c>
      <c r="C174" s="1974" t="str">
        <f>Master!FB3</f>
        <v xml:space="preserve">Barapukuria TPP Unit-1 </v>
      </c>
      <c r="D174" s="1924" t="str">
        <f>Master!FB5</f>
        <v>Coal</v>
      </c>
      <c r="E174" s="1975" t="str">
        <f>Master!FB4</f>
        <v>PDB</v>
      </c>
      <c r="F174" s="2000">
        <f>Master!FB7</f>
        <v>125</v>
      </c>
      <c r="G174" s="5093">
        <f>Master!FB8</f>
        <v>85</v>
      </c>
      <c r="H174" s="1959">
        <f>Forecast!M174</f>
        <v>0</v>
      </c>
      <c r="I174" s="2022">
        <f>YesterdayGen!FB34</f>
        <v>0</v>
      </c>
      <c r="J174" s="1927">
        <f t="shared" ref="J174:J181" si="23">IF((I174-H174)&gt;0,(I174-H174),0)</f>
        <v>0</v>
      </c>
      <c r="K174" s="1927">
        <f t="shared" si="21"/>
        <v>0</v>
      </c>
      <c r="L174" s="3253" t="s">
        <v>1761</v>
      </c>
      <c r="M174" s="5064" t="s">
        <v>1195</v>
      </c>
      <c r="N174" s="3463">
        <f>T165</f>
        <v>401.86</v>
      </c>
      <c r="O174" s="2137"/>
      <c r="P174" s="2506"/>
      <c r="Q174" s="79"/>
      <c r="T174" s="980"/>
      <c r="U174" s="79"/>
    </row>
    <row r="175" spans="1:23" ht="12" customHeight="1" thickBot="1">
      <c r="A175" s="75"/>
      <c r="B175" s="5096"/>
      <c r="C175" s="1974" t="str">
        <f>Master!FC3</f>
        <v>Barapukuria TPP  Unit-2</v>
      </c>
      <c r="D175" s="1924" t="str">
        <f>Master!FC5</f>
        <v>Coal</v>
      </c>
      <c r="E175" s="1975" t="str">
        <f>Master!FC4</f>
        <v>PDB</v>
      </c>
      <c r="F175" s="2000">
        <f>Master!FC7</f>
        <v>125</v>
      </c>
      <c r="G175" s="5093">
        <f>Master!FC8</f>
        <v>85</v>
      </c>
      <c r="H175" s="1959">
        <f>Forecast!M175</f>
        <v>0</v>
      </c>
      <c r="I175" s="2022">
        <f>YesterdayGen!FC34</f>
        <v>0</v>
      </c>
      <c r="J175" s="1927">
        <f t="shared" si="23"/>
        <v>0</v>
      </c>
      <c r="K175" s="1927">
        <f t="shared" si="21"/>
        <v>0</v>
      </c>
      <c r="L175" s="3253" t="s">
        <v>117</v>
      </c>
      <c r="M175" s="5064" t="s">
        <v>55</v>
      </c>
      <c r="N175" s="3464">
        <f>U165</f>
        <v>1251.4000000000001</v>
      </c>
      <c r="O175" s="2137"/>
      <c r="P175" s="2506"/>
      <c r="Q175" s="79"/>
      <c r="T175" s="980"/>
      <c r="U175" s="79"/>
    </row>
    <row r="176" spans="1:23" ht="12" customHeight="1" thickBot="1">
      <c r="A176" s="75"/>
      <c r="B176" s="5134">
        <v>147</v>
      </c>
      <c r="C176" s="1974" t="str">
        <f>Master!FD3</f>
        <v>Barapukuria 275 MW TPP Unit-3</v>
      </c>
      <c r="D176" s="1924" t="str">
        <f>Master!FD5</f>
        <v>Coal</v>
      </c>
      <c r="E176" s="1975" t="str">
        <f>Master!FD4</f>
        <v>PDB</v>
      </c>
      <c r="F176" s="2000">
        <f>Master!FD7</f>
        <v>274</v>
      </c>
      <c r="G176" s="5093">
        <f>Master!FD8</f>
        <v>274</v>
      </c>
      <c r="H176" s="1959">
        <f>Forecast!M176</f>
        <v>250</v>
      </c>
      <c r="I176" s="2022">
        <f>YesterdayGen!FD34</f>
        <v>240</v>
      </c>
      <c r="J176" s="1927">
        <f t="shared" si="23"/>
        <v>0</v>
      </c>
      <c r="K176" s="1927">
        <f t="shared" si="21"/>
        <v>10</v>
      </c>
      <c r="L176" s="3253" t="s">
        <v>1761</v>
      </c>
      <c r="M176" s="5064" t="s">
        <v>6</v>
      </c>
      <c r="N176" s="3463">
        <f>V165</f>
        <v>908</v>
      </c>
      <c r="O176" s="2137"/>
      <c r="P176" s="3268"/>
      <c r="Q176" s="79"/>
      <c r="T176" s="980"/>
      <c r="U176" s="79"/>
    </row>
    <row r="177" spans="1:21" ht="12" customHeight="1" thickBot="1">
      <c r="A177" s="75"/>
      <c r="B177" s="5096">
        <v>148</v>
      </c>
      <c r="C177" s="1718" t="str">
        <f>Master!FE3</f>
        <v>Rangpur 20 MW  GTPP</v>
      </c>
      <c r="D177" s="1928" t="str">
        <f>Master!FE5</f>
        <v>HSD</v>
      </c>
      <c r="E177" s="1958" t="str">
        <f>Master!FE4</f>
        <v>PDB</v>
      </c>
      <c r="F177" s="1945">
        <f>Master!FE7</f>
        <v>20</v>
      </c>
      <c r="G177" s="1948">
        <f>Master!FE8</f>
        <v>20</v>
      </c>
      <c r="H177" s="1959">
        <f>Forecast!M177</f>
        <v>0</v>
      </c>
      <c r="I177" s="1960">
        <f>YesterdayGen!FE34</f>
        <v>0</v>
      </c>
      <c r="J177" s="1927">
        <f t="shared" si="23"/>
        <v>0</v>
      </c>
      <c r="K177" s="1927">
        <f t="shared" si="21"/>
        <v>0</v>
      </c>
      <c r="L177" s="3253"/>
      <c r="M177" s="5064" t="s">
        <v>1520</v>
      </c>
      <c r="N177" s="2574">
        <f>SUM(N168:N176)</f>
        <v>12603.539999999999</v>
      </c>
      <c r="O177" s="2137"/>
      <c r="P177" s="3269"/>
      <c r="Q177" s="3270"/>
      <c r="T177" s="981"/>
      <c r="U177" s="79"/>
    </row>
    <row r="178" spans="1:21" ht="12" customHeight="1">
      <c r="A178" s="75"/>
      <c r="B178" s="5096">
        <v>149</v>
      </c>
      <c r="C178" s="1718" t="str">
        <f>Master!FF3</f>
        <v>Saidpur 20 MW GTPP</v>
      </c>
      <c r="D178" s="1928" t="str">
        <f>Master!FF5</f>
        <v>HSD</v>
      </c>
      <c r="E178" s="1958" t="str">
        <f>Master!FF4</f>
        <v>PDB</v>
      </c>
      <c r="F178" s="1945">
        <f>Master!FF7</f>
        <v>20</v>
      </c>
      <c r="G178" s="1948">
        <f>Master!FF8</f>
        <v>20</v>
      </c>
      <c r="H178" s="1959">
        <f>Forecast!M178</f>
        <v>0</v>
      </c>
      <c r="I178" s="1960">
        <f>YesterdayGen!FF34</f>
        <v>0</v>
      </c>
      <c r="J178" s="1927">
        <f t="shared" si="23"/>
        <v>0</v>
      </c>
      <c r="K178" s="1927">
        <f t="shared" si="21"/>
        <v>0</v>
      </c>
      <c r="L178" s="3252"/>
      <c r="N178" s="3266"/>
      <c r="O178" s="2338"/>
      <c r="P178" s="3271"/>
      <c r="Q178" s="3272"/>
      <c r="T178" s="982"/>
      <c r="U178" s="79"/>
    </row>
    <row r="179" spans="1:21" ht="12" customHeight="1">
      <c r="A179" s="75"/>
      <c r="B179" s="5096">
        <v>150</v>
      </c>
      <c r="C179" s="1718" t="str">
        <f>Master!FT3</f>
        <v xml:space="preserve">Rangpur 113 MW PP (Confidence)  </v>
      </c>
      <c r="D179" s="1928" t="str">
        <f>Master!FT5</f>
        <v>HFO</v>
      </c>
      <c r="E179" s="1958" t="str">
        <f>Master!FT4</f>
        <v>IPP</v>
      </c>
      <c r="F179" s="1945">
        <f>Master!FT7</f>
        <v>113</v>
      </c>
      <c r="G179" s="1948">
        <f>Master!FT8</f>
        <v>113</v>
      </c>
      <c r="H179" s="1959">
        <f>Forecast!M179</f>
        <v>92</v>
      </c>
      <c r="I179" s="1960">
        <f>YesterdayGen!FT34</f>
        <v>91</v>
      </c>
      <c r="J179" s="1927">
        <f t="shared" si="23"/>
        <v>0</v>
      </c>
      <c r="K179" s="1927">
        <f>IF((H179-I179)&gt;0,(H179-I179),0)</f>
        <v>1</v>
      </c>
      <c r="L179" s="1936" t="s">
        <v>126</v>
      </c>
      <c r="N179" s="1884"/>
      <c r="O179" s="2138"/>
      <c r="P179" s="79"/>
      <c r="Q179" s="3273"/>
      <c r="T179" s="982"/>
      <c r="U179" s="79"/>
    </row>
    <row r="180" spans="1:21" ht="12" customHeight="1">
      <c r="A180" s="75"/>
      <c r="B180" s="5096">
        <v>151</v>
      </c>
      <c r="C180" s="1718" t="str">
        <f>Master!FV3</f>
        <v>Sympa Solar Power 8MW</v>
      </c>
      <c r="D180" s="1928" t="str">
        <f>Master!FV5</f>
        <v>Solar</v>
      </c>
      <c r="E180" s="1958" t="str">
        <f>Master!FV4</f>
        <v>IPP</v>
      </c>
      <c r="F180" s="1945">
        <f>Master!FV7</f>
        <v>8</v>
      </c>
      <c r="G180" s="1948">
        <f>Master!FV8</f>
        <v>8</v>
      </c>
      <c r="H180" s="1959">
        <f>Forecast!M180</f>
        <v>0</v>
      </c>
      <c r="I180" s="1960">
        <f>YesterdayGen!FV34</f>
        <v>0</v>
      </c>
      <c r="J180" s="1927">
        <f t="shared" si="23"/>
        <v>0</v>
      </c>
      <c r="K180" s="1927">
        <f>IF((H180-I180)&gt;0,(H180-I180),0)</f>
        <v>0</v>
      </c>
      <c r="L180" s="3252"/>
      <c r="N180" s="986"/>
      <c r="O180" s="79"/>
      <c r="P180" s="79"/>
      <c r="Q180" s="2506"/>
      <c r="T180" s="982"/>
      <c r="U180" s="79"/>
    </row>
    <row r="181" spans="1:21" ht="12" customHeight="1" thickBot="1">
      <c r="A181" s="75"/>
      <c r="B181" s="5088">
        <v>152</v>
      </c>
      <c r="C181" s="2009" t="str">
        <f>Master!GD3</f>
        <v>Energypac Power Venture Thakurgaon Ltd.</v>
      </c>
      <c r="D181" s="2010" t="str">
        <f>Master!GD5</f>
        <v>HFO</v>
      </c>
      <c r="E181" s="2011" t="str">
        <f>Master!GD4</f>
        <v>IPP</v>
      </c>
      <c r="F181" s="2012">
        <f>Master!GD7</f>
        <v>115</v>
      </c>
      <c r="G181" s="2013">
        <f>Master!GD8</f>
        <v>115</v>
      </c>
      <c r="H181" s="2014">
        <f>Forecast!M181</f>
        <v>90</v>
      </c>
      <c r="I181" s="2015">
        <f>YesterdayGen!GD34</f>
        <v>90</v>
      </c>
      <c r="J181" s="1927">
        <f t="shared" si="23"/>
        <v>0</v>
      </c>
      <c r="K181" s="1927">
        <f>IF((H181-I181)&gt;0,(H181-I181),0)</f>
        <v>0</v>
      </c>
      <c r="L181" s="1936" t="s">
        <v>1347</v>
      </c>
      <c r="N181" s="986"/>
      <c r="O181" s="79"/>
      <c r="P181" s="79"/>
      <c r="Q181" s="2506"/>
      <c r="T181" s="982"/>
      <c r="U181" s="79"/>
    </row>
    <row r="182" spans="1:21" ht="12.75" customHeight="1" thickBot="1">
      <c r="A182" s="75"/>
      <c r="B182" s="5135"/>
      <c r="C182" s="5089" t="s">
        <v>46</v>
      </c>
      <c r="D182" s="5089"/>
      <c r="E182" s="2020"/>
      <c r="F182" s="5097">
        <f t="shared" ref="F182:K182" si="24">SUM(F174:F181)</f>
        <v>800</v>
      </c>
      <c r="G182" s="1970">
        <f t="shared" si="24"/>
        <v>720</v>
      </c>
      <c r="H182" s="5097">
        <f t="shared" si="24"/>
        <v>432</v>
      </c>
      <c r="I182" s="5097">
        <f t="shared" si="24"/>
        <v>421</v>
      </c>
      <c r="J182" s="5136">
        <f t="shared" si="24"/>
        <v>0</v>
      </c>
      <c r="K182" s="2021">
        <f t="shared" si="24"/>
        <v>11</v>
      </c>
      <c r="L182" s="5133"/>
      <c r="N182" s="2236"/>
      <c r="T182" s="980"/>
      <c r="U182" s="79"/>
    </row>
    <row r="183" spans="1:21" ht="12" customHeight="1" thickBot="1">
      <c r="A183" s="75"/>
      <c r="B183" s="2023"/>
      <c r="C183" s="2024" t="s">
        <v>47</v>
      </c>
      <c r="D183" s="2024"/>
      <c r="E183" s="2025"/>
      <c r="F183" s="2026">
        <f>F51+F74+F101+F110+F129+F143+F151+F173+F182</f>
        <v>22482</v>
      </c>
      <c r="G183" s="2026">
        <f>G51+G74+G101+G110+G129+G143+G151+G173+G182</f>
        <v>21680</v>
      </c>
      <c r="H183" s="2026">
        <f>H51+H74+H101+H110+H129+H143+H151+H173+H182</f>
        <v>13539</v>
      </c>
      <c r="I183" s="2026">
        <f>I51+I74+I101+I110+I129+I143+I151+I173+I182</f>
        <v>13227</v>
      </c>
      <c r="J183" s="2026">
        <f>J51+J74+J101+J110+J129+J143+J151+J173+J182</f>
        <v>377</v>
      </c>
      <c r="K183" s="2900">
        <f>K51+K74+K101+K110+K129+K143+K151+K173</f>
        <v>709</v>
      </c>
      <c r="L183" s="2027"/>
      <c r="N183" s="1021"/>
      <c r="T183" s="980"/>
      <c r="U183" s="79"/>
    </row>
    <row r="184" spans="1:21" ht="18.75" thickBot="1">
      <c r="A184" s="75"/>
      <c r="B184" s="2028"/>
      <c r="C184" s="2029" t="s">
        <v>48</v>
      </c>
      <c r="D184" s="5258">
        <v>14200</v>
      </c>
      <c r="E184" s="2030"/>
      <c r="F184" s="2030"/>
      <c r="G184" s="2031"/>
      <c r="H184" s="2032"/>
      <c r="I184" s="2033"/>
      <c r="J184" s="2034" t="s">
        <v>49</v>
      </c>
      <c r="K184" s="1927">
        <f>IF((D184-H183)&gt;0,(D184-H183),0)</f>
        <v>661</v>
      </c>
      <c r="L184" s="2035"/>
      <c r="T184" s="980"/>
      <c r="U184" s="79"/>
    </row>
    <row r="185" spans="1:21" ht="15.75" customHeight="1" thickBot="1">
      <c r="A185" s="75"/>
      <c r="B185" s="5137"/>
      <c r="C185" s="5138" t="s">
        <v>14</v>
      </c>
      <c r="D185" s="2036">
        <f>I183</f>
        <v>13227</v>
      </c>
      <c r="E185" s="5139"/>
      <c r="F185" s="5139"/>
      <c r="G185" s="5140"/>
      <c r="H185" s="5141"/>
      <c r="I185" s="5140"/>
      <c r="J185" s="5142" t="s">
        <v>50</v>
      </c>
      <c r="K185" s="5143">
        <f>IF((D184-D185)&gt;0,J202,0)</f>
        <v>897</v>
      </c>
      <c r="L185" s="5144" t="s">
        <v>36</v>
      </c>
      <c r="M185" s="74"/>
      <c r="N185" s="5443" t="s">
        <v>711</v>
      </c>
      <c r="O185" s="5443"/>
      <c r="P185" s="5444">
        <f>(1-E202/D185)</f>
        <v>4.7135404853708263E-2</v>
      </c>
      <c r="T185" s="980"/>
      <c r="U185" s="79"/>
    </row>
    <row r="186" spans="1:21" ht="12.75" customHeight="1">
      <c r="A186" s="75"/>
      <c r="B186" s="2037" t="s">
        <v>51</v>
      </c>
      <c r="C186" s="2038"/>
      <c r="D186" s="2031"/>
      <c r="E186" s="2039"/>
      <c r="F186" s="2038"/>
      <c r="G186" s="2031"/>
      <c r="H186" s="2040"/>
      <c r="I186" s="2041">
        <f>I183</f>
        <v>13227</v>
      </c>
      <c r="J186" s="2042" t="s">
        <v>36</v>
      </c>
      <c r="K186" s="2043"/>
      <c r="L186" s="2044"/>
      <c r="M186" s="76"/>
      <c r="N186" s="5443"/>
      <c r="O186" s="5443"/>
      <c r="P186" s="5445"/>
      <c r="T186" s="980"/>
      <c r="U186" s="79"/>
    </row>
    <row r="187" spans="1:21" ht="12" customHeight="1">
      <c r="A187" s="75"/>
      <c r="B187" s="2045" t="s">
        <v>140</v>
      </c>
      <c r="C187" s="2046"/>
      <c r="D187" s="2046"/>
      <c r="E187" s="2046"/>
      <c r="F187" s="2047"/>
      <c r="G187" s="2046"/>
      <c r="H187" s="2048"/>
      <c r="I187" s="2049">
        <f>I183-I189</f>
        <v>623.45999999999913</v>
      </c>
      <c r="J187" s="2050" t="s">
        <v>36</v>
      </c>
      <c r="K187" s="2051"/>
      <c r="L187" s="2052"/>
      <c r="M187" s="76"/>
      <c r="N187" s="5443"/>
      <c r="O187" s="5443"/>
      <c r="P187" s="5446"/>
      <c r="R187" s="639"/>
      <c r="T187" s="981"/>
      <c r="U187" s="79"/>
    </row>
    <row r="188" spans="1:21" ht="6.75" customHeight="1">
      <c r="A188" s="75"/>
      <c r="B188" s="2053"/>
      <c r="C188" s="2054"/>
      <c r="D188" s="2054"/>
      <c r="E188" s="2054"/>
      <c r="F188" s="2055"/>
      <c r="G188" s="2054"/>
      <c r="H188" s="2056" t="s">
        <v>18</v>
      </c>
      <c r="I188" s="2057"/>
      <c r="J188" s="2058"/>
      <c r="K188" s="2051"/>
      <c r="L188" s="2052"/>
      <c r="M188" s="76"/>
      <c r="T188" s="981"/>
      <c r="U188" s="79"/>
    </row>
    <row r="189" spans="1:21" ht="15.75" thickBot="1">
      <c r="A189" s="78"/>
      <c r="B189" s="2059" t="s">
        <v>139</v>
      </c>
      <c r="C189" s="2060"/>
      <c r="D189" s="2060"/>
      <c r="E189" s="2060"/>
      <c r="F189" s="2061"/>
      <c r="G189" s="2060"/>
      <c r="H189" s="2060"/>
      <c r="I189" s="2062">
        <f>E202</f>
        <v>12603.54</v>
      </c>
      <c r="J189" s="2063" t="s">
        <v>36</v>
      </c>
      <c r="K189" s="2064"/>
      <c r="L189" s="2065"/>
      <c r="M189" s="77"/>
      <c r="T189" s="79"/>
      <c r="U189" s="79"/>
    </row>
    <row r="190" spans="1:21" ht="12" customHeight="1" thickBot="1">
      <c r="A190" s="78"/>
      <c r="B190" s="2066"/>
      <c r="C190" s="2067"/>
      <c r="D190" s="2068"/>
      <c r="E190" s="2068"/>
      <c r="F190" s="2068"/>
      <c r="G190" s="2068"/>
      <c r="H190" s="2069"/>
      <c r="I190" s="2068"/>
      <c r="J190" s="2068"/>
      <c r="K190" s="2070"/>
      <c r="L190" s="2071"/>
      <c r="M190" s="77"/>
      <c r="N190" s="5441" t="s">
        <v>52</v>
      </c>
      <c r="O190" s="647" t="s">
        <v>707</v>
      </c>
      <c r="P190" s="5439" t="s">
        <v>726</v>
      </c>
      <c r="Q190" s="5441" t="s">
        <v>708</v>
      </c>
      <c r="T190" s="79"/>
      <c r="U190" s="79"/>
    </row>
    <row r="191" spans="1:21" ht="12" customHeight="1">
      <c r="A191" s="78"/>
      <c r="B191" s="2446"/>
      <c r="C191" s="2447" t="s">
        <v>52</v>
      </c>
      <c r="D191" s="2448"/>
      <c r="E191" s="2449" t="s">
        <v>706</v>
      </c>
      <c r="F191" s="2450"/>
      <c r="G191" s="2451"/>
      <c r="H191" s="2452" t="s">
        <v>53</v>
      </c>
      <c r="I191" s="2453"/>
      <c r="J191" s="2454" t="s">
        <v>54</v>
      </c>
      <c r="K191" s="2455"/>
      <c r="L191" s="2456" t="s">
        <v>295</v>
      </c>
      <c r="M191" s="636"/>
      <c r="N191" s="5442"/>
      <c r="O191" s="648" t="s">
        <v>709</v>
      </c>
      <c r="P191" s="5440"/>
      <c r="Q191" s="5442"/>
      <c r="T191" s="79"/>
      <c r="U191" s="79"/>
    </row>
    <row r="192" spans="1:21" ht="12" customHeight="1" thickBot="1">
      <c r="A192" s="75"/>
      <c r="B192" s="2481"/>
      <c r="C192" s="2482"/>
      <c r="D192" s="2483"/>
      <c r="E192" s="2484" t="s">
        <v>36</v>
      </c>
      <c r="F192" s="2485"/>
      <c r="G192" s="2483"/>
      <c r="H192" s="2484" t="s">
        <v>36</v>
      </c>
      <c r="I192" s="2486"/>
      <c r="J192" s="2484" t="s">
        <v>36</v>
      </c>
      <c r="K192" s="2487"/>
      <c r="L192" s="2488"/>
      <c r="M192" s="80"/>
      <c r="N192" s="640" t="s">
        <v>10</v>
      </c>
      <c r="O192" s="641">
        <f>Forecast!U192</f>
        <v>34.75</v>
      </c>
      <c r="P192" s="642">
        <f>D184*(1-P185)*O192/100</f>
        <v>4701.9103447493762</v>
      </c>
      <c r="Q192" s="643">
        <f t="shared" ref="Q192:Q200" si="25">J193/P192</f>
        <v>3.6155517127169176E-2</v>
      </c>
      <c r="T192" s="79"/>
      <c r="U192" s="79"/>
    </row>
    <row r="193" spans="1:17" ht="12" customHeight="1">
      <c r="A193" s="75"/>
      <c r="B193" s="2474"/>
      <c r="C193" s="2475" t="s">
        <v>10</v>
      </c>
      <c r="D193" s="2476"/>
      <c r="E193" s="3536">
        <f>N168</f>
        <v>4821.78</v>
      </c>
      <c r="F193" s="2477"/>
      <c r="G193" s="2477"/>
      <c r="H193" s="3538">
        <f>E193+J193</f>
        <v>4991.78</v>
      </c>
      <c r="I193" s="2478"/>
      <c r="J193" s="2479">
        <v>170</v>
      </c>
      <c r="K193" s="2480"/>
      <c r="L193" s="2529"/>
      <c r="M193" s="634"/>
      <c r="N193" s="640" t="s">
        <v>16</v>
      </c>
      <c r="O193" s="641">
        <f>Forecast!U193</f>
        <v>9.84</v>
      </c>
      <c r="P193" s="642">
        <f>D184*(1-P185)*O193/100</f>
        <v>1331.4186415060105</v>
      </c>
      <c r="Q193" s="643">
        <f t="shared" si="25"/>
        <v>3.7553928149483766E-2</v>
      </c>
    </row>
    <row r="194" spans="1:17" ht="14.25" customHeight="1">
      <c r="A194" s="75"/>
      <c r="B194" s="2463"/>
      <c r="C194" s="2458" t="s">
        <v>16</v>
      </c>
      <c r="D194" s="2460"/>
      <c r="E194" s="3536">
        <f>N169</f>
        <v>1245.5</v>
      </c>
      <c r="F194" s="2461"/>
      <c r="G194" s="2461"/>
      <c r="H194" s="3538">
        <f t="shared" ref="H194:H201" si="26">E194+J194</f>
        <v>1295.5</v>
      </c>
      <c r="I194" s="2462"/>
      <c r="J194" s="2479">
        <v>50</v>
      </c>
      <c r="K194" s="2459"/>
      <c r="L194" s="2530"/>
      <c r="M194" s="635"/>
      <c r="N194" s="640" t="s">
        <v>5</v>
      </c>
      <c r="O194" s="641">
        <f>Forecast!U194</f>
        <v>12.99</v>
      </c>
      <c r="P194" s="642">
        <f>D184*(1-P185)*O194/100</f>
        <v>1757.634974914947</v>
      </c>
      <c r="Q194" s="643">
        <f t="shared" si="25"/>
        <v>9.1031415671358321E-2</v>
      </c>
    </row>
    <row r="195" spans="1:17" ht="12" customHeight="1">
      <c r="A195" s="75"/>
      <c r="B195" s="2463"/>
      <c r="C195" s="2458" t="s">
        <v>5</v>
      </c>
      <c r="D195" s="2460"/>
      <c r="E195" s="3536">
        <f>N173</f>
        <v>1480</v>
      </c>
      <c r="F195" s="2461"/>
      <c r="G195" s="2461"/>
      <c r="H195" s="3538">
        <f t="shared" si="26"/>
        <v>1640</v>
      </c>
      <c r="I195" s="2462"/>
      <c r="J195" s="2479">
        <v>160</v>
      </c>
      <c r="K195" s="2459"/>
      <c r="L195" s="2531"/>
      <c r="M195" s="635"/>
      <c r="N195" s="640" t="s">
        <v>55</v>
      </c>
      <c r="O195" s="641">
        <f>Forecast!U195</f>
        <v>11.53</v>
      </c>
      <c r="P195" s="642">
        <f>D184*(1-P185)*O195/100</f>
        <v>1560.0870870492174</v>
      </c>
      <c r="Q195" s="643">
        <f t="shared" si="25"/>
        <v>7.6918782929593116E-2</v>
      </c>
    </row>
    <row r="196" spans="1:17" ht="13.5" customHeight="1">
      <c r="A196" s="75"/>
      <c r="B196" s="2463"/>
      <c r="C196" s="2458" t="s">
        <v>55</v>
      </c>
      <c r="D196" s="2460"/>
      <c r="E196" s="3536">
        <f>N175</f>
        <v>1251.4000000000001</v>
      </c>
      <c r="F196" s="2461"/>
      <c r="G196" s="2461"/>
      <c r="H196" s="3538">
        <f t="shared" si="26"/>
        <v>1371.4</v>
      </c>
      <c r="I196" s="2462"/>
      <c r="J196" s="2479">
        <v>120</v>
      </c>
      <c r="K196" s="2459"/>
      <c r="L196" s="2528"/>
      <c r="M196" s="80"/>
      <c r="N196" s="640" t="s">
        <v>9</v>
      </c>
      <c r="O196" s="641">
        <f>Forecast!U196</f>
        <v>9.81</v>
      </c>
      <c r="P196" s="642">
        <f>D184*(1-P185)*O196/100</f>
        <v>1327.3594383306875</v>
      </c>
      <c r="Q196" s="643">
        <f t="shared" si="25"/>
        <v>7.5337543932909312E-2</v>
      </c>
    </row>
    <row r="197" spans="1:17" ht="15.75" customHeight="1">
      <c r="A197" s="75"/>
      <c r="B197" s="2463"/>
      <c r="C197" s="2458" t="s">
        <v>9</v>
      </c>
      <c r="D197" s="2460"/>
      <c r="E197" s="3536">
        <f>N170</f>
        <v>1168</v>
      </c>
      <c r="F197" s="2461"/>
      <c r="G197" s="2461"/>
      <c r="H197" s="3538">
        <f t="shared" si="26"/>
        <v>1268</v>
      </c>
      <c r="I197" s="2462"/>
      <c r="J197" s="2479">
        <v>100</v>
      </c>
      <c r="K197" s="2459"/>
      <c r="L197" s="2528"/>
      <c r="M197" s="80"/>
      <c r="N197" s="640" t="s">
        <v>106</v>
      </c>
      <c r="O197" s="641">
        <f>Forecast!U197</f>
        <v>8.11</v>
      </c>
      <c r="P197" s="642">
        <f>D184*(1-P185)*O197/100</f>
        <v>1097.3379250623723</v>
      </c>
      <c r="Q197" s="643">
        <f t="shared" si="25"/>
        <v>0.16403333548302257</v>
      </c>
    </row>
    <row r="198" spans="1:17" ht="15">
      <c r="A198" s="75"/>
      <c r="B198" s="2463"/>
      <c r="C198" s="2458" t="s">
        <v>106</v>
      </c>
      <c r="D198" s="2460"/>
      <c r="E198" s="3536">
        <f>N171</f>
        <v>839</v>
      </c>
      <c r="F198" s="2461"/>
      <c r="G198" s="2461"/>
      <c r="H198" s="3538">
        <f t="shared" si="26"/>
        <v>1019</v>
      </c>
      <c r="I198" s="2462"/>
      <c r="J198" s="2479">
        <v>180</v>
      </c>
      <c r="K198" s="2459"/>
      <c r="L198" s="2528"/>
      <c r="M198" s="637"/>
      <c r="N198" s="640" t="s">
        <v>4</v>
      </c>
      <c r="O198" s="641">
        <f>Forecast!U198</f>
        <v>3.62</v>
      </c>
      <c r="P198" s="642">
        <f>D184*(1-P185)*O198/100</f>
        <v>489.81051648899978</v>
      </c>
      <c r="Q198" s="643">
        <f t="shared" si="25"/>
        <v>0.16332846541035148</v>
      </c>
    </row>
    <row r="199" spans="1:17" ht="12.75" customHeight="1">
      <c r="A199" s="75"/>
      <c r="B199" s="2463"/>
      <c r="C199" s="2458" t="s">
        <v>4</v>
      </c>
      <c r="D199" s="2460"/>
      <c r="E199" s="3536">
        <f>N172</f>
        <v>488</v>
      </c>
      <c r="F199" s="2461"/>
      <c r="G199" s="2461"/>
      <c r="H199" s="3538">
        <f t="shared" si="26"/>
        <v>568</v>
      </c>
      <c r="I199" s="2462"/>
      <c r="J199" s="2479">
        <v>80</v>
      </c>
      <c r="K199" s="2459"/>
      <c r="L199" s="2531"/>
      <c r="M199" s="80"/>
      <c r="N199" s="640" t="s">
        <v>56</v>
      </c>
      <c r="O199" s="641">
        <f>Forecast!U199</f>
        <v>2.95</v>
      </c>
      <c r="P199" s="642">
        <f>D184*(1-P185)*O199/100</f>
        <v>399.15497890678159</v>
      </c>
      <c r="Q199" s="643">
        <f t="shared" si="25"/>
        <v>0</v>
      </c>
    </row>
    <row r="200" spans="1:17" ht="13.5" customHeight="1">
      <c r="A200" s="75"/>
      <c r="B200" s="2463"/>
      <c r="C200" s="2458" t="s">
        <v>56</v>
      </c>
      <c r="D200" s="2460"/>
      <c r="E200" s="3536">
        <f>N174</f>
        <v>401.86</v>
      </c>
      <c r="F200" s="2461"/>
      <c r="G200" s="2461"/>
      <c r="H200" s="3538">
        <f>E200+J200</f>
        <v>401.86</v>
      </c>
      <c r="I200" s="2462"/>
      <c r="J200" s="2479">
        <f>Q210</f>
        <v>0</v>
      </c>
      <c r="K200" s="2459"/>
      <c r="L200" s="2532"/>
      <c r="M200" s="638"/>
      <c r="N200" s="640" t="s">
        <v>6</v>
      </c>
      <c r="O200" s="641">
        <f>Forecast!U200</f>
        <v>6.4</v>
      </c>
      <c r="P200" s="642">
        <f>D184*(1-P185)*O200/100</f>
        <v>865.96334406894994</v>
      </c>
      <c r="Q200" s="643">
        <f t="shared" si="25"/>
        <v>4.2726981752075149E-2</v>
      </c>
    </row>
    <row r="201" spans="1:17" ht="16.5" customHeight="1" thickBot="1">
      <c r="A201" s="75"/>
      <c r="B201" s="2464"/>
      <c r="C201" s="2465" t="s">
        <v>6</v>
      </c>
      <c r="D201" s="2466"/>
      <c r="E201" s="3537">
        <f>N176</f>
        <v>908</v>
      </c>
      <c r="F201" s="2467"/>
      <c r="G201" s="2467"/>
      <c r="H201" s="3538">
        <f t="shared" si="26"/>
        <v>945</v>
      </c>
      <c r="I201" s="2468"/>
      <c r="J201" s="2479">
        <v>37</v>
      </c>
      <c r="K201" s="2469"/>
      <c r="L201" s="2530"/>
      <c r="M201" s="80"/>
      <c r="N201" s="644"/>
      <c r="O201" s="645">
        <f>SUM(O192:O200)</f>
        <v>100.00000000000001</v>
      </c>
      <c r="P201" s="646">
        <f>SUM(P192:P200)</f>
        <v>13530.677251077344</v>
      </c>
      <c r="Q201" s="644"/>
    </row>
    <row r="202" spans="1:17" ht="15" customHeight="1" thickBot="1">
      <c r="A202" s="75"/>
      <c r="B202" s="2498"/>
      <c r="C202" s="2470" t="s">
        <v>12</v>
      </c>
      <c r="D202" s="2471"/>
      <c r="E202" s="5259">
        <f>SUM(E193:E201)</f>
        <v>12603.54</v>
      </c>
      <c r="F202" s="2472"/>
      <c r="G202" s="2471"/>
      <c r="H202" s="5260">
        <f>SUM(H193:H201)</f>
        <v>13500.54</v>
      </c>
      <c r="I202" s="2472"/>
      <c r="J202" s="2499">
        <f>SUM(J193:J201)</f>
        <v>897</v>
      </c>
      <c r="K202" s="2473"/>
      <c r="L202" s="2500"/>
      <c r="M202" s="80"/>
    </row>
    <row r="203" spans="1:17" ht="13.5" customHeight="1" thickBot="1">
      <c r="A203" s="74"/>
      <c r="B203" s="106"/>
      <c r="C203" s="107"/>
      <c r="D203" s="108"/>
      <c r="E203" s="1872"/>
      <c r="F203" s="108"/>
      <c r="G203" s="109"/>
      <c r="H203" s="2457"/>
      <c r="I203" s="109"/>
      <c r="J203" s="109"/>
      <c r="K203" s="105" t="s">
        <v>18</v>
      </c>
      <c r="L203" s="110"/>
      <c r="M203" s="79"/>
    </row>
    <row r="204" spans="1:17" ht="24" thickBot="1">
      <c r="A204" s="74"/>
      <c r="B204" s="106"/>
      <c r="C204" s="107"/>
      <c r="D204" s="108"/>
      <c r="E204" s="108"/>
      <c r="F204" s="108"/>
      <c r="G204" s="109"/>
      <c r="H204" s="109"/>
      <c r="I204" s="111"/>
      <c r="J204" s="112"/>
      <c r="K204" s="105"/>
      <c r="L204" s="110" t="s">
        <v>138</v>
      </c>
      <c r="N204" s="3463" t="s">
        <v>10</v>
      </c>
      <c r="O204" s="2479"/>
      <c r="P204" s="5000" t="s">
        <v>10</v>
      </c>
      <c r="Q204" s="2479">
        <v>276.94955945021979</v>
      </c>
    </row>
    <row r="205" spans="1:17" ht="22.5" customHeight="1">
      <c r="A205" s="74"/>
      <c r="B205" s="106"/>
      <c r="C205" s="107"/>
      <c r="D205" s="108"/>
      <c r="E205" s="108"/>
      <c r="F205" s="108"/>
      <c r="G205" s="2417"/>
      <c r="H205" s="4951"/>
      <c r="I205" s="111"/>
      <c r="J205" s="112"/>
      <c r="K205" s="120" t="s">
        <v>57</v>
      </c>
      <c r="N205" s="4999" t="s">
        <v>16</v>
      </c>
      <c r="O205" s="2479"/>
      <c r="P205" s="5000" t="s">
        <v>16</v>
      </c>
      <c r="Q205" s="2479">
        <v>145.17881698049149</v>
      </c>
    </row>
    <row r="206" spans="1:17" ht="23.25">
      <c r="A206" s="74"/>
      <c r="B206" s="113"/>
      <c r="C206" s="114"/>
      <c r="D206" s="115"/>
      <c r="E206" s="116"/>
      <c r="F206" s="116"/>
      <c r="G206" s="128"/>
      <c r="H206" s="114"/>
      <c r="I206" s="128"/>
      <c r="J206" s="114"/>
      <c r="K206" s="117" t="s">
        <v>58</v>
      </c>
      <c r="N206" s="4999" t="s">
        <v>106</v>
      </c>
      <c r="O206" s="2479"/>
      <c r="P206" s="5000" t="s">
        <v>106</v>
      </c>
      <c r="Q206" s="2479">
        <v>142</v>
      </c>
    </row>
    <row r="207" spans="1:17" ht="23.25">
      <c r="A207" s="74"/>
      <c r="B207" s="118"/>
      <c r="C207" s="119"/>
      <c r="D207" s="115"/>
      <c r="E207" s="119"/>
      <c r="F207" s="119"/>
      <c r="G207" s="129" t="s">
        <v>18</v>
      </c>
      <c r="H207" s="129"/>
      <c r="I207" s="119"/>
      <c r="J207" s="119"/>
      <c r="N207" s="4999" t="s">
        <v>4</v>
      </c>
      <c r="O207" s="2479"/>
      <c r="P207" s="5000" t="s">
        <v>4</v>
      </c>
      <c r="Q207" s="2479">
        <v>53.81745631100587</v>
      </c>
    </row>
    <row r="208" spans="1:17" ht="23.25">
      <c r="A208" s="74"/>
      <c r="B208" s="118"/>
      <c r="C208" s="119"/>
      <c r="D208" s="119"/>
      <c r="E208" s="119"/>
      <c r="F208" s="119"/>
      <c r="G208" s="115"/>
      <c r="H208" s="115"/>
      <c r="I208" s="119"/>
      <c r="J208" s="118"/>
      <c r="N208" s="4999" t="s">
        <v>9</v>
      </c>
      <c r="O208" s="2479"/>
      <c r="P208" s="5000" t="s">
        <v>858</v>
      </c>
      <c r="Q208" s="2479">
        <v>185</v>
      </c>
    </row>
    <row r="209" spans="1:142" ht="23.25">
      <c r="A209" s="74"/>
      <c r="B209" s="71"/>
      <c r="C209" s="4943"/>
      <c r="D209" s="4944"/>
      <c r="E209" s="4945"/>
      <c r="F209" s="72"/>
      <c r="G209" s="73"/>
      <c r="H209" s="73"/>
      <c r="I209" s="72"/>
      <c r="J209" s="71"/>
      <c r="K209" s="69"/>
      <c r="N209" s="4999" t="s">
        <v>5</v>
      </c>
      <c r="O209" s="2479"/>
      <c r="P209" s="5000" t="s">
        <v>5</v>
      </c>
      <c r="Q209" s="2479">
        <v>206</v>
      </c>
    </row>
    <row r="210" spans="1:142" ht="23.25">
      <c r="C210" s="4946"/>
      <c r="D210" s="4947"/>
      <c r="E210" s="79"/>
      <c r="N210" s="4999" t="s">
        <v>56</v>
      </c>
      <c r="O210" s="2479"/>
      <c r="P210" s="5000" t="s">
        <v>56</v>
      </c>
      <c r="Q210" s="2479">
        <v>0</v>
      </c>
    </row>
    <row r="211" spans="1:142" ht="23.25">
      <c r="C211" s="4946"/>
      <c r="D211" s="4948"/>
      <c r="E211" s="79"/>
      <c r="N211" s="4999" t="s">
        <v>55</v>
      </c>
      <c r="O211" s="2479"/>
      <c r="P211" s="5000" t="s">
        <v>55</v>
      </c>
      <c r="Q211" s="2479">
        <v>220</v>
      </c>
    </row>
    <row r="212" spans="1:142" ht="24" thickBot="1">
      <c r="C212" s="4946"/>
      <c r="D212" s="4948"/>
      <c r="E212" s="79"/>
      <c r="I212" s="639"/>
      <c r="N212" s="4999" t="s">
        <v>6</v>
      </c>
      <c r="O212" s="2479"/>
      <c r="P212" s="5000" t="s">
        <v>6</v>
      </c>
      <c r="Q212" s="2479">
        <v>150</v>
      </c>
    </row>
    <row r="213" spans="1:142" ht="15.75" thickBot="1">
      <c r="C213" s="4946"/>
      <c r="D213" s="4949"/>
      <c r="E213" s="79"/>
      <c r="N213" s="3515"/>
      <c r="O213" s="2479"/>
      <c r="Q213" s="2417">
        <f>SUM(Q204:Q212)</f>
        <v>1378.9458327417174</v>
      </c>
      <c r="R213" s="2417">
        <f>79+54</f>
        <v>133</v>
      </c>
      <c r="EL213" s="70" t="e">
        <f>#REF!+#REF!</f>
        <v>#REF!</v>
      </c>
    </row>
    <row r="214" spans="1:142" ht="15">
      <c r="C214" s="4946"/>
      <c r="D214" s="4949"/>
      <c r="E214" s="79"/>
      <c r="P214" s="2417">
        <v>1379</v>
      </c>
      <c r="Q214" s="2417">
        <f>Q213+79+54</f>
        <v>1511.9458327417174</v>
      </c>
    </row>
    <row r="215" spans="1:142" ht="24" customHeight="1">
      <c r="C215" s="4946"/>
      <c r="D215" s="4949"/>
      <c r="E215" s="4950"/>
      <c r="F215" s="2417"/>
      <c r="Q215" s="2417">
        <f>P214-Q213</f>
        <v>5.4167258282632247E-2</v>
      </c>
    </row>
    <row r="216" spans="1:142" ht="15">
      <c r="C216" s="4946"/>
      <c r="D216" s="4948"/>
      <c r="E216" s="4950"/>
      <c r="F216" s="2417"/>
      <c r="H216" s="2417"/>
      <c r="J216" s="2139"/>
    </row>
    <row r="217" spans="1:142" ht="15">
      <c r="C217" s="4946"/>
      <c r="D217" s="4949"/>
      <c r="E217" s="4950"/>
      <c r="F217" s="2417"/>
      <c r="H217" s="2417"/>
      <c r="J217" s="2140"/>
    </row>
    <row r="218" spans="1:142" ht="15">
      <c r="C218" s="4946"/>
      <c r="D218" s="79"/>
      <c r="E218" s="79"/>
      <c r="J218" s="2140"/>
      <c r="K218" s="2181"/>
    </row>
    <row r="219" spans="1:142">
      <c r="E219" s="70"/>
      <c r="G219" s="2139"/>
      <c r="I219" s="2138"/>
      <c r="J219" s="2137"/>
      <c r="K219" s="2182"/>
    </row>
    <row r="220" spans="1:142">
      <c r="E220" s="70"/>
      <c r="G220" s="2140"/>
      <c r="I220" s="2137"/>
      <c r="J220" s="2137"/>
      <c r="K220" s="2182"/>
    </row>
    <row r="221" spans="1:142">
      <c r="E221" s="70"/>
      <c r="G221" s="2137"/>
      <c r="I221" s="2137"/>
      <c r="J221" s="2138"/>
      <c r="K221" s="2401"/>
    </row>
    <row r="222" spans="1:142">
      <c r="D222" s="2444"/>
      <c r="E222" s="70"/>
      <c r="G222" s="2137"/>
      <c r="I222" s="2137"/>
      <c r="J222" s="2137"/>
      <c r="K222" s="2401"/>
    </row>
    <row r="223" spans="1:142" ht="15.75">
      <c r="D223" s="2445"/>
      <c r="E223" s="70"/>
      <c r="G223" s="2137"/>
      <c r="I223" s="2444"/>
      <c r="J223" s="2137"/>
      <c r="K223" s="2401"/>
    </row>
    <row r="224" spans="1:142" ht="15.75">
      <c r="D224" s="2182"/>
      <c r="E224" s="70"/>
      <c r="G224" s="2137"/>
      <c r="I224" s="2445"/>
      <c r="J224" s="2137"/>
      <c r="K224" s="2401"/>
    </row>
    <row r="225" spans="4:11">
      <c r="D225" s="2182"/>
      <c r="E225" s="70"/>
      <c r="G225" s="2137"/>
      <c r="I225" s="2182"/>
      <c r="J225" s="2137"/>
      <c r="K225" s="2401"/>
    </row>
    <row r="226" spans="4:11">
      <c r="E226" s="70"/>
      <c r="G226" s="2137"/>
      <c r="I226" s="2182"/>
      <c r="J226" s="2137"/>
      <c r="K226" s="2401"/>
    </row>
    <row r="227" spans="4:11">
      <c r="E227" s="70"/>
      <c r="G227" s="2137"/>
      <c r="H227" s="2417"/>
      <c r="I227" s="2137"/>
      <c r="J227" s="2137"/>
      <c r="K227" s="2401"/>
    </row>
    <row r="228" spans="4:11">
      <c r="E228" s="70"/>
      <c r="G228" s="2139"/>
      <c r="H228" s="2444"/>
      <c r="I228" s="2138"/>
      <c r="J228" s="2137"/>
      <c r="K228" s="2401"/>
    </row>
    <row r="229" spans="4:11">
      <c r="J229" s="2140"/>
      <c r="K229" s="2401"/>
    </row>
    <row r="230" spans="4:11">
      <c r="H230" s="2182"/>
      <c r="J230" s="2139"/>
      <c r="K230" s="2402"/>
    </row>
    <row r="231" spans="4:11">
      <c r="H231" s="2182"/>
    </row>
    <row r="312" spans="2:2">
      <c r="B312" s="68">
        <v>3788</v>
      </c>
    </row>
    <row r="315" spans="2:2">
      <c r="B315" s="68">
        <v>90</v>
      </c>
    </row>
    <row r="316" spans="2:2">
      <c r="B316" s="68">
        <v>99</v>
      </c>
    </row>
    <row r="318" spans="2:2">
      <c r="B318" s="68">
        <v>23</v>
      </c>
    </row>
    <row r="320" spans="2:2">
      <c r="B320" s="68">
        <v>120</v>
      </c>
    </row>
    <row r="330" spans="2:2">
      <c r="B330" s="68">
        <v>21</v>
      </c>
    </row>
    <row r="332" spans="2:2">
      <c r="B332" s="68">
        <v>32</v>
      </c>
    </row>
    <row r="336" spans="2:2">
      <c r="B336" s="68">
        <v>457</v>
      </c>
    </row>
    <row r="343" spans="2:12">
      <c r="B343" s="68">
        <v>70</v>
      </c>
      <c r="L343" s="68" t="s">
        <v>137</v>
      </c>
    </row>
    <row r="348" spans="2:12">
      <c r="B348" s="68">
        <v>225</v>
      </c>
    </row>
    <row r="352" spans="2:12">
      <c r="B352" s="68">
        <v>22</v>
      </c>
    </row>
    <row r="353" spans="2:2">
      <c r="B353" s="68">
        <v>16</v>
      </c>
    </row>
    <row r="354" spans="2:2">
      <c r="B354" s="68">
        <v>11</v>
      </c>
    </row>
    <row r="355" spans="2:2">
      <c r="B355" s="68">
        <v>42</v>
      </c>
    </row>
    <row r="356" spans="2:2">
      <c r="B356" s="68">
        <v>5</v>
      </c>
    </row>
    <row r="364" spans="2:2">
      <c r="B364" s="68">
        <v>18</v>
      </c>
    </row>
    <row r="369" spans="2:2">
      <c r="B369" s="68">
        <v>1251</v>
      </c>
    </row>
    <row r="370" spans="2:2">
      <c r="B370" s="68">
        <v>5039</v>
      </c>
    </row>
  </sheetData>
  <customSheetViews>
    <customSheetView guid="{751D391F-C74F-4B53-B5B5-25E01AC12EA4}" scale="130" showPageBreaks="1" printArea="1">
      <selection activeCell="B1" sqref="B1"/>
      <rowBreaks count="1" manualBreakCount="1">
        <brk id="108" min="1" max="11" man="1"/>
      </rowBreaks>
      <pageMargins left="0.55000000000000004" right="0.2" top="1" bottom="0.25" header="0.3" footer="0.3"/>
      <pageSetup paperSize="9" scale="53" fitToWidth="0" fitToHeight="0" orientation="portrait" horizontalDpi="4294967295" verticalDpi="4294967295" r:id="rId1"/>
      <headerFooter alignWithMargins="0">
        <oddFooter>&amp;C&amp;P of &amp;N</oddFooter>
      </headerFooter>
    </customSheetView>
    <customSheetView guid="{5A803268-F6C5-4035-B3E1-A94CB9AA8994}" showPageBreaks="1" printArea="1" topLeftCell="F1">
      <selection activeCell="O16" sqref="O16"/>
      <rowBreaks count="1" manualBreakCount="1">
        <brk id="92" min="1" max="11" man="1"/>
      </rowBreaks>
      <pageMargins left="0.55000000000000004" right="0.2" top="1" bottom="0.25" header="0.3" footer="0.3"/>
      <pageSetup paperSize="9" scale="61" fitToWidth="0" fitToHeight="0" orientation="portrait" r:id="rId2"/>
      <headerFooter alignWithMargins="0">
        <oddFooter>&amp;C&amp;P of &amp;N</oddFooter>
      </headerFooter>
    </customSheetView>
    <customSheetView guid="{917057C8-5E5F-4164-B84C-85103677A2E5}">
      <pane ySplit="5" topLeftCell="A158" activePane="bottomLeft" state="frozen"/>
      <selection pane="bottomLeft" activeCell="H180" sqref="H180"/>
      <rowBreaks count="1" manualBreakCount="1">
        <brk id="100" min="1" max="11" man="1"/>
      </rowBreaks>
      <pageMargins left="0.55000000000000004" right="0.2" top="1" bottom="0.25" header="0.3" footer="0.3"/>
      <pageSetup paperSize="9" scale="56" fitToWidth="0" fitToHeight="0" orientation="portrait" r:id="rId3"/>
      <headerFooter alignWithMargins="0">
        <oddFooter>&amp;C&amp;P of &amp;N</oddFooter>
      </headerFooter>
    </customSheetView>
    <customSheetView guid="{4593F3EE-0998-4E0E-994A-E02D6BAF3A4B}" showPageBreaks="1" printArea="1" topLeftCell="A121">
      <selection activeCell="I151" sqref="I151"/>
      <rowBreaks count="1" manualBreakCount="1">
        <brk id="93" min="1" max="11" man="1"/>
      </rowBreaks>
      <pageMargins left="0.55000000000000004" right="0.2" top="1" bottom="0.25" header="0.3" footer="0.3"/>
      <pageSetup paperSize="9" scale="61" fitToWidth="0" fitToHeight="0" orientation="portrait" r:id="rId4"/>
      <headerFooter alignWithMargins="0">
        <oddFooter>&amp;C&amp;P of &amp;N</oddFooter>
      </headerFooter>
    </customSheetView>
    <customSheetView guid="{23F4DC00-BC97-4745-AA5C-F05D469CB1EF}" showPageBreaks="1" printArea="1">
      <selection activeCell="A137" sqref="A137:XFD137"/>
      <rowBreaks count="1" manualBreakCount="1">
        <brk id="91" min="1" max="11" man="1"/>
      </rowBreaks>
      <pageMargins left="0.55000000000000004" right="0.2" top="1" bottom="0.25" header="0.3" footer="0.3"/>
      <pageSetup paperSize="9" scale="61" fitToWidth="0" fitToHeight="0" orientation="portrait" r:id="rId5"/>
      <headerFooter alignWithMargins="0">
        <oddFooter>&amp;C&amp;P of &amp;N</oddFooter>
      </headerFooter>
    </customSheetView>
    <customSheetView guid="{B91C2E87-5EDA-40AE-AC27-0E2C17E803CE}" showPageBreaks="1" printArea="1">
      <selection activeCell="N14" sqref="N14"/>
      <rowBreaks count="1" manualBreakCount="1">
        <brk id="100" min="1" max="11" man="1"/>
      </rowBreaks>
      <pageMargins left="0.55000000000000004" right="0.2" top="1" bottom="0.25" header="0.3" footer="0.3"/>
      <pageSetup paperSize="9" scale="56" fitToWidth="0" fitToHeight="0" orientation="portrait" r:id="rId6"/>
      <headerFooter alignWithMargins="0">
        <oddFooter>&amp;C&amp;P of &amp;N</oddFooter>
      </headerFooter>
    </customSheetView>
    <customSheetView guid="{7C71EF2A-5ADA-494C-8F58-DDA71753DD90}" scale="130" showPageBreaks="1" printArea="1" showAutoFilter="1" topLeftCell="A21">
      <selection activeCell="B32" sqref="B32"/>
      <rowBreaks count="1" manualBreakCount="1">
        <brk id="100" min="1" max="11" man="1"/>
      </rowBreaks>
      <pageMargins left="0.55000000000000004" right="0.2" top="1" bottom="0.25" header="0.3" footer="0.3"/>
      <pageSetup paperSize="9" scale="56" fitToWidth="0" fitToHeight="0" orientation="portrait" horizontalDpi="4294967295" verticalDpi="4294967295" r:id="rId7"/>
      <headerFooter alignWithMargins="0">
        <oddFooter>&amp;C&amp;P of &amp;N</oddFooter>
      </headerFooter>
      <autoFilter ref="A4:Q186" xr:uid="{481ED89D-7395-40F2-B128-E95CC0BCD017}"/>
    </customSheetView>
    <customSheetView guid="{4DB6C640-CE65-4513-9E5A-F6CDD1F4B8AF}" scale="130" showPageBreaks="1">
      <selection activeCell="A81" sqref="A81:XFD81"/>
      <rowBreaks count="1" manualBreakCount="1">
        <brk id="110" min="1" max="11" man="1"/>
      </rowBreaks>
      <pageMargins left="0.55000000000000004" right="0.2" top="1" bottom="0.25" header="0.3" footer="0.3"/>
      <pageSetup paperSize="9" scale="53" fitToWidth="0" fitToHeight="0" orientation="portrait" horizontalDpi="4294967295" verticalDpi="4294967295" r:id="rId8"/>
      <headerFooter alignWithMargins="0">
        <oddFooter>&amp;C&amp;P of &amp;N</oddFooter>
      </headerFooter>
    </customSheetView>
    <customSheetView guid="{D1D1E152-95AB-45D3-AC07-4EC0834D3E0C}" topLeftCell="A82">
      <selection activeCell="H164" sqref="H164"/>
      <rowBreaks count="3" manualBreakCount="3">
        <brk id="51" min="1" max="11" man="1"/>
        <brk id="101" min="1" max="11" man="1"/>
        <brk id="151" min="1" max="11" man="1"/>
      </rowBreaks>
      <pageMargins left="0.55000000000000004" right="0.2" top="0.39" bottom="0.16" header="0.17" footer="0.16"/>
      <pageSetup paperSize="9" scale="75" fitToWidth="0" fitToHeight="0" orientation="landscape" r:id="rId9"/>
      <headerFooter alignWithMargins="0">
        <oddFooter>&amp;C&amp;P of &amp;N</oddFooter>
      </headerFooter>
    </customSheetView>
    <customSheetView guid="{C3348F62-02F2-4500-9BF2-19F2DEA57A8D}" scale="120" showPageBreaks="1" printArea="1" topLeftCell="A169">
      <selection activeCell="H193" sqref="H193"/>
      <rowBreaks count="3" manualBreakCount="3">
        <brk id="51" min="1" max="11" man="1"/>
        <brk id="101" min="1" max="11" man="1"/>
        <brk id="151" min="1" max="11" man="1"/>
      </rowBreaks>
      <pageMargins left="0.55000000000000004" right="0.2" top="0.25" bottom="0.16" header="0.17" footer="0.16"/>
      <pageSetup paperSize="9" scale="72" fitToWidth="0" fitToHeight="0" orientation="landscape" r:id="rId10"/>
      <headerFooter alignWithMargins="0">
        <oddFooter>&amp;C&amp;P of &amp;N</oddFooter>
      </headerFooter>
    </customSheetView>
  </customSheetViews>
  <mergeCells count="9">
    <mergeCell ref="B7:B8"/>
    <mergeCell ref="P190:P191"/>
    <mergeCell ref="Q190:Q191"/>
    <mergeCell ref="N190:N191"/>
    <mergeCell ref="N185:O187"/>
    <mergeCell ref="P185:P187"/>
    <mergeCell ref="C7:C8"/>
    <mergeCell ref="D7:D8"/>
    <mergeCell ref="E7:E8"/>
  </mergeCells>
  <conditionalFormatting sqref="K209 K186:K190 J184:J185 J174:K181 J152:K172 J144:K150 J8:K50 J130:K142 J111:K128 J102:K109 J75:K100 J52:K73">
    <cfRule type="cellIs" dxfId="4" priority="1" stopIfTrue="1" operator="lessThanOrEqual">
      <formula>-9</formula>
    </cfRule>
    <cfRule type="cellIs" dxfId="3" priority="2" stopIfTrue="1" operator="greaterThanOrEqual">
      <formula>-10</formula>
    </cfRule>
  </conditionalFormatting>
  <pageMargins left="0.55000000000000004" right="0.2" top="0.25" bottom="0.16" header="0.17" footer="0.16"/>
  <pageSetup paperSize="9" scale="72" fitToWidth="0" fitToHeight="0" orientation="landscape" r:id="rId11"/>
  <headerFooter alignWithMargins="0">
    <oddFooter>&amp;C&amp;P of &amp;N</oddFooter>
  </headerFooter>
  <rowBreaks count="3" manualBreakCount="3">
    <brk id="51" min="1" max="11" man="1"/>
    <brk id="101" min="1" max="11" man="1"/>
    <brk id="151" min="1" max="11" man="1"/>
  </rowBreaks>
  <drawing r:id="rId12"/>
  <legacyDrawing r:id="rId13"/>
  <controls>
    <mc:AlternateContent xmlns:mc="http://schemas.openxmlformats.org/markup-compatibility/2006">
      <mc:Choice Requires="x14">
        <control shapeId="6147" r:id="rId14" name="CBnUpdatePeak">
          <controlPr defaultSize="0" autoLine="0" autoPict="0" r:id="rId15">
            <anchor moveWithCells="1">
              <from>
                <xdr:col>13</xdr:col>
                <xdr:colOff>0</xdr:colOff>
                <xdr:row>4</xdr:row>
                <xdr:rowOff>533400</xdr:rowOff>
              </from>
              <to>
                <xdr:col>14</xdr:col>
                <xdr:colOff>142875</xdr:colOff>
                <xdr:row>6</xdr:row>
                <xdr:rowOff>85725</xdr:rowOff>
              </to>
            </anchor>
          </controlPr>
        </control>
      </mc:Choice>
      <mc:Fallback>
        <control shapeId="6147" r:id="rId14" name="CBnUpdatePeak"/>
      </mc:Fallback>
    </mc:AlternateContent>
    <mc:AlternateContent xmlns:mc="http://schemas.openxmlformats.org/markup-compatibility/2006">
      <mc:Choice Requires="x14">
        <control shapeId="6148" r:id="rId16" name="CmdBtn_Create_EvReport">
          <controlPr defaultSize="0" autoLine="0" r:id="rId17">
            <anchor moveWithCells="1">
              <from>
                <xdr:col>14</xdr:col>
                <xdr:colOff>457200</xdr:colOff>
                <xdr:row>4</xdr:row>
                <xdr:rowOff>504825</xdr:rowOff>
              </from>
              <to>
                <xdr:col>15</xdr:col>
                <xdr:colOff>390525</xdr:colOff>
                <xdr:row>6</xdr:row>
                <xdr:rowOff>57150</xdr:rowOff>
              </to>
            </anchor>
          </controlPr>
        </control>
      </mc:Choice>
      <mc:Fallback>
        <control shapeId="6148" r:id="rId16" name="CmdBtn_Create_Ev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00B0F0"/>
  </sheetPr>
  <dimension ref="A1:AB64"/>
  <sheetViews>
    <sheetView workbookViewId="0">
      <selection activeCell="O21" sqref="O21"/>
    </sheetView>
  </sheetViews>
  <sheetFormatPr defaultColWidth="9.140625" defaultRowHeight="15"/>
  <cols>
    <col min="1" max="1" width="15.28515625" style="30" customWidth="1"/>
    <col min="2" max="2" width="13.28515625" style="30" customWidth="1"/>
    <col min="3" max="3" width="15.5703125" style="30" customWidth="1"/>
    <col min="4" max="4" width="14.85546875" style="30" customWidth="1"/>
    <col min="5" max="5" width="9.140625" style="30"/>
    <col min="6" max="6" width="12.5703125" style="30" customWidth="1"/>
    <col min="7" max="7" width="15.42578125" style="30" customWidth="1"/>
    <col min="8" max="8" width="15.140625" customWidth="1"/>
    <col min="9" max="9" width="15.7109375" style="30" customWidth="1"/>
    <col min="10" max="10" width="13.42578125" style="30" customWidth="1"/>
    <col min="11" max="11" width="9.140625" style="30"/>
    <col min="12" max="12" width="15.7109375" style="30" customWidth="1"/>
    <col min="13" max="14" width="9.140625" style="30"/>
    <col min="15" max="15" width="15.85546875" style="30" bestFit="1" customWidth="1"/>
    <col min="16" max="16" width="9.7109375" style="30" bestFit="1" customWidth="1"/>
    <col min="17" max="17" width="9.140625" style="30"/>
    <col min="18" max="18" width="12.28515625" style="30" bestFit="1" customWidth="1"/>
    <col min="19" max="19" width="16" style="30" bestFit="1" customWidth="1"/>
    <col min="20" max="20" width="12.28515625" style="30" bestFit="1" customWidth="1"/>
    <col min="21" max="21" width="9.28515625" style="30" bestFit="1" customWidth="1"/>
    <col min="22" max="22" width="10.28515625" style="30" bestFit="1" customWidth="1"/>
    <col min="23" max="23" width="12" style="30" bestFit="1" customWidth="1"/>
    <col min="24" max="24" width="11.85546875" style="30" bestFit="1" customWidth="1"/>
    <col min="25" max="25" width="11.7109375" style="30" bestFit="1" customWidth="1"/>
    <col min="26" max="26" width="12.140625" style="30" bestFit="1" customWidth="1"/>
    <col min="27" max="27" width="12" style="30" bestFit="1" customWidth="1"/>
    <col min="28" max="28" width="11.85546875" style="30" bestFit="1" customWidth="1"/>
    <col min="29" max="16384" width="9.140625" style="30"/>
  </cols>
  <sheetData>
    <row r="1" spans="1:28" ht="27.75">
      <c r="A1" s="31"/>
      <c r="B1" s="31"/>
      <c r="C1" s="31"/>
      <c r="D1" s="136" t="s">
        <v>710</v>
      </c>
      <c r="E1" s="136"/>
      <c r="F1" s="136"/>
      <c r="G1" s="136"/>
      <c r="H1" s="66"/>
      <c r="I1" s="34"/>
      <c r="J1" s="67"/>
      <c r="K1" s="31"/>
      <c r="L1" s="31"/>
    </row>
    <row r="2" spans="1:28" ht="27.75">
      <c r="A2" s="31"/>
      <c r="B2" s="31"/>
      <c r="C2" s="31"/>
      <c r="D2" s="136" t="s">
        <v>59</v>
      </c>
      <c r="E2" s="136"/>
      <c r="F2" s="136"/>
      <c r="G2" s="136"/>
      <c r="H2" s="36"/>
      <c r="I2" s="31"/>
      <c r="J2" s="31"/>
      <c r="K2" s="31"/>
      <c r="L2" s="31"/>
      <c r="R2" s="2713"/>
      <c r="S2" s="2712"/>
    </row>
    <row r="3" spans="1:28" ht="17.2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R3" s="2713"/>
      <c r="S3" s="2712"/>
    </row>
    <row r="4" spans="1:28" ht="18" thickBot="1">
      <c r="A4" s="62" t="s">
        <v>60</v>
      </c>
      <c r="B4" s="60"/>
      <c r="C4" s="65">
        <f>EvReport!L6</f>
        <v>0.875</v>
      </c>
      <c r="D4" s="60" t="s">
        <v>61</v>
      </c>
      <c r="E4" s="64"/>
      <c r="F4" s="63"/>
      <c r="G4" s="62" t="s">
        <v>62</v>
      </c>
      <c r="H4" s="61"/>
      <c r="I4" s="1080">
        <f>YesterdayGen!E41</f>
        <v>0.375</v>
      </c>
      <c r="J4" s="60" t="s">
        <v>61</v>
      </c>
      <c r="K4" s="59" t="s">
        <v>63</v>
      </c>
      <c r="L4" s="58">
        <f>GEntry!A2</f>
        <v>43319</v>
      </c>
      <c r="R4" s="2713"/>
      <c r="S4" s="2712"/>
    </row>
    <row r="5" spans="1:28" ht="24.75" thickBot="1">
      <c r="A5" s="54" t="s">
        <v>64</v>
      </c>
      <c r="B5" s="33"/>
      <c r="C5" s="57">
        <f>EvReport!D184</f>
        <v>14200</v>
      </c>
      <c r="D5" s="33" t="s">
        <v>65</v>
      </c>
      <c r="E5" s="33"/>
      <c r="F5" s="37"/>
      <c r="G5" s="54" t="s">
        <v>66</v>
      </c>
      <c r="H5" s="34"/>
      <c r="I5" s="5279">
        <v>11900</v>
      </c>
      <c r="J5" s="33" t="s">
        <v>65</v>
      </c>
      <c r="K5" s="34"/>
      <c r="L5" s="53"/>
      <c r="R5" s="3276" t="s">
        <v>10</v>
      </c>
      <c r="S5" s="3276" t="s">
        <v>859</v>
      </c>
      <c r="T5" s="3276" t="s">
        <v>858</v>
      </c>
      <c r="U5" s="3276" t="s">
        <v>106</v>
      </c>
      <c r="V5" s="3276" t="s">
        <v>4</v>
      </c>
      <c r="W5" s="3276" t="s">
        <v>5</v>
      </c>
      <c r="X5" s="3276" t="s">
        <v>1195</v>
      </c>
      <c r="Y5" s="3276" t="s">
        <v>55</v>
      </c>
      <c r="Z5" s="3276" t="s">
        <v>6</v>
      </c>
      <c r="AA5" s="3276" t="s">
        <v>1520</v>
      </c>
    </row>
    <row r="6" spans="1:28" ht="27" customHeight="1" thickTop="1" thickBot="1">
      <c r="A6" s="54" t="s">
        <v>67</v>
      </c>
      <c r="B6" s="33"/>
      <c r="C6" s="57">
        <f>EvReport!D185</f>
        <v>13227</v>
      </c>
      <c r="D6" s="33" t="s">
        <v>68</v>
      </c>
      <c r="E6" s="33"/>
      <c r="F6" s="37"/>
      <c r="G6" s="54" t="s">
        <v>69</v>
      </c>
      <c r="H6" s="34"/>
      <c r="I6" s="1091">
        <f>FWise!N17</f>
        <v>10946</v>
      </c>
      <c r="J6" s="34" t="s">
        <v>68</v>
      </c>
      <c r="K6" s="34"/>
      <c r="L6" s="53"/>
      <c r="Q6" s="3281" t="s">
        <v>1521</v>
      </c>
      <c r="R6" s="5226">
        <v>4070.52</v>
      </c>
      <c r="S6" s="5226">
        <v>1104.2</v>
      </c>
      <c r="T6" s="5226">
        <v>745</v>
      </c>
      <c r="U6" s="5226">
        <v>680</v>
      </c>
      <c r="V6" s="5226">
        <v>308</v>
      </c>
      <c r="W6" s="5226">
        <v>1031.4000000000001</v>
      </c>
      <c r="X6" s="5226">
        <v>260.77999999999997</v>
      </c>
      <c r="Y6" s="5226">
        <v>873.25</v>
      </c>
      <c r="Z6" s="5226">
        <v>555</v>
      </c>
      <c r="AA6" s="5001">
        <v>10205.99</v>
      </c>
      <c r="AB6" s="3251"/>
    </row>
    <row r="7" spans="1:28" ht="17.25">
      <c r="A7" s="54" t="s">
        <v>70</v>
      </c>
      <c r="B7" s="33"/>
      <c r="C7" s="57">
        <f>C5-C6</f>
        <v>973</v>
      </c>
      <c r="D7" s="33" t="s">
        <v>68</v>
      </c>
      <c r="E7" s="33"/>
      <c r="F7" s="37"/>
      <c r="G7" s="54" t="s">
        <v>71</v>
      </c>
      <c r="H7" s="34"/>
      <c r="I7" s="55">
        <f>I5-I6</f>
        <v>954</v>
      </c>
      <c r="J7" s="34" t="s">
        <v>68</v>
      </c>
      <c r="K7" s="34"/>
      <c r="L7" s="53"/>
      <c r="R7" s="2235"/>
      <c r="S7" s="2235"/>
      <c r="T7" s="2235"/>
      <c r="U7" s="2235"/>
    </row>
    <row r="8" spans="1:28" ht="18" thickBot="1">
      <c r="A8" s="54" t="s">
        <v>72</v>
      </c>
      <c r="B8" s="33"/>
      <c r="C8" s="56">
        <f>EvReport!J202</f>
        <v>897</v>
      </c>
      <c r="D8" s="33" t="s">
        <v>73</v>
      </c>
      <c r="E8" s="33"/>
      <c r="F8" s="37"/>
      <c r="G8" s="54" t="s">
        <v>134</v>
      </c>
      <c r="H8" s="34"/>
      <c r="I8" s="55">
        <f>I23</f>
        <v>1614</v>
      </c>
      <c r="J8" s="34" t="s">
        <v>73</v>
      </c>
      <c r="K8" s="34"/>
      <c r="L8" s="53"/>
      <c r="N8" s="3023"/>
      <c r="P8" s="2211"/>
      <c r="Q8" s="2211"/>
      <c r="R8" s="2137"/>
      <c r="S8" s="2211"/>
      <c r="T8" s="2137"/>
      <c r="U8" s="2235"/>
      <c r="V8" s="2211"/>
    </row>
    <row r="9" spans="1:28" ht="18" thickBot="1">
      <c r="A9" s="54" t="s">
        <v>74</v>
      </c>
      <c r="B9" s="33"/>
      <c r="C9" s="56">
        <f>B23</f>
        <v>12603.54</v>
      </c>
      <c r="D9" s="33" t="s">
        <v>68</v>
      </c>
      <c r="E9" s="33"/>
      <c r="F9" s="37"/>
      <c r="G9" s="54" t="s">
        <v>133</v>
      </c>
      <c r="H9" s="34"/>
      <c r="I9" s="1092">
        <f>H23</f>
        <v>9628.1500000000015</v>
      </c>
      <c r="J9" s="34"/>
      <c r="K9" s="34"/>
      <c r="L9" s="53"/>
      <c r="P9" s="3513">
        <v>4593</v>
      </c>
      <c r="Q9" s="2211"/>
      <c r="R9" s="3282" t="s">
        <v>1335</v>
      </c>
      <c r="S9" s="3277"/>
      <c r="T9" s="3278"/>
      <c r="U9" s="2235"/>
      <c r="V9" s="2211"/>
    </row>
    <row r="10" spans="1:28" ht="28.5" thickBot="1">
      <c r="A10" s="54" t="s">
        <v>75</v>
      </c>
      <c r="B10" s="33"/>
      <c r="C10" s="33"/>
      <c r="D10" s="33"/>
      <c r="E10" s="33"/>
      <c r="F10" s="37"/>
      <c r="G10" s="54" t="s">
        <v>75</v>
      </c>
      <c r="H10" s="34"/>
      <c r="I10" s="34"/>
      <c r="J10" s="34"/>
      <c r="K10" s="34"/>
      <c r="L10" s="53"/>
      <c r="M10" s="1875"/>
      <c r="N10" s="1874"/>
      <c r="O10" s="1874"/>
      <c r="P10" s="3514">
        <v>1338</v>
      </c>
      <c r="Q10" s="2182" t="s">
        <v>10</v>
      </c>
      <c r="R10" s="3463">
        <f>R6</f>
        <v>4070.52</v>
      </c>
      <c r="S10" s="3279"/>
      <c r="T10" s="3278"/>
      <c r="U10" s="2235"/>
      <c r="V10" s="2505"/>
    </row>
    <row r="11" spans="1:28" ht="18" thickBot="1">
      <c r="A11" s="2376" t="s">
        <v>76</v>
      </c>
      <c r="B11" s="2377" t="s">
        <v>77</v>
      </c>
      <c r="C11" s="2378" t="s">
        <v>77</v>
      </c>
      <c r="D11" s="2379" t="s">
        <v>77</v>
      </c>
      <c r="E11" s="5447" t="s">
        <v>166</v>
      </c>
      <c r="F11" s="5448"/>
      <c r="G11" s="2378" t="s">
        <v>76</v>
      </c>
      <c r="H11" s="2380" t="s">
        <v>77</v>
      </c>
      <c r="I11" s="2381" t="s">
        <v>77</v>
      </c>
      <c r="J11" s="2378" t="s">
        <v>77</v>
      </c>
      <c r="K11" s="5449" t="s">
        <v>166</v>
      </c>
      <c r="L11" s="5450"/>
      <c r="M11" s="1876"/>
      <c r="N11" s="1874"/>
      <c r="O11" s="1874"/>
      <c r="P11" s="3514">
        <v>1117</v>
      </c>
      <c r="Q11" s="2182" t="s">
        <v>1637</v>
      </c>
      <c r="R11" s="3464">
        <f>S6</f>
        <v>1104.2</v>
      </c>
      <c r="S11" s="3279"/>
      <c r="T11" s="3278"/>
      <c r="U11" s="2235"/>
      <c r="V11" s="2506"/>
    </row>
    <row r="12" spans="1:28" ht="18" thickBot="1">
      <c r="A12" s="2382"/>
      <c r="B12" s="52" t="s">
        <v>78</v>
      </c>
      <c r="C12" s="51" t="s">
        <v>79</v>
      </c>
      <c r="D12" s="48" t="s">
        <v>80</v>
      </c>
      <c r="E12" s="49"/>
      <c r="F12" s="48"/>
      <c r="G12" s="51"/>
      <c r="H12" s="47" t="s">
        <v>78</v>
      </c>
      <c r="I12" s="47" t="s">
        <v>79</v>
      </c>
      <c r="J12" s="51" t="s">
        <v>80</v>
      </c>
      <c r="K12" s="50"/>
      <c r="L12" s="2383"/>
      <c r="M12" s="1876"/>
      <c r="N12" s="1874"/>
      <c r="O12" s="1874"/>
      <c r="P12" s="3514">
        <v>1071</v>
      </c>
      <c r="Q12" s="2182" t="s">
        <v>1638</v>
      </c>
      <c r="R12" s="3464">
        <f>T6</f>
        <v>745</v>
      </c>
      <c r="S12" s="3277"/>
      <c r="T12" s="3278"/>
      <c r="U12" s="2235"/>
      <c r="V12" s="2507"/>
    </row>
    <row r="13" spans="1:28" ht="18" thickBot="1">
      <c r="A13" s="2565"/>
      <c r="B13" s="2566" t="s">
        <v>81</v>
      </c>
      <c r="C13" s="2567" t="s">
        <v>82</v>
      </c>
      <c r="D13" s="2568" t="s">
        <v>82</v>
      </c>
      <c r="E13" s="2566"/>
      <c r="F13" s="2569"/>
      <c r="G13" s="2567"/>
      <c r="H13" s="2570" t="s">
        <v>81</v>
      </c>
      <c r="I13" s="2571" t="s">
        <v>81</v>
      </c>
      <c r="J13" s="2567" t="s">
        <v>82</v>
      </c>
      <c r="K13" s="2393"/>
      <c r="L13" s="2572"/>
      <c r="M13" s="1876"/>
      <c r="N13" s="1874"/>
      <c r="O13" s="1874"/>
      <c r="P13" s="3516">
        <v>925</v>
      </c>
      <c r="Q13" s="2182" t="s">
        <v>1639</v>
      </c>
      <c r="R13" s="3464">
        <f>U6</f>
        <v>680</v>
      </c>
      <c r="S13" s="3280"/>
      <c r="T13" s="2181"/>
      <c r="U13" s="2181"/>
      <c r="V13" s="2508"/>
    </row>
    <row r="14" spans="1:28" ht="18" thickBot="1">
      <c r="A14" s="2384" t="s">
        <v>83</v>
      </c>
      <c r="B14" s="3543">
        <f>EvReport!E193</f>
        <v>4821.78</v>
      </c>
      <c r="C14" s="40">
        <f>EvReport!J193</f>
        <v>170</v>
      </c>
      <c r="D14" s="3543">
        <f>EvReport!H193</f>
        <v>4991.78</v>
      </c>
      <c r="E14" s="46"/>
      <c r="F14" s="45"/>
      <c r="G14" s="64" t="s">
        <v>83</v>
      </c>
      <c r="H14" s="3539">
        <f>R10</f>
        <v>4070.52</v>
      </c>
      <c r="I14" s="4953">
        <v>400</v>
      </c>
      <c r="J14" s="3541">
        <f t="shared" ref="J14:J22" si="0">H14+I14</f>
        <v>4470.5200000000004</v>
      </c>
      <c r="K14" s="44"/>
      <c r="L14" s="2385"/>
      <c r="M14" s="1876"/>
      <c r="N14" s="1874"/>
      <c r="O14" s="1874"/>
      <c r="P14" s="3514">
        <v>903</v>
      </c>
      <c r="Q14" s="2182" t="s">
        <v>4</v>
      </c>
      <c r="R14" s="3476">
        <f>V6</f>
        <v>308</v>
      </c>
      <c r="S14" s="2182"/>
      <c r="T14" s="2401"/>
      <c r="U14" s="2182"/>
      <c r="V14" s="2504"/>
    </row>
    <row r="15" spans="1:28" ht="18" thickBot="1">
      <c r="A15" s="2384" t="s">
        <v>84</v>
      </c>
      <c r="B15" s="3543">
        <f>EvReport!E194</f>
        <v>1245.5</v>
      </c>
      <c r="C15" s="40">
        <f>EvReport!J194</f>
        <v>50</v>
      </c>
      <c r="D15" s="3543">
        <f>EvReport!H194</f>
        <v>1295.5</v>
      </c>
      <c r="E15" s="42"/>
      <c r="F15" s="2386"/>
      <c r="G15" s="64" t="s">
        <v>84</v>
      </c>
      <c r="H15" s="3539">
        <f t="shared" ref="H15" si="1">R11</f>
        <v>1104.2</v>
      </c>
      <c r="I15" s="4953">
        <v>180</v>
      </c>
      <c r="J15" s="3541">
        <f t="shared" si="0"/>
        <v>1284.2</v>
      </c>
      <c r="K15" s="43"/>
      <c r="L15" s="2387"/>
      <c r="M15" s="1876"/>
      <c r="N15" s="1874"/>
      <c r="O15" s="1877"/>
      <c r="P15" s="3514">
        <v>389</v>
      </c>
      <c r="Q15" s="2182" t="s">
        <v>1640</v>
      </c>
      <c r="R15" s="3464">
        <f>W6</f>
        <v>1031.4000000000001</v>
      </c>
      <c r="S15" s="2182"/>
      <c r="T15" s="2401"/>
      <c r="U15" s="2182"/>
      <c r="V15" s="2507"/>
    </row>
    <row r="16" spans="1:28" ht="18" thickBot="1">
      <c r="A16" s="2384" t="s">
        <v>85</v>
      </c>
      <c r="B16" s="3543">
        <f>EvReport!E195</f>
        <v>1480</v>
      </c>
      <c r="C16" s="40">
        <f>EvReport!J195</f>
        <v>160</v>
      </c>
      <c r="D16" s="3543">
        <f>EvReport!H195</f>
        <v>1640</v>
      </c>
      <c r="E16" s="2526"/>
      <c r="F16" s="2386"/>
      <c r="G16" s="64" t="s">
        <v>85</v>
      </c>
      <c r="H16" s="3539">
        <f>R15</f>
        <v>1031.4000000000001</v>
      </c>
      <c r="I16" s="4953">
        <v>204</v>
      </c>
      <c r="J16" s="3541">
        <f t="shared" si="0"/>
        <v>1235.4000000000001</v>
      </c>
      <c r="K16" s="41"/>
      <c r="L16" s="2387"/>
      <c r="M16" s="1876"/>
      <c r="N16" s="1877"/>
      <c r="O16" s="1874"/>
      <c r="P16" s="3514">
        <v>253</v>
      </c>
      <c r="Q16" s="2182" t="s">
        <v>56</v>
      </c>
      <c r="R16" s="3464">
        <f>X6</f>
        <v>260.77999999999997</v>
      </c>
      <c r="S16" s="2182"/>
      <c r="T16" s="2401"/>
      <c r="U16" s="2182"/>
      <c r="V16" s="2508"/>
    </row>
    <row r="17" spans="1:22" ht="18" thickBot="1">
      <c r="A17" s="2384" t="s">
        <v>86</v>
      </c>
      <c r="B17" s="3543">
        <f>EvReport!E196</f>
        <v>1251.4000000000001</v>
      </c>
      <c r="C17" s="40">
        <f>EvReport!J196</f>
        <v>120</v>
      </c>
      <c r="D17" s="3543">
        <f>EvReport!H196</f>
        <v>1371.4</v>
      </c>
      <c r="E17" s="2527"/>
      <c r="F17" s="2388"/>
      <c r="G17" s="64" t="s">
        <v>86</v>
      </c>
      <c r="H17" s="3539">
        <f>R17</f>
        <v>873.25</v>
      </c>
      <c r="I17" s="4953">
        <v>200</v>
      </c>
      <c r="J17" s="3541">
        <f t="shared" si="0"/>
        <v>1073.25</v>
      </c>
      <c r="K17" s="38"/>
      <c r="L17" s="2387"/>
      <c r="M17" s="1876"/>
      <c r="N17" s="1874"/>
      <c r="O17" s="1874"/>
      <c r="P17" s="3514">
        <v>699</v>
      </c>
      <c r="Q17" s="2182" t="s">
        <v>1641</v>
      </c>
      <c r="R17" s="3464">
        <f>Y6</f>
        <v>873.25</v>
      </c>
      <c r="S17" s="2184"/>
      <c r="T17" s="2401"/>
      <c r="U17" s="2182"/>
      <c r="V17" s="2507"/>
    </row>
    <row r="18" spans="1:22" ht="18" thickBot="1">
      <c r="A18" s="2389" t="s">
        <v>804</v>
      </c>
      <c r="B18" s="3543">
        <f>EvReport!E197</f>
        <v>1168</v>
      </c>
      <c r="C18" s="40">
        <f>EvReport!J197</f>
        <v>100</v>
      </c>
      <c r="D18" s="3543">
        <f>EvReport!H197</f>
        <v>1268</v>
      </c>
      <c r="E18" s="1542"/>
      <c r="F18" s="2390"/>
      <c r="G18" s="64" t="s">
        <v>804</v>
      </c>
      <c r="H18" s="3539">
        <f>R12</f>
        <v>745</v>
      </c>
      <c r="I18" s="4953">
        <v>200</v>
      </c>
      <c r="J18" s="3541">
        <f t="shared" si="0"/>
        <v>945</v>
      </c>
      <c r="K18" s="38"/>
      <c r="L18" s="2387"/>
      <c r="M18" s="1876"/>
      <c r="N18" s="1874"/>
      <c r="O18" s="1874"/>
      <c r="P18" s="3515">
        <f>SUM(P9:P17)</f>
        <v>11288</v>
      </c>
      <c r="Q18" s="2182" t="s">
        <v>1642</v>
      </c>
      <c r="R18" s="3464">
        <f>Z6</f>
        <v>555</v>
      </c>
      <c r="S18" s="2182"/>
      <c r="T18" s="2401"/>
      <c r="U18" s="2182"/>
      <c r="V18" s="2508"/>
    </row>
    <row r="19" spans="1:22" ht="18" thickBot="1">
      <c r="A19" s="2384" t="s">
        <v>87</v>
      </c>
      <c r="B19" s="3543">
        <f>EvReport!E198</f>
        <v>839</v>
      </c>
      <c r="C19" s="40">
        <f>EvReport!J198</f>
        <v>180</v>
      </c>
      <c r="D19" s="3543">
        <f>EvReport!H198</f>
        <v>1019</v>
      </c>
      <c r="E19" s="1543"/>
      <c r="F19" s="2391"/>
      <c r="G19" s="64" t="s">
        <v>87</v>
      </c>
      <c r="H19" s="3539">
        <f>R13</f>
        <v>680</v>
      </c>
      <c r="I19" s="4953">
        <v>220</v>
      </c>
      <c r="J19" s="3541">
        <f t="shared" si="0"/>
        <v>900</v>
      </c>
      <c r="K19" s="38"/>
      <c r="L19" s="2387"/>
      <c r="M19" s="1905"/>
      <c r="N19" s="1874"/>
      <c r="O19" s="1874"/>
      <c r="P19" s="2339"/>
      <c r="Q19" s="2402"/>
      <c r="R19" s="2574">
        <f>SUM(R10:R18)</f>
        <v>9628.1500000000015</v>
      </c>
      <c r="S19" s="2182"/>
      <c r="T19" s="2402"/>
      <c r="U19" s="2182"/>
      <c r="V19" s="2509"/>
    </row>
    <row r="20" spans="1:22" ht="18" thickBot="1">
      <c r="A20" s="2384" t="s">
        <v>88</v>
      </c>
      <c r="B20" s="3543">
        <f>EvReport!E199</f>
        <v>488</v>
      </c>
      <c r="C20" s="40">
        <f>EvReport!J199</f>
        <v>80</v>
      </c>
      <c r="D20" s="3543">
        <f>EvReport!H199</f>
        <v>568</v>
      </c>
      <c r="E20" s="39"/>
      <c r="F20" s="1635"/>
      <c r="G20" s="64" t="s">
        <v>88</v>
      </c>
      <c r="H20" s="3539">
        <f>R14</f>
        <v>308</v>
      </c>
      <c r="I20" s="4953">
        <v>80</v>
      </c>
      <c r="J20" s="3541">
        <f t="shared" si="0"/>
        <v>388</v>
      </c>
      <c r="K20" s="38"/>
      <c r="L20" s="2387"/>
      <c r="M20" s="1874"/>
      <c r="N20" s="1874"/>
      <c r="O20" s="1874"/>
      <c r="P20" s="2211"/>
      <c r="Q20" s="2211"/>
      <c r="R20" s="2574"/>
      <c r="S20" s="2182"/>
      <c r="T20" s="2211"/>
      <c r="U20" s="2182"/>
      <c r="V20" s="2137"/>
    </row>
    <row r="21" spans="1:22" ht="18" thickBot="1">
      <c r="A21" s="2384" t="s">
        <v>89</v>
      </c>
      <c r="B21" s="3543">
        <f>EvReport!E200</f>
        <v>401.86</v>
      </c>
      <c r="C21" s="40">
        <f>EvReport!J200</f>
        <v>0</v>
      </c>
      <c r="D21" s="3543">
        <f>EvReport!H200</f>
        <v>401.86</v>
      </c>
      <c r="E21" s="1539"/>
      <c r="F21" s="1540"/>
      <c r="G21" s="64" t="s">
        <v>89</v>
      </c>
      <c r="H21" s="3539">
        <f>R16</f>
        <v>260.77999999999997</v>
      </c>
      <c r="I21" s="4953">
        <f>S31</f>
        <v>0</v>
      </c>
      <c r="J21" s="3541">
        <f t="shared" si="0"/>
        <v>260.77999999999997</v>
      </c>
      <c r="K21" s="38"/>
      <c r="L21" s="2392"/>
      <c r="M21" s="1874"/>
      <c r="N21" s="1874"/>
      <c r="O21" s="1874"/>
      <c r="P21" s="2211"/>
      <c r="Q21" s="2211"/>
      <c r="R21" s="2576"/>
      <c r="S21" s="2182"/>
      <c r="T21" s="2211"/>
      <c r="U21" s="2420"/>
      <c r="V21" s="2138"/>
    </row>
    <row r="22" spans="1:22" ht="18" thickBot="1">
      <c r="A22" s="2384" t="s">
        <v>90</v>
      </c>
      <c r="B22" s="3543">
        <f>EvReport!E201</f>
        <v>908</v>
      </c>
      <c r="C22" s="40">
        <f>EvReport!J201</f>
        <v>37</v>
      </c>
      <c r="D22" s="3543">
        <f>EvReport!H201</f>
        <v>945</v>
      </c>
      <c r="E22" s="1539"/>
      <c r="F22" s="1541"/>
      <c r="G22" s="64" t="s">
        <v>90</v>
      </c>
      <c r="H22" s="3539">
        <f>R18</f>
        <v>555</v>
      </c>
      <c r="I22" s="4953">
        <v>130</v>
      </c>
      <c r="J22" s="3541">
        <f t="shared" si="0"/>
        <v>685</v>
      </c>
      <c r="K22" s="1631"/>
      <c r="L22" s="2392"/>
      <c r="M22" s="1874"/>
      <c r="N22" s="1874"/>
      <c r="R22" s="2137"/>
      <c r="S22" s="2181"/>
      <c r="U22" s="2421"/>
      <c r="V22" s="2235"/>
    </row>
    <row r="23" spans="1:22" ht="18" thickBot="1">
      <c r="A23" s="2561" t="s">
        <v>91</v>
      </c>
      <c r="B23" s="3544">
        <f>EvReport!E202</f>
        <v>12603.54</v>
      </c>
      <c r="C23" s="2563">
        <f>EvReport!J202</f>
        <v>897</v>
      </c>
      <c r="D23" s="3543">
        <f>EvReport!H202</f>
        <v>13500.54</v>
      </c>
      <c r="E23" s="2557"/>
      <c r="F23" s="2558"/>
      <c r="G23" s="2564" t="s">
        <v>91</v>
      </c>
      <c r="H23" s="3540">
        <f>SUM(H14:H22)</f>
        <v>9628.1500000000015</v>
      </c>
      <c r="I23" s="2562">
        <f>SUM(I14:I22)</f>
        <v>1614</v>
      </c>
      <c r="J23" s="3542">
        <f>SUM(J14:J22)</f>
        <v>11242.150000000001</v>
      </c>
      <c r="K23" s="2559"/>
      <c r="L23" s="2560"/>
      <c r="M23" s="1517"/>
      <c r="R23" s="5023" t="s">
        <v>1884</v>
      </c>
      <c r="S23" s="3023">
        <v>83.566604190421259</v>
      </c>
      <c r="U23" s="2422"/>
      <c r="V23" s="2235"/>
    </row>
    <row r="24" spans="1:22" ht="18" thickBot="1">
      <c r="A24" s="33"/>
      <c r="B24" s="33"/>
      <c r="C24" s="33"/>
      <c r="D24" s="33"/>
      <c r="E24" s="33"/>
      <c r="F24" s="33"/>
      <c r="G24" s="33"/>
      <c r="H24" s="35"/>
      <c r="I24" s="35"/>
      <c r="J24" s="35"/>
      <c r="K24" s="34"/>
      <c r="L24" s="34"/>
      <c r="P24" s="1874"/>
      <c r="Q24" s="3221"/>
      <c r="R24" s="5024" t="s">
        <v>1885</v>
      </c>
      <c r="S24" s="3023">
        <v>54.240409398794611</v>
      </c>
      <c r="U24" s="3007">
        <v>1129</v>
      </c>
    </row>
    <row r="25" spans="1:22" ht="18" thickBot="1">
      <c r="A25" s="33"/>
      <c r="B25" s="33"/>
      <c r="C25" s="1871"/>
      <c r="D25" s="33"/>
      <c r="E25" s="33"/>
      <c r="F25" s="33"/>
      <c r="G25" s="33"/>
      <c r="H25" s="35"/>
      <c r="I25" s="35"/>
      <c r="J25" s="34"/>
      <c r="K25" s="34"/>
      <c r="L25" s="34"/>
      <c r="P25" s="3111"/>
      <c r="Q25" s="1874"/>
      <c r="R25" s="5002" t="s">
        <v>1893</v>
      </c>
      <c r="S25" s="5003">
        <v>261.70902000647953</v>
      </c>
      <c r="U25" s="3008">
        <v>804</v>
      </c>
    </row>
    <row r="26" spans="1:22" ht="18" thickBot="1">
      <c r="A26" s="33" t="s">
        <v>92</v>
      </c>
      <c r="B26" s="33"/>
      <c r="C26" s="33"/>
      <c r="D26" s="33"/>
      <c r="E26" s="33"/>
      <c r="F26" s="36"/>
      <c r="G26" s="33"/>
      <c r="H26" s="34"/>
      <c r="I26" s="35"/>
      <c r="J26" s="34" t="s">
        <v>93</v>
      </c>
      <c r="K26" s="34"/>
      <c r="L26" s="34"/>
      <c r="P26" s="3111"/>
      <c r="Q26" s="3485">
        <v>15</v>
      </c>
      <c r="R26" s="5004" t="s">
        <v>16</v>
      </c>
      <c r="S26" s="5003">
        <v>123.82258845962686</v>
      </c>
      <c r="U26" s="3009">
        <v>1189</v>
      </c>
    </row>
    <row r="27" spans="1:22" ht="18" thickBot="1">
      <c r="A27" s="32" t="s">
        <v>1114</v>
      </c>
      <c r="B27" s="32"/>
      <c r="C27" s="32"/>
      <c r="D27" s="32"/>
      <c r="E27" s="32"/>
      <c r="F27" s="33"/>
      <c r="G27" s="32"/>
      <c r="H27" s="31" t="s">
        <v>94</v>
      </c>
      <c r="I27" s="31"/>
      <c r="L27" s="31"/>
      <c r="O27" s="1874"/>
      <c r="P27" s="1874"/>
      <c r="Q27" s="3485">
        <f>105+62+38+75+118+27+84+100+46+31+4+36</f>
        <v>726</v>
      </c>
      <c r="R27" s="5004" t="s">
        <v>106</v>
      </c>
      <c r="S27" s="5003">
        <v>100.45240064791189</v>
      </c>
      <c r="U27" s="2573">
        <v>851</v>
      </c>
    </row>
    <row r="28" spans="1:22" ht="17.25">
      <c r="A28" s="32" t="s">
        <v>95</v>
      </c>
      <c r="B28" s="32"/>
      <c r="C28" s="32"/>
      <c r="D28" s="32"/>
      <c r="E28" s="32"/>
      <c r="F28" s="32"/>
      <c r="G28" s="32"/>
      <c r="H28" s="3111"/>
      <c r="I28" s="31"/>
      <c r="L28" s="31"/>
      <c r="O28" s="1874"/>
      <c r="P28" s="1874"/>
      <c r="Q28" s="1874"/>
      <c r="R28" s="5005" t="s">
        <v>4</v>
      </c>
      <c r="S28" s="5003">
        <v>24.789657981147684</v>
      </c>
      <c r="U28" s="2422"/>
    </row>
    <row r="29" spans="1:22" ht="17.25">
      <c r="A29" s="32" t="s">
        <v>96</v>
      </c>
      <c r="B29" s="32"/>
      <c r="C29" s="32"/>
      <c r="D29" s="32"/>
      <c r="E29" s="32"/>
      <c r="F29" s="32"/>
      <c r="G29" s="32"/>
      <c r="H29" s="31"/>
      <c r="I29" s="31"/>
      <c r="L29" s="31"/>
      <c r="R29" s="5005" t="s">
        <v>9</v>
      </c>
      <c r="S29" s="5003">
        <v>94.943746462081762</v>
      </c>
      <c r="U29" s="2422"/>
    </row>
    <row r="30" spans="1:22" ht="18">
      <c r="A30" s="32" t="s">
        <v>98</v>
      </c>
      <c r="B30" s="32"/>
      <c r="C30" s="32"/>
      <c r="D30" s="32"/>
      <c r="E30" s="32"/>
      <c r="F30" s="32"/>
      <c r="G30" s="32"/>
      <c r="H30" s="31"/>
      <c r="I30" s="31"/>
      <c r="J30" s="809" t="s">
        <v>161</v>
      </c>
      <c r="K30" s="809"/>
      <c r="L30" s="31"/>
      <c r="R30" s="5005" t="s">
        <v>5</v>
      </c>
      <c r="S30" s="5003">
        <v>122.73374286612587</v>
      </c>
      <c r="U30" s="2422"/>
    </row>
    <row r="31" spans="1:22" ht="18">
      <c r="H31" s="30"/>
      <c r="I31" s="810"/>
      <c r="J31" s="809" t="s">
        <v>162</v>
      </c>
      <c r="K31" s="809"/>
      <c r="R31" s="5005" t="s">
        <v>56</v>
      </c>
      <c r="S31" s="5003"/>
      <c r="U31" s="2422"/>
    </row>
    <row r="32" spans="1:22" ht="18">
      <c r="H32" s="30"/>
      <c r="I32" s="810"/>
      <c r="J32" s="809" t="s">
        <v>97</v>
      </c>
      <c r="K32" s="809"/>
      <c r="R32" s="5005" t="s">
        <v>55</v>
      </c>
      <c r="S32" s="5003">
        <v>141.61005756279326</v>
      </c>
      <c r="U32" s="2422"/>
    </row>
    <row r="33" spans="5:21" ht="15.75">
      <c r="H33" s="30"/>
      <c r="I33" s="810"/>
      <c r="J33" s="810"/>
      <c r="K33" s="810"/>
      <c r="O33" s="3489"/>
      <c r="R33" s="5005" t="s">
        <v>6</v>
      </c>
      <c r="S33" s="5003">
        <v>71.296097424616676</v>
      </c>
      <c r="U33" s="2423"/>
    </row>
    <row r="34" spans="5:21">
      <c r="R34" s="5006" t="s">
        <v>12</v>
      </c>
      <c r="S34" s="5003">
        <f>SUM(S23:S33)</f>
        <v>1079.1643249999995</v>
      </c>
      <c r="U34" s="2183"/>
    </row>
    <row r="38" spans="5:21">
      <c r="P38" s="2136"/>
    </row>
    <row r="39" spans="5:21">
      <c r="P39" s="2210"/>
    </row>
    <row r="40" spans="5:21">
      <c r="P40" s="2210"/>
    </row>
    <row r="41" spans="5:21">
      <c r="P41" s="2210"/>
    </row>
    <row r="42" spans="5:21">
      <c r="P42" s="2210"/>
    </row>
    <row r="43" spans="5:21">
      <c r="E43" s="1874"/>
      <c r="F43" s="1874"/>
      <c r="G43" s="1874"/>
      <c r="H43" s="2365"/>
      <c r="I43" s="1874"/>
      <c r="J43" s="1874"/>
      <c r="K43" s="1874"/>
      <c r="L43" s="1874"/>
      <c r="M43" s="1874"/>
      <c r="P43" s="2210"/>
    </row>
    <row r="44" spans="5:21">
      <c r="E44" s="1874"/>
      <c r="F44" s="1874"/>
      <c r="G44" s="1874"/>
      <c r="H44" s="2365"/>
      <c r="I44" s="1874"/>
      <c r="J44" s="1874"/>
      <c r="K44" s="1874"/>
      <c r="L44" s="1874"/>
      <c r="M44" s="1874"/>
      <c r="P44" s="2210"/>
    </row>
    <row r="45" spans="5:21">
      <c r="E45" s="1874"/>
      <c r="F45" s="1874"/>
      <c r="G45" s="1874"/>
      <c r="H45" s="2365"/>
      <c r="I45" s="1874"/>
      <c r="J45" s="1874"/>
      <c r="K45" s="1874"/>
      <c r="L45" s="1874"/>
      <c r="M45" s="1874"/>
      <c r="P45" s="2210"/>
    </row>
    <row r="46" spans="5:21">
      <c r="E46" s="1874"/>
      <c r="F46" s="1874"/>
      <c r="G46" s="1874"/>
      <c r="H46" s="2365"/>
      <c r="I46" s="1874"/>
      <c r="J46" s="1874"/>
      <c r="K46" s="1874"/>
      <c r="L46" s="1874"/>
      <c r="M46" s="1874"/>
      <c r="P46" s="2210"/>
    </row>
    <row r="47" spans="5:21">
      <c r="E47" s="1874"/>
      <c r="F47" s="1874"/>
      <c r="G47" s="1874"/>
      <c r="H47" s="2136"/>
      <c r="I47" s="1874"/>
      <c r="J47" s="1874"/>
      <c r="K47" s="1874"/>
      <c r="L47" s="1874"/>
      <c r="M47" s="1874"/>
      <c r="P47" s="2138"/>
    </row>
    <row r="48" spans="5:21" ht="27.75">
      <c r="E48" s="1874"/>
      <c r="F48" s="1874"/>
      <c r="G48" s="2501"/>
      <c r="H48" s="2137"/>
      <c r="I48" s="1874"/>
      <c r="J48" s="1874"/>
      <c r="K48" s="1874"/>
      <c r="L48" s="1874"/>
      <c r="M48" s="1874"/>
    </row>
    <row r="49" spans="5:13">
      <c r="E49" s="1874"/>
      <c r="F49" s="1874"/>
      <c r="G49" s="1874"/>
      <c r="H49" s="2137"/>
      <c r="I49" s="1874"/>
      <c r="J49" s="1874"/>
      <c r="K49" s="1874"/>
      <c r="L49" s="1874"/>
      <c r="M49" s="1874"/>
    </row>
    <row r="50" spans="5:13">
      <c r="E50" s="1874"/>
      <c r="F50" s="1874"/>
      <c r="G50" s="1874"/>
      <c r="H50" s="2137"/>
      <c r="I50" s="1874"/>
      <c r="J50" s="1874"/>
      <c r="K50" s="1874"/>
      <c r="L50" s="1874"/>
      <c r="M50" s="1874"/>
    </row>
    <row r="51" spans="5:13">
      <c r="E51" s="1874"/>
      <c r="F51" s="1874"/>
      <c r="G51" s="1874"/>
      <c r="H51" s="2137"/>
      <c r="I51" s="1874"/>
      <c r="J51" s="1874"/>
      <c r="K51" s="1874"/>
      <c r="L51" s="1874"/>
      <c r="M51" s="1874"/>
    </row>
    <row r="52" spans="5:13">
      <c r="E52" s="1874"/>
      <c r="F52" s="1874"/>
      <c r="G52" s="1874"/>
      <c r="H52" s="2137"/>
      <c r="I52" s="1874"/>
      <c r="J52" s="1874"/>
      <c r="K52" s="1874"/>
      <c r="L52" s="1874"/>
      <c r="M52" s="1874"/>
    </row>
    <row r="53" spans="5:13">
      <c r="E53" s="1874"/>
      <c r="F53" s="1874"/>
      <c r="G53" s="1874"/>
      <c r="H53" s="2137"/>
      <c r="I53" s="1874"/>
      <c r="J53" s="1874"/>
      <c r="K53" s="1874"/>
      <c r="L53" s="1874"/>
      <c r="M53" s="1874"/>
    </row>
    <row r="54" spans="5:13" ht="27.75">
      <c r="E54" s="1874"/>
      <c r="F54" s="1874"/>
      <c r="G54" s="1874"/>
      <c r="H54" s="2137"/>
      <c r="I54" s="1874"/>
      <c r="J54" s="2502"/>
      <c r="K54" s="1874"/>
      <c r="L54" s="1874"/>
      <c r="M54" s="1874"/>
    </row>
    <row r="55" spans="5:13">
      <c r="E55" s="1874"/>
      <c r="F55" s="1874"/>
      <c r="G55" s="1874"/>
      <c r="H55" s="2137"/>
      <c r="I55" s="1874"/>
      <c r="J55" s="2137"/>
      <c r="K55" s="1874"/>
      <c r="L55" s="1874"/>
      <c r="M55" s="1874"/>
    </row>
    <row r="56" spans="5:13">
      <c r="E56" s="1874"/>
      <c r="F56" s="1874"/>
      <c r="G56" s="1874"/>
      <c r="H56" s="2138"/>
      <c r="I56" s="1874"/>
      <c r="J56" s="2137"/>
      <c r="K56" s="1874"/>
      <c r="L56" s="1874"/>
      <c r="M56" s="1874"/>
    </row>
    <row r="57" spans="5:13">
      <c r="E57" s="1874"/>
      <c r="F57" s="1874"/>
      <c r="G57" s="1874"/>
      <c r="H57" s="2365"/>
      <c r="I57" s="1874"/>
      <c r="J57" s="2137"/>
      <c r="K57" s="1874"/>
      <c r="L57" s="1874"/>
      <c r="M57" s="1874"/>
    </row>
    <row r="58" spans="5:13">
      <c r="J58" s="2137"/>
    </row>
    <row r="59" spans="5:13">
      <c r="J59" s="2137"/>
    </row>
    <row r="60" spans="5:13">
      <c r="J60" s="2137"/>
    </row>
    <row r="61" spans="5:13">
      <c r="J61" s="2137"/>
    </row>
    <row r="62" spans="5:13">
      <c r="J62" s="2137"/>
    </row>
    <row r="63" spans="5:13">
      <c r="J63" s="2138"/>
    </row>
    <row r="64" spans="5:13">
      <c r="J64" s="1874"/>
    </row>
  </sheetData>
  <customSheetViews>
    <customSheetView guid="{751D391F-C74F-4B53-B5B5-25E01AC12EA4}" showPageBreaks="1" printArea="1">
      <selection activeCell="R10" sqref="R10:R18"/>
      <pageMargins left="0.7" right="0.7" top="0.75" bottom="0.75" header="0.3" footer="0.3"/>
      <pageSetup paperSize="9" scale="74" orientation="landscape" horizontalDpi="4294967295" verticalDpi="4294967295" r:id="rId1"/>
    </customSheetView>
    <customSheetView guid="{5A803268-F6C5-4035-B3E1-A94CB9AA8994}" showPageBreaks="1" printArea="1">
      <selection activeCell="C8" sqref="C8"/>
      <pageMargins left="0.7" right="0.7" top="0.75" bottom="0.75" header="0.3" footer="0.3"/>
      <pageSetup paperSize="9" scale="74" orientation="landscape" r:id="rId2"/>
    </customSheetView>
    <customSheetView guid="{917057C8-5E5F-4164-B84C-85103677A2E5}">
      <selection activeCell="I29" sqref="I29"/>
      <pageMargins left="0.7" right="0.7" top="0.75" bottom="0.75" header="0.3" footer="0.3"/>
      <pageSetup paperSize="9" scale="74" orientation="landscape" r:id="rId3"/>
    </customSheetView>
    <customSheetView guid="{4593F3EE-0998-4E0E-994A-E02D6BAF3A4B}" showPageBreaks="1" printArea="1">
      <selection activeCell="J14" sqref="J14:J23"/>
      <pageMargins left="0.7" right="0.7" top="0.75" bottom="0.75" header="0.3" footer="0.3"/>
      <pageSetup paperSize="9" scale="74" orientation="landscape" r:id="rId4"/>
    </customSheetView>
    <customSheetView guid="{23F4DC00-BC97-4745-AA5C-F05D469CB1EF}" showPageBreaks="1" printArea="1">
      <selection activeCell="J14" sqref="J14:J22"/>
      <pageMargins left="0.7" right="0.7" top="0.75" bottom="0.75" header="0.3" footer="0.3"/>
      <pageSetup paperSize="9" scale="74" orientation="landscape" r:id="rId5"/>
    </customSheetView>
    <customSheetView guid="{B91C2E87-5EDA-40AE-AC27-0E2C17E803CE}" showPageBreaks="1" printArea="1">
      <selection activeCell="N17" sqref="N17"/>
      <pageMargins left="0.7" right="0.7" top="0.75" bottom="0.75" header="0.3" footer="0.3"/>
      <pageSetup paperSize="9" scale="74" orientation="landscape" r:id="rId6"/>
    </customSheetView>
    <customSheetView guid="{7C71EF2A-5ADA-494C-8F58-DDA71753DD90}" showPageBreaks="1" printArea="1">
      <selection activeCell="B32" sqref="B32"/>
      <pageMargins left="0.7" right="0.7" top="0.75" bottom="0.75" header="0.3" footer="0.3"/>
      <pageSetup paperSize="9" scale="74" orientation="landscape" r:id="rId7"/>
    </customSheetView>
    <customSheetView guid="{4DB6C640-CE65-4513-9E5A-F6CDD1F4B8AF}" showPageBreaks="1">
      <selection activeCell="E26" sqref="E26"/>
      <pageMargins left="0.7" right="0.7" top="0.75" bottom="0.75" header="0.3" footer="0.3"/>
      <pageSetup paperSize="9" scale="74" orientation="landscape" horizontalDpi="4294967295" verticalDpi="4294967295" r:id="rId8"/>
    </customSheetView>
    <customSheetView guid="{D1D1E152-95AB-45D3-AC07-4EC0834D3E0C}">
      <selection activeCell="M26" sqref="M26"/>
      <pageMargins left="0.7" right="0.7" top="0.75" bottom="0.75" header="0.3" footer="0.3"/>
      <pageSetup paperSize="9" scale="74" orientation="landscape" r:id="rId9"/>
    </customSheetView>
    <customSheetView guid="{C3348F62-02F2-4500-9BF2-19F2DEA57A8D}" showPageBreaks="1" printArea="1">
      <selection activeCell="O21" sqref="O21"/>
      <pageMargins left="0.7" right="0.7" top="0.75" bottom="0.75" header="0.3" footer="0.3"/>
      <pageSetup paperSize="9" scale="74" orientation="landscape" r:id="rId10"/>
    </customSheetView>
  </customSheetViews>
  <mergeCells count="2">
    <mergeCell ref="E11:F11"/>
    <mergeCell ref="K11:L11"/>
  </mergeCells>
  <pageMargins left="0.7" right="0.7" top="0.75" bottom="0.75" header="0.3" footer="0.3"/>
  <pageSetup paperSize="9" scale="74" orientation="landscape" r:id="rId1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9" tint="-0.249977111117893"/>
  </sheetPr>
  <dimension ref="A1:P117"/>
  <sheetViews>
    <sheetView zoomScale="115" zoomScaleNormal="115" workbookViewId="0">
      <selection activeCell="H7" sqref="H7"/>
    </sheetView>
  </sheetViews>
  <sheetFormatPr defaultColWidth="9.140625" defaultRowHeight="15"/>
  <cols>
    <col min="1" max="1" width="7.42578125" style="5" customWidth="1"/>
    <col min="2" max="2" width="33.42578125" style="5" customWidth="1"/>
    <col min="3" max="3" width="18.28515625" style="5" customWidth="1"/>
    <col min="4" max="4" width="16.42578125" style="5" customWidth="1"/>
    <col min="5" max="5" width="17" style="5" customWidth="1"/>
    <col min="6" max="6" width="36" style="5" customWidth="1"/>
    <col min="7" max="16384" width="9.140625" style="5"/>
  </cols>
  <sheetData>
    <row r="1" spans="1:7">
      <c r="A1" s="1573"/>
      <c r="B1" s="1574"/>
      <c r="C1" s="1575"/>
      <c r="D1" s="1575"/>
      <c r="E1" s="1575" t="s">
        <v>18</v>
      </c>
      <c r="F1" s="1576"/>
    </row>
    <row r="2" spans="1:7" ht="20.25">
      <c r="A2" s="1577"/>
      <c r="B2" s="1578"/>
      <c r="C2" s="1579" t="s">
        <v>873</v>
      </c>
      <c r="D2" s="363"/>
      <c r="E2" s="363"/>
      <c r="F2" s="1490"/>
    </row>
    <row r="3" spans="1:7" ht="16.5" thickBot="1">
      <c r="A3" s="1577"/>
      <c r="B3" s="1580" t="s">
        <v>19</v>
      </c>
      <c r="C3" s="1581">
        <f>YesterdayGen!A2</f>
        <v>43318</v>
      </c>
      <c r="D3" s="363"/>
      <c r="E3" s="363"/>
      <c r="F3" s="1490"/>
    </row>
    <row r="4" spans="1:7" ht="15.75">
      <c r="A4" s="1593" t="s">
        <v>420</v>
      </c>
      <c r="B4" s="1594" t="s">
        <v>421</v>
      </c>
      <c r="C4" s="1595" t="s">
        <v>178</v>
      </c>
      <c r="D4" s="1596" t="s">
        <v>422</v>
      </c>
      <c r="E4" s="1597" t="s">
        <v>423</v>
      </c>
      <c r="F4" s="5451" t="s">
        <v>295</v>
      </c>
    </row>
    <row r="5" spans="1:7" ht="13.5" customHeight="1" thickBot="1">
      <c r="A5" s="1598"/>
      <c r="B5" s="1599"/>
      <c r="C5" s="1600" t="s">
        <v>36</v>
      </c>
      <c r="D5" s="1600" t="s">
        <v>36</v>
      </c>
      <c r="E5" s="1601" t="s">
        <v>36</v>
      </c>
      <c r="F5" s="5452"/>
    </row>
    <row r="6" spans="1:7" ht="13.9" customHeight="1">
      <c r="A6" s="1582">
        <v>1</v>
      </c>
      <c r="B6" s="347" t="s">
        <v>686</v>
      </c>
      <c r="C6" s="346"/>
      <c r="D6" s="1570"/>
      <c r="E6" s="1572"/>
      <c r="F6" s="1605"/>
      <c r="G6" s="1571"/>
    </row>
    <row r="7" spans="1:7" ht="15.6" customHeight="1">
      <c r="A7" s="1582">
        <v>2</v>
      </c>
      <c r="B7" s="347" t="s">
        <v>866</v>
      </c>
      <c r="C7" s="346">
        <v>170</v>
      </c>
      <c r="D7" s="1570">
        <f>Forecast!J9</f>
        <v>0</v>
      </c>
      <c r="E7" s="1572">
        <f>Forecast!K9</f>
        <v>0</v>
      </c>
      <c r="F7" s="1606" t="str">
        <f>'P2'!J9</f>
        <v>Under maint.</v>
      </c>
      <c r="G7" s="1571"/>
    </row>
    <row r="8" spans="1:7" ht="18.75" customHeight="1">
      <c r="A8" s="1582">
        <v>3</v>
      </c>
      <c r="B8" s="347" t="s">
        <v>867</v>
      </c>
      <c r="C8" s="346">
        <v>180</v>
      </c>
      <c r="D8" s="1570">
        <f>Forecast!J10</f>
        <v>0</v>
      </c>
      <c r="E8" s="1572">
        <f>Forecast!K10</f>
        <v>0</v>
      </c>
      <c r="F8" s="1589" t="str">
        <f>'P2'!J10</f>
        <v>Under maint.</v>
      </c>
      <c r="G8" s="1571"/>
    </row>
    <row r="9" spans="1:7" ht="16.5" customHeight="1">
      <c r="A9" s="1582">
        <v>4</v>
      </c>
      <c r="B9" s="347" t="s">
        <v>179</v>
      </c>
      <c r="C9" s="346">
        <v>190</v>
      </c>
      <c r="D9" s="1570">
        <f>Forecast!J11</f>
        <v>180</v>
      </c>
      <c r="E9" s="1572">
        <f>Forecast!K11</f>
        <v>180</v>
      </c>
      <c r="F9" s="1589" t="str">
        <f>'P2'!J11</f>
        <v xml:space="preserve"> </v>
      </c>
      <c r="G9" s="1571"/>
    </row>
    <row r="10" spans="1:7" ht="18.75" customHeight="1">
      <c r="A10" s="1582">
        <v>5</v>
      </c>
      <c r="B10" s="347" t="s">
        <v>180</v>
      </c>
      <c r="C10" s="346">
        <v>365</v>
      </c>
      <c r="D10" s="1570">
        <f>Forecast!J12</f>
        <v>0</v>
      </c>
      <c r="E10" s="1572">
        <f>Forecast!K12</f>
        <v>200</v>
      </c>
      <c r="F10" s="1589">
        <f>EvReport!L12</f>
        <v>0</v>
      </c>
      <c r="G10" s="1571"/>
    </row>
    <row r="11" spans="1:7">
      <c r="A11" s="5453">
        <v>6</v>
      </c>
      <c r="B11" s="347" t="s">
        <v>676</v>
      </c>
      <c r="C11" s="346">
        <v>78</v>
      </c>
      <c r="D11" s="1570">
        <f>Forecast!J13</f>
        <v>0</v>
      </c>
      <c r="E11" s="1572">
        <f>Forecast!K13</f>
        <v>0</v>
      </c>
      <c r="F11" s="1590" t="str">
        <f>EvReport!L13</f>
        <v>Contract Expired</v>
      </c>
      <c r="G11" s="1571"/>
    </row>
    <row r="12" spans="1:7" ht="12.75" customHeight="1">
      <c r="A12" s="5454"/>
      <c r="B12" s="347" t="s">
        <v>112</v>
      </c>
      <c r="C12" s="1569">
        <v>108</v>
      </c>
      <c r="D12" s="1570">
        <f>Forecast!J14</f>
        <v>86</v>
      </c>
      <c r="E12" s="1572">
        <f>Forecast!K14</f>
        <v>81</v>
      </c>
      <c r="F12" s="1590" t="str">
        <f>EvReport!L14</f>
        <v>Engine problem</v>
      </c>
      <c r="G12" s="1571"/>
    </row>
    <row r="13" spans="1:7" ht="18.75" customHeight="1">
      <c r="A13" s="1588">
        <v>7</v>
      </c>
      <c r="B13" s="347" t="s">
        <v>170</v>
      </c>
      <c r="C13" s="1555">
        <v>40</v>
      </c>
      <c r="D13" s="1570">
        <f>Forecast!J15</f>
        <v>0</v>
      </c>
      <c r="E13" s="1572">
        <f>Forecast!K15</f>
        <v>0</v>
      </c>
      <c r="F13" s="1610" t="str">
        <f>EvReport!L15</f>
        <v>Under maint.</v>
      </c>
      <c r="G13" s="1571"/>
    </row>
    <row r="14" spans="1:7" ht="15.75" customHeight="1">
      <c r="A14" s="1588">
        <v>8</v>
      </c>
      <c r="B14" s="347" t="s">
        <v>156</v>
      </c>
      <c r="C14" s="1555">
        <v>412</v>
      </c>
      <c r="D14" s="1570">
        <f>Forecast!J16</f>
        <v>402</v>
      </c>
      <c r="E14" s="1572">
        <f>Forecast!K16</f>
        <v>397</v>
      </c>
      <c r="F14" s="1607" t="str">
        <f>EvReport!L16</f>
        <v>Gas shortage</v>
      </c>
      <c r="G14" s="1571"/>
    </row>
    <row r="15" spans="1:7" ht="15.75" customHeight="1">
      <c r="A15" s="1583">
        <v>9</v>
      </c>
      <c r="B15" s="347" t="s">
        <v>257</v>
      </c>
      <c r="C15" s="350">
        <v>360</v>
      </c>
      <c r="D15" s="1570">
        <f>Forecast!J17</f>
        <v>321</v>
      </c>
      <c r="E15" s="1572">
        <f>Forecast!K17</f>
        <v>257</v>
      </c>
      <c r="F15" s="1589" t="str">
        <f>EvReport!L17</f>
        <v>Gas shortage</v>
      </c>
      <c r="G15" s="1571"/>
    </row>
    <row r="16" spans="1:7" ht="16.149999999999999" customHeight="1">
      <c r="A16" s="1588">
        <v>10</v>
      </c>
      <c r="B16" s="347" t="s">
        <v>256</v>
      </c>
      <c r="C16" s="346">
        <v>450</v>
      </c>
      <c r="D16" s="1570">
        <f>Forecast!J18</f>
        <v>225</v>
      </c>
      <c r="E16" s="1572">
        <f>Forecast!K18</f>
        <v>225</v>
      </c>
      <c r="F16" s="1609" t="str">
        <f>EvReport!L18</f>
        <v>Gas shortage &amp; GT-2 S/D.</v>
      </c>
      <c r="G16" s="1571"/>
    </row>
    <row r="17" spans="1:16" ht="18.75" customHeight="1">
      <c r="A17" s="1588">
        <v>11</v>
      </c>
      <c r="B17" s="347" t="s">
        <v>113</v>
      </c>
      <c r="C17" s="346">
        <v>100</v>
      </c>
      <c r="D17" s="1570">
        <f>Forecast!J19</f>
        <v>7</v>
      </c>
      <c r="E17" s="1572">
        <f>Forecast!K19</f>
        <v>48</v>
      </c>
      <c r="F17" s="2436" t="str">
        <f>EvReport!L19</f>
        <v>Fuel shortage</v>
      </c>
      <c r="G17" s="1571"/>
    </row>
    <row r="18" spans="1:16" ht="18.75" customHeight="1">
      <c r="A18" s="1588">
        <v>12</v>
      </c>
      <c r="B18" s="347" t="s">
        <v>116</v>
      </c>
      <c r="C18" s="346">
        <v>305</v>
      </c>
      <c r="D18" s="1570">
        <f>Forecast!J20</f>
        <v>0</v>
      </c>
      <c r="E18" s="1572">
        <f>Forecast!K20</f>
        <v>0</v>
      </c>
      <c r="F18" s="1591" t="str">
        <f>EvReport!L20</f>
        <v>Gas shortage</v>
      </c>
      <c r="G18" s="1571"/>
      <c r="N18" s="347"/>
      <c r="O18" s="348"/>
      <c r="P18" s="349"/>
    </row>
    <row r="19" spans="1:16" ht="18" customHeight="1">
      <c r="A19" s="1588">
        <v>13</v>
      </c>
      <c r="B19" s="347" t="s">
        <v>262</v>
      </c>
      <c r="C19" s="346">
        <v>100</v>
      </c>
      <c r="D19" s="1570">
        <f>Forecast!J21</f>
        <v>0</v>
      </c>
      <c r="E19" s="1572">
        <f>Forecast!K21</f>
        <v>0</v>
      </c>
      <c r="F19" s="1589" t="str">
        <f>EvReport!L21</f>
        <v>Under maint.</v>
      </c>
      <c r="G19" s="1571"/>
      <c r="N19" s="347"/>
      <c r="O19" s="348"/>
      <c r="P19" s="349"/>
    </row>
    <row r="20" spans="1:16" ht="15.6" customHeight="1">
      <c r="A20" s="1588">
        <v>14</v>
      </c>
      <c r="B20" s="347" t="s">
        <v>136</v>
      </c>
      <c r="C20" s="346">
        <v>55</v>
      </c>
      <c r="D20" s="1570">
        <f>Forecast!J22</f>
        <v>30</v>
      </c>
      <c r="E20" s="1572">
        <f>Forecast!K22</f>
        <v>30</v>
      </c>
      <c r="F20" s="1608" t="str">
        <f>EvReport!L22</f>
        <v>Engine problem</v>
      </c>
      <c r="G20" s="1571"/>
      <c r="N20" s="347"/>
      <c r="O20" s="348"/>
      <c r="P20" s="349"/>
    </row>
    <row r="21" spans="1:16" ht="18.75" customHeight="1">
      <c r="A21" s="1588">
        <v>15</v>
      </c>
      <c r="B21" s="347" t="s">
        <v>181</v>
      </c>
      <c r="C21" s="346">
        <v>100</v>
      </c>
      <c r="D21" s="1570">
        <f>Forecast!J23</f>
        <v>0</v>
      </c>
      <c r="E21" s="1572">
        <f>Forecast!K23</f>
        <v>0</v>
      </c>
      <c r="F21" s="1590" t="str">
        <f>EvReport!L23</f>
        <v>Contract Expired</v>
      </c>
      <c r="G21" s="1571"/>
      <c r="N21" s="347"/>
      <c r="O21" s="348"/>
      <c r="P21" s="349"/>
    </row>
    <row r="22" spans="1:16" ht="18.75" customHeight="1">
      <c r="A22" s="1588">
        <v>16</v>
      </c>
      <c r="B22" s="347" t="s">
        <v>157</v>
      </c>
      <c r="C22" s="346">
        <v>22</v>
      </c>
      <c r="D22" s="1570">
        <f>Forecast!J24</f>
        <v>19</v>
      </c>
      <c r="E22" s="1572">
        <f>Forecast!K24</f>
        <v>22</v>
      </c>
      <c r="F22" s="1589">
        <f>EvReport!L24</f>
        <v>0</v>
      </c>
      <c r="G22" s="1571"/>
      <c r="N22" s="347"/>
      <c r="O22" s="348"/>
      <c r="P22" s="349"/>
    </row>
    <row r="23" spans="1:16" ht="18.75" customHeight="1">
      <c r="A23" s="1588">
        <v>17</v>
      </c>
      <c r="B23" s="347" t="s">
        <v>254</v>
      </c>
      <c r="C23" s="346">
        <v>115</v>
      </c>
      <c r="D23" s="1570">
        <f>Forecast!J25</f>
        <v>0</v>
      </c>
      <c r="E23" s="1572">
        <f>Forecast!K25</f>
        <v>0</v>
      </c>
      <c r="F23" s="2437" t="str">
        <f>EvReport!L25</f>
        <v>Under maint.</v>
      </c>
      <c r="G23" s="1571"/>
      <c r="N23" s="5463"/>
      <c r="O23" s="5464"/>
      <c r="P23" s="5465"/>
    </row>
    <row r="24" spans="1:16" ht="13.15" customHeight="1">
      <c r="A24" s="1583">
        <v>18</v>
      </c>
      <c r="B24" s="347" t="s">
        <v>255</v>
      </c>
      <c r="C24" s="358">
        <v>210</v>
      </c>
      <c r="D24" s="1570">
        <f>Forecast!J26</f>
        <v>0</v>
      </c>
      <c r="E24" s="1572">
        <f>Forecast!K26</f>
        <v>0</v>
      </c>
      <c r="F24" s="1613" t="str">
        <f>EvReport!L26</f>
        <v>Gas shortage</v>
      </c>
      <c r="G24" s="1571"/>
      <c r="N24" s="5466"/>
      <c r="O24" s="5467"/>
      <c r="P24" s="5468"/>
    </row>
    <row r="25" spans="1:16" ht="16.5" customHeight="1">
      <c r="A25" s="1588"/>
      <c r="B25" s="347"/>
      <c r="C25" s="346"/>
      <c r="D25" s="1570"/>
      <c r="E25" s="1572"/>
      <c r="F25" s="1589"/>
      <c r="G25" s="1571"/>
      <c r="N25" s="1556"/>
      <c r="O25" s="1557"/>
      <c r="P25" s="1558"/>
    </row>
    <row r="26" spans="1:16" ht="16.5" customHeight="1">
      <c r="A26" s="1588">
        <v>19</v>
      </c>
      <c r="B26" s="347" t="s">
        <v>121</v>
      </c>
      <c r="C26" s="346">
        <v>100</v>
      </c>
      <c r="D26" s="1570">
        <f>Forecast!J27</f>
        <v>8</v>
      </c>
      <c r="E26" s="1572">
        <f>Forecast!K27</f>
        <v>48</v>
      </c>
      <c r="F26" s="1589" t="str">
        <f>EvReport!L27</f>
        <v>Fuel shortage</v>
      </c>
      <c r="G26" s="1571"/>
      <c r="N26" s="1556"/>
      <c r="O26" s="1557"/>
      <c r="P26" s="1558"/>
    </row>
    <row r="27" spans="1:16" ht="17.25" customHeight="1">
      <c r="A27" s="1588">
        <v>20</v>
      </c>
      <c r="B27" s="347" t="s">
        <v>167</v>
      </c>
      <c r="C27" s="360">
        <v>217</v>
      </c>
      <c r="D27" s="1570">
        <f>Forecast!J28</f>
        <v>0</v>
      </c>
      <c r="E27" s="1572">
        <f>Forecast!K28</f>
        <v>0</v>
      </c>
      <c r="F27" s="1612" t="str">
        <f>EvReport!L28</f>
        <v>Gas shortage</v>
      </c>
      <c r="G27" s="1571"/>
      <c r="N27" s="351"/>
      <c r="O27" s="352"/>
      <c r="P27" s="353"/>
    </row>
    <row r="28" spans="1:16" ht="18" customHeight="1">
      <c r="A28" s="1588"/>
      <c r="B28" s="347"/>
      <c r="C28" s="360"/>
      <c r="D28" s="1570"/>
      <c r="E28" s="1572"/>
      <c r="F28" s="1590"/>
      <c r="G28" s="1571"/>
      <c r="N28" s="351"/>
      <c r="O28" s="352"/>
      <c r="P28" s="353"/>
    </row>
    <row r="29" spans="1:16" ht="17.25" customHeight="1">
      <c r="A29" s="1588">
        <v>21</v>
      </c>
      <c r="B29" s="347" t="s">
        <v>120</v>
      </c>
      <c r="C29" s="360">
        <v>102</v>
      </c>
      <c r="D29" s="1570">
        <f>Forecast!J29</f>
        <v>8</v>
      </c>
      <c r="E29" s="1572">
        <f>Forecast!K29</f>
        <v>50</v>
      </c>
      <c r="F29" s="1590" t="str">
        <f>EvReport!L29</f>
        <v>Fuel shortage</v>
      </c>
      <c r="G29" s="1571"/>
      <c r="N29" s="347"/>
      <c r="O29" s="348"/>
      <c r="P29" s="349"/>
    </row>
    <row r="30" spans="1:16" ht="17.25" customHeight="1">
      <c r="A30" s="1582">
        <v>22</v>
      </c>
      <c r="B30" s="347" t="s">
        <v>128</v>
      </c>
      <c r="C30" s="360">
        <v>51</v>
      </c>
      <c r="D30" s="1570">
        <f>Forecast!J30</f>
        <v>0</v>
      </c>
      <c r="E30" s="1572">
        <f>Forecast!K30</f>
        <v>0</v>
      </c>
      <c r="F30" s="1589" t="str">
        <f>EvReport!L30</f>
        <v>Fuel shortage</v>
      </c>
      <c r="G30" s="1571"/>
      <c r="N30" s="354"/>
      <c r="O30" s="348"/>
      <c r="P30" s="349"/>
    </row>
    <row r="31" spans="1:16" ht="15.75" customHeight="1">
      <c r="A31" s="1878">
        <v>23</v>
      </c>
      <c r="B31" s="347" t="s">
        <v>175</v>
      </c>
      <c r="C31" s="360">
        <v>54</v>
      </c>
      <c r="D31" s="1570">
        <f>Forecast!J31</f>
        <v>35</v>
      </c>
      <c r="E31" s="1572">
        <f>Forecast!K31</f>
        <v>54</v>
      </c>
      <c r="F31" s="1589">
        <f>EvReport!L31</f>
        <v>0</v>
      </c>
      <c r="G31" s="1571"/>
      <c r="N31" s="354"/>
      <c r="O31" s="348"/>
      <c r="P31" s="349"/>
    </row>
    <row r="32" spans="1:16" ht="15.6" customHeight="1">
      <c r="A32" s="1879">
        <v>24</v>
      </c>
      <c r="B32" s="347" t="s">
        <v>868</v>
      </c>
      <c r="C32" s="360">
        <v>149</v>
      </c>
      <c r="D32" s="1570">
        <f>Forecast!J32</f>
        <v>50</v>
      </c>
      <c r="E32" s="1572">
        <f>Forecast!K32</f>
        <v>128</v>
      </c>
      <c r="F32" s="1590" t="str">
        <f>EvReport!L32</f>
        <v>Engine problem</v>
      </c>
      <c r="G32" s="1571"/>
      <c r="N32" s="347"/>
      <c r="O32" s="348"/>
      <c r="P32" s="349"/>
    </row>
    <row r="33" spans="1:16" ht="15" customHeight="1">
      <c r="A33" s="1878">
        <v>25</v>
      </c>
      <c r="B33" s="347" t="s">
        <v>164</v>
      </c>
      <c r="C33" s="360">
        <v>55</v>
      </c>
      <c r="D33" s="1570">
        <f>Forecast!J33</f>
        <v>55</v>
      </c>
      <c r="E33" s="1572">
        <f>Forecast!K33</f>
        <v>55</v>
      </c>
      <c r="F33" s="1590">
        <f>EvReport!L33</f>
        <v>0</v>
      </c>
      <c r="G33" s="1571"/>
      <c r="N33" s="347"/>
      <c r="O33" s="348"/>
      <c r="P33" s="349"/>
    </row>
    <row r="34" spans="1:16" ht="16.5">
      <c r="A34" s="1878">
        <v>26</v>
      </c>
      <c r="B34" s="347" t="s">
        <v>258</v>
      </c>
      <c r="C34" s="362">
        <v>55</v>
      </c>
      <c r="D34" s="1570">
        <f>Forecast!J34</f>
        <v>17</v>
      </c>
      <c r="E34" s="1572">
        <f>Forecast!K34</f>
        <v>55</v>
      </c>
      <c r="F34" s="1590" t="str">
        <f>EvReport!L34</f>
        <v>Engine problem</v>
      </c>
      <c r="G34" s="1571"/>
      <c r="N34" s="347"/>
      <c r="O34" s="348"/>
      <c r="P34" s="349"/>
    </row>
    <row r="35" spans="1:16" ht="15.75">
      <c r="A35" s="1878">
        <v>27</v>
      </c>
      <c r="B35" s="347" t="s">
        <v>263</v>
      </c>
      <c r="C35" s="1882">
        <v>108</v>
      </c>
      <c r="D35" s="1570">
        <f>Forecast!J35</f>
        <v>0</v>
      </c>
      <c r="E35" s="1572">
        <f>Forecast!K35</f>
        <v>0</v>
      </c>
      <c r="F35" s="1590">
        <f>EvReport!L35</f>
        <v>0</v>
      </c>
      <c r="G35" s="1571"/>
      <c r="N35" s="347"/>
      <c r="O35" s="348"/>
      <c r="P35" s="349"/>
    </row>
    <row r="36" spans="1:16">
      <c r="A36" s="1880">
        <v>28</v>
      </c>
      <c r="B36" s="347" t="s">
        <v>154</v>
      </c>
      <c r="C36" s="1564">
        <v>80</v>
      </c>
      <c r="D36" s="1570">
        <f>Forecast!J36</f>
        <v>45</v>
      </c>
      <c r="E36" s="1572">
        <f>Forecast!K36</f>
        <v>52</v>
      </c>
      <c r="F36" s="1590" t="str">
        <f>EvReport!L36</f>
        <v>Engine problem</v>
      </c>
      <c r="G36" s="1571"/>
      <c r="H36" s="5" t="s">
        <v>18</v>
      </c>
      <c r="N36" s="354"/>
      <c r="O36" s="348"/>
      <c r="P36" s="349"/>
    </row>
    <row r="37" spans="1:16">
      <c r="A37" s="1880">
        <v>29</v>
      </c>
      <c r="B37" s="347" t="s">
        <v>261</v>
      </c>
      <c r="C37" s="1564">
        <v>33</v>
      </c>
      <c r="D37" s="1570">
        <f>Forecast!J37</f>
        <v>25</v>
      </c>
      <c r="E37" s="1572">
        <f>Forecast!K37</f>
        <v>33</v>
      </c>
      <c r="F37" s="2438" t="str">
        <f>EvReport!L37</f>
        <v>Engine problem</v>
      </c>
      <c r="G37" s="1571"/>
      <c r="N37" s="355"/>
      <c r="O37" s="356"/>
      <c r="P37" s="357"/>
    </row>
    <row r="38" spans="1:16">
      <c r="A38" s="1881">
        <v>30</v>
      </c>
      <c r="B38" s="347" t="s">
        <v>828</v>
      </c>
      <c r="C38" s="1565">
        <v>33</v>
      </c>
      <c r="D38" s="1570">
        <f>Forecast!J38</f>
        <v>16</v>
      </c>
      <c r="E38" s="1572">
        <f>Forecast!K38</f>
        <v>30</v>
      </c>
      <c r="F38" s="2438">
        <f>EvReport!L38</f>
        <v>0</v>
      </c>
      <c r="G38" s="1571"/>
      <c r="N38" s="359"/>
      <c r="O38" s="348"/>
      <c r="P38" s="349"/>
    </row>
    <row r="39" spans="1:16">
      <c r="A39" s="1881">
        <v>31</v>
      </c>
      <c r="B39" s="347" t="s">
        <v>114</v>
      </c>
      <c r="C39" s="1565">
        <v>52</v>
      </c>
      <c r="D39" s="1570">
        <f>Forecast!J39</f>
        <v>42</v>
      </c>
      <c r="E39" s="1572">
        <f>Forecast!K39</f>
        <v>49</v>
      </c>
      <c r="F39" s="1590" t="e">
        <f>EvReport!#REF!</f>
        <v>#REF!</v>
      </c>
      <c r="G39" s="1571"/>
      <c r="N39" s="359"/>
      <c r="O39" s="348"/>
      <c r="P39" s="349"/>
    </row>
    <row r="40" spans="1:16">
      <c r="A40" s="1881">
        <v>32</v>
      </c>
      <c r="B40" s="347" t="s">
        <v>38</v>
      </c>
      <c r="C40" s="1565">
        <v>105</v>
      </c>
      <c r="D40" s="1570">
        <f>Forecast!J40</f>
        <v>0</v>
      </c>
      <c r="E40" s="1572">
        <f>Forecast!K40</f>
        <v>0</v>
      </c>
      <c r="F40" s="1590" t="str">
        <f>EvReport!L40</f>
        <v>Under maint.</v>
      </c>
      <c r="G40" s="1571"/>
      <c r="N40" s="347"/>
      <c r="O40" s="348"/>
      <c r="P40" s="349"/>
    </row>
    <row r="41" spans="1:16">
      <c r="A41" s="1881">
        <v>33</v>
      </c>
      <c r="B41" s="347" t="s">
        <v>870</v>
      </c>
      <c r="C41" s="1565">
        <v>300</v>
      </c>
      <c r="D41" s="1570">
        <f>Forecast!J41</f>
        <v>195</v>
      </c>
      <c r="E41" s="1572">
        <f>Forecast!K41</f>
        <v>242</v>
      </c>
      <c r="F41" s="1590" t="str">
        <f>EvReport!L41</f>
        <v>Engine problem</v>
      </c>
      <c r="G41" s="1571"/>
      <c r="N41" s="361"/>
      <c r="O41" s="348"/>
      <c r="P41" s="349"/>
    </row>
    <row r="42" spans="1:16">
      <c r="A42" s="1881">
        <v>34</v>
      </c>
      <c r="B42" s="347" t="s">
        <v>817</v>
      </c>
      <c r="C42" s="1565">
        <v>300</v>
      </c>
      <c r="D42" s="1570">
        <f>Forecast!J42</f>
        <v>0</v>
      </c>
      <c r="E42" s="1572">
        <f>Forecast!K42</f>
        <v>284</v>
      </c>
      <c r="F42" s="1590">
        <f>EvReport!L42</f>
        <v>0</v>
      </c>
      <c r="G42" s="1571"/>
      <c r="N42" s="361"/>
      <c r="O42" s="348"/>
      <c r="P42" s="349"/>
    </row>
    <row r="43" spans="1:16">
      <c r="A43" s="1881">
        <v>35</v>
      </c>
      <c r="B43" s="347" t="s">
        <v>832</v>
      </c>
      <c r="C43" s="1565">
        <v>100</v>
      </c>
      <c r="D43" s="1570">
        <f>Forecast!J43</f>
        <v>0</v>
      </c>
      <c r="E43" s="1572">
        <f>Forecast!K43</f>
        <v>96</v>
      </c>
      <c r="F43" s="1590">
        <f>EvReport!L43</f>
        <v>0</v>
      </c>
      <c r="G43" s="1571"/>
      <c r="N43" s="5455"/>
      <c r="O43" s="5456"/>
      <c r="P43" s="349"/>
    </row>
    <row r="44" spans="1:16">
      <c r="A44" s="1881">
        <v>36</v>
      </c>
      <c r="B44" s="347" t="s">
        <v>837</v>
      </c>
      <c r="C44" s="1565">
        <v>100</v>
      </c>
      <c r="D44" s="1570">
        <f>Forecast!J44</f>
        <v>0</v>
      </c>
      <c r="E44" s="1572">
        <f>Forecast!K44</f>
        <v>100</v>
      </c>
      <c r="F44" s="1590">
        <f>EvReport!L44</f>
        <v>0</v>
      </c>
      <c r="G44" s="1571"/>
      <c r="N44" s="5457"/>
      <c r="O44" s="5458"/>
      <c r="P44" s="5459"/>
    </row>
    <row r="45" spans="1:16" ht="16.5">
      <c r="A45" s="1881">
        <v>37</v>
      </c>
      <c r="B45" s="347" t="s">
        <v>844</v>
      </c>
      <c r="C45" s="1565">
        <v>149</v>
      </c>
      <c r="D45" s="1570">
        <f>Forecast!J45</f>
        <v>97</v>
      </c>
      <c r="E45" s="1572">
        <f>Forecast!K45</f>
        <v>149</v>
      </c>
      <c r="F45" s="1590">
        <f>EvReport!L45</f>
        <v>0</v>
      </c>
      <c r="G45" s="1571"/>
      <c r="N45" s="5460"/>
      <c r="O45" s="5461"/>
      <c r="P45" s="5462"/>
    </row>
    <row r="46" spans="1:16" ht="19.5" thickBot="1">
      <c r="A46" s="1584"/>
      <c r="B46" s="1585" t="s">
        <v>12</v>
      </c>
      <c r="C46" s="1586">
        <f>SUM(C6:C45)</f>
        <v>5503</v>
      </c>
      <c r="D46" s="1586">
        <f>SUM(D6:D45)</f>
        <v>1863</v>
      </c>
      <c r="E46" s="1604">
        <f>SUM(E6:E45)</f>
        <v>2865</v>
      </c>
      <c r="F46" s="1592"/>
      <c r="N46" s="1561"/>
      <c r="O46" s="1562"/>
      <c r="P46" s="1563"/>
    </row>
    <row r="47" spans="1:16">
      <c r="N47" s="1566"/>
      <c r="O47" s="1567"/>
      <c r="P47" s="1568"/>
    </row>
    <row r="48" spans="1:16">
      <c r="N48" s="1566"/>
      <c r="O48" s="1567"/>
      <c r="P48" s="1568"/>
    </row>
    <row r="49" spans="6:16">
      <c r="N49" s="1566"/>
      <c r="O49" s="1567"/>
      <c r="P49" s="1568"/>
    </row>
    <row r="50" spans="6:16" ht="16.5">
      <c r="F50" s="1559" t="s">
        <v>424</v>
      </c>
      <c r="N50" s="1566"/>
      <c r="O50" s="1567"/>
      <c r="P50" s="1568"/>
    </row>
    <row r="51" spans="6:16" ht="16.5">
      <c r="F51" s="1559" t="s">
        <v>425</v>
      </c>
      <c r="N51" s="1566"/>
      <c r="O51" s="1567"/>
      <c r="P51" s="1568"/>
    </row>
    <row r="52" spans="6:16" ht="15.75">
      <c r="F52" s="1560" t="s">
        <v>426</v>
      </c>
      <c r="N52" s="1566"/>
      <c r="O52" s="1567"/>
      <c r="P52" s="1568"/>
    </row>
    <row r="117" spans="8:8">
      <c r="H117" s="345"/>
    </row>
  </sheetData>
  <customSheetViews>
    <customSheetView guid="{751D391F-C74F-4B53-B5B5-25E01AC12EA4}" scale="115" showPageBreaks="1" printArea="1">
      <selection activeCell="H7" sqref="H7"/>
      <pageMargins left="0.16" right="0.28000000000000003" top="0.21" bottom="0.17" header="0.21" footer="0.17"/>
      <pageSetup paperSize="9" scale="89" orientation="landscape" r:id="rId1"/>
    </customSheetView>
    <customSheetView guid="{5A803268-F6C5-4035-B3E1-A94CB9AA8994}" showPageBreaks="1" printArea="1">
      <selection activeCell="I15" sqref="I15"/>
      <pageMargins left="0.16" right="0.28000000000000003" top="0.21" bottom="0.17" header="0.21" footer="0.17"/>
      <pageSetup paperSize="9" scale="89" orientation="landscape" r:id="rId2"/>
    </customSheetView>
    <customSheetView guid="{917057C8-5E5F-4164-B84C-85103677A2E5}">
      <selection activeCell="A15" sqref="A15:XFD15"/>
      <pageMargins left="0.16" right="0.28000000000000003" top="0.21" bottom="0.17" header="0.21" footer="0.17"/>
      <pageSetup paperSize="9" scale="89" orientation="landscape" r:id="rId3"/>
    </customSheetView>
    <customSheetView guid="{4593F3EE-0998-4E0E-994A-E02D6BAF3A4B}" showPageBreaks="1" printArea="1">
      <selection sqref="A1:H37"/>
      <pageMargins left="0.16" right="0.28000000000000003" top="0.21" bottom="0.17" header="0.21" footer="0.17"/>
      <pageSetup paperSize="9" scale="89" orientation="landscape" r:id="rId4"/>
    </customSheetView>
    <customSheetView guid="{23F4DC00-BC97-4745-AA5C-F05D469CB1EF}" showPageBreaks="1" printArea="1">
      <selection activeCell="I15" sqref="I15"/>
      <pageMargins left="0.16" right="0.28000000000000003" top="0.21" bottom="0.17" header="0.21" footer="0.17"/>
      <pageSetup paperSize="9" scale="89" orientation="landscape" r:id="rId5"/>
    </customSheetView>
    <customSheetView guid="{B91C2E87-5EDA-40AE-AC27-0E2C17E803CE}" showPageBreaks="1" fitToPage="1" printArea="1" hiddenRows="1" topLeftCell="A32">
      <selection activeCell="B6" sqref="B6:F46"/>
      <pageMargins left="0.16" right="0.28000000000000003" top="0.21" bottom="0.17" header="0.21" footer="0.17"/>
      <pageSetup paperSize="9" scale="76" orientation="portrait" r:id="rId6"/>
    </customSheetView>
    <customSheetView guid="{7C71EF2A-5ADA-494C-8F58-DDA71753DD90}" scale="120" showPageBreaks="1" printArea="1">
      <selection activeCell="B32" sqref="B32"/>
      <pageMargins left="0.16" right="0.28000000000000003" top="0.21" bottom="0.17" header="0.21" footer="0.17"/>
      <pageSetup paperSize="9" scale="89" orientation="landscape" r:id="rId7"/>
    </customSheetView>
    <customSheetView guid="{4DB6C640-CE65-4513-9E5A-F6CDD1F4B8AF}" scale="115" showPageBreaks="1">
      <selection activeCell="A2" sqref="A2:F52"/>
      <pageMargins left="0.16" right="0.28000000000000003" top="0.21" bottom="0.17" header="0.21" footer="0.17"/>
      <pageSetup paperSize="9" scale="89" orientation="landscape" r:id="rId8"/>
    </customSheetView>
    <customSheetView guid="{D1D1E152-95AB-45D3-AC07-4EC0834D3E0C}" scale="115" topLeftCell="A19">
      <selection activeCell="H7" sqref="H7"/>
      <pageMargins left="0.16" right="0.28000000000000003" top="0.21" bottom="0.17" header="0.21" footer="0.17"/>
      <pageSetup paperSize="9" scale="89" orientation="landscape" r:id="rId9"/>
    </customSheetView>
    <customSheetView guid="{C3348F62-02F2-4500-9BF2-19F2DEA57A8D}" scale="115" showPageBreaks="1" printArea="1">
      <selection activeCell="H7" sqref="H7"/>
      <pageMargins left="0.16" right="0.28000000000000003" top="0.21" bottom="0.17" header="0.21" footer="0.17"/>
      <pageSetup paperSize="9" scale="89" orientation="landscape" r:id="rId10"/>
    </customSheetView>
  </customSheetViews>
  <mergeCells count="6">
    <mergeCell ref="F4:F5"/>
    <mergeCell ref="A11:A12"/>
    <mergeCell ref="N43:O43"/>
    <mergeCell ref="N44:P44"/>
    <mergeCell ref="N45:P45"/>
    <mergeCell ref="N23:P24"/>
  </mergeCells>
  <pageMargins left="0.16" right="0.28000000000000003" top="0.21" bottom="0.17" header="0.21" footer="0.17"/>
  <pageSetup paperSize="9" scale="89" orientation="landscape" r:id="rId1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7030A0"/>
  </sheetPr>
  <dimension ref="B3:AN78"/>
  <sheetViews>
    <sheetView workbookViewId="0">
      <selection activeCell="I5" sqref="I5:U30"/>
    </sheetView>
  </sheetViews>
  <sheetFormatPr defaultRowHeight="15"/>
  <cols>
    <col min="1" max="1" width="3.85546875" customWidth="1"/>
    <col min="2" max="2" width="9" customWidth="1"/>
    <col min="3" max="3" width="12.5703125" customWidth="1"/>
    <col min="4" max="4" width="9.85546875" customWidth="1"/>
    <col min="5" max="5" width="11.42578125" customWidth="1"/>
    <col min="6" max="6" width="11.28515625" customWidth="1"/>
    <col min="7" max="7" width="15.140625" customWidth="1"/>
    <col min="8" max="8" width="7.42578125" customWidth="1"/>
    <col min="9" max="9" width="11.42578125" customWidth="1"/>
    <col min="10" max="10" width="7.5703125" customWidth="1"/>
    <col min="11" max="11" width="6.140625" customWidth="1"/>
    <col min="12" max="12" width="6" customWidth="1"/>
    <col min="13" max="13" width="7.140625" customWidth="1"/>
    <col min="14" max="14" width="6.85546875" customWidth="1"/>
    <col min="15" max="15" width="7.140625" customWidth="1"/>
    <col min="16" max="16" width="8.42578125" customWidth="1"/>
    <col min="17" max="17" width="13.85546875" customWidth="1"/>
    <col min="18" max="18" width="4.140625" customWidth="1"/>
    <col min="19" max="19" width="16.5703125" customWidth="1"/>
    <col min="20" max="20" width="13.42578125" customWidth="1"/>
    <col min="21" max="21" width="10.85546875" style="3037" customWidth="1"/>
  </cols>
  <sheetData>
    <row r="3" spans="2:21" ht="21" customHeight="1">
      <c r="B3" s="5476" t="s">
        <v>783</v>
      </c>
      <c r="C3" s="5477"/>
      <c r="D3" s="5477"/>
      <c r="E3" s="5477"/>
      <c r="F3" s="5478"/>
      <c r="G3" s="6"/>
      <c r="H3" s="768" t="s">
        <v>732</v>
      </c>
      <c r="I3" s="769" t="s">
        <v>531</v>
      </c>
      <c r="J3" s="5481" t="s">
        <v>103</v>
      </c>
      <c r="K3" s="5482"/>
      <c r="L3" s="5481" t="s">
        <v>542</v>
      </c>
      <c r="M3" s="5482"/>
      <c r="N3" s="5481" t="s">
        <v>104</v>
      </c>
      <c r="O3" s="5482"/>
      <c r="P3" s="5484" t="s">
        <v>152</v>
      </c>
      <c r="Q3" s="5485"/>
      <c r="R3" s="5485"/>
      <c r="S3" s="5485"/>
      <c r="T3" s="5485"/>
      <c r="U3" s="5486"/>
    </row>
    <row r="4" spans="2:21" ht="15.75" thickBot="1">
      <c r="B4" s="5479" t="s">
        <v>99</v>
      </c>
      <c r="C4" s="774" t="s">
        <v>12</v>
      </c>
      <c r="D4" s="773"/>
      <c r="E4" s="5479" t="s">
        <v>103</v>
      </c>
      <c r="F4" s="5479" t="s">
        <v>104</v>
      </c>
      <c r="G4" s="6"/>
      <c r="H4" s="768" t="s">
        <v>667</v>
      </c>
      <c r="I4" s="768" t="s">
        <v>733</v>
      </c>
      <c r="J4" s="768" t="s">
        <v>36</v>
      </c>
      <c r="K4" s="768" t="s">
        <v>734</v>
      </c>
      <c r="L4" s="768" t="s">
        <v>36</v>
      </c>
      <c r="M4" s="768" t="s">
        <v>734</v>
      </c>
      <c r="N4" s="768" t="s">
        <v>36</v>
      </c>
      <c r="O4" s="768" t="s">
        <v>734</v>
      </c>
      <c r="P4" s="5487"/>
      <c r="Q4" s="5488"/>
      <c r="R4" s="5488"/>
      <c r="S4" s="5488"/>
      <c r="T4" s="5488"/>
      <c r="U4" s="5489"/>
    </row>
    <row r="5" spans="2:21" ht="18" customHeight="1" thickBot="1">
      <c r="B5" s="5480"/>
      <c r="C5" s="774" t="s">
        <v>36</v>
      </c>
      <c r="D5" s="774"/>
      <c r="E5" s="5480"/>
      <c r="F5" s="5480"/>
      <c r="G5" s="6"/>
      <c r="H5" s="770">
        <v>4.1666666666666664E-2</v>
      </c>
      <c r="I5" s="4856">
        <v>650</v>
      </c>
      <c r="J5" s="4857">
        <v>290</v>
      </c>
      <c r="K5" s="4857">
        <v>-28</v>
      </c>
      <c r="L5" s="4858">
        <v>-340</v>
      </c>
      <c r="M5" s="4858">
        <v>5</v>
      </c>
      <c r="N5" s="4857">
        <v>350</v>
      </c>
      <c r="O5" s="4857">
        <v>-12</v>
      </c>
      <c r="P5" s="4859" t="s">
        <v>1202</v>
      </c>
      <c r="Q5" s="4860"/>
      <c r="R5" s="4860"/>
      <c r="S5" s="4861"/>
      <c r="T5" s="4862"/>
      <c r="U5" s="4863" t="s">
        <v>1221</v>
      </c>
    </row>
    <row r="6" spans="2:21" ht="16.5" thickBot="1">
      <c r="B6" s="788">
        <v>0</v>
      </c>
      <c r="C6" s="182">
        <f>E6+F6</f>
        <v>996</v>
      </c>
      <c r="D6" s="183"/>
      <c r="E6" s="786">
        <f>E32</f>
        <v>456</v>
      </c>
      <c r="F6" s="786">
        <f>F32</f>
        <v>540</v>
      </c>
      <c r="G6" s="6"/>
      <c r="H6" s="770">
        <v>8.3333333333333329E-2</v>
      </c>
      <c r="I6" s="4864">
        <v>640</v>
      </c>
      <c r="J6" s="4865">
        <v>272</v>
      </c>
      <c r="K6" s="4865">
        <v>-32</v>
      </c>
      <c r="L6" s="4866">
        <v>-340</v>
      </c>
      <c r="M6" s="4866">
        <v>5</v>
      </c>
      <c r="N6" s="4865">
        <v>330</v>
      </c>
      <c r="O6" s="4865">
        <v>-30</v>
      </c>
      <c r="P6" s="4867"/>
      <c r="Q6" s="4867"/>
      <c r="R6" s="4867"/>
      <c r="S6" s="4867"/>
      <c r="T6" s="4867"/>
      <c r="U6" s="4868"/>
    </row>
    <row r="7" spans="2:21" ht="18.75" thickBot="1">
      <c r="B7" s="788">
        <v>4.1666666666666602E-2</v>
      </c>
      <c r="C7" s="182">
        <f>E7+F7</f>
        <v>640</v>
      </c>
      <c r="D7" s="183"/>
      <c r="E7" s="786">
        <f>J5</f>
        <v>290</v>
      </c>
      <c r="F7" s="786">
        <f>N5</f>
        <v>350</v>
      </c>
      <c r="G7" s="11"/>
      <c r="H7" s="770">
        <v>0.125</v>
      </c>
      <c r="I7" s="4864">
        <v>600</v>
      </c>
      <c r="J7" s="4865">
        <v>256</v>
      </c>
      <c r="K7" s="4865">
        <v>-38</v>
      </c>
      <c r="L7" s="4866">
        <v>-260</v>
      </c>
      <c r="M7" s="4866">
        <v>10</v>
      </c>
      <c r="N7" s="4865">
        <v>310</v>
      </c>
      <c r="O7" s="4865">
        <v>-32</v>
      </c>
      <c r="P7" s="4869" t="s">
        <v>1216</v>
      </c>
      <c r="Q7" s="4870">
        <v>574.77</v>
      </c>
      <c r="R7" s="4871" t="s">
        <v>153</v>
      </c>
      <c r="S7" s="4870">
        <v>574.77</v>
      </c>
      <c r="T7" s="4871" t="s">
        <v>1217</v>
      </c>
      <c r="U7" s="4872">
        <v>0</v>
      </c>
    </row>
    <row r="8" spans="2:21" ht="18.75" thickBot="1">
      <c r="B8" s="788">
        <v>8.3333333333333301E-2</v>
      </c>
      <c r="C8" s="182">
        <f t="shared" ref="C8:C32" si="0">E8+F8</f>
        <v>602</v>
      </c>
      <c r="D8" s="183"/>
      <c r="E8" s="786">
        <f t="shared" ref="E8:E32" si="1">J6</f>
        <v>272</v>
      </c>
      <c r="F8" s="786">
        <f t="shared" ref="F8:F32" si="2">N6</f>
        <v>330</v>
      </c>
      <c r="G8" s="685"/>
      <c r="H8" s="770">
        <v>0.16666666666666699</v>
      </c>
      <c r="I8" s="4864">
        <v>600</v>
      </c>
      <c r="J8" s="4865">
        <v>228</v>
      </c>
      <c r="K8" s="4865">
        <v>-44</v>
      </c>
      <c r="L8" s="4866">
        <v>-260</v>
      </c>
      <c r="M8" s="4866">
        <v>10</v>
      </c>
      <c r="N8" s="4865">
        <v>300</v>
      </c>
      <c r="O8" s="4865">
        <v>-20</v>
      </c>
      <c r="P8" s="4867"/>
      <c r="Q8" s="4867"/>
      <c r="R8" s="4867"/>
      <c r="S8" s="4867"/>
      <c r="T8" s="4867"/>
      <c r="U8" s="4872"/>
    </row>
    <row r="9" spans="2:21" ht="18.75" thickBot="1">
      <c r="B9" s="788">
        <v>0.125</v>
      </c>
      <c r="C9" s="182">
        <f t="shared" si="0"/>
        <v>566</v>
      </c>
      <c r="D9" s="183"/>
      <c r="E9" s="786">
        <f t="shared" si="1"/>
        <v>256</v>
      </c>
      <c r="F9" s="786">
        <f t="shared" si="2"/>
        <v>310</v>
      </c>
      <c r="G9" s="685"/>
      <c r="H9" s="770">
        <v>0.20833333333333401</v>
      </c>
      <c r="I9" s="4864">
        <v>550</v>
      </c>
      <c r="J9" s="4865">
        <v>204</v>
      </c>
      <c r="K9" s="4865">
        <v>-52</v>
      </c>
      <c r="L9" s="4866">
        <v>-220</v>
      </c>
      <c r="M9" s="4866">
        <v>10</v>
      </c>
      <c r="N9" s="4865">
        <v>250</v>
      </c>
      <c r="O9" s="4865">
        <v>-40</v>
      </c>
      <c r="P9" s="4869" t="s">
        <v>1194</v>
      </c>
      <c r="Q9" s="4870">
        <v>842.35</v>
      </c>
      <c r="R9" s="4871" t="s">
        <v>153</v>
      </c>
      <c r="S9" s="4870">
        <v>842.35</v>
      </c>
      <c r="T9" s="4871" t="s">
        <v>1217</v>
      </c>
      <c r="U9" s="4872">
        <v>0</v>
      </c>
    </row>
    <row r="10" spans="2:21" ht="16.5" thickBot="1">
      <c r="B10" s="788">
        <v>0.16666666666666699</v>
      </c>
      <c r="C10" s="182">
        <f t="shared" si="0"/>
        <v>528</v>
      </c>
      <c r="D10" s="183"/>
      <c r="E10" s="786">
        <f t="shared" si="1"/>
        <v>228</v>
      </c>
      <c r="F10" s="786">
        <f t="shared" si="2"/>
        <v>300</v>
      </c>
      <c r="G10" s="6"/>
      <c r="H10" s="771">
        <v>0.25</v>
      </c>
      <c r="I10" s="4864">
        <v>550</v>
      </c>
      <c r="J10" s="4865">
        <v>194</v>
      </c>
      <c r="K10" s="4865">
        <v>-56</v>
      </c>
      <c r="L10" s="4866">
        <v>-260</v>
      </c>
      <c r="M10" s="4866">
        <v>15</v>
      </c>
      <c r="N10" s="4865">
        <v>260</v>
      </c>
      <c r="O10" s="4865">
        <v>-30</v>
      </c>
      <c r="P10" s="4873"/>
      <c r="Q10" s="4873"/>
      <c r="R10" s="4873"/>
      <c r="S10" s="4873"/>
      <c r="T10" s="4873"/>
      <c r="U10" s="4874"/>
    </row>
    <row r="11" spans="2:21" ht="19.5" thickTop="1" thickBot="1">
      <c r="B11" s="789">
        <v>0.20833333333333401</v>
      </c>
      <c r="C11" s="182">
        <f t="shared" si="0"/>
        <v>454</v>
      </c>
      <c r="D11" s="183"/>
      <c r="E11" s="786">
        <f t="shared" si="1"/>
        <v>204</v>
      </c>
      <c r="F11" s="786">
        <f t="shared" si="2"/>
        <v>250</v>
      </c>
      <c r="G11" s="6"/>
      <c r="H11" s="772">
        <v>0.29166666666666702</v>
      </c>
      <c r="I11" s="4875">
        <v>410</v>
      </c>
      <c r="J11" s="4866">
        <v>198</v>
      </c>
      <c r="K11" s="4866">
        <v>-58</v>
      </c>
      <c r="L11" s="4866">
        <v>-240</v>
      </c>
      <c r="M11" s="4866">
        <v>10</v>
      </c>
      <c r="N11" s="4866">
        <v>320</v>
      </c>
      <c r="O11" s="4866">
        <v>-36</v>
      </c>
      <c r="P11" s="4876" t="s">
        <v>1218</v>
      </c>
      <c r="Q11" s="4877"/>
      <c r="R11" s="4877"/>
      <c r="S11" s="4877"/>
      <c r="T11" s="4877"/>
      <c r="U11" s="4878"/>
    </row>
    <row r="12" spans="2:21" ht="16.5" thickBot="1">
      <c r="B12" s="789">
        <v>0.25</v>
      </c>
      <c r="C12" s="182">
        <f t="shared" si="0"/>
        <v>454</v>
      </c>
      <c r="D12" s="183"/>
      <c r="E12" s="786">
        <f t="shared" si="1"/>
        <v>194</v>
      </c>
      <c r="F12" s="786">
        <f t="shared" si="2"/>
        <v>260</v>
      </c>
      <c r="G12" s="6"/>
      <c r="H12" s="770">
        <v>0.33333333333333398</v>
      </c>
      <c r="I12" s="4875">
        <v>610</v>
      </c>
      <c r="J12" s="4866">
        <v>272</v>
      </c>
      <c r="K12" s="4866">
        <v>-40</v>
      </c>
      <c r="L12" s="4866">
        <v>-330</v>
      </c>
      <c r="M12" s="4866">
        <v>15</v>
      </c>
      <c r="N12" s="4866">
        <v>360</v>
      </c>
      <c r="O12" s="4866">
        <v>-26</v>
      </c>
      <c r="P12" s="4867"/>
      <c r="Q12" s="4867"/>
      <c r="R12" s="4867"/>
      <c r="S12" s="4867"/>
      <c r="T12" s="4867"/>
      <c r="U12" s="4868"/>
    </row>
    <row r="13" spans="2:21" ht="18.75" thickBot="1">
      <c r="B13" s="789">
        <v>0.29166666666666669</v>
      </c>
      <c r="C13" s="182">
        <f>E13+F13</f>
        <v>518</v>
      </c>
      <c r="D13" s="183"/>
      <c r="E13" s="786">
        <f t="shared" si="1"/>
        <v>198</v>
      </c>
      <c r="F13" s="786">
        <f t="shared" si="2"/>
        <v>320</v>
      </c>
      <c r="G13" s="683" t="s">
        <v>1175</v>
      </c>
      <c r="H13" s="770">
        <v>0.375</v>
      </c>
      <c r="I13" s="4875">
        <v>1040</v>
      </c>
      <c r="J13" s="4866">
        <v>400</v>
      </c>
      <c r="K13" s="4866">
        <v>-2</v>
      </c>
      <c r="L13" s="4866">
        <v>-510</v>
      </c>
      <c r="M13" s="4866">
        <v>30</v>
      </c>
      <c r="N13" s="4866">
        <v>510</v>
      </c>
      <c r="O13" s="4866">
        <v>22</v>
      </c>
      <c r="P13" s="4869" t="s">
        <v>1193</v>
      </c>
      <c r="Q13" s="4870">
        <v>6351.49</v>
      </c>
      <c r="R13" s="4867"/>
      <c r="S13" s="4870">
        <v>6351.49</v>
      </c>
      <c r="T13" s="4871" t="s">
        <v>1217</v>
      </c>
      <c r="U13" s="4872">
        <v>0</v>
      </c>
    </row>
    <row r="14" spans="2:21" ht="18.75" thickBot="1">
      <c r="B14" s="789">
        <v>0.33333333333333331</v>
      </c>
      <c r="C14" s="182">
        <f>E14+F14</f>
        <v>632</v>
      </c>
      <c r="D14" s="183"/>
      <c r="E14" s="786">
        <f t="shared" si="1"/>
        <v>272</v>
      </c>
      <c r="F14" s="786">
        <f t="shared" si="2"/>
        <v>360</v>
      </c>
      <c r="G14" s="681">
        <f>MIN(C7:C32)</f>
        <v>454</v>
      </c>
      <c r="H14" s="770">
        <v>0.41666666666666702</v>
      </c>
      <c r="I14" s="4875">
        <v>1100</v>
      </c>
      <c r="J14" s="4866">
        <v>492</v>
      </c>
      <c r="K14" s="4866">
        <v>32</v>
      </c>
      <c r="L14" s="4866">
        <v>-540</v>
      </c>
      <c r="M14" s="4866">
        <v>30</v>
      </c>
      <c r="N14" s="4866">
        <v>590</v>
      </c>
      <c r="O14" s="4866">
        <v>58</v>
      </c>
      <c r="P14" s="4867"/>
      <c r="Q14" s="4867"/>
      <c r="R14" s="4867"/>
      <c r="S14" s="4867"/>
      <c r="T14" s="4867"/>
      <c r="U14" s="4872"/>
    </row>
    <row r="15" spans="2:21" ht="18.75" thickBot="1">
      <c r="B15" s="789">
        <v>0.375</v>
      </c>
      <c r="C15" s="182">
        <f t="shared" si="0"/>
        <v>910</v>
      </c>
      <c r="D15" s="183"/>
      <c r="E15" s="786">
        <f t="shared" si="1"/>
        <v>400</v>
      </c>
      <c r="F15" s="786">
        <f t="shared" si="2"/>
        <v>510</v>
      </c>
      <c r="G15" s="682">
        <f>INDEX(B7:B32,MATCH(G14,C7:C32,0))</f>
        <v>0.20833333333333401</v>
      </c>
      <c r="H15" s="770">
        <v>0.45833333333333398</v>
      </c>
      <c r="I15" s="4875">
        <v>1040</v>
      </c>
      <c r="J15" s="4866">
        <v>448</v>
      </c>
      <c r="K15" s="4866">
        <v>16</v>
      </c>
      <c r="L15" s="4866">
        <v>-520</v>
      </c>
      <c r="M15" s="4866">
        <v>30</v>
      </c>
      <c r="N15" s="4866">
        <v>530</v>
      </c>
      <c r="O15" s="4866">
        <v>24</v>
      </c>
      <c r="P15" s="4869" t="s">
        <v>1194</v>
      </c>
      <c r="Q15" s="4870">
        <v>6279.9</v>
      </c>
      <c r="R15" s="4867"/>
      <c r="S15" s="4870">
        <v>6279.9</v>
      </c>
      <c r="T15" s="4871" t="s">
        <v>1217</v>
      </c>
      <c r="U15" s="4872">
        <v>0</v>
      </c>
    </row>
    <row r="16" spans="2:21" ht="16.5" thickBot="1">
      <c r="B16" s="789">
        <v>0.41666666666666669</v>
      </c>
      <c r="C16" s="182">
        <f t="shared" si="0"/>
        <v>1082</v>
      </c>
      <c r="D16" s="183"/>
      <c r="E16" s="786">
        <f t="shared" si="1"/>
        <v>492</v>
      </c>
      <c r="F16" s="786">
        <f t="shared" si="2"/>
        <v>590</v>
      </c>
      <c r="G16" s="6"/>
      <c r="H16" s="771">
        <v>0.5</v>
      </c>
      <c r="I16" s="4875">
        <v>1000</v>
      </c>
      <c r="J16" s="4866">
        <v>424</v>
      </c>
      <c r="K16" s="4866">
        <v>8</v>
      </c>
      <c r="L16" s="4866">
        <v>-510</v>
      </c>
      <c r="M16" s="4866">
        <v>25</v>
      </c>
      <c r="N16" s="4866">
        <v>520</v>
      </c>
      <c r="O16" s="4866">
        <v>34</v>
      </c>
      <c r="P16" s="4873"/>
      <c r="Q16" s="4873"/>
      <c r="R16" s="4873"/>
      <c r="S16" s="4873"/>
      <c r="T16" s="4873"/>
      <c r="U16" s="4874"/>
    </row>
    <row r="17" spans="2:40" ht="19.5" thickTop="1" thickBot="1">
      <c r="B17" s="789">
        <v>0.45833333333333331</v>
      </c>
      <c r="C17" s="182">
        <f t="shared" si="0"/>
        <v>978</v>
      </c>
      <c r="D17" s="183"/>
      <c r="E17" s="786">
        <f t="shared" si="1"/>
        <v>448</v>
      </c>
      <c r="F17" s="786">
        <f t="shared" si="2"/>
        <v>530</v>
      </c>
      <c r="G17" s="684" t="s">
        <v>743</v>
      </c>
      <c r="H17" s="772">
        <v>0.54166666666666696</v>
      </c>
      <c r="I17" s="4875">
        <v>1020</v>
      </c>
      <c r="J17" s="4866">
        <v>404</v>
      </c>
      <c r="K17" s="4866">
        <v>2</v>
      </c>
      <c r="L17" s="4866">
        <v>-450</v>
      </c>
      <c r="M17" s="4866">
        <v>20</v>
      </c>
      <c r="N17" s="4866">
        <v>500</v>
      </c>
      <c r="O17" s="4866">
        <v>22</v>
      </c>
      <c r="P17" s="4876" t="s">
        <v>1246</v>
      </c>
      <c r="Q17" s="4877"/>
      <c r="R17" s="4877"/>
      <c r="S17" s="4877"/>
      <c r="T17" s="4877"/>
      <c r="U17" s="4878"/>
    </row>
    <row r="18" spans="2:40" ht="18.75" thickBot="1">
      <c r="B18" s="789">
        <v>0.5</v>
      </c>
      <c r="C18" s="182">
        <f t="shared" si="0"/>
        <v>944</v>
      </c>
      <c r="D18" s="183"/>
      <c r="E18" s="786">
        <f t="shared" si="1"/>
        <v>424</v>
      </c>
      <c r="F18" s="786">
        <f t="shared" si="2"/>
        <v>520</v>
      </c>
      <c r="G18" s="681">
        <f>INDEX(C7:C32,MATCH(G19,B7:B32,0))</f>
        <v>736</v>
      </c>
      <c r="H18" s="770">
        <v>0.58333333333333404</v>
      </c>
      <c r="I18" s="4875">
        <v>940</v>
      </c>
      <c r="J18" s="4866">
        <v>392</v>
      </c>
      <c r="K18" s="4866">
        <v>-2</v>
      </c>
      <c r="L18" s="4866">
        <v>-450</v>
      </c>
      <c r="M18" s="4866">
        <v>20</v>
      </c>
      <c r="N18" s="4866">
        <v>470</v>
      </c>
      <c r="O18" s="4866">
        <v>8</v>
      </c>
      <c r="P18" s="4867"/>
      <c r="Q18" s="4867"/>
      <c r="R18" s="4867"/>
      <c r="S18" s="4867"/>
      <c r="T18" s="4867"/>
      <c r="U18" s="4868"/>
    </row>
    <row r="19" spans="2:40" ht="18.75" thickBot="1">
      <c r="B19" s="789">
        <v>0.54166666666666896</v>
      </c>
      <c r="C19" s="182">
        <f t="shared" si="0"/>
        <v>904</v>
      </c>
      <c r="D19" s="183"/>
      <c r="E19" s="786">
        <f t="shared" si="1"/>
        <v>404</v>
      </c>
      <c r="F19" s="786">
        <f t="shared" si="2"/>
        <v>500</v>
      </c>
      <c r="G19" s="682">
        <f>EvReport!L6</f>
        <v>0.875</v>
      </c>
      <c r="H19" s="770">
        <v>0.625</v>
      </c>
      <c r="I19" s="4875">
        <v>1100</v>
      </c>
      <c r="J19" s="4866">
        <v>474</v>
      </c>
      <c r="K19" s="4866">
        <v>18</v>
      </c>
      <c r="L19" s="4866">
        <v>-560</v>
      </c>
      <c r="M19" s="4866">
        <v>35</v>
      </c>
      <c r="N19" s="4866">
        <v>590</v>
      </c>
      <c r="O19" s="4866">
        <v>56</v>
      </c>
      <c r="P19" s="4869" t="s">
        <v>1193</v>
      </c>
      <c r="Q19" s="4870">
        <v>7395268</v>
      </c>
      <c r="R19" s="4871" t="s">
        <v>153</v>
      </c>
      <c r="S19" s="4870">
        <v>7395268</v>
      </c>
      <c r="T19" s="4871" t="s">
        <v>1217</v>
      </c>
      <c r="U19" s="4872"/>
      <c r="AL19" s="4660"/>
    </row>
    <row r="20" spans="2:40" ht="18.75" thickBot="1">
      <c r="B20" s="789">
        <v>0.58333333333333337</v>
      </c>
      <c r="C20" s="182">
        <f t="shared" si="0"/>
        <v>862</v>
      </c>
      <c r="D20" s="183"/>
      <c r="E20" s="786">
        <f t="shared" si="1"/>
        <v>392</v>
      </c>
      <c r="F20" s="786">
        <f t="shared" si="2"/>
        <v>470</v>
      </c>
      <c r="G20" s="6"/>
      <c r="H20" s="770">
        <v>0.66666666666666696</v>
      </c>
      <c r="I20" s="4875">
        <v>1100</v>
      </c>
      <c r="J20" s="4866">
        <v>454</v>
      </c>
      <c r="K20" s="4866">
        <v>8</v>
      </c>
      <c r="L20" s="4866">
        <v>-540</v>
      </c>
      <c r="M20" s="4866">
        <v>35</v>
      </c>
      <c r="N20" s="4866">
        <v>570</v>
      </c>
      <c r="O20" s="4866">
        <v>32</v>
      </c>
      <c r="P20" s="4867"/>
      <c r="Q20" s="4867"/>
      <c r="R20" s="4867"/>
      <c r="S20" s="4867"/>
      <c r="T20" s="4867"/>
      <c r="U20" s="4872"/>
      <c r="AL20" s="4660"/>
    </row>
    <row r="21" spans="2:40" ht="18.75" thickBot="1">
      <c r="B21" s="789">
        <v>0.625000000000003</v>
      </c>
      <c r="C21" s="182">
        <f t="shared" si="0"/>
        <v>1064</v>
      </c>
      <c r="D21" s="183"/>
      <c r="E21" s="786">
        <f t="shared" si="1"/>
        <v>474</v>
      </c>
      <c r="F21" s="786">
        <f t="shared" si="2"/>
        <v>590</v>
      </c>
      <c r="G21" s="6"/>
      <c r="H21" s="771">
        <v>0.70833333333333404</v>
      </c>
      <c r="I21" s="4875">
        <v>1050</v>
      </c>
      <c r="J21" s="4866">
        <v>450</v>
      </c>
      <c r="K21" s="4866">
        <v>10</v>
      </c>
      <c r="L21" s="4866">
        <v>-520</v>
      </c>
      <c r="M21" s="4866">
        <v>30</v>
      </c>
      <c r="N21" s="4866">
        <v>550</v>
      </c>
      <c r="O21" s="4866">
        <v>34</v>
      </c>
      <c r="P21" s="4869" t="s">
        <v>1194</v>
      </c>
      <c r="Q21" s="4870">
        <v>7259219</v>
      </c>
      <c r="R21" s="4871" t="s">
        <v>153</v>
      </c>
      <c r="S21" s="4870">
        <v>7259219</v>
      </c>
      <c r="T21" s="4871" t="s">
        <v>1217</v>
      </c>
      <c r="U21" s="4872">
        <v>0</v>
      </c>
      <c r="AL21" s="4660"/>
      <c r="AM21" s="3235"/>
      <c r="AN21" s="3235"/>
    </row>
    <row r="22" spans="2:40" ht="17.25" thickTop="1" thickBot="1">
      <c r="B22" s="789">
        <v>0.66666666666666996</v>
      </c>
      <c r="C22" s="182">
        <f t="shared" si="0"/>
        <v>1024</v>
      </c>
      <c r="D22" s="183"/>
      <c r="E22" s="786">
        <f t="shared" si="1"/>
        <v>454</v>
      </c>
      <c r="F22" s="786">
        <f t="shared" si="2"/>
        <v>570</v>
      </c>
      <c r="G22" s="6"/>
      <c r="H22" s="772">
        <v>0.75</v>
      </c>
      <c r="I22" s="4864">
        <v>1000</v>
      </c>
      <c r="J22" s="4865">
        <v>436</v>
      </c>
      <c r="K22" s="4865">
        <v>14</v>
      </c>
      <c r="L22" s="4866">
        <v>-490</v>
      </c>
      <c r="M22" s="4866">
        <v>25</v>
      </c>
      <c r="N22" s="4865">
        <v>520</v>
      </c>
      <c r="O22" s="4865">
        <v>30</v>
      </c>
      <c r="P22" s="4873"/>
      <c r="Q22" s="4873"/>
      <c r="R22" s="4873"/>
      <c r="S22" s="4873"/>
      <c r="T22" s="4873"/>
      <c r="U22" s="4874"/>
      <c r="AL22" s="4660"/>
      <c r="AM22" s="3237"/>
      <c r="AN22" s="3237"/>
    </row>
    <row r="23" spans="2:40" ht="18.75" thickBot="1">
      <c r="B23" s="789">
        <v>0.70833333333333337</v>
      </c>
      <c r="C23" s="182">
        <f t="shared" si="0"/>
        <v>1000</v>
      </c>
      <c r="D23" s="183"/>
      <c r="E23" s="786">
        <f t="shared" si="1"/>
        <v>450</v>
      </c>
      <c r="F23" s="786">
        <f t="shared" si="2"/>
        <v>550</v>
      </c>
      <c r="G23" s="6"/>
      <c r="H23" s="770">
        <v>0.77083333333333337</v>
      </c>
      <c r="I23" s="4864">
        <v>1020</v>
      </c>
      <c r="J23" s="4865">
        <v>422</v>
      </c>
      <c r="K23" s="4865">
        <v>12</v>
      </c>
      <c r="L23" s="4866">
        <v>-470</v>
      </c>
      <c r="M23" s="4866">
        <v>15</v>
      </c>
      <c r="N23" s="4865">
        <v>500</v>
      </c>
      <c r="O23" s="4865">
        <v>24</v>
      </c>
      <c r="P23" s="4876" t="s">
        <v>1247</v>
      </c>
      <c r="Q23" s="4877"/>
      <c r="R23" s="4877"/>
      <c r="S23" s="4877"/>
      <c r="T23" s="4877"/>
      <c r="U23" s="4878"/>
      <c r="AL23" s="4660"/>
      <c r="AM23" s="3237"/>
      <c r="AN23" s="3237"/>
    </row>
    <row r="24" spans="2:40" ht="16.5" thickBot="1">
      <c r="B24" s="789">
        <v>0.75</v>
      </c>
      <c r="C24" s="182">
        <f t="shared" si="0"/>
        <v>956</v>
      </c>
      <c r="D24" s="183"/>
      <c r="E24" s="786">
        <f t="shared" si="1"/>
        <v>436</v>
      </c>
      <c r="F24" s="786">
        <f t="shared" si="2"/>
        <v>520</v>
      </c>
      <c r="G24" s="11"/>
      <c r="H24" s="770">
        <v>0.79166666666666696</v>
      </c>
      <c r="I24" s="4864">
        <v>1000</v>
      </c>
      <c r="J24" s="4865">
        <v>368</v>
      </c>
      <c r="K24" s="4865">
        <v>6</v>
      </c>
      <c r="L24" s="4866">
        <v>-470</v>
      </c>
      <c r="M24" s="4866">
        <v>15</v>
      </c>
      <c r="N24" s="4865">
        <v>426</v>
      </c>
      <c r="O24" s="4865">
        <v>-2</v>
      </c>
      <c r="P24" s="4867"/>
      <c r="Q24" s="4867"/>
      <c r="R24" s="4867"/>
      <c r="S24" s="4867"/>
      <c r="T24" s="4867"/>
      <c r="U24" s="4868"/>
      <c r="AL24" s="4660"/>
      <c r="AM24" s="3237"/>
      <c r="AN24" s="3237"/>
    </row>
    <row r="25" spans="2:40" ht="18.75" thickBot="1">
      <c r="B25" s="789">
        <v>0.77083333333333337</v>
      </c>
      <c r="C25" s="182">
        <f t="shared" si="0"/>
        <v>922</v>
      </c>
      <c r="D25" s="183"/>
      <c r="E25" s="786">
        <f t="shared" si="1"/>
        <v>422</v>
      </c>
      <c r="F25" s="786">
        <f t="shared" si="2"/>
        <v>500</v>
      </c>
      <c r="G25" s="6"/>
      <c r="H25" s="770">
        <v>0.8125</v>
      </c>
      <c r="I25" s="4864">
        <v>880</v>
      </c>
      <c r="J25" s="4865">
        <v>350</v>
      </c>
      <c r="K25" s="4865">
        <v>-6</v>
      </c>
      <c r="L25" s="4866">
        <v>-350</v>
      </c>
      <c r="M25" s="4866">
        <v>10</v>
      </c>
      <c r="N25" s="4865">
        <v>404</v>
      </c>
      <c r="O25" s="4865">
        <v>-18</v>
      </c>
      <c r="P25" s="4869" t="s">
        <v>1193</v>
      </c>
      <c r="Q25" s="4870">
        <v>7250431</v>
      </c>
      <c r="R25" s="4867"/>
      <c r="S25" s="4870">
        <v>7250431</v>
      </c>
      <c r="T25" s="4871" t="s">
        <v>1217</v>
      </c>
      <c r="U25" s="4872">
        <v>0</v>
      </c>
      <c r="W25" s="3243"/>
      <c r="X25" s="3243"/>
      <c r="AL25" s="4660"/>
      <c r="AM25" s="3237"/>
      <c r="AN25" s="3237"/>
    </row>
    <row r="26" spans="2:40" ht="18.75" thickBot="1">
      <c r="B26" s="789">
        <v>0.79166666666666663</v>
      </c>
      <c r="C26" s="182">
        <f t="shared" si="0"/>
        <v>794</v>
      </c>
      <c r="D26" s="183"/>
      <c r="E26" s="786">
        <f t="shared" si="1"/>
        <v>368</v>
      </c>
      <c r="F26" s="786">
        <f t="shared" si="2"/>
        <v>426</v>
      </c>
      <c r="G26" s="7"/>
      <c r="H26" s="771">
        <v>0.83333333333333304</v>
      </c>
      <c r="I26" s="4864">
        <v>800</v>
      </c>
      <c r="J26" s="4865">
        <v>362</v>
      </c>
      <c r="K26" s="4865">
        <v>-10</v>
      </c>
      <c r="L26" s="4866">
        <v>-400</v>
      </c>
      <c r="M26" s="4866">
        <v>30</v>
      </c>
      <c r="N26" s="4865">
        <v>410</v>
      </c>
      <c r="O26" s="4866">
        <v>-26</v>
      </c>
      <c r="P26" s="4867"/>
      <c r="Q26" s="4867"/>
      <c r="R26" s="4867"/>
      <c r="S26" s="4867"/>
      <c r="T26" s="4867"/>
      <c r="U26" s="4872"/>
      <c r="W26" s="3243"/>
      <c r="X26" s="3243"/>
      <c r="AL26" s="4660"/>
      <c r="AM26" s="3237"/>
      <c r="AN26" s="3237"/>
    </row>
    <row r="27" spans="2:40" ht="19.5" thickTop="1" thickBot="1">
      <c r="B27" s="789">
        <v>0.8125</v>
      </c>
      <c r="C27" s="182">
        <f t="shared" si="0"/>
        <v>754</v>
      </c>
      <c r="D27" s="183"/>
      <c r="E27" s="786">
        <f t="shared" si="1"/>
        <v>350</v>
      </c>
      <c r="F27" s="786">
        <f t="shared" si="2"/>
        <v>404</v>
      </c>
      <c r="G27" s="6"/>
      <c r="H27" s="772">
        <v>0.875</v>
      </c>
      <c r="I27" s="4875">
        <v>700</v>
      </c>
      <c r="J27" s="4866">
        <v>336</v>
      </c>
      <c r="K27" s="4866">
        <v>-20</v>
      </c>
      <c r="L27" s="4866">
        <v>-370</v>
      </c>
      <c r="M27" s="4866">
        <v>15</v>
      </c>
      <c r="N27" s="4866">
        <v>400</v>
      </c>
      <c r="O27" s="4866">
        <v>-28</v>
      </c>
      <c r="P27" s="4869" t="s">
        <v>1194</v>
      </c>
      <c r="Q27" s="4870">
        <v>182358</v>
      </c>
      <c r="R27" s="4867"/>
      <c r="S27" s="4870">
        <v>182358</v>
      </c>
      <c r="T27" s="4871" t="s">
        <v>1217</v>
      </c>
      <c r="U27" s="4872">
        <v>0</v>
      </c>
      <c r="W27" s="3243"/>
      <c r="X27" s="3243"/>
      <c r="AL27" s="4660"/>
      <c r="AM27" s="3235"/>
      <c r="AN27" s="3235"/>
    </row>
    <row r="28" spans="2:40" ht="16.5" thickBot="1">
      <c r="B28" s="789">
        <v>0.83333333333333337</v>
      </c>
      <c r="C28" s="182">
        <f t="shared" si="0"/>
        <v>772</v>
      </c>
      <c r="D28" s="183"/>
      <c r="E28" s="786">
        <f t="shared" si="1"/>
        <v>362</v>
      </c>
      <c r="F28" s="786">
        <f t="shared" si="2"/>
        <v>410</v>
      </c>
      <c r="G28" s="6"/>
      <c r="H28" s="770">
        <v>0.91666666666666696</v>
      </c>
      <c r="I28" s="4875">
        <v>720</v>
      </c>
      <c r="J28" s="4866">
        <v>392</v>
      </c>
      <c r="K28" s="4866">
        <v>-14</v>
      </c>
      <c r="L28" s="4866">
        <v>-370</v>
      </c>
      <c r="M28" s="4866">
        <v>15</v>
      </c>
      <c r="N28" s="4866">
        <v>470</v>
      </c>
      <c r="O28" s="4866">
        <v>-12</v>
      </c>
      <c r="P28" s="4873"/>
      <c r="Q28" s="4873"/>
      <c r="R28" s="4873"/>
      <c r="S28" s="4873"/>
      <c r="T28" s="4873"/>
      <c r="U28" s="4873"/>
      <c r="W28" s="3243"/>
      <c r="X28" s="3243"/>
      <c r="AL28" s="4660"/>
      <c r="AM28" s="3237"/>
      <c r="AN28" s="3237"/>
    </row>
    <row r="29" spans="2:40" ht="15.75" customHeight="1" thickBot="1">
      <c r="B29" s="789">
        <v>0.875</v>
      </c>
      <c r="C29" s="182">
        <f t="shared" si="0"/>
        <v>736</v>
      </c>
      <c r="D29" s="183"/>
      <c r="E29" s="786">
        <f t="shared" si="1"/>
        <v>336</v>
      </c>
      <c r="F29" s="786">
        <f t="shared" si="2"/>
        <v>400</v>
      </c>
      <c r="G29" s="6"/>
      <c r="H29" s="770">
        <v>0.95833333333333404</v>
      </c>
      <c r="I29" s="4875">
        <v>700</v>
      </c>
      <c r="J29" s="4866">
        <v>432</v>
      </c>
      <c r="K29" s="4866">
        <v>0</v>
      </c>
      <c r="L29" s="4866">
        <v>-480</v>
      </c>
      <c r="M29" s="4866">
        <v>30</v>
      </c>
      <c r="N29" s="4866">
        <v>510</v>
      </c>
      <c r="O29" s="4866">
        <v>18</v>
      </c>
      <c r="P29" s="4879" t="s">
        <v>152</v>
      </c>
      <c r="Q29" s="4880"/>
      <c r="R29" s="4880"/>
      <c r="S29" s="4880"/>
      <c r="T29" s="4880"/>
      <c r="U29" s="4881"/>
      <c r="W29" s="3243"/>
      <c r="X29" s="3243"/>
      <c r="AL29" s="4660"/>
      <c r="AM29" s="3237"/>
      <c r="AN29" s="3237"/>
    </row>
    <row r="30" spans="2:40" ht="15.75" customHeight="1" thickBot="1">
      <c r="B30" s="789">
        <v>0.91666666666666663</v>
      </c>
      <c r="C30" s="182">
        <f t="shared" si="0"/>
        <v>862</v>
      </c>
      <c r="D30" s="183"/>
      <c r="E30" s="786">
        <f t="shared" si="1"/>
        <v>392</v>
      </c>
      <c r="F30" s="786">
        <f t="shared" si="2"/>
        <v>470</v>
      </c>
      <c r="G30" s="6"/>
      <c r="H30" s="770" t="s">
        <v>24</v>
      </c>
      <c r="I30" s="4875">
        <v>640</v>
      </c>
      <c r="J30" s="4866">
        <v>456</v>
      </c>
      <c r="K30" s="4866">
        <v>2</v>
      </c>
      <c r="L30" s="4866">
        <v>-490</v>
      </c>
      <c r="M30" s="4866">
        <v>30</v>
      </c>
      <c r="N30" s="4866">
        <v>540</v>
      </c>
      <c r="O30" s="4866">
        <v>28</v>
      </c>
      <c r="P30" s="4882"/>
      <c r="Q30" s="4883"/>
      <c r="R30" s="4883"/>
      <c r="S30" s="4883"/>
      <c r="T30" s="4883"/>
      <c r="U30" s="4884"/>
      <c r="W30" s="3243"/>
      <c r="X30" s="3243"/>
      <c r="AL30" s="4660"/>
      <c r="AM30" s="3237"/>
      <c r="AN30" s="3237"/>
    </row>
    <row r="31" spans="2:40">
      <c r="B31" s="789">
        <v>0.95833333333333337</v>
      </c>
      <c r="C31" s="182">
        <f t="shared" si="0"/>
        <v>942</v>
      </c>
      <c r="D31" s="183"/>
      <c r="E31" s="786">
        <f t="shared" si="1"/>
        <v>432</v>
      </c>
      <c r="F31" s="786">
        <f t="shared" si="2"/>
        <v>510</v>
      </c>
      <c r="G31" s="6"/>
      <c r="W31" s="3243"/>
      <c r="X31" s="3243"/>
      <c r="AL31" s="4660"/>
      <c r="AM31" s="3237"/>
      <c r="AN31" s="3237"/>
    </row>
    <row r="32" spans="2:40" ht="15.75" thickBot="1">
      <c r="B32" s="790" t="s">
        <v>24</v>
      </c>
      <c r="C32" s="775">
        <f t="shared" si="0"/>
        <v>996</v>
      </c>
      <c r="D32" s="776"/>
      <c r="E32" s="787">
        <f t="shared" si="1"/>
        <v>456</v>
      </c>
      <c r="F32" s="787">
        <f t="shared" si="2"/>
        <v>540</v>
      </c>
      <c r="G32" s="1491"/>
      <c r="W32" s="3243"/>
      <c r="X32" s="3243"/>
      <c r="AL32" s="4660"/>
      <c r="AM32" s="3237"/>
      <c r="AN32" s="3237"/>
    </row>
    <row r="33" spans="2:40" ht="16.5" thickBot="1">
      <c r="B33" s="781"/>
      <c r="C33" s="5472" t="s">
        <v>100</v>
      </c>
      <c r="D33" s="5473"/>
      <c r="E33" s="5474" t="s">
        <v>735</v>
      </c>
      <c r="F33" s="5475"/>
      <c r="G33" s="8"/>
      <c r="W33" s="3243"/>
      <c r="X33" s="3243"/>
      <c r="AL33" s="4660"/>
      <c r="AM33" s="3235"/>
      <c r="AN33" s="3235"/>
    </row>
    <row r="34" spans="2:40">
      <c r="B34" s="782" t="s">
        <v>736</v>
      </c>
      <c r="C34" s="784">
        <f>Q7</f>
        <v>574.77</v>
      </c>
      <c r="D34" s="779">
        <f>S7</f>
        <v>574.77</v>
      </c>
      <c r="E34" s="784">
        <f>Q19</f>
        <v>7395268</v>
      </c>
      <c r="F34" s="779">
        <f>S19</f>
        <v>7395268</v>
      </c>
      <c r="G34" s="9"/>
      <c r="W34" s="3243"/>
      <c r="X34" s="3243"/>
      <c r="AL34" s="4660"/>
      <c r="AM34" s="3237"/>
      <c r="AN34" s="3237"/>
    </row>
    <row r="35" spans="2:40" ht="15.75" thickBot="1">
      <c r="B35" s="783" t="s">
        <v>737</v>
      </c>
      <c r="C35" s="785">
        <f>Q9</f>
        <v>842.35</v>
      </c>
      <c r="D35" s="780">
        <f>S9</f>
        <v>842.35</v>
      </c>
      <c r="E35" s="785">
        <f>Q21</f>
        <v>7259219</v>
      </c>
      <c r="F35" s="780">
        <f>S21</f>
        <v>7259219</v>
      </c>
      <c r="G35" s="10"/>
      <c r="W35" s="3243"/>
      <c r="X35" s="3243"/>
      <c r="AL35" s="4660"/>
      <c r="AM35" s="3237"/>
      <c r="AN35" s="3237"/>
    </row>
    <row r="36" spans="2:40">
      <c r="B36" s="777"/>
      <c r="C36" s="778"/>
      <c r="D36" s="777"/>
      <c r="E36" s="777"/>
      <c r="F36" s="777"/>
      <c r="G36" s="11"/>
      <c r="AL36" s="4660"/>
      <c r="AM36" s="3237"/>
      <c r="AN36" s="3237"/>
    </row>
    <row r="37" spans="2:40">
      <c r="B37" s="890" t="s">
        <v>102</v>
      </c>
      <c r="C37" s="5469">
        <f>C38+E38</f>
        <v>0</v>
      </c>
      <c r="D37" s="5470"/>
      <c r="E37" s="5470"/>
      <c r="F37" s="5471"/>
      <c r="G37" s="6"/>
      <c r="AL37" s="4660"/>
      <c r="AM37" s="3237"/>
      <c r="AN37" s="3237"/>
    </row>
    <row r="38" spans="2:40">
      <c r="B38" s="890" t="s">
        <v>102</v>
      </c>
      <c r="C38" s="5469">
        <f>((C34-D34)+(C35-D35))*1650000</f>
        <v>0</v>
      </c>
      <c r="D38" s="5471"/>
      <c r="E38" s="5469">
        <f>((E34-F34)+(E35-F35))*1000</f>
        <v>0</v>
      </c>
      <c r="F38" s="5471"/>
      <c r="G38" s="5"/>
      <c r="AL38" s="4660"/>
      <c r="AM38" s="3237"/>
      <c r="AN38" s="3237"/>
    </row>
    <row r="39" spans="2:40">
      <c r="B39" s="5"/>
      <c r="C39" s="5"/>
      <c r="D39" s="5"/>
      <c r="E39" s="5"/>
      <c r="F39" s="5"/>
      <c r="G39" s="5"/>
      <c r="U39"/>
      <c r="AL39" s="4660"/>
      <c r="AM39" s="3235"/>
      <c r="AN39" s="3235"/>
    </row>
    <row r="40" spans="2:40">
      <c r="B40" s="5"/>
      <c r="C40" s="887"/>
      <c r="D40" s="888"/>
      <c r="E40" s="888"/>
      <c r="F40" s="888"/>
      <c r="G40" s="889"/>
      <c r="U40"/>
      <c r="W40" s="3235"/>
      <c r="X40" s="3243"/>
      <c r="AL40" s="4660"/>
      <c r="AM40" s="3237"/>
      <c r="AN40" s="3237"/>
    </row>
    <row r="41" spans="2:40">
      <c r="B41" s="5"/>
      <c r="C41" s="5"/>
      <c r="D41" s="5"/>
      <c r="E41" s="5"/>
      <c r="F41" s="5"/>
      <c r="G41" s="5"/>
      <c r="U41"/>
      <c r="W41" s="3235"/>
      <c r="X41" s="3243"/>
      <c r="AL41" s="4660"/>
      <c r="AM41" s="3237"/>
      <c r="AN41" s="3237"/>
    </row>
    <row r="42" spans="2:40">
      <c r="B42" s="5"/>
      <c r="C42" s="5"/>
      <c r="D42" s="5"/>
      <c r="E42" s="5"/>
      <c r="F42" s="5"/>
      <c r="G42" s="5"/>
      <c r="I42" s="1873"/>
      <c r="U42"/>
      <c r="W42" s="3235"/>
      <c r="X42" s="3243"/>
      <c r="AF42" s="5483"/>
      <c r="AG42" s="5483"/>
      <c r="AH42" s="5483"/>
      <c r="AI42" s="5483"/>
      <c r="AJ42" s="5483"/>
      <c r="AK42" s="5483"/>
      <c r="AL42" s="4660"/>
      <c r="AM42" s="3237"/>
      <c r="AN42" s="3237"/>
    </row>
    <row r="43" spans="2:40">
      <c r="B43" s="5"/>
      <c r="C43" s="5"/>
      <c r="D43" s="5"/>
      <c r="E43" s="5"/>
      <c r="F43" s="5"/>
      <c r="G43" s="5"/>
      <c r="I43" s="1873"/>
      <c r="U43"/>
      <c r="W43" s="3235"/>
      <c r="X43" s="3243"/>
      <c r="AF43" s="5483"/>
      <c r="AG43" s="5483"/>
      <c r="AH43" s="5483"/>
      <c r="AI43" s="5483"/>
      <c r="AJ43" s="5483"/>
      <c r="AK43" s="5483"/>
      <c r="AL43" s="4660"/>
      <c r="AM43" s="3237"/>
      <c r="AN43" s="3237"/>
    </row>
    <row r="44" spans="2:40">
      <c r="B44" s="5"/>
      <c r="C44" s="5"/>
      <c r="D44" s="5"/>
      <c r="E44" s="5"/>
      <c r="F44" s="5"/>
      <c r="G44" s="5"/>
      <c r="I44" s="1873"/>
      <c r="U44"/>
      <c r="W44" s="3235"/>
      <c r="X44" s="3243"/>
      <c r="Y44" s="3243"/>
      <c r="AI44" s="4660"/>
      <c r="AJ44" s="4660"/>
      <c r="AK44" s="4660"/>
      <c r="AL44" s="4660"/>
      <c r="AM44" s="3237"/>
      <c r="AN44" s="3237"/>
    </row>
    <row r="45" spans="2:40">
      <c r="I45" s="1873"/>
      <c r="U45"/>
      <c r="W45" s="3235"/>
      <c r="X45" s="3243"/>
      <c r="Y45" s="3243"/>
      <c r="Z45" s="3243"/>
      <c r="AA45" s="3243"/>
      <c r="AB45" s="3235"/>
      <c r="AC45" s="3235"/>
      <c r="AD45" s="3243"/>
      <c r="AE45" s="3243"/>
      <c r="AF45" s="3243"/>
      <c r="AG45" s="3243"/>
      <c r="AH45" s="3243"/>
      <c r="AI45" s="3243"/>
      <c r="AJ45" s="3243"/>
      <c r="AK45" s="3243"/>
      <c r="AL45" s="3243"/>
      <c r="AM45" s="3243"/>
      <c r="AN45" s="3243"/>
    </row>
    <row r="46" spans="2:40">
      <c r="I46" s="1873"/>
      <c r="U46"/>
      <c r="W46" s="3243"/>
      <c r="X46" s="3243"/>
      <c r="Y46" s="3243"/>
      <c r="Z46" s="3243"/>
      <c r="AA46" s="3243"/>
      <c r="AB46" s="3243"/>
      <c r="AC46" s="3243"/>
      <c r="AD46" s="3242"/>
      <c r="AE46" s="3235"/>
      <c r="AF46" s="3235"/>
      <c r="AG46" s="3235"/>
      <c r="AH46" s="3235"/>
      <c r="AI46" s="3235"/>
      <c r="AJ46" s="3235"/>
      <c r="AK46" s="3235"/>
      <c r="AL46" s="3243"/>
      <c r="AM46" s="3243"/>
      <c r="AN46" s="3243"/>
    </row>
    <row r="47" spans="2:40">
      <c r="I47" s="1873"/>
      <c r="U47"/>
      <c r="W47" s="3243"/>
      <c r="X47" s="3243"/>
      <c r="Y47" s="3243"/>
      <c r="Z47" s="3243"/>
      <c r="AA47" s="3243"/>
      <c r="AB47" s="3243"/>
      <c r="AC47" s="3243"/>
      <c r="AD47" s="3243"/>
      <c r="AE47" s="3243"/>
      <c r="AF47" s="3243"/>
      <c r="AG47" s="3243"/>
      <c r="AH47" s="3243"/>
      <c r="AI47" s="3243"/>
      <c r="AJ47" s="3243"/>
      <c r="AK47" s="3243"/>
    </row>
    <row r="48" spans="2:40">
      <c r="I48" s="1873"/>
      <c r="U48"/>
      <c r="W48" s="3243"/>
      <c r="X48" s="3243"/>
      <c r="Y48" s="3243"/>
      <c r="Z48" s="3243"/>
      <c r="AA48" s="3243"/>
      <c r="AB48" s="3243"/>
      <c r="AC48" s="3243"/>
      <c r="AD48" s="3243"/>
      <c r="AE48" s="3243"/>
      <c r="AF48" s="3243"/>
      <c r="AG48" s="3243"/>
      <c r="AH48" s="3243"/>
      <c r="AI48" s="3243"/>
      <c r="AJ48" s="3243"/>
      <c r="AK48" s="3243"/>
    </row>
    <row r="49" spans="9:37">
      <c r="I49" s="1873"/>
      <c r="U49"/>
      <c r="W49" s="3243"/>
      <c r="X49" s="3243"/>
      <c r="Y49" s="3243"/>
      <c r="Z49" s="3243"/>
      <c r="AA49" s="3243"/>
      <c r="AB49" s="3243"/>
      <c r="AC49" s="3243"/>
      <c r="AD49" s="3243"/>
      <c r="AE49" s="3243"/>
      <c r="AF49" s="3243"/>
      <c r="AG49" s="3243"/>
      <c r="AH49" s="3243"/>
      <c r="AI49" s="3243"/>
      <c r="AJ49" s="3243"/>
      <c r="AK49" s="3243"/>
    </row>
    <row r="50" spans="9:37">
      <c r="I50" s="1873"/>
      <c r="U50"/>
      <c r="W50" s="3243"/>
      <c r="X50" s="3243"/>
      <c r="Y50" s="3243"/>
      <c r="Z50" s="3243"/>
      <c r="AA50" s="3243"/>
      <c r="AB50" s="3243"/>
      <c r="AC50" s="3243"/>
      <c r="AD50" s="3243"/>
      <c r="AE50" s="3243"/>
      <c r="AF50" s="3243"/>
      <c r="AG50" s="3243"/>
      <c r="AH50" s="3243"/>
      <c r="AI50" s="3243"/>
      <c r="AJ50" s="3243"/>
      <c r="AK50" s="3243"/>
    </row>
    <row r="51" spans="9:37">
      <c r="I51" s="1873"/>
      <c r="U51"/>
      <c r="W51" s="3243"/>
      <c r="X51" s="3243"/>
      <c r="Y51" s="3243"/>
      <c r="Z51" s="3243"/>
      <c r="AA51" s="3243"/>
      <c r="AB51" s="3243"/>
      <c r="AC51" s="3243"/>
      <c r="AD51" s="3243"/>
      <c r="AE51" s="3243"/>
      <c r="AF51" s="3243"/>
      <c r="AG51" s="3243"/>
      <c r="AH51" s="3243"/>
      <c r="AI51" s="3243"/>
      <c r="AJ51" s="3243"/>
      <c r="AK51" s="3243"/>
    </row>
    <row r="52" spans="9:37">
      <c r="I52" s="1873"/>
      <c r="U52"/>
      <c r="W52" s="3243"/>
      <c r="X52" s="3243"/>
      <c r="Y52" s="3243"/>
      <c r="Z52" s="3243"/>
      <c r="AA52" s="3243"/>
      <c r="AB52" s="3243"/>
      <c r="AC52" s="3243"/>
      <c r="AD52" s="3242"/>
      <c r="AE52" s="3235"/>
      <c r="AF52" s="3235"/>
      <c r="AG52" s="3235"/>
      <c r="AH52" s="3235"/>
      <c r="AI52" s="3243"/>
      <c r="AJ52" s="3243"/>
      <c r="AK52" s="3243"/>
    </row>
    <row r="53" spans="9:37" ht="15.75">
      <c r="I53" s="2955"/>
      <c r="U53"/>
      <c r="W53" s="3243"/>
      <c r="X53" s="3243"/>
      <c r="Y53" s="3243"/>
      <c r="Z53" s="3243"/>
      <c r="AA53" s="3243"/>
      <c r="AB53" s="3243"/>
      <c r="AC53" s="3243"/>
      <c r="AD53" s="3243"/>
      <c r="AE53" s="3243"/>
      <c r="AF53" s="3243"/>
      <c r="AG53" s="3243"/>
      <c r="AH53" s="3243"/>
      <c r="AI53" s="3243"/>
      <c r="AJ53" s="3243"/>
      <c r="AK53" s="3243"/>
    </row>
    <row r="54" spans="9:37" ht="15.75">
      <c r="I54" s="2955"/>
      <c r="U54"/>
      <c r="W54" s="3243"/>
      <c r="X54" s="3243"/>
      <c r="Y54" s="3243"/>
      <c r="Z54" s="3243"/>
      <c r="AA54" s="3243"/>
      <c r="AB54" s="3243"/>
      <c r="AC54" s="3243"/>
      <c r="AD54" s="3243"/>
      <c r="AE54" s="3243"/>
      <c r="AF54" s="3243"/>
      <c r="AG54" s="3243"/>
      <c r="AH54" s="3243"/>
      <c r="AI54" s="3243"/>
    </row>
    <row r="55" spans="9:37" ht="15.75">
      <c r="I55" s="2955"/>
      <c r="U55"/>
      <c r="W55" s="3243"/>
      <c r="X55" s="3243"/>
      <c r="Y55" s="3243"/>
      <c r="Z55" s="3243"/>
      <c r="AA55" s="3243"/>
      <c r="AB55" s="3243"/>
      <c r="AC55" s="3243"/>
      <c r="AD55" s="3243"/>
      <c r="AE55" s="3243"/>
      <c r="AF55" s="3243"/>
      <c r="AG55" s="3243"/>
      <c r="AH55" s="3243"/>
      <c r="AI55" s="3243"/>
    </row>
    <row r="56" spans="9:37" ht="15.75">
      <c r="I56" s="2955"/>
      <c r="U56"/>
      <c r="W56" s="3243"/>
      <c r="X56" s="3243"/>
      <c r="Y56" s="3243"/>
      <c r="Z56" s="3243"/>
      <c r="AA56" s="3243"/>
      <c r="AB56" s="3243"/>
      <c r="AC56" s="3243"/>
      <c r="AD56" s="3243"/>
      <c r="AE56" s="3243"/>
      <c r="AF56" s="3243"/>
      <c r="AG56" s="3235"/>
      <c r="AH56" s="3243"/>
      <c r="AI56" s="3243"/>
    </row>
    <row r="57" spans="9:37" ht="15.75">
      <c r="I57" s="2955"/>
      <c r="U57"/>
      <c r="W57" s="3243"/>
      <c r="X57" s="3243"/>
      <c r="Y57" s="3243"/>
      <c r="Z57" s="3243"/>
      <c r="AA57" s="3243"/>
      <c r="AB57" s="3243"/>
      <c r="AC57" s="3243"/>
      <c r="AD57" s="3243"/>
      <c r="AE57" s="3243"/>
      <c r="AF57" s="3243"/>
      <c r="AG57" s="3243"/>
      <c r="AH57" s="3243"/>
      <c r="AI57" s="3243"/>
    </row>
    <row r="58" spans="9:37" ht="15.75">
      <c r="I58" s="2955"/>
      <c r="U58"/>
      <c r="W58" s="3243"/>
      <c r="X58" s="3243"/>
      <c r="Y58" s="3243"/>
      <c r="Z58" s="3243"/>
      <c r="AA58" s="3243"/>
      <c r="AB58" s="3243"/>
      <c r="AC58" s="3243"/>
      <c r="AD58" s="3242"/>
      <c r="AE58" s="3235"/>
      <c r="AF58" s="3235"/>
      <c r="AG58" s="3235"/>
      <c r="AH58" s="3235"/>
      <c r="AI58" s="3235"/>
    </row>
    <row r="59" spans="9:37" ht="15.75">
      <c r="I59" s="2955"/>
      <c r="U59"/>
      <c r="W59" s="3243"/>
      <c r="X59" s="3243"/>
      <c r="Y59" s="3243"/>
      <c r="Z59" s="3243"/>
      <c r="AA59" s="3243"/>
      <c r="AB59" s="3243"/>
      <c r="AC59" s="3243"/>
      <c r="AD59" s="3243"/>
      <c r="AE59" s="3243"/>
      <c r="AF59" s="3243"/>
      <c r="AG59" s="3243"/>
      <c r="AH59" s="3243"/>
      <c r="AI59" s="3243"/>
    </row>
    <row r="60" spans="9:37" ht="15.75">
      <c r="I60" s="2955"/>
      <c r="U60"/>
      <c r="W60" s="3243"/>
      <c r="X60" s="3243"/>
      <c r="Y60" s="3243"/>
      <c r="Z60" s="3243"/>
      <c r="AA60" s="3243"/>
      <c r="AB60" s="3243"/>
      <c r="AC60" s="3243"/>
      <c r="AD60" s="3243"/>
      <c r="AE60" s="3243"/>
      <c r="AF60" s="3243"/>
      <c r="AG60" s="3243"/>
      <c r="AH60" s="3243"/>
      <c r="AI60" s="3243"/>
    </row>
    <row r="61" spans="9:37" ht="15.75">
      <c r="I61" s="2955"/>
      <c r="U61"/>
      <c r="W61" s="3243"/>
      <c r="X61" s="3243"/>
      <c r="Y61" s="3243"/>
      <c r="Z61" s="3243"/>
      <c r="AA61" s="3243"/>
      <c r="AB61" s="3243"/>
      <c r="AC61" s="3243"/>
      <c r="AD61" s="3243"/>
      <c r="AE61" s="3243"/>
      <c r="AF61" s="3243"/>
      <c r="AG61" s="3243"/>
      <c r="AH61" s="3243"/>
      <c r="AI61" s="3243"/>
    </row>
    <row r="62" spans="9:37" ht="15.75">
      <c r="I62" s="2955"/>
      <c r="U62"/>
      <c r="W62" s="3243"/>
      <c r="X62" s="3243"/>
      <c r="Y62" s="3243"/>
      <c r="Z62" s="3243"/>
      <c r="AA62" s="3243"/>
      <c r="AB62" s="3243"/>
      <c r="AC62" s="3243"/>
      <c r="AD62" s="3243"/>
      <c r="AE62" s="3243"/>
      <c r="AF62" s="3243"/>
      <c r="AG62" s="3243"/>
      <c r="AH62" s="3243"/>
      <c r="AI62" s="3243"/>
    </row>
    <row r="63" spans="9:37" ht="15.75">
      <c r="I63" s="2955"/>
      <c r="U63"/>
      <c r="W63" s="3243"/>
      <c r="X63" s="3243"/>
      <c r="Y63" s="3243"/>
      <c r="Z63" s="3243"/>
      <c r="AA63" s="3243"/>
      <c r="AB63" s="3243"/>
      <c r="AC63" s="3243"/>
      <c r="AD63" s="3243"/>
      <c r="AE63" s="3243"/>
      <c r="AF63" s="3243"/>
      <c r="AG63" s="3243"/>
      <c r="AH63" s="3243"/>
      <c r="AI63" s="3243"/>
    </row>
    <row r="64" spans="9:37" ht="15.75">
      <c r="I64" s="2955"/>
      <c r="U64"/>
      <c r="W64" s="3243"/>
      <c r="X64" s="3243"/>
      <c r="Y64" s="3243"/>
      <c r="Z64" s="3243"/>
      <c r="AA64" s="3243"/>
      <c r="AB64" s="3243"/>
      <c r="AC64" s="3243"/>
      <c r="AD64" s="3243"/>
      <c r="AE64" s="3243"/>
      <c r="AF64" s="3243"/>
      <c r="AG64" s="3243"/>
      <c r="AH64" s="3243"/>
      <c r="AI64" s="3243"/>
    </row>
    <row r="65" spans="9:35" ht="15.75">
      <c r="I65" s="2955"/>
      <c r="U65"/>
      <c r="W65" s="3243"/>
      <c r="X65" s="3243"/>
      <c r="Y65" s="3243"/>
      <c r="Z65" s="3243"/>
      <c r="AA65" s="3243"/>
      <c r="AB65" s="3243"/>
      <c r="AC65" s="3243"/>
      <c r="AD65" s="3243"/>
      <c r="AE65" s="3243"/>
      <c r="AF65" s="3243"/>
      <c r="AG65" s="3243"/>
      <c r="AH65" s="3243"/>
      <c r="AI65" s="3243"/>
    </row>
    <row r="66" spans="9:35" ht="15.75">
      <c r="I66" s="2955"/>
      <c r="U66"/>
      <c r="W66" s="3243"/>
      <c r="X66" s="3243"/>
      <c r="Y66" s="3243"/>
      <c r="Z66" s="3243"/>
      <c r="AA66" s="3243"/>
      <c r="AB66" s="3243"/>
      <c r="AC66" s="3243"/>
      <c r="AD66" s="3243"/>
      <c r="AE66" s="3243"/>
      <c r="AF66" s="3481"/>
    </row>
    <row r="67" spans="9:35" ht="15.75">
      <c r="I67" s="2955"/>
      <c r="Q67" s="5483"/>
      <c r="R67" s="5483"/>
      <c r="S67" s="5483"/>
      <c r="T67" s="5483"/>
      <c r="U67" s="5483"/>
      <c r="V67" s="5483"/>
      <c r="W67" s="3243"/>
      <c r="X67" s="3243"/>
      <c r="Y67" s="3243"/>
      <c r="Z67" s="3243"/>
      <c r="AA67" s="3243"/>
      <c r="AB67" s="3243"/>
      <c r="AC67" s="3243"/>
      <c r="AD67" s="3243"/>
      <c r="AE67" s="3243"/>
      <c r="AF67" s="3481"/>
    </row>
    <row r="68" spans="9:35" ht="15.75">
      <c r="I68" s="2955"/>
      <c r="Q68" s="5483"/>
      <c r="R68" s="5483"/>
      <c r="S68" s="5483"/>
      <c r="T68" s="5483"/>
      <c r="U68" s="5483"/>
      <c r="V68" s="5483"/>
      <c r="W68" s="3243"/>
      <c r="X68" s="3243"/>
      <c r="Y68" s="3243"/>
      <c r="Z68" s="3243"/>
      <c r="AA68" s="3243"/>
      <c r="AB68" s="3243"/>
      <c r="AC68" s="3243"/>
      <c r="AD68" s="3243"/>
      <c r="AE68" s="3243"/>
      <c r="AF68" s="3481"/>
    </row>
    <row r="69" spans="9:35" ht="18">
      <c r="I69" s="2955"/>
      <c r="J69" s="2955"/>
      <c r="K69" s="2955"/>
      <c r="L69" s="2955"/>
      <c r="M69" s="2955"/>
      <c r="N69" s="2955"/>
      <c r="O69" s="2955"/>
      <c r="P69" s="2958"/>
      <c r="Q69" s="2959"/>
      <c r="R69" s="2960"/>
      <c r="S69" s="3243"/>
      <c r="T69" s="3243"/>
      <c r="U69" s="3243"/>
      <c r="V69" s="3243"/>
      <c r="W69" s="3243"/>
      <c r="X69" s="3243"/>
      <c r="Y69" s="3243"/>
      <c r="Z69" s="3243"/>
      <c r="AA69" s="3243"/>
      <c r="AB69" s="3243"/>
      <c r="AC69" s="3243"/>
      <c r="AD69" s="3243"/>
      <c r="AE69" s="3243"/>
    </row>
    <row r="70" spans="9:35" ht="15.75">
      <c r="I70" s="2955"/>
      <c r="J70" s="2955"/>
      <c r="K70" s="2955"/>
      <c r="L70" s="2955"/>
      <c r="M70" s="2955"/>
      <c r="N70" s="2955"/>
      <c r="O70" s="2955"/>
      <c r="P70" s="2957"/>
      <c r="Q70" s="2957"/>
      <c r="R70" s="2957"/>
      <c r="S70" s="3243"/>
      <c r="T70" s="3243"/>
      <c r="U70" s="3243"/>
      <c r="V70" s="3243"/>
      <c r="W70" s="3243"/>
      <c r="X70" s="3243"/>
      <c r="Y70" s="3243"/>
      <c r="Z70" s="3243"/>
      <c r="AA70" s="3243"/>
      <c r="AB70" s="3243"/>
      <c r="AC70" s="3243"/>
      <c r="AD70" s="3243"/>
      <c r="AE70" s="3243"/>
    </row>
    <row r="71" spans="9:35" ht="18">
      <c r="I71" s="2955"/>
      <c r="J71" s="2955"/>
      <c r="K71" s="2955"/>
      <c r="L71" s="2955"/>
      <c r="M71" s="2955"/>
      <c r="N71" s="2955"/>
      <c r="O71" s="2955"/>
      <c r="P71" s="2956"/>
      <c r="Q71" s="2957"/>
      <c r="R71" s="2957"/>
      <c r="S71" s="2957"/>
      <c r="T71" s="2957"/>
      <c r="U71" s="3038"/>
    </row>
    <row r="72" spans="9:35" ht="18">
      <c r="I72" s="2955"/>
      <c r="J72" s="2955"/>
      <c r="K72" s="2955"/>
      <c r="L72" s="2955"/>
      <c r="M72" s="2955"/>
      <c r="N72" s="2955"/>
      <c r="O72" s="2955"/>
      <c r="P72" s="2957"/>
      <c r="Q72" s="2957"/>
      <c r="R72" s="2957"/>
      <c r="S72" s="2957"/>
      <c r="T72" s="2957"/>
      <c r="U72" s="2961"/>
    </row>
    <row r="73" spans="9:35" ht="18">
      <c r="I73" s="2955"/>
      <c r="J73" s="2955"/>
      <c r="K73" s="2955"/>
      <c r="L73" s="2955"/>
      <c r="M73" s="2955"/>
      <c r="N73" s="2955"/>
      <c r="O73" s="2955"/>
      <c r="P73" s="2958"/>
      <c r="Q73" s="2959"/>
      <c r="R73" s="2960"/>
      <c r="S73" s="2959"/>
      <c r="T73" s="2960"/>
      <c r="U73" s="2961"/>
    </row>
    <row r="74" spans="9:35" ht="18">
      <c r="I74" s="2955"/>
      <c r="J74" s="2955"/>
      <c r="K74" s="2955"/>
      <c r="L74" s="2955"/>
      <c r="M74" s="2955"/>
      <c r="N74" s="2955"/>
      <c r="O74" s="2955"/>
      <c r="P74" s="2957"/>
      <c r="Q74" s="2957"/>
      <c r="R74" s="2957"/>
      <c r="S74" s="2957"/>
      <c r="T74" s="2957"/>
      <c r="U74" s="2961"/>
    </row>
    <row r="75" spans="9:35" ht="18">
      <c r="I75" s="2962"/>
      <c r="J75" s="2962"/>
      <c r="K75" s="2962"/>
      <c r="L75" s="2955"/>
      <c r="M75" s="2955"/>
      <c r="N75" s="2962"/>
      <c r="O75" s="2962"/>
      <c r="P75" s="2958"/>
      <c r="Q75" s="2959"/>
      <c r="R75" s="2960"/>
      <c r="S75" s="2959"/>
      <c r="T75" s="2960"/>
      <c r="U75" s="2961"/>
    </row>
    <row r="76" spans="9:35" ht="15.75">
      <c r="I76" s="2962"/>
      <c r="J76" s="2962"/>
      <c r="K76" s="2962"/>
      <c r="L76" s="2955"/>
      <c r="M76" s="2955"/>
      <c r="N76" s="2962"/>
      <c r="O76" s="2962"/>
      <c r="P76" s="2957"/>
      <c r="Q76" s="2957"/>
      <c r="R76" s="2957"/>
      <c r="S76" s="2957"/>
      <c r="T76" s="2957"/>
      <c r="U76" s="3038"/>
    </row>
    <row r="77" spans="9:35" ht="20.25">
      <c r="I77" s="2962"/>
      <c r="J77" s="2962"/>
      <c r="K77" s="2962"/>
      <c r="L77" s="2962"/>
      <c r="M77" s="2955"/>
      <c r="N77" s="2962"/>
      <c r="O77" s="2962"/>
      <c r="P77" s="2963"/>
      <c r="Q77" s="2963"/>
      <c r="R77" s="2963"/>
      <c r="S77" s="2963"/>
      <c r="T77" s="2963"/>
      <c r="U77" s="2963"/>
    </row>
    <row r="78" spans="9:35" ht="20.25">
      <c r="I78" s="2962"/>
      <c r="J78" s="2962"/>
      <c r="K78" s="2962"/>
      <c r="L78" s="2962"/>
      <c r="M78" s="2955"/>
      <c r="N78" s="2962"/>
      <c r="O78" s="2962"/>
      <c r="P78" s="2963"/>
      <c r="Q78" s="2963"/>
      <c r="R78" s="2963"/>
      <c r="S78" s="2963"/>
      <c r="T78" s="2963"/>
      <c r="U78" s="2963"/>
    </row>
  </sheetData>
  <customSheetViews>
    <customSheetView guid="{751D391F-C74F-4B53-B5B5-25E01AC12EA4}">
      <selection activeCell="I5" sqref="I5:U30"/>
      <pageMargins left="0.7" right="0.7" top="0.75" bottom="0.75" header="0.3" footer="0.3"/>
      <pageSetup orientation="portrait" r:id="rId1"/>
    </customSheetView>
    <customSheetView guid="{5A803268-F6C5-4035-B3E1-A94CB9AA8994}" showPageBreaks="1" topLeftCell="A13">
      <selection activeCell="J22" sqref="J22"/>
      <pageMargins left="0.7" right="0.7" top="0.75" bottom="0.75" header="0.3" footer="0.3"/>
      <pageSetup orientation="portrait" horizontalDpi="4294967294" verticalDpi="0" r:id="rId2"/>
    </customSheetView>
    <customSheetView guid="{917057C8-5E5F-4164-B84C-85103677A2E5}">
      <selection activeCell="I38" sqref="I38"/>
      <pageMargins left="0.7" right="0.7" top="0.75" bottom="0.75" header="0.3" footer="0.3"/>
      <pageSetup orientation="portrait" r:id="rId3"/>
    </customSheetView>
    <customSheetView guid="{4593F3EE-0998-4E0E-994A-E02D6BAF3A4B}">
      <selection activeCell="I5" sqref="I5:U30"/>
      <pageMargins left="0.7" right="0.7" top="0.75" bottom="0.75" header="0.3" footer="0.3"/>
      <pageSetup orientation="portrait" r:id="rId4"/>
    </customSheetView>
    <customSheetView guid="{23F4DC00-BC97-4745-AA5C-F05D469CB1EF}">
      <selection activeCell="J34" sqref="J34"/>
      <pageMargins left="0.7" right="0.7" top="0.75" bottom="0.75" header="0.3" footer="0.3"/>
      <pageSetup orientation="portrait" horizontalDpi="0" verticalDpi="0" r:id="rId5"/>
    </customSheetView>
    <customSheetView guid="{B91C2E87-5EDA-40AE-AC27-0E2C17E803CE}" showPageBreaks="1">
      <selection activeCell="W11" sqref="W11"/>
      <pageMargins left="0.7" right="0.7" top="0.75" bottom="0.75" header="0.3" footer="0.3"/>
      <pageSetup orientation="portrait" r:id="rId6"/>
    </customSheetView>
    <customSheetView guid="{7C71EF2A-5ADA-494C-8F58-DDA71753DD90}" showPageBreaks="1">
      <selection activeCell="B32" sqref="B32"/>
      <pageMargins left="0.7" right="0.7" top="0.75" bottom="0.75" header="0.3" footer="0.3"/>
      <pageSetup orientation="portrait" r:id="rId7"/>
    </customSheetView>
    <customSheetView guid="{4DB6C640-CE65-4513-9E5A-F6CDD1F4B8AF}">
      <selection activeCell="I5" sqref="I5:U30"/>
      <pageMargins left="0.7" right="0.7" top="0.75" bottom="0.75" header="0.3" footer="0.3"/>
      <pageSetup orientation="portrait" r:id="rId8"/>
    </customSheetView>
    <customSheetView guid="{D1D1E152-95AB-45D3-AC07-4EC0834D3E0C}">
      <selection activeCell="I5" sqref="I5:U30"/>
      <pageMargins left="0.7" right="0.7" top="0.75" bottom="0.75" header="0.3" footer="0.3"/>
      <pageSetup orientation="portrait" r:id="rId9"/>
    </customSheetView>
    <customSheetView guid="{C3348F62-02F2-4500-9BF2-19F2DEA57A8D}" showPageBreaks="1">
      <selection activeCell="I5" sqref="I5:U30"/>
      <pageMargins left="0.7" right="0.7" top="0.75" bottom="0.75" header="0.3" footer="0.3"/>
      <pageSetup orientation="portrait" r:id="rId10"/>
    </customSheetView>
  </customSheetViews>
  <mergeCells count="15">
    <mergeCell ref="AF42:AK43"/>
    <mergeCell ref="Q67:V68"/>
    <mergeCell ref="L3:M3"/>
    <mergeCell ref="N3:O3"/>
    <mergeCell ref="P3:U4"/>
    <mergeCell ref="B3:F3"/>
    <mergeCell ref="E4:E5"/>
    <mergeCell ref="F4:F5"/>
    <mergeCell ref="B4:B5"/>
    <mergeCell ref="J3:K3"/>
    <mergeCell ref="C37:F37"/>
    <mergeCell ref="C38:D38"/>
    <mergeCell ref="E38:F38"/>
    <mergeCell ref="C33:D33"/>
    <mergeCell ref="E33:F33"/>
  </mergeCells>
  <pageMargins left="0.7" right="0.7" top="0.75" bottom="0.75" header="0.3" footer="0.3"/>
  <pageSetup orientation="portrait" r:id="rId1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FFFF00"/>
  </sheetPr>
  <dimension ref="A1:AY1048515"/>
  <sheetViews>
    <sheetView zoomScale="60" zoomScaleNormal="50" zoomScaleSheetLayoutView="40" zoomScalePageLayoutView="40" workbookViewId="0">
      <selection activeCell="E25" sqref="E25"/>
    </sheetView>
  </sheetViews>
  <sheetFormatPr defaultColWidth="9.140625" defaultRowHeight="15"/>
  <cols>
    <col min="1" max="1" width="57.140625" style="5" customWidth="1"/>
    <col min="2" max="2" width="33.42578125" style="5" customWidth="1"/>
    <col min="3" max="3" width="24.7109375" style="5" customWidth="1"/>
    <col min="4" max="4" width="48.85546875" style="5" customWidth="1"/>
    <col min="5" max="5" width="56" style="5" customWidth="1"/>
    <col min="6" max="6" width="35.28515625" style="5" customWidth="1"/>
    <col min="7" max="7" width="18.5703125" style="5" customWidth="1"/>
    <col min="8" max="8" width="66.7109375" style="5" customWidth="1"/>
    <col min="9" max="9" width="21.28515625" style="5" customWidth="1"/>
    <col min="10" max="10" width="0.42578125" style="5" customWidth="1"/>
    <col min="11" max="11" width="19.42578125" style="5" customWidth="1"/>
    <col min="12" max="14" width="9.140625" style="5"/>
    <col min="15" max="15" width="12.28515625" style="5" bestFit="1" customWidth="1"/>
    <col min="16" max="16384" width="9.140625" style="5"/>
  </cols>
  <sheetData>
    <row r="1" spans="1:10" ht="30.75">
      <c r="A1" s="2511" t="s">
        <v>18</v>
      </c>
      <c r="B1" s="2699"/>
      <c r="C1" s="2700"/>
      <c r="D1" s="2701" t="s">
        <v>1199</v>
      </c>
      <c r="E1" s="2702"/>
      <c r="F1" s="2513"/>
      <c r="G1" s="2514"/>
      <c r="H1" s="2512"/>
      <c r="I1" s="2605"/>
      <c r="J1" s="415"/>
    </row>
    <row r="2" spans="1:10" ht="51">
      <c r="A2" s="2515"/>
      <c r="B2" s="2703"/>
      <c r="C2" s="2704"/>
      <c r="D2" s="2705" t="s">
        <v>1200</v>
      </c>
      <c r="E2" s="2706"/>
      <c r="F2" s="2517"/>
      <c r="G2" s="2518"/>
      <c r="H2" s="4830"/>
      <c r="I2" s="2606" t="s">
        <v>434</v>
      </c>
      <c r="J2" s="414"/>
    </row>
    <row r="3" spans="1:10" ht="30.75">
      <c r="A3" s="2515"/>
      <c r="B3" s="2703"/>
      <c r="C3" s="2704"/>
      <c r="D3" s="2705" t="s">
        <v>1201</v>
      </c>
      <c r="E3" s="2706"/>
      <c r="F3" s="2516"/>
      <c r="G3" s="2519"/>
      <c r="H3" s="2519"/>
      <c r="I3" s="2607" t="s">
        <v>435</v>
      </c>
      <c r="J3" s="414"/>
    </row>
    <row r="4" spans="1:10" ht="27.75">
      <c r="A4" s="2737"/>
      <c r="B4" s="2738"/>
      <c r="C4" s="2738"/>
      <c r="D4" s="2738"/>
      <c r="E4" s="2738"/>
      <c r="F4" s="2771"/>
      <c r="G4" s="2787" t="s">
        <v>436</v>
      </c>
      <c r="H4" s="2874">
        <f>Forecast!E3</f>
        <v>43318</v>
      </c>
      <c r="I4" s="2875"/>
      <c r="J4" s="414"/>
    </row>
    <row r="5" spans="1:10" ht="27.75">
      <c r="A5" s="2751" t="s">
        <v>437</v>
      </c>
      <c r="B5" s="2752"/>
      <c r="C5" s="2752"/>
      <c r="D5" s="2753">
        <v>14782</v>
      </c>
      <c r="E5" s="2754">
        <v>0.875</v>
      </c>
      <c r="F5" s="2755" t="s">
        <v>438</v>
      </c>
      <c r="G5" s="2976">
        <v>43205</v>
      </c>
      <c r="H5" s="2756"/>
      <c r="I5" s="2757"/>
      <c r="J5" s="414"/>
    </row>
    <row r="6" spans="1:10" ht="27.75">
      <c r="A6" s="2758" t="s">
        <v>439</v>
      </c>
      <c r="B6" s="2759"/>
      <c r="C6" s="2876">
        <f>Generation!B1</f>
        <v>43318</v>
      </c>
      <c r="D6" s="2759" t="s">
        <v>440</v>
      </c>
      <c r="E6" s="2759"/>
      <c r="F6" s="2760" t="s">
        <v>441</v>
      </c>
      <c r="G6" s="2761"/>
      <c r="H6" s="2761"/>
      <c r="I6" s="2762"/>
      <c r="J6" s="1171"/>
    </row>
    <row r="7" spans="1:10" ht="27.75">
      <c r="A7" s="2763" t="s">
        <v>442</v>
      </c>
      <c r="B7" s="2764"/>
      <c r="C7" s="2765">
        <f>YesterdayGen!D41</f>
        <v>10149</v>
      </c>
      <c r="D7" s="2764" t="s">
        <v>875</v>
      </c>
      <c r="E7" s="2766">
        <f>YesterdayGen!E41</f>
        <v>0.375</v>
      </c>
      <c r="F7" s="2767" t="s">
        <v>443</v>
      </c>
      <c r="G7" s="2768">
        <f>Master!E48</f>
        <v>0.33333333333333331</v>
      </c>
      <c r="H7" s="2769">
        <f>Master!D48</f>
        <v>11166</v>
      </c>
      <c r="I7" s="2770" t="s">
        <v>36</v>
      </c>
      <c r="J7" s="414"/>
    </row>
    <row r="8" spans="1:10" ht="27.75">
      <c r="A8" s="2763" t="s">
        <v>444</v>
      </c>
      <c r="B8" s="2771"/>
      <c r="C8" s="2772">
        <f>YesterdayGen!D42</f>
        <v>13227</v>
      </c>
      <c r="D8" s="2764" t="s">
        <v>875</v>
      </c>
      <c r="E8" s="2766">
        <f>YesterdayGen!E42</f>
        <v>0.875</v>
      </c>
      <c r="F8" s="2764" t="s">
        <v>747</v>
      </c>
      <c r="G8" s="2771"/>
      <c r="H8" s="2773">
        <f>Forecast!G207</f>
        <v>13539</v>
      </c>
      <c r="I8" s="2770" t="s">
        <v>36</v>
      </c>
      <c r="J8" s="414"/>
    </row>
    <row r="9" spans="1:10" ht="27.75">
      <c r="A9" s="2763" t="s">
        <v>445</v>
      </c>
      <c r="B9" s="2771"/>
      <c r="C9" s="2772">
        <f>Forecast!P188</f>
        <v>14200</v>
      </c>
      <c r="D9" s="2764" t="s">
        <v>875</v>
      </c>
      <c r="E9" s="2774">
        <f>E8</f>
        <v>0.875</v>
      </c>
      <c r="F9" s="2764" t="s">
        <v>446</v>
      </c>
      <c r="G9" s="2771"/>
      <c r="H9" s="2773">
        <f>Forecast!G206</f>
        <v>14200</v>
      </c>
      <c r="I9" s="2770" t="s">
        <v>36</v>
      </c>
      <c r="J9" s="414"/>
    </row>
    <row r="10" spans="1:10" ht="27.75">
      <c r="A10" s="2763" t="s">
        <v>447</v>
      </c>
      <c r="B10" s="2771"/>
      <c r="C10" s="2772">
        <f>YesterdayGen!D40</f>
        <v>13227</v>
      </c>
      <c r="D10" s="2764" t="s">
        <v>875</v>
      </c>
      <c r="E10" s="2774">
        <f>YesterdayGen!E40</f>
        <v>0.875</v>
      </c>
      <c r="F10" s="2775" t="s">
        <v>361</v>
      </c>
      <c r="G10" s="2776"/>
      <c r="H10" s="2773" t="str">
        <f>Forecast!G209</f>
        <v>-</v>
      </c>
      <c r="I10" s="2770" t="s">
        <v>36</v>
      </c>
      <c r="J10" s="414"/>
    </row>
    <row r="11" spans="1:10" ht="27.75">
      <c r="A11" s="2777" t="s">
        <v>448</v>
      </c>
      <c r="B11" s="2778"/>
      <c r="C11" s="2779">
        <f>Forecast!E191</f>
        <v>268.03947399999998</v>
      </c>
      <c r="D11" s="2780" t="s">
        <v>748</v>
      </c>
      <c r="E11" s="2781">
        <f>YesterdayGen!D45</f>
        <v>0.84435710415564125</v>
      </c>
      <c r="F11" s="2778" t="s">
        <v>449</v>
      </c>
      <c r="G11" s="2778"/>
      <c r="H11" s="2782">
        <f>Forecast!O206</f>
        <v>609.62068669853375</v>
      </c>
      <c r="I11" s="2783" t="s">
        <v>36</v>
      </c>
      <c r="J11" s="414"/>
    </row>
    <row r="12" spans="1:10" ht="25.9" customHeight="1">
      <c r="A12" s="2784"/>
      <c r="B12" s="2771"/>
      <c r="C12" s="2771"/>
      <c r="D12" s="2785" t="s">
        <v>450</v>
      </c>
      <c r="E12" s="2786"/>
      <c r="F12" s="2786"/>
      <c r="G12" s="2771"/>
      <c r="H12" s="2771"/>
      <c r="I12" s="2770"/>
      <c r="J12" s="1172"/>
    </row>
    <row r="13" spans="1:10" ht="22.9" customHeight="1">
      <c r="A13" s="2784" t="s">
        <v>451</v>
      </c>
      <c r="B13" s="2771"/>
      <c r="C13" s="2771"/>
      <c r="D13" s="2773">
        <f>Forecast!F202</f>
        <v>454</v>
      </c>
      <c r="E13" s="2771" t="s">
        <v>452</v>
      </c>
      <c r="F13" s="2774">
        <f>Forecast!H202</f>
        <v>0.20833333333333401</v>
      </c>
      <c r="G13" s="2787" t="s">
        <v>453</v>
      </c>
      <c r="H13" s="2788"/>
      <c r="I13" s="2789" t="s">
        <v>454</v>
      </c>
      <c r="J13" s="414"/>
    </row>
    <row r="14" spans="1:10" ht="23.45" customHeight="1">
      <c r="A14" s="2784" t="s">
        <v>455</v>
      </c>
      <c r="B14" s="2771"/>
      <c r="C14" s="2771"/>
      <c r="D14" s="2790" t="s">
        <v>456</v>
      </c>
      <c r="E14" s="2771" t="s">
        <v>452</v>
      </c>
      <c r="F14" s="2774" t="s">
        <v>457</v>
      </c>
      <c r="G14" s="2787" t="s">
        <v>453</v>
      </c>
      <c r="H14" s="2787" t="s">
        <v>458</v>
      </c>
      <c r="I14" s="2789" t="s">
        <v>454</v>
      </c>
      <c r="J14" s="414"/>
    </row>
    <row r="15" spans="1:10" ht="27.75">
      <c r="A15" s="2739"/>
      <c r="B15" s="2740" t="s">
        <v>1213</v>
      </c>
      <c r="C15" s="2791"/>
      <c r="D15" s="2792">
        <f>H4</f>
        <v>43318</v>
      </c>
      <c r="E15" s="2793"/>
      <c r="F15" s="2794"/>
      <c r="G15" s="2794"/>
      <c r="H15" s="2794"/>
      <c r="I15" s="2795"/>
      <c r="J15" s="1172"/>
    </row>
    <row r="16" spans="1:10" ht="27.75">
      <c r="A16" s="2796" t="s">
        <v>459</v>
      </c>
      <c r="B16" s="2797">
        <f>Forecast!K216</f>
        <v>94.17</v>
      </c>
      <c r="C16" s="2798" t="s">
        <v>460</v>
      </c>
      <c r="D16" s="2799" t="s">
        <v>461</v>
      </c>
      <c r="E16" s="2800">
        <f>Forecast!O216</f>
        <v>91.24</v>
      </c>
      <c r="F16" s="2798" t="s">
        <v>462</v>
      </c>
      <c r="G16" s="2798"/>
      <c r="H16" s="2798"/>
      <c r="I16" s="2783"/>
      <c r="J16" s="1173"/>
    </row>
    <row r="17" spans="1:13" ht="27.75">
      <c r="A17" s="2763"/>
      <c r="B17" s="2801"/>
      <c r="C17" s="2802"/>
      <c r="D17" s="2803"/>
      <c r="E17" s="2764"/>
      <c r="F17" s="2771"/>
      <c r="G17" s="2764"/>
      <c r="H17" s="2764"/>
      <c r="I17" s="2804"/>
      <c r="J17" s="414"/>
    </row>
    <row r="18" spans="1:13" ht="27.75">
      <c r="A18" s="2763" t="s">
        <v>463</v>
      </c>
      <c r="B18" s="2787" t="s">
        <v>749</v>
      </c>
      <c r="C18" s="2805">
        <f>Forecast!F197</f>
        <v>969.5</v>
      </c>
      <c r="D18" s="2764" t="s">
        <v>464</v>
      </c>
      <c r="E18" s="2806" t="s">
        <v>465</v>
      </c>
      <c r="F18" s="2771"/>
      <c r="G18" s="2764"/>
      <c r="H18" s="2807"/>
      <c r="I18" s="2804"/>
      <c r="J18" s="414"/>
    </row>
    <row r="19" spans="1:13" ht="27.75">
      <c r="A19" s="2763"/>
      <c r="B19" s="2801"/>
      <c r="C19" s="2802"/>
      <c r="D19" s="2803"/>
      <c r="E19" s="2771"/>
      <c r="F19" s="2771"/>
      <c r="G19" s="2764" t="s">
        <v>466</v>
      </c>
      <c r="H19" s="2807"/>
      <c r="I19" s="2804" t="s">
        <v>467</v>
      </c>
      <c r="J19" s="414"/>
    </row>
    <row r="20" spans="1:13" ht="27.75">
      <c r="A20" s="2763"/>
      <c r="B20" s="2803"/>
      <c r="C20" s="2802"/>
      <c r="D20" s="2803"/>
      <c r="E20" s="2790"/>
      <c r="F20" s="2790"/>
      <c r="G20" s="2764" t="s">
        <v>468</v>
      </c>
      <c r="H20" s="2807"/>
      <c r="I20" s="2804" t="s">
        <v>467</v>
      </c>
      <c r="J20" s="414"/>
    </row>
    <row r="21" spans="1:13" ht="27.75">
      <c r="A21" s="2763"/>
      <c r="B21" s="2803"/>
      <c r="C21" s="2802"/>
      <c r="D21" s="2803"/>
      <c r="E21" s="2764"/>
      <c r="F21" s="2764"/>
      <c r="G21" s="2771"/>
      <c r="H21" s="2771"/>
      <c r="I21" s="2770"/>
      <c r="J21" s="414"/>
    </row>
    <row r="22" spans="1:13" ht="27.75">
      <c r="A22" s="2808" t="s">
        <v>469</v>
      </c>
      <c r="B22" s="1638"/>
      <c r="C22" s="2809" t="s">
        <v>470</v>
      </c>
      <c r="D22" s="2810">
        <f>Forecast!F198</f>
        <v>144451350.22799999</v>
      </c>
      <c r="E22" s="2806"/>
      <c r="F22" s="2771"/>
      <c r="G22" s="2771"/>
      <c r="H22" s="2771"/>
      <c r="I22" s="2770"/>
      <c r="J22" s="414"/>
    </row>
    <row r="23" spans="1:13" ht="27.75">
      <c r="A23" s="2777" t="s">
        <v>1086</v>
      </c>
      <c r="B23" s="2811"/>
      <c r="C23" s="2812" t="s">
        <v>730</v>
      </c>
      <c r="D23" s="2813">
        <f>Forecast!F199</f>
        <v>231624653</v>
      </c>
      <c r="E23" s="2814" t="s">
        <v>471</v>
      </c>
      <c r="F23" s="2815">
        <f>Forecast!I198</f>
        <v>1216925561.1999998</v>
      </c>
      <c r="G23" s="2814" t="s">
        <v>472</v>
      </c>
      <c r="H23" s="2816">
        <f>Forecast!I199</f>
        <v>1593001564.4279997</v>
      </c>
      <c r="I23" s="2817"/>
      <c r="J23" s="414"/>
    </row>
    <row r="24" spans="1:13" ht="27.75">
      <c r="A24" s="2784"/>
      <c r="B24" s="2771"/>
      <c r="C24" s="2771"/>
      <c r="D24" s="2771"/>
      <c r="E24" s="2771"/>
      <c r="F24" s="2771"/>
      <c r="G24" s="2771"/>
      <c r="H24" s="2771"/>
      <c r="I24" s="2770"/>
      <c r="J24" s="1172"/>
    </row>
    <row r="25" spans="1:13" ht="27.75">
      <c r="A25" s="2763"/>
      <c r="B25" s="2771"/>
      <c r="C25" s="2818" t="s">
        <v>473</v>
      </c>
      <c r="D25" s="2771"/>
      <c r="E25" s="2806"/>
      <c r="F25" s="2771"/>
      <c r="G25" s="2771"/>
      <c r="H25" s="2806"/>
      <c r="I25" s="2819"/>
      <c r="J25" s="414"/>
    </row>
    <row r="26" spans="1:13" ht="27.75">
      <c r="A26" s="2784"/>
      <c r="B26" s="2820"/>
      <c r="C26" s="2771"/>
      <c r="D26" s="2771"/>
      <c r="E26" s="2771"/>
      <c r="F26" s="2771"/>
      <c r="G26" s="2771"/>
      <c r="H26" s="2771"/>
      <c r="I26" s="2770"/>
      <c r="J26" s="414"/>
    </row>
    <row r="27" spans="1:13" ht="27.75">
      <c r="A27" s="2821" t="s">
        <v>474</v>
      </c>
      <c r="B27" s="2822" t="s">
        <v>475</v>
      </c>
      <c r="C27" s="2823"/>
      <c r="D27" s="2823"/>
      <c r="E27" s="2824"/>
      <c r="F27" s="2823" t="s">
        <v>476</v>
      </c>
      <c r="G27" s="2825"/>
      <c r="H27" s="2826"/>
      <c r="I27" s="2827"/>
      <c r="J27" s="1176"/>
    </row>
    <row r="28" spans="1:13" ht="27.75">
      <c r="A28" s="2784"/>
      <c r="B28" s="2806" t="s">
        <v>18</v>
      </c>
      <c r="C28" s="2806"/>
      <c r="D28" s="2828" t="s">
        <v>477</v>
      </c>
      <c r="E28" s="2806"/>
      <c r="F28" s="2806" t="s">
        <v>478</v>
      </c>
      <c r="G28" s="2829"/>
      <c r="H28" s="2830" t="s">
        <v>479</v>
      </c>
      <c r="I28" s="2804"/>
      <c r="J28" s="1172"/>
    </row>
    <row r="29" spans="1:13" ht="27.75">
      <c r="A29" s="2831"/>
      <c r="B29" s="2832" t="s">
        <v>36</v>
      </c>
      <c r="C29" s="2832"/>
      <c r="D29" s="2833" t="s">
        <v>36</v>
      </c>
      <c r="E29" s="2833"/>
      <c r="F29" s="2814"/>
      <c r="G29" s="2778" t="s">
        <v>36</v>
      </c>
      <c r="H29" s="2834" t="s">
        <v>480</v>
      </c>
      <c r="I29" s="2770"/>
      <c r="J29" s="414"/>
    </row>
    <row r="30" spans="1:13" ht="27.75">
      <c r="A30" s="2835" t="s">
        <v>10</v>
      </c>
      <c r="B30" s="2807">
        <f>Forecast!N194</f>
        <v>170</v>
      </c>
      <c r="C30" s="2836">
        <f>Forecast!N194</f>
        <v>170</v>
      </c>
      <c r="D30" s="2807">
        <f>Forecast!W192</f>
        <v>4547.5118374999993</v>
      </c>
      <c r="E30" s="2767"/>
      <c r="F30" s="2837"/>
      <c r="G30" s="2838">
        <f>Forecast!J211</f>
        <v>134.38362184445668</v>
      </c>
      <c r="H30" s="2839">
        <f>Forecast!Z192</f>
        <v>2.9551021887682268E-2</v>
      </c>
      <c r="I30" s="2840"/>
      <c r="J30" s="1174"/>
      <c r="K30" s="408"/>
      <c r="L30" s="409"/>
      <c r="M30" s="410"/>
    </row>
    <row r="31" spans="1:13" ht="27.75">
      <c r="A31" s="2841" t="s">
        <v>481</v>
      </c>
      <c r="B31" s="2807">
        <f>Forecast!N195</f>
        <v>50</v>
      </c>
      <c r="C31" s="2836">
        <f>Forecast!N195</f>
        <v>50</v>
      </c>
      <c r="D31" s="2807">
        <f>Forecast!W193</f>
        <v>1287.698316</v>
      </c>
      <c r="E31" s="1638"/>
      <c r="F31" s="2837"/>
      <c r="G31" s="2842">
        <f>Forecast!K211</f>
        <v>66.817497273513709</v>
      </c>
      <c r="H31" s="2839">
        <f>Forecast!Z193</f>
        <v>5.1889092688316998E-2</v>
      </c>
      <c r="I31" s="2843"/>
      <c r="J31" s="1170"/>
      <c r="K31" s="408"/>
      <c r="L31" s="409"/>
      <c r="M31" s="410"/>
    </row>
    <row r="32" spans="1:13" ht="27.75">
      <c r="A32" s="2841" t="s">
        <v>482</v>
      </c>
      <c r="B32" s="2807">
        <f>Forecast!N196</f>
        <v>160</v>
      </c>
      <c r="C32" s="2836">
        <f>Forecast!N196</f>
        <v>160</v>
      </c>
      <c r="D32" s="2807">
        <f>Forecast!W194</f>
        <v>1699.9188135000002</v>
      </c>
      <c r="E32" s="1638"/>
      <c r="F32" s="2837" t="s">
        <v>168</v>
      </c>
      <c r="G32" s="2842">
        <f>Forecast!L211</f>
        <v>95.111219877418307</v>
      </c>
      <c r="H32" s="2839">
        <f>Forecast!Z194</f>
        <v>5.5950448410881301E-2</v>
      </c>
      <c r="I32" s="2843"/>
      <c r="J32" s="1170"/>
      <c r="K32" s="408"/>
      <c r="L32" s="409"/>
      <c r="M32" s="410"/>
    </row>
    <row r="33" spans="1:13" ht="27.75">
      <c r="A33" s="2841" t="s">
        <v>483</v>
      </c>
      <c r="B33" s="2807">
        <f>Forecast!N197</f>
        <v>120</v>
      </c>
      <c r="C33" s="2836">
        <f>Forecast!N197</f>
        <v>120</v>
      </c>
      <c r="D33" s="2807">
        <f>Forecast!W195</f>
        <v>1508.8578845</v>
      </c>
      <c r="E33" s="1638"/>
      <c r="F33" s="2837"/>
      <c r="G33" s="2842">
        <f>Forecast!M211</f>
        <v>93.047910739204553</v>
      </c>
      <c r="H33" s="2839">
        <f>Forecast!Z195</f>
        <v>6.1667776465268921E-2</v>
      </c>
      <c r="I33" s="2843"/>
      <c r="J33" s="1170"/>
      <c r="K33" s="408"/>
      <c r="L33" s="409"/>
      <c r="M33" s="410"/>
    </row>
    <row r="34" spans="1:13" ht="27.75">
      <c r="A34" s="2841" t="s">
        <v>1142</v>
      </c>
      <c r="B34" s="2807">
        <f>Forecast!N198</f>
        <v>100</v>
      </c>
      <c r="C34" s="2836">
        <f>Forecast!N198</f>
        <v>100</v>
      </c>
      <c r="D34" s="2807">
        <f>Forecast!W196</f>
        <v>1283.7724065</v>
      </c>
      <c r="E34" s="1638"/>
      <c r="F34" s="2837"/>
      <c r="G34" s="2842">
        <f>Forecast!N211</f>
        <v>74.906558687179086</v>
      </c>
      <c r="H34" s="2839">
        <f>Forecast!Z196</f>
        <v>5.8348783871589691E-2</v>
      </c>
      <c r="I34" s="2843"/>
      <c r="J34" s="1170"/>
      <c r="K34" s="408"/>
      <c r="L34" s="409"/>
      <c r="M34" s="410"/>
    </row>
    <row r="35" spans="1:13" ht="27.75">
      <c r="A35" s="2841" t="s">
        <v>484</v>
      </c>
      <c r="B35" s="2807">
        <f>Forecast!N199</f>
        <v>180</v>
      </c>
      <c r="C35" s="2836">
        <f>Forecast!N199</f>
        <v>180</v>
      </c>
      <c r="D35" s="2807">
        <f>Forecast!W197</f>
        <v>1061.3042014999999</v>
      </c>
      <c r="E35" s="1638"/>
      <c r="F35" s="2837"/>
      <c r="G35" s="2842">
        <f>Forecast!O211</f>
        <v>67.710251164347596</v>
      </c>
      <c r="H35" s="2839">
        <f>Forecast!Z197</f>
        <v>6.3799098381641148E-2</v>
      </c>
      <c r="I35" s="2843"/>
      <c r="J35" s="1170"/>
      <c r="K35" s="408"/>
      <c r="L35" s="409"/>
      <c r="M35" s="410"/>
    </row>
    <row r="36" spans="1:13" ht="27.75">
      <c r="A36" s="2841" t="s">
        <v>485</v>
      </c>
      <c r="B36" s="2807">
        <f>Forecast!N200</f>
        <v>80</v>
      </c>
      <c r="C36" s="2836">
        <f>Forecast!N200</f>
        <v>80</v>
      </c>
      <c r="D36" s="2807">
        <f>Forecast!W198</f>
        <v>473.72641300000004</v>
      </c>
      <c r="E36" s="1638"/>
      <c r="F36" s="2837"/>
      <c r="G36" s="2842">
        <f>Forecast!P211</f>
        <v>24.67774638977113</v>
      </c>
      <c r="H36" s="2839">
        <f>Forecast!Z198</f>
        <v>5.2092823436828563E-2</v>
      </c>
      <c r="I36" s="2843"/>
      <c r="J36" s="1170"/>
      <c r="K36" s="408"/>
      <c r="L36" s="409"/>
      <c r="M36" s="410"/>
    </row>
    <row r="37" spans="1:13" ht="27.75">
      <c r="A37" s="2841" t="s">
        <v>486</v>
      </c>
      <c r="B37" s="2807">
        <f>Forecast!N201</f>
        <v>0</v>
      </c>
      <c r="C37" s="2836">
        <f>Forecast!N201</f>
        <v>0</v>
      </c>
      <c r="D37" s="2807">
        <f>Forecast!W199</f>
        <v>386.04776750000002</v>
      </c>
      <c r="E37" s="1638"/>
      <c r="F37" s="2837"/>
      <c r="G37" s="2842">
        <f>Forecast!Q211</f>
        <v>0</v>
      </c>
      <c r="H37" s="2839">
        <f>Forecast!Z199</f>
        <v>0</v>
      </c>
      <c r="I37" s="2843"/>
      <c r="J37" s="1170"/>
      <c r="K37" s="408"/>
      <c r="L37" s="409"/>
      <c r="M37" s="410"/>
    </row>
    <row r="38" spans="1:13" ht="27.75">
      <c r="A38" s="2841" t="s">
        <v>487</v>
      </c>
      <c r="B38" s="2807">
        <f>Forecast!N202</f>
        <v>37</v>
      </c>
      <c r="C38" s="2836">
        <f>Forecast!N202</f>
        <v>37</v>
      </c>
      <c r="D38" s="2807">
        <f>Forecast!W200</f>
        <v>837.52736000000004</v>
      </c>
      <c r="E38" s="1638"/>
      <c r="F38" s="2837"/>
      <c r="G38" s="2842">
        <f>Forecast!R211</f>
        <v>52.965880722642623</v>
      </c>
      <c r="H38" s="2839">
        <f>Forecast!Z200</f>
        <v>6.3240776662678369E-2</v>
      </c>
      <c r="I38" s="2844"/>
      <c r="J38" s="1170"/>
      <c r="K38" s="408"/>
      <c r="L38" s="409"/>
      <c r="M38" s="410"/>
    </row>
    <row r="39" spans="1:13" ht="27.75">
      <c r="A39" s="2845" t="s">
        <v>488</v>
      </c>
      <c r="B39" s="2846">
        <f>SUM(B30:B38)</f>
        <v>897</v>
      </c>
      <c r="C39" s="2846"/>
      <c r="D39" s="2846">
        <f>SUM(D30:D38)</f>
        <v>13086.365</v>
      </c>
      <c r="E39" s="2847"/>
      <c r="F39" s="2848"/>
      <c r="G39" s="2846">
        <f>IF(SUM(G30:G38)&lt;2,0,SUM(G30:G38))</f>
        <v>609.62068669853375</v>
      </c>
      <c r="H39" s="2847"/>
      <c r="I39" s="2844"/>
      <c r="J39" s="1175"/>
      <c r="K39" s="408"/>
      <c r="L39" s="409"/>
      <c r="M39" s="411"/>
    </row>
    <row r="40" spans="1:13" ht="27.75">
      <c r="A40" s="2784"/>
      <c r="B40" s="2787"/>
      <c r="C40" s="2785"/>
      <c r="D40" s="2771"/>
      <c r="E40" s="2771"/>
      <c r="F40" s="2771"/>
      <c r="G40" s="2771"/>
      <c r="H40" s="2771"/>
      <c r="I40" s="2770"/>
      <c r="J40" s="414"/>
    </row>
    <row r="41" spans="1:13" ht="27.75">
      <c r="A41" s="2763"/>
      <c r="B41" s="2849" t="s">
        <v>489</v>
      </c>
      <c r="C41" s="2764"/>
      <c r="D41" s="2849"/>
      <c r="E41" s="2849"/>
      <c r="F41" s="2849"/>
      <c r="G41" s="2849"/>
      <c r="H41" s="2849"/>
      <c r="I41" s="2850"/>
      <c r="J41" s="414"/>
    </row>
    <row r="42" spans="1:13" ht="27.75">
      <c r="A42" s="2763"/>
      <c r="B42" s="2849"/>
      <c r="C42" s="2849"/>
      <c r="D42" s="2849"/>
      <c r="E42" s="2849"/>
      <c r="F42" s="2849"/>
      <c r="G42" s="2849"/>
      <c r="H42" s="2851"/>
      <c r="I42" s="2850"/>
      <c r="J42" s="414"/>
    </row>
    <row r="43" spans="1:13" ht="27.75">
      <c r="A43" s="3039" t="s">
        <v>490</v>
      </c>
      <c r="B43" s="3040" t="s">
        <v>491</v>
      </c>
      <c r="C43" s="3040"/>
      <c r="D43" s="3040" t="s">
        <v>492</v>
      </c>
      <c r="E43" s="3041" t="s">
        <v>493</v>
      </c>
      <c r="F43" s="3103"/>
      <c r="G43" s="3041"/>
      <c r="H43" s="3041"/>
      <c r="I43" s="3042"/>
      <c r="J43" s="1171"/>
    </row>
    <row r="44" spans="1:13" ht="29.25" customHeight="1">
      <c r="A44" s="2852"/>
      <c r="B44" s="2885"/>
      <c r="C44" s="2855"/>
      <c r="D44" s="2867"/>
      <c r="E44" s="3100" t="s">
        <v>1840</v>
      </c>
      <c r="F44" s="3104"/>
      <c r="G44" s="1633"/>
      <c r="H44" s="2861"/>
      <c r="I44" s="2884"/>
      <c r="J44" s="414"/>
    </row>
    <row r="45" spans="1:13" ht="27" customHeight="1">
      <c r="A45" s="2853"/>
      <c r="B45" s="2854"/>
      <c r="C45" s="2855"/>
      <c r="D45" s="2856"/>
      <c r="E45" s="2533" t="s">
        <v>1830</v>
      </c>
      <c r="F45" s="3105"/>
      <c r="G45" s="4640"/>
      <c r="H45" s="2857"/>
      <c r="I45" s="2858"/>
      <c r="J45" s="414"/>
    </row>
    <row r="46" spans="1:13" ht="27" customHeight="1">
      <c r="A46" s="2859"/>
      <c r="B46" s="2855"/>
      <c r="C46" s="2860"/>
      <c r="D46" s="2856"/>
      <c r="E46" s="2534" t="s">
        <v>1794</v>
      </c>
      <c r="F46" s="3105"/>
      <c r="G46" s="3236"/>
      <c r="H46" s="3127"/>
      <c r="I46" s="2862"/>
      <c r="J46" s="414"/>
    </row>
    <row r="47" spans="1:13" ht="27.75">
      <c r="A47" s="2853"/>
      <c r="B47" s="2855"/>
      <c r="C47" s="2860"/>
      <c r="D47" s="2856"/>
      <c r="E47" s="2883" t="s">
        <v>1847</v>
      </c>
      <c r="F47" s="3105"/>
      <c r="G47" s="1633"/>
      <c r="H47" s="2861"/>
      <c r="I47" s="2863"/>
      <c r="J47" s="414"/>
    </row>
    <row r="48" spans="1:13" ht="27.75">
      <c r="A48" s="2853"/>
      <c r="B48" s="2855"/>
      <c r="C48" s="2860"/>
      <c r="D48" s="2856"/>
      <c r="E48" s="2883" t="s">
        <v>1951</v>
      </c>
      <c r="F48" s="3104"/>
      <c r="G48" s="1633"/>
      <c r="H48" s="2861"/>
      <c r="I48" s="2864"/>
      <c r="J48" s="414"/>
    </row>
    <row r="49" spans="1:28" ht="27.75">
      <c r="A49" s="2853"/>
      <c r="B49" s="2865"/>
      <c r="C49" s="2860"/>
      <c r="D49" s="2866"/>
      <c r="E49" s="3488" t="s">
        <v>1729</v>
      </c>
      <c r="F49" s="3104"/>
      <c r="G49" s="1633"/>
      <c r="H49" s="2861"/>
      <c r="I49" s="2864"/>
      <c r="J49" s="414"/>
    </row>
    <row r="50" spans="1:28" ht="27.75">
      <c r="A50" s="2853"/>
      <c r="B50" s="2865"/>
      <c r="C50" s="2860"/>
      <c r="D50" s="2866"/>
      <c r="E50" s="3488" t="s">
        <v>1793</v>
      </c>
      <c r="F50" s="3104"/>
      <c r="G50" s="1633"/>
      <c r="H50" s="1633"/>
      <c r="I50" s="2864"/>
      <c r="J50" s="414"/>
    </row>
    <row r="51" spans="1:28" ht="30">
      <c r="A51" s="2853"/>
      <c r="B51" s="2865"/>
      <c r="C51" s="2860"/>
      <c r="D51" s="2867"/>
      <c r="E51" s="3147" t="s">
        <v>1846</v>
      </c>
      <c r="F51" s="3104"/>
      <c r="G51" s="1633"/>
      <c r="H51" s="1633"/>
      <c r="I51" s="2864"/>
      <c r="J51" s="414"/>
      <c r="O51" s="2400" t="s">
        <v>1760</v>
      </c>
    </row>
    <row r="52" spans="1:28" ht="27.75">
      <c r="A52" s="2853"/>
      <c r="B52" s="2868"/>
      <c r="C52" s="2869"/>
      <c r="D52" s="2870" t="s">
        <v>18</v>
      </c>
      <c r="E52" s="3147" t="s">
        <v>1860</v>
      </c>
      <c r="F52" s="3106"/>
      <c r="G52" s="2871"/>
      <c r="H52" s="2872"/>
      <c r="I52" s="2873"/>
      <c r="J52" s="414"/>
    </row>
    <row r="53" spans="1:28" ht="20.25">
      <c r="A53" s="2891"/>
      <c r="B53" s="2522"/>
      <c r="C53" s="2523"/>
      <c r="D53" s="2521"/>
      <c r="E53" s="3101"/>
      <c r="F53" s="3107"/>
      <c r="G53" s="2521"/>
      <c r="H53" s="2521"/>
      <c r="I53" s="2609"/>
      <c r="J53" s="1172"/>
    </row>
    <row r="54" spans="1:28" ht="20.25">
      <c r="A54" s="2892"/>
      <c r="B54" s="2520"/>
      <c r="C54" s="2520"/>
      <c r="D54" s="2520" t="s">
        <v>168</v>
      </c>
      <c r="E54" s="2524"/>
      <c r="F54" s="2894"/>
      <c r="G54" s="2524"/>
      <c r="H54" s="2524"/>
      <c r="I54" s="2608"/>
      <c r="J54" s="414"/>
      <c r="O54" s="889"/>
      <c r="P54" s="889"/>
    </row>
    <row r="55" spans="1:28" ht="26.25">
      <c r="A55" s="2893"/>
      <c r="B55" s="3551" t="s">
        <v>494</v>
      </c>
      <c r="C55" s="2520"/>
      <c r="D55" s="2520"/>
      <c r="E55" s="2524"/>
      <c r="F55" s="3108"/>
      <c r="G55" s="2524"/>
      <c r="H55" s="2524"/>
      <c r="I55" s="2608"/>
      <c r="J55" s="414"/>
      <c r="O55" s="889"/>
      <c r="P55" s="889"/>
    </row>
    <row r="56" spans="1:28" ht="33">
      <c r="A56" s="2895"/>
      <c r="B56" s="2896"/>
      <c r="C56" s="2896"/>
      <c r="D56" s="2896"/>
      <c r="E56" s="3102"/>
      <c r="F56" s="3109"/>
      <c r="G56" s="4605"/>
      <c r="H56" s="3519"/>
      <c r="I56" s="3520"/>
      <c r="J56" s="414"/>
      <c r="L56" s="345"/>
      <c r="M56" s="345"/>
      <c r="N56" s="345"/>
      <c r="O56" s="2362"/>
      <c r="P56" s="2209"/>
      <c r="Q56" s="2208"/>
      <c r="R56" s="2208"/>
      <c r="S56" s="2208"/>
      <c r="T56" s="2208"/>
      <c r="U56" s="2166"/>
      <c r="V56" s="2287"/>
      <c r="W56" s="345"/>
      <c r="X56" s="345"/>
      <c r="Y56" s="345"/>
      <c r="Z56" s="345"/>
      <c r="AA56" s="345"/>
    </row>
    <row r="57" spans="1:28" ht="39.950000000000003" customHeight="1">
      <c r="A57" s="4751" t="s">
        <v>1936</v>
      </c>
      <c r="B57" s="3470"/>
      <c r="C57" s="3470"/>
      <c r="D57" s="3470"/>
      <c r="E57" s="3470"/>
      <c r="F57" s="5270"/>
      <c r="G57" s="4900"/>
      <c r="H57" s="4656"/>
      <c r="I57" s="4902"/>
      <c r="J57" s="3470"/>
      <c r="K57" s="3470"/>
      <c r="L57" s="4623"/>
      <c r="M57" s="5224" t="s">
        <v>1910</v>
      </c>
      <c r="N57" s="3470"/>
      <c r="O57" s="3470"/>
      <c r="P57" s="3470"/>
      <c r="Q57" s="3470"/>
      <c r="R57" s="4614"/>
      <c r="S57" s="4900"/>
      <c r="T57" s="4656"/>
      <c r="U57" s="4902"/>
      <c r="V57" s="2550"/>
      <c r="W57" s="2550"/>
      <c r="X57" s="2550"/>
      <c r="Y57" s="2400"/>
      <c r="Z57" s="2098"/>
      <c r="AA57" s="2098"/>
      <c r="AB57" s="2098"/>
    </row>
    <row r="58" spans="1:28" ht="39.950000000000003" customHeight="1">
      <c r="A58" s="4751" t="s">
        <v>1937</v>
      </c>
      <c r="B58" s="3472"/>
      <c r="C58" s="3472"/>
      <c r="D58" s="3472"/>
      <c r="E58" s="3472"/>
      <c r="F58" s="5271"/>
      <c r="G58" s="4635"/>
      <c r="H58" s="4641"/>
      <c r="I58" s="4903"/>
      <c r="J58" s="3472"/>
      <c r="K58" s="3472"/>
      <c r="L58" s="4624"/>
      <c r="M58" s="4751" t="s">
        <v>1911</v>
      </c>
      <c r="N58" s="3472"/>
      <c r="O58" s="3472"/>
      <c r="P58" s="3472"/>
      <c r="Q58" s="3472"/>
      <c r="R58" s="4615"/>
      <c r="S58" s="4635"/>
      <c r="T58" s="4641"/>
      <c r="U58" s="4903"/>
      <c r="V58" s="3060"/>
      <c r="W58" s="2550"/>
      <c r="X58" s="2550"/>
      <c r="Y58" s="2400"/>
      <c r="Z58" s="2098"/>
      <c r="AA58" s="2098"/>
      <c r="AB58" s="2098"/>
    </row>
    <row r="59" spans="1:28" ht="39.950000000000003" customHeight="1">
      <c r="A59" s="4751" t="s">
        <v>1947</v>
      </c>
      <c r="B59" s="3471"/>
      <c r="C59" s="3226"/>
      <c r="D59" s="3226"/>
      <c r="E59" s="585"/>
      <c r="F59" s="5272"/>
      <c r="G59" s="4635"/>
      <c r="H59" s="4641"/>
      <c r="I59" s="5273"/>
      <c r="J59" s="3231"/>
      <c r="K59" s="175"/>
      <c r="L59" s="3228"/>
      <c r="M59" s="5224" t="s">
        <v>1912</v>
      </c>
      <c r="N59" s="3471"/>
      <c r="O59" s="3231"/>
      <c r="P59" s="3231"/>
      <c r="Q59" s="175"/>
      <c r="R59" s="3479"/>
      <c r="S59" s="4635"/>
      <c r="T59" s="4641"/>
      <c r="U59" s="4904"/>
      <c r="V59" s="2711"/>
      <c r="W59" s="2550"/>
      <c r="X59" s="2550"/>
      <c r="Y59" s="2575"/>
      <c r="Z59" s="2098"/>
      <c r="AA59" s="2098"/>
      <c r="AB59" s="2098"/>
    </row>
    <row r="60" spans="1:28" ht="39.950000000000003" customHeight="1">
      <c r="A60" s="4752" t="s">
        <v>1938</v>
      </c>
      <c r="B60" s="6"/>
      <c r="C60" s="6"/>
      <c r="D60" s="6"/>
      <c r="E60" s="6"/>
      <c r="F60" s="5274"/>
      <c r="G60" s="5228"/>
      <c r="H60" s="6"/>
      <c r="I60" s="4905"/>
      <c r="J60" s="4620"/>
      <c r="K60" s="4620"/>
      <c r="L60" s="3228"/>
      <c r="M60" s="4751" t="s">
        <v>1913</v>
      </c>
      <c r="R60" s="345"/>
      <c r="S60" s="4896"/>
      <c r="U60" s="4905"/>
      <c r="V60" s="2711"/>
      <c r="W60" s="2550"/>
      <c r="X60" s="2550"/>
      <c r="Y60" s="2400"/>
      <c r="Z60" s="2098"/>
      <c r="AA60" s="2098"/>
      <c r="AB60" s="2098"/>
    </row>
    <row r="61" spans="1:28" ht="39.950000000000003" customHeight="1">
      <c r="A61" s="4751" t="s">
        <v>1939</v>
      </c>
      <c r="B61" s="6"/>
      <c r="C61" s="6"/>
      <c r="D61" s="6"/>
      <c r="E61" s="6"/>
      <c r="F61" s="6"/>
      <c r="G61" s="5228" t="s">
        <v>1344</v>
      </c>
      <c r="H61" s="6"/>
      <c r="I61" s="4906"/>
      <c r="J61" s="3473"/>
      <c r="K61" s="3473"/>
      <c r="L61" s="3228"/>
      <c r="M61" s="4752" t="s">
        <v>1914</v>
      </c>
      <c r="S61" s="4897"/>
      <c r="U61" s="4906"/>
      <c r="V61" s="2711"/>
      <c r="W61" s="2550"/>
      <c r="X61" s="2550"/>
      <c r="Y61" s="2400"/>
      <c r="Z61" s="2098"/>
      <c r="AA61" s="2098"/>
      <c r="AB61" s="2098"/>
    </row>
    <row r="62" spans="1:28" ht="39.950000000000003" customHeight="1">
      <c r="A62" s="4752"/>
      <c r="B62" s="5275"/>
      <c r="C62" s="4621"/>
      <c r="D62" s="4621"/>
      <c r="E62" s="4621"/>
      <c r="F62" s="5272"/>
      <c r="G62" s="4897" t="s">
        <v>1940</v>
      </c>
      <c r="H62" s="5275"/>
      <c r="I62" s="4906"/>
      <c r="J62" s="3473"/>
      <c r="K62" s="3473"/>
      <c r="L62" s="3228"/>
      <c r="M62" s="4752" t="s">
        <v>1915</v>
      </c>
      <c r="N62" s="4657"/>
      <c r="O62" s="4621"/>
      <c r="P62" s="4621"/>
      <c r="Q62" s="4621"/>
      <c r="R62" s="175"/>
      <c r="S62" s="4896"/>
      <c r="T62" s="4657"/>
      <c r="U62" s="4906"/>
      <c r="V62" s="2711"/>
      <c r="W62" s="2550"/>
      <c r="X62" s="2550"/>
      <c r="Y62" s="2400"/>
      <c r="Z62" s="2098"/>
      <c r="AA62" s="2098"/>
      <c r="AB62" s="2098"/>
    </row>
    <row r="63" spans="1:28" ht="39.950000000000003" customHeight="1">
      <c r="A63" s="4751" t="s">
        <v>1948</v>
      </c>
      <c r="B63" s="3473"/>
      <c r="C63" s="3473"/>
      <c r="D63" s="3473"/>
      <c r="E63" s="3473"/>
      <c r="F63" s="5272"/>
      <c r="G63" s="5228" t="s">
        <v>1348</v>
      </c>
      <c r="H63" s="4621"/>
      <c r="I63" s="4906"/>
      <c r="J63" s="3473"/>
      <c r="K63" s="3473"/>
      <c r="L63" s="3228"/>
      <c r="M63" s="4752" t="s">
        <v>1916</v>
      </c>
      <c r="N63" s="3473"/>
      <c r="O63" s="3473"/>
      <c r="P63" s="3473"/>
      <c r="Q63" s="3473"/>
      <c r="R63" s="175"/>
      <c r="S63" s="5227"/>
      <c r="T63" s="4621"/>
      <c r="U63" s="4906"/>
      <c r="V63" s="2711"/>
      <c r="W63" s="2550"/>
      <c r="X63" s="2550"/>
      <c r="Y63" s="2575"/>
      <c r="Z63" s="2098"/>
      <c r="AA63" s="2098"/>
      <c r="AB63" s="2098"/>
    </row>
    <row r="64" spans="1:28" ht="39.950000000000003" customHeight="1">
      <c r="A64" s="4752" t="s">
        <v>1941</v>
      </c>
      <c r="B64" s="3473"/>
      <c r="C64" s="3473"/>
      <c r="D64" s="3473"/>
      <c r="E64" s="3473"/>
      <c r="F64" s="5272"/>
      <c r="G64" s="4897" t="s">
        <v>1949</v>
      </c>
      <c r="H64" s="4621"/>
      <c r="I64" s="4905"/>
      <c r="J64" s="4621"/>
      <c r="K64" s="4621"/>
      <c r="L64" s="3228"/>
      <c r="M64" s="4752" t="s">
        <v>1917</v>
      </c>
      <c r="N64" s="3473"/>
      <c r="O64" s="3473"/>
      <c r="P64" s="3473"/>
      <c r="Q64" s="3473"/>
      <c r="R64" s="175"/>
      <c r="S64" s="5227" t="s">
        <v>1355</v>
      </c>
      <c r="T64" s="4621"/>
      <c r="U64" s="4905"/>
      <c r="V64" s="2711"/>
      <c r="W64" s="2550"/>
      <c r="X64" s="2550"/>
      <c r="Y64" s="2400"/>
      <c r="Z64" s="2098"/>
      <c r="AA64" s="2098"/>
      <c r="AB64" s="2098"/>
    </row>
    <row r="65" spans="1:28" ht="39.950000000000003" customHeight="1">
      <c r="A65" s="4751" t="s">
        <v>1942</v>
      </c>
      <c r="B65" s="3471"/>
      <c r="C65" s="3471"/>
      <c r="D65" s="3471"/>
      <c r="E65" s="3471"/>
      <c r="F65" s="5271"/>
      <c r="G65" s="4896"/>
      <c r="H65" s="4641"/>
      <c r="I65" s="4903"/>
      <c r="J65" s="3473"/>
      <c r="K65" s="3473"/>
      <c r="L65" s="3228"/>
      <c r="M65" s="4752"/>
      <c r="N65" s="3471"/>
      <c r="O65" s="3471"/>
      <c r="P65" s="3471"/>
      <c r="Q65" s="3471"/>
      <c r="R65" s="5263"/>
      <c r="S65" s="4897" t="s">
        <v>1927</v>
      </c>
      <c r="T65" s="4641"/>
      <c r="U65" s="4903"/>
      <c r="V65" s="2711"/>
      <c r="W65" s="2550"/>
      <c r="X65" s="2550"/>
      <c r="Y65" s="2400"/>
      <c r="Z65" s="2098"/>
      <c r="AA65" s="2098"/>
      <c r="AB65" s="2098"/>
    </row>
    <row r="66" spans="1:28" ht="39.950000000000003" customHeight="1">
      <c r="A66" s="4751" t="s">
        <v>1943</v>
      </c>
      <c r="B66" s="4641"/>
      <c r="C66" s="4641"/>
      <c r="D66" s="4641"/>
      <c r="E66" s="4641"/>
      <c r="F66" s="5276"/>
      <c r="G66" s="5228"/>
      <c r="H66" s="5275"/>
      <c r="I66" s="4906"/>
      <c r="J66" s="3471"/>
      <c r="K66" s="3471"/>
      <c r="L66" s="4624"/>
      <c r="M66" s="4751" t="s">
        <v>1931</v>
      </c>
      <c r="N66" s="3471"/>
      <c r="O66" s="3471"/>
      <c r="P66" s="3471"/>
      <c r="Q66" s="3471"/>
      <c r="R66" s="5263"/>
      <c r="S66" s="5264"/>
      <c r="T66" s="5265"/>
      <c r="U66" s="4909"/>
      <c r="V66" s="2711"/>
      <c r="W66" s="2550"/>
      <c r="X66" s="2550"/>
      <c r="Y66" s="2575"/>
      <c r="Z66" s="2098"/>
      <c r="AA66" s="2098"/>
      <c r="AB66" s="2098"/>
    </row>
    <row r="67" spans="1:28" ht="39.950000000000003" customHeight="1">
      <c r="A67" s="4751" t="s">
        <v>1950</v>
      </c>
      <c r="B67" s="3473"/>
      <c r="C67" s="3473"/>
      <c r="D67" s="3473"/>
      <c r="E67" s="3473"/>
      <c r="F67" s="5272"/>
      <c r="G67" s="5269"/>
      <c r="H67" s="4621"/>
      <c r="I67" s="4906"/>
      <c r="J67" s="3561"/>
      <c r="K67" s="3561"/>
      <c r="L67" s="4570"/>
      <c r="M67" s="5224" t="s">
        <v>1924</v>
      </c>
      <c r="N67" s="4575"/>
      <c r="O67" s="3478"/>
      <c r="P67" s="3478"/>
      <c r="Q67" s="3478"/>
      <c r="R67" s="4892"/>
      <c r="S67" s="5264"/>
      <c r="T67" s="5266"/>
      <c r="U67" s="4909"/>
      <c r="V67" s="2711"/>
      <c r="W67" s="2550"/>
      <c r="X67" s="2550"/>
      <c r="Y67" s="2575"/>
      <c r="Z67" s="2098"/>
      <c r="AA67" s="2098"/>
      <c r="AB67" s="2098"/>
    </row>
    <row r="68" spans="1:28" ht="39.950000000000003" customHeight="1">
      <c r="A68" s="4751" t="s">
        <v>1944</v>
      </c>
      <c r="B68" s="4621"/>
      <c r="C68" s="4621"/>
      <c r="D68" s="4621"/>
      <c r="E68" s="4621"/>
      <c r="F68" s="5272"/>
      <c r="G68" s="4635"/>
      <c r="H68" s="4641"/>
      <c r="I68" s="5277"/>
      <c r="J68" s="4622"/>
      <c r="K68" s="4622"/>
      <c r="L68" s="3228"/>
      <c r="M68" s="4751" t="s">
        <v>1923</v>
      </c>
      <c r="N68" s="4621"/>
      <c r="O68" s="4621"/>
      <c r="P68" s="4621"/>
      <c r="Q68" s="4621"/>
      <c r="R68" s="3479"/>
      <c r="S68" s="4635"/>
      <c r="T68" s="4641"/>
      <c r="U68" s="4907"/>
      <c r="V68" s="2711"/>
      <c r="W68" s="2550"/>
      <c r="X68" s="2550"/>
      <c r="Y68" s="2400"/>
      <c r="Z68" s="2145"/>
      <c r="AA68" s="2145"/>
      <c r="AB68" s="2145"/>
    </row>
    <row r="69" spans="1:28" s="6" customFormat="1" ht="39.950000000000003" customHeight="1">
      <c r="A69" s="4751" t="s">
        <v>1945</v>
      </c>
      <c r="B69" s="3474"/>
      <c r="C69" s="3478"/>
      <c r="D69" s="3478"/>
      <c r="E69" s="3478"/>
      <c r="F69" s="5278"/>
      <c r="G69" s="4635"/>
      <c r="H69" s="4641"/>
      <c r="I69" s="4908"/>
      <c r="J69" s="4621"/>
      <c r="K69" s="4621"/>
      <c r="L69" s="3228"/>
      <c r="M69" s="5224" t="s">
        <v>1922</v>
      </c>
      <c r="N69" s="3474"/>
      <c r="O69" s="3478"/>
      <c r="P69" s="3478"/>
      <c r="Q69" s="3478"/>
      <c r="R69" s="4893"/>
      <c r="S69" s="4635"/>
      <c r="T69" s="4641"/>
      <c r="U69" s="4908"/>
      <c r="V69" s="2711"/>
      <c r="W69" s="2550"/>
      <c r="X69" s="2550"/>
      <c r="Y69" s="2400"/>
      <c r="Z69" s="2098"/>
      <c r="AA69" s="2145"/>
      <c r="AB69" s="2145"/>
    </row>
    <row r="70" spans="1:28" s="6" customFormat="1" ht="39.950000000000003" customHeight="1">
      <c r="A70" s="4751" t="s">
        <v>1946</v>
      </c>
      <c r="C70" s="3471"/>
      <c r="D70" s="3471"/>
      <c r="E70" s="3471"/>
      <c r="F70" s="5271"/>
      <c r="G70" s="3295"/>
      <c r="H70" s="4641"/>
      <c r="I70" s="5277"/>
      <c r="J70" s="3473"/>
      <c r="K70" s="3473"/>
      <c r="L70" s="3228"/>
      <c r="M70" s="4751" t="s">
        <v>1921</v>
      </c>
      <c r="O70" s="3471"/>
      <c r="P70" s="3471"/>
      <c r="Q70" s="3471"/>
      <c r="R70" s="4616"/>
      <c r="S70" s="3295"/>
      <c r="T70" s="4641"/>
      <c r="U70" s="4907"/>
      <c r="V70" s="2711"/>
      <c r="W70" s="2550"/>
      <c r="X70" s="2550"/>
      <c r="Y70" s="2400"/>
      <c r="Z70" s="2098"/>
      <c r="AA70" s="2145"/>
      <c r="AB70" s="2145"/>
    </row>
    <row r="71" spans="1:28" s="6" customFormat="1" ht="39.950000000000003" customHeight="1">
      <c r="A71" s="4752"/>
      <c r="B71" s="363"/>
      <c r="C71" s="3471"/>
      <c r="D71" s="3471"/>
      <c r="E71" s="3471"/>
      <c r="F71" s="4615"/>
      <c r="G71" s="3295"/>
      <c r="H71" s="3471"/>
      <c r="I71" s="4908"/>
      <c r="J71" s="3478"/>
      <c r="K71" s="3478"/>
      <c r="L71" s="3228"/>
      <c r="M71" s="4752" t="s">
        <v>1920</v>
      </c>
      <c r="O71" s="3471"/>
      <c r="P71" s="3471"/>
      <c r="Q71" s="3471"/>
      <c r="R71" s="4615"/>
      <c r="S71" s="3295" t="s">
        <v>1926</v>
      </c>
      <c r="T71" s="3471"/>
      <c r="U71" s="4908"/>
      <c r="V71" s="2711"/>
      <c r="W71" s="2550"/>
      <c r="X71" s="2550"/>
      <c r="Y71" s="2575"/>
      <c r="Z71" s="2098"/>
      <c r="AA71" s="2145"/>
      <c r="AB71" s="2145"/>
    </row>
    <row r="72" spans="1:28" s="6" customFormat="1" ht="39.950000000000003" customHeight="1">
      <c r="A72" s="4751"/>
      <c r="B72" s="3473"/>
      <c r="C72" s="3473"/>
      <c r="D72" s="3473"/>
      <c r="E72" s="3473"/>
      <c r="F72" s="5272"/>
      <c r="G72" s="4900"/>
      <c r="H72" s="4639"/>
      <c r="I72" s="4907"/>
      <c r="J72" s="3473"/>
      <c r="K72" s="3473"/>
      <c r="L72" s="3228"/>
      <c r="M72" s="5262"/>
      <c r="N72" s="5229"/>
      <c r="O72" s="3471"/>
      <c r="P72" s="3471"/>
      <c r="Q72" s="3471"/>
      <c r="R72" s="4616"/>
      <c r="S72" s="5267" t="s">
        <v>1925</v>
      </c>
      <c r="T72" s="4639"/>
      <c r="U72" s="4907"/>
      <c r="V72" s="2711"/>
      <c r="W72" s="2550"/>
      <c r="X72" s="2550"/>
      <c r="Y72" s="2400"/>
      <c r="Z72" s="2145"/>
      <c r="AA72" s="2145"/>
      <c r="AB72" s="2145"/>
    </row>
    <row r="73" spans="1:28" s="6" customFormat="1" ht="34.5" customHeight="1">
      <c r="A73" s="4751"/>
      <c r="B73" s="3472"/>
      <c r="C73" s="3472"/>
      <c r="D73" s="3472"/>
      <c r="E73" s="3472"/>
      <c r="F73" s="5271"/>
      <c r="G73" s="4635"/>
      <c r="H73" s="5028"/>
      <c r="I73" s="4905"/>
      <c r="J73" s="3473"/>
      <c r="K73" s="3473"/>
      <c r="L73" s="3228"/>
      <c r="M73" s="5225" t="s">
        <v>1919</v>
      </c>
      <c r="N73" s="5229"/>
      <c r="O73" s="3471"/>
      <c r="P73" s="3471"/>
      <c r="Q73" s="3471"/>
      <c r="R73" s="4616"/>
      <c r="S73" s="5228"/>
      <c r="T73" s="5028"/>
      <c r="U73" s="4905"/>
      <c r="V73" s="2711"/>
      <c r="W73" s="2550"/>
      <c r="X73" s="2550"/>
      <c r="Y73" s="1906"/>
      <c r="Z73" s="2145"/>
      <c r="AA73" s="2098"/>
      <c r="AB73" s="2098"/>
    </row>
    <row r="74" spans="1:28" ht="39.950000000000003" customHeight="1">
      <c r="A74" s="5268"/>
      <c r="B74" s="3471"/>
      <c r="C74" s="3226"/>
      <c r="D74" s="3226"/>
      <c r="E74" s="585"/>
      <c r="F74" s="5272"/>
      <c r="G74" s="4635"/>
      <c r="H74" s="5029"/>
      <c r="I74" s="4909"/>
      <c r="J74" s="3478"/>
      <c r="K74" s="3478"/>
      <c r="L74" s="4568"/>
      <c r="M74" s="4752" t="s">
        <v>1918</v>
      </c>
      <c r="N74" s="3471"/>
      <c r="O74" s="3473"/>
      <c r="P74" s="3473"/>
      <c r="Q74" s="3473"/>
      <c r="R74" s="3479"/>
      <c r="S74" s="5228"/>
      <c r="T74" s="5029"/>
      <c r="U74" s="4909"/>
      <c r="V74" s="2711"/>
      <c r="W74" s="2550"/>
      <c r="X74" s="2550"/>
      <c r="Y74" s="1906"/>
      <c r="Z74" s="2145"/>
      <c r="AA74" s="2144"/>
      <c r="AB74" s="2098"/>
    </row>
    <row r="75" spans="1:28" ht="39.950000000000003" customHeight="1">
      <c r="A75" s="4752"/>
      <c r="B75" s="6"/>
      <c r="C75" s="6"/>
      <c r="D75" s="6"/>
      <c r="E75" s="6"/>
      <c r="F75" s="5274"/>
      <c r="G75" s="5228"/>
      <c r="H75" s="5028"/>
      <c r="I75" s="4909"/>
      <c r="J75" s="3478"/>
      <c r="K75" s="3478"/>
      <c r="L75" s="3475"/>
      <c r="M75" s="4752" t="s">
        <v>1929</v>
      </c>
      <c r="N75" s="3471"/>
      <c r="O75" s="4714"/>
      <c r="P75" s="4714"/>
      <c r="Q75" s="4714"/>
      <c r="R75" s="4893"/>
      <c r="S75" s="3295" t="s">
        <v>1926</v>
      </c>
      <c r="T75" s="5028"/>
      <c r="U75" s="4909"/>
      <c r="V75" s="2711"/>
      <c r="W75" s="2550"/>
      <c r="X75" s="2550"/>
      <c r="Y75" s="2400"/>
      <c r="Z75" s="2145"/>
      <c r="AA75" s="2144"/>
      <c r="AB75" s="2098"/>
    </row>
    <row r="76" spans="1:28" ht="39.950000000000003" customHeight="1">
      <c r="A76" s="4751"/>
      <c r="B76" s="6"/>
      <c r="C76" s="6"/>
      <c r="D76" s="6"/>
      <c r="E76" s="6"/>
      <c r="F76" s="6"/>
      <c r="G76" s="4897"/>
      <c r="H76" s="5028"/>
      <c r="I76" s="4906"/>
      <c r="J76" s="3474"/>
      <c r="K76" s="3474"/>
      <c r="L76" s="4568"/>
      <c r="M76" s="4752" t="s">
        <v>1928</v>
      </c>
      <c r="N76" s="3471"/>
      <c r="O76" s="3471"/>
      <c r="P76" s="3471"/>
      <c r="Q76" s="3471"/>
      <c r="R76" s="4615"/>
      <c r="S76" s="5267" t="s">
        <v>1930</v>
      </c>
      <c r="T76" s="5028"/>
      <c r="U76" s="4906"/>
      <c r="V76" s="2711"/>
      <c r="W76" s="2550"/>
      <c r="X76" s="2550"/>
      <c r="Y76" s="2575"/>
      <c r="Z76" s="2145"/>
      <c r="AA76" s="2144"/>
      <c r="AB76" s="2098"/>
    </row>
    <row r="77" spans="1:28" ht="39.950000000000003" customHeight="1">
      <c r="A77" s="4752"/>
      <c r="B77" s="5275"/>
      <c r="C77" s="4621"/>
      <c r="D77" s="4621"/>
      <c r="E77" s="4621"/>
      <c r="F77" s="5272"/>
      <c r="G77" s="4896"/>
      <c r="H77" s="5030"/>
      <c r="I77" s="4906"/>
      <c r="J77" s="3473"/>
      <c r="K77" s="3473"/>
      <c r="L77" s="3228"/>
      <c r="M77" s="4752" t="s">
        <v>1894</v>
      </c>
      <c r="N77" s="3478"/>
      <c r="O77" s="3478"/>
      <c r="P77" s="3478"/>
      <c r="Q77" s="3478"/>
      <c r="R77" s="4892"/>
      <c r="S77" s="4897"/>
      <c r="T77" s="3478"/>
      <c r="U77" s="4906"/>
      <c r="V77" s="2711"/>
      <c r="W77" s="2550"/>
      <c r="X77" s="2550"/>
      <c r="Y77" s="2575"/>
      <c r="Z77" s="2098"/>
      <c r="AA77" s="2144"/>
      <c r="AB77" s="2144"/>
    </row>
    <row r="78" spans="1:28" s="889" customFormat="1" ht="39.950000000000003" customHeight="1">
      <c r="A78" s="4752"/>
      <c r="B78" s="3473"/>
      <c r="C78" s="3473"/>
      <c r="D78" s="3473"/>
      <c r="E78" s="3473"/>
      <c r="F78" s="5272"/>
      <c r="G78" s="5227"/>
      <c r="H78" s="2144"/>
      <c r="I78" s="4906"/>
      <c r="J78" s="3473"/>
      <c r="K78" s="3473"/>
      <c r="L78" s="4568"/>
      <c r="M78" s="4752" t="s">
        <v>1848</v>
      </c>
      <c r="N78" s="4925"/>
      <c r="O78" s="4925"/>
      <c r="P78" s="4641"/>
      <c r="Q78" s="4641"/>
      <c r="R78" s="4926"/>
      <c r="S78" s="4922"/>
      <c r="T78" s="176"/>
      <c r="U78" s="4906"/>
      <c r="V78" s="2711"/>
      <c r="W78" s="2550"/>
      <c r="X78" s="2550"/>
      <c r="Y78" s="2575"/>
      <c r="Z78" s="2144"/>
      <c r="AA78" s="2144"/>
      <c r="AB78" s="2098"/>
    </row>
    <row r="79" spans="1:28" ht="39.950000000000003" customHeight="1">
      <c r="A79" s="4752"/>
      <c r="B79" s="3473"/>
      <c r="C79" s="3473"/>
      <c r="D79" s="3473"/>
      <c r="E79" s="3473"/>
      <c r="F79" s="5272"/>
      <c r="G79" s="5227"/>
      <c r="H79" s="5031"/>
      <c r="I79" s="4906"/>
      <c r="J79" s="3473"/>
      <c r="K79" s="3473"/>
      <c r="L79" s="4568"/>
      <c r="M79" s="4752" t="s">
        <v>1849</v>
      </c>
      <c r="N79" s="4641"/>
      <c r="O79" s="4923"/>
      <c r="P79" s="4923"/>
      <c r="Q79" s="4923"/>
      <c r="R79" s="4927"/>
      <c r="S79" s="4922"/>
      <c r="T79" s="4716"/>
      <c r="U79" s="4906"/>
      <c r="V79" s="2711"/>
      <c r="W79" s="2685"/>
      <c r="X79" s="2550"/>
      <c r="Y79" s="2575"/>
      <c r="Z79" s="2689"/>
      <c r="AA79" s="2689"/>
      <c r="AB79" s="2134"/>
    </row>
    <row r="80" spans="1:28" ht="39.950000000000003" customHeight="1">
      <c r="A80" s="4751"/>
      <c r="B80" s="3471"/>
      <c r="C80" s="3471"/>
      <c r="D80" s="3471"/>
      <c r="E80" s="3471"/>
      <c r="F80" s="5271"/>
      <c r="G80" s="4896"/>
      <c r="H80" s="4635"/>
      <c r="I80" s="4906"/>
      <c r="J80" s="3473"/>
      <c r="K80" s="3473"/>
      <c r="L80" s="3228"/>
      <c r="M80" s="4752" t="s">
        <v>1858</v>
      </c>
      <c r="N80" s="4928"/>
      <c r="O80" s="4621"/>
      <c r="P80" s="4621"/>
      <c r="Q80" s="4621"/>
      <c r="R80" s="4927"/>
      <c r="S80" s="4896"/>
      <c r="T80" s="4621"/>
      <c r="U80" s="4906"/>
      <c r="V80" s="2711"/>
      <c r="W80" s="2685"/>
      <c r="X80" s="2550"/>
      <c r="Y80" s="2400"/>
      <c r="Z80" s="2680"/>
      <c r="AA80" s="2680"/>
      <c r="AB80" s="2364"/>
    </row>
    <row r="81" spans="1:28" ht="39.950000000000003" customHeight="1">
      <c r="A81" s="4751"/>
      <c r="B81" s="4641"/>
      <c r="C81" s="4641"/>
      <c r="D81" s="4641"/>
      <c r="E81" s="4641"/>
      <c r="F81" s="5276"/>
      <c r="G81" s="5228"/>
      <c r="I81" s="4906"/>
      <c r="J81" s="3473"/>
      <c r="K81" s="3473"/>
      <c r="L81" s="4568"/>
      <c r="M81" s="3561" t="s">
        <v>1850</v>
      </c>
      <c r="N81" s="4924"/>
      <c r="O81" s="4924"/>
      <c r="P81" s="4929"/>
      <c r="Q81" s="4929"/>
      <c r="R81" s="4930"/>
      <c r="S81" s="4922"/>
      <c r="T81" s="4931"/>
      <c r="U81" s="4906"/>
      <c r="V81" s="2711"/>
      <c r="W81" s="2685"/>
      <c r="X81" s="2550"/>
      <c r="Y81" s="2400"/>
      <c r="Z81" s="2680"/>
      <c r="AA81" s="2680"/>
      <c r="AB81" s="2364"/>
    </row>
    <row r="82" spans="1:28" ht="39.950000000000003" customHeight="1">
      <c r="A82" s="4751"/>
      <c r="B82" s="3473"/>
      <c r="C82" s="3473"/>
      <c r="D82" s="3473"/>
      <c r="E82" s="3473"/>
      <c r="F82" s="5272"/>
      <c r="G82" s="5269"/>
      <c r="I82" s="4903"/>
      <c r="J82" s="3473"/>
      <c r="K82" s="3473"/>
      <c r="L82" s="3228"/>
      <c r="M82" s="4920" t="s">
        <v>1851</v>
      </c>
      <c r="N82" s="4924"/>
      <c r="O82" s="4924"/>
      <c r="P82" s="4929"/>
      <c r="Q82" s="4929"/>
      <c r="R82" s="4930"/>
      <c r="S82" s="4922"/>
      <c r="T82" s="4929"/>
      <c r="U82" s="4903"/>
      <c r="V82" s="2711"/>
      <c r="W82" s="2685"/>
      <c r="X82" s="2550"/>
      <c r="Y82" s="2575"/>
      <c r="Z82" s="2680"/>
      <c r="AA82" s="2680"/>
      <c r="AB82" s="2364"/>
    </row>
    <row r="83" spans="1:28" ht="39.950000000000003" customHeight="1">
      <c r="A83" s="4751"/>
      <c r="B83" s="4621"/>
      <c r="C83" s="4621"/>
      <c r="D83" s="4621"/>
      <c r="E83" s="4621"/>
      <c r="F83" s="5272"/>
      <c r="G83" s="4635"/>
      <c r="I83" s="4907"/>
      <c r="J83" s="3471"/>
      <c r="K83" s="3471"/>
      <c r="L83" s="4625"/>
      <c r="M83" s="4971" t="s">
        <v>1852</v>
      </c>
      <c r="N83" s="4932"/>
      <c r="O83" s="4933"/>
      <c r="P83" s="4934"/>
      <c r="Q83" s="4934"/>
      <c r="R83" s="4921"/>
      <c r="S83" s="4896" t="s">
        <v>1854</v>
      </c>
      <c r="T83" s="4935"/>
      <c r="U83" s="4907"/>
      <c r="V83" s="2711"/>
      <c r="W83" s="2685"/>
      <c r="X83" s="2685"/>
      <c r="Y83" s="2575"/>
      <c r="Z83" s="2680"/>
      <c r="AA83" s="2680"/>
      <c r="AB83" s="2364"/>
    </row>
    <row r="84" spans="1:28" ht="39.950000000000003" customHeight="1">
      <c r="A84" s="4752"/>
      <c r="B84" s="3474"/>
      <c r="C84" s="3478"/>
      <c r="D84" s="3478"/>
      <c r="E84" s="3478"/>
      <c r="F84" s="5278"/>
      <c r="G84" s="4635"/>
      <c r="I84" s="4910"/>
      <c r="J84" s="3561"/>
      <c r="K84" s="3561"/>
      <c r="L84" s="4570"/>
      <c r="M84" s="4920" t="s">
        <v>1853</v>
      </c>
      <c r="N84" s="4920"/>
      <c r="O84" s="4920"/>
      <c r="P84" s="4931"/>
      <c r="Q84" s="4931"/>
      <c r="R84" s="4921"/>
      <c r="S84" s="4901" t="s">
        <v>1855</v>
      </c>
      <c r="T84" s="4929"/>
      <c r="U84" s="4910"/>
      <c r="V84" s="2711"/>
      <c r="W84" s="2550"/>
      <c r="X84" s="2550"/>
      <c r="Y84" s="2400"/>
      <c r="Z84" s="2694"/>
      <c r="AA84" s="2694"/>
      <c r="AB84" s="2145"/>
    </row>
    <row r="85" spans="1:28" ht="39.950000000000003" customHeight="1">
      <c r="A85" s="4751"/>
      <c r="B85" s="6"/>
      <c r="C85" s="3471"/>
      <c r="D85" s="3471"/>
      <c r="E85" s="3471"/>
      <c r="F85" s="5271"/>
      <c r="G85" s="3295"/>
      <c r="I85" s="4911"/>
      <c r="J85" s="4572"/>
      <c r="K85" s="4572"/>
      <c r="L85" s="4626"/>
      <c r="M85" s="4971" t="s">
        <v>1859</v>
      </c>
      <c r="N85" s="4920"/>
      <c r="O85" s="4920"/>
      <c r="P85" s="4931"/>
      <c r="Q85" s="4931"/>
      <c r="R85" s="4921"/>
      <c r="S85" s="4897" t="s">
        <v>1344</v>
      </c>
      <c r="T85" s="4929"/>
      <c r="U85" s="4911"/>
      <c r="V85" s="2711"/>
      <c r="W85" s="2550"/>
      <c r="X85" s="2550"/>
      <c r="Y85" s="2575"/>
      <c r="Z85" s="2144"/>
      <c r="AA85" s="2410"/>
      <c r="AB85" s="2410"/>
    </row>
    <row r="86" spans="1:28" ht="39.950000000000003" customHeight="1">
      <c r="A86" s="4752"/>
      <c r="B86" s="4894"/>
      <c r="C86" s="4894"/>
      <c r="F86" s="4617"/>
      <c r="G86" s="3316"/>
      <c r="I86" s="4906"/>
      <c r="J86" s="3473"/>
      <c r="K86" s="3473"/>
      <c r="L86" s="3228"/>
      <c r="M86" s="4920" t="s">
        <v>1856</v>
      </c>
      <c r="N86" s="4920"/>
      <c r="O86" s="4920"/>
      <c r="P86" s="4931"/>
      <c r="Q86" s="4931"/>
      <c r="R86" s="4921"/>
      <c r="S86" s="4896" t="s">
        <v>1857</v>
      </c>
      <c r="T86" s="4929"/>
      <c r="U86" s="4906"/>
      <c r="V86" s="2711"/>
      <c r="W86" s="2550"/>
      <c r="X86" s="2550"/>
      <c r="Y86" s="2695"/>
      <c r="Z86" s="2144"/>
      <c r="AA86" s="2410"/>
      <c r="AB86" s="2419"/>
    </row>
    <row r="87" spans="1:28" ht="30.75" customHeight="1">
      <c r="A87" s="4753"/>
      <c r="B87" s="4894"/>
      <c r="C87" s="4894"/>
      <c r="F87" s="4617"/>
      <c r="G87" s="3316"/>
      <c r="I87" s="4906"/>
      <c r="J87" s="3473"/>
      <c r="K87" s="3473"/>
      <c r="L87" s="3228"/>
      <c r="M87" s="3525" t="s">
        <v>1812</v>
      </c>
      <c r="N87" s="3473"/>
      <c r="O87" s="3473"/>
      <c r="P87" s="3473"/>
      <c r="Q87" s="3473"/>
      <c r="R87" s="3479"/>
      <c r="S87" s="4639"/>
      <c r="T87" s="3478"/>
      <c r="U87" s="3475"/>
      <c r="V87" s="2711"/>
      <c r="W87" s="2550"/>
      <c r="X87" s="2550"/>
      <c r="Y87" s="2400"/>
      <c r="Z87" s="2144"/>
      <c r="AA87" s="2410"/>
      <c r="AB87" s="2419"/>
    </row>
    <row r="88" spans="1:28" ht="34.5" customHeight="1">
      <c r="A88" s="4752"/>
      <c r="B88" s="4621"/>
      <c r="C88" s="4621"/>
      <c r="D88" s="4621"/>
      <c r="E88" s="4621"/>
      <c r="F88" s="3479"/>
      <c r="G88" s="4898"/>
      <c r="H88" s="3473"/>
      <c r="I88" s="4912"/>
      <c r="J88" s="4581"/>
      <c r="K88" s="4581"/>
      <c r="L88" s="4580"/>
      <c r="M88" s="3227" t="s">
        <v>1813</v>
      </c>
      <c r="N88" s="3473"/>
      <c r="O88" s="3473"/>
      <c r="P88" s="3473"/>
      <c r="Q88" s="3473"/>
      <c r="R88" s="4568"/>
      <c r="S88" s="4639"/>
      <c r="T88" s="3473"/>
      <c r="U88" s="4586"/>
      <c r="V88" s="2711"/>
      <c r="W88" s="2552"/>
      <c r="X88" s="2686"/>
      <c r="Y88" s="2575"/>
      <c r="Z88" s="2145"/>
      <c r="AA88" s="2696"/>
      <c r="AB88" s="2419"/>
    </row>
    <row r="89" spans="1:28" ht="35.25">
      <c r="A89" s="4752"/>
      <c r="B89" s="3478"/>
      <c r="C89" s="3478"/>
      <c r="D89" s="3478"/>
      <c r="E89" s="3478"/>
      <c r="F89" s="4893"/>
      <c r="G89" s="4895"/>
      <c r="H89" s="3478"/>
      <c r="I89" s="4911"/>
      <c r="J89" s="4581"/>
      <c r="K89" s="4581"/>
      <c r="L89" s="4580"/>
      <c r="M89" s="3227" t="s">
        <v>1814</v>
      </c>
      <c r="N89" s="3473"/>
      <c r="O89" s="3473"/>
      <c r="P89" s="3473"/>
      <c r="Q89" s="3473"/>
      <c r="R89" s="3479"/>
      <c r="S89" s="4635"/>
      <c r="T89" s="3478"/>
      <c r="U89" s="4571"/>
      <c r="V89" s="2912"/>
      <c r="W89" s="2693"/>
      <c r="X89" s="2692"/>
      <c r="Y89" s="2691"/>
      <c r="Z89" s="2692"/>
      <c r="AA89" s="2690"/>
      <c r="AB89" s="2688"/>
    </row>
    <row r="90" spans="1:28" ht="34.5" customHeight="1">
      <c r="A90" s="4752"/>
      <c r="B90" s="3471"/>
      <c r="C90" s="3471"/>
      <c r="D90" s="3471"/>
      <c r="E90" s="3471"/>
      <c r="F90" s="4615"/>
      <c r="G90" s="4895"/>
      <c r="H90" s="3471"/>
      <c r="I90" s="4906"/>
      <c r="J90" s="4581"/>
      <c r="K90" s="4581"/>
      <c r="L90" s="4580"/>
      <c r="M90" s="3227" t="s">
        <v>1815</v>
      </c>
      <c r="N90" s="4641"/>
      <c r="O90" s="4641"/>
      <c r="P90" s="4641"/>
      <c r="Q90" s="4641"/>
      <c r="R90" s="4642"/>
      <c r="S90" s="4635"/>
      <c r="T90" s="3478"/>
      <c r="U90" s="3475"/>
      <c r="V90" s="2551"/>
      <c r="W90" s="2693"/>
      <c r="X90" s="2692"/>
      <c r="Y90" s="2691"/>
      <c r="Z90" s="2692"/>
      <c r="AA90" s="2690"/>
      <c r="AB90" s="2688"/>
    </row>
    <row r="91" spans="1:28" ht="35.25">
      <c r="A91" s="4752"/>
      <c r="B91" s="3471"/>
      <c r="C91" s="4575"/>
      <c r="D91" s="4575"/>
      <c r="E91" s="4575"/>
      <c r="F91" s="4892"/>
      <c r="G91" s="4899"/>
      <c r="H91" s="3471"/>
      <c r="I91" s="4912"/>
      <c r="J91" s="4581"/>
      <c r="K91" s="4581"/>
      <c r="L91" s="4585"/>
      <c r="M91" s="3227" t="s">
        <v>1825</v>
      </c>
      <c r="N91" s="4641"/>
      <c r="O91" s="4643"/>
      <c r="P91" s="4643"/>
      <c r="Q91" s="4643"/>
      <c r="R91" s="4644"/>
      <c r="S91" s="4639"/>
      <c r="T91" s="3473"/>
      <c r="U91" s="4586"/>
      <c r="V91" s="2551"/>
      <c r="W91" s="2546"/>
      <c r="X91" s="345"/>
      <c r="Y91" s="345"/>
      <c r="Z91" s="345"/>
      <c r="AA91" s="345"/>
    </row>
    <row r="92" spans="1:28" ht="35.25">
      <c r="A92" s="4752"/>
      <c r="B92" s="3561"/>
      <c r="C92" s="3473"/>
      <c r="D92" s="3473"/>
      <c r="E92" s="3473"/>
      <c r="F92" s="3479"/>
      <c r="G92" s="4897"/>
      <c r="H92" s="3561"/>
      <c r="I92" s="4912"/>
      <c r="J92" s="4581"/>
      <c r="K92" s="4581"/>
      <c r="L92" s="4586"/>
      <c r="M92" s="3227" t="s">
        <v>1826</v>
      </c>
      <c r="N92" s="4577"/>
      <c r="O92" s="4572"/>
      <c r="P92" s="4572"/>
      <c r="Q92" s="4572"/>
      <c r="R92" s="4617"/>
      <c r="S92" s="4635"/>
      <c r="T92" s="3473"/>
      <c r="U92" s="4586"/>
      <c r="V92" s="2551"/>
      <c r="W92" s="2547"/>
      <c r="X92" s="345"/>
      <c r="Y92" s="345"/>
      <c r="Z92" s="345"/>
      <c r="AA92" s="345"/>
    </row>
    <row r="93" spans="1:28" ht="34.5">
      <c r="A93" s="4752"/>
      <c r="B93" s="4621"/>
      <c r="C93" s="4621"/>
      <c r="D93" s="4621"/>
      <c r="E93" s="4621"/>
      <c r="F93" s="3479"/>
      <c r="G93" s="4896"/>
      <c r="H93" s="3473"/>
      <c r="I93" s="4912"/>
      <c r="J93" s="4581"/>
      <c r="K93" s="4581"/>
      <c r="L93" s="4587"/>
      <c r="M93" s="3227" t="s">
        <v>1823</v>
      </c>
      <c r="N93" s="3561"/>
      <c r="O93" s="3473"/>
      <c r="P93" s="3473"/>
      <c r="Q93" s="3473"/>
      <c r="R93" s="3479"/>
      <c r="S93" s="1638" t="s">
        <v>1816</v>
      </c>
      <c r="T93" s="3473"/>
      <c r="U93" s="4586"/>
      <c r="V93" s="2551"/>
      <c r="W93" s="2117"/>
      <c r="X93" s="345"/>
      <c r="Y93" s="345"/>
      <c r="Z93" s="345"/>
      <c r="AA93" s="345"/>
    </row>
    <row r="94" spans="1:28" ht="31.5" customHeight="1">
      <c r="A94" s="4752"/>
      <c r="B94" s="3478"/>
      <c r="C94" s="3478"/>
      <c r="D94" s="3478"/>
      <c r="E94" s="3478"/>
      <c r="F94" s="4893"/>
      <c r="G94" s="4897"/>
      <c r="H94" s="3478"/>
      <c r="I94" s="4912"/>
      <c r="J94" s="4581"/>
      <c r="K94" s="4581"/>
      <c r="L94" s="4588"/>
      <c r="M94" s="3227" t="s">
        <v>1824</v>
      </c>
      <c r="N94" s="3561"/>
      <c r="O94" s="3473"/>
      <c r="P94" s="3473"/>
      <c r="Q94" s="3473"/>
      <c r="R94" s="4569"/>
      <c r="S94" s="4659" t="s">
        <v>1817</v>
      </c>
      <c r="T94" s="3471"/>
      <c r="U94" s="4586"/>
      <c r="V94" s="2913"/>
      <c r="W94" s="2117"/>
      <c r="X94" s="345"/>
      <c r="Y94" s="345"/>
      <c r="Z94" s="345"/>
      <c r="AA94" s="345"/>
    </row>
    <row r="95" spans="1:28" ht="31.5" customHeight="1">
      <c r="A95" s="4752"/>
      <c r="B95" s="3471"/>
      <c r="C95" s="4714"/>
      <c r="D95" s="4714"/>
      <c r="E95" s="4714"/>
      <c r="F95" s="4715"/>
      <c r="G95" s="4896"/>
      <c r="H95" s="3471"/>
      <c r="I95" s="4912"/>
      <c r="J95" s="4581"/>
      <c r="K95" s="4581"/>
      <c r="L95" s="4588"/>
      <c r="M95" s="3227" t="s">
        <v>1819</v>
      </c>
      <c r="N95" s="3473"/>
      <c r="O95" s="3473"/>
      <c r="P95" s="3473"/>
      <c r="Q95" s="3473"/>
      <c r="R95" s="4576"/>
      <c r="S95" s="1638" t="s">
        <v>1821</v>
      </c>
      <c r="T95" s="3471"/>
      <c r="U95" s="4586"/>
      <c r="V95" s="2913"/>
      <c r="W95" s="2117"/>
      <c r="X95" s="345"/>
      <c r="Y95" s="345"/>
      <c r="Z95" s="345"/>
      <c r="AA95" s="345"/>
    </row>
    <row r="96" spans="1:28" ht="31.5" customHeight="1">
      <c r="A96" s="4752"/>
      <c r="B96" s="3474"/>
      <c r="C96" s="3474"/>
      <c r="D96" s="3474"/>
      <c r="E96" s="3474"/>
      <c r="F96" s="3479"/>
      <c r="G96" s="1906"/>
      <c r="H96" s="4739"/>
      <c r="I96" s="4912"/>
      <c r="J96" s="4581"/>
      <c r="K96" s="4581"/>
      <c r="L96" s="4587"/>
      <c r="M96" s="3227" t="s">
        <v>1820</v>
      </c>
      <c r="N96" s="3474"/>
      <c r="O96" s="3474"/>
      <c r="P96" s="3474"/>
      <c r="Q96" s="3474"/>
      <c r="R96" s="4568"/>
      <c r="S96" s="4659" t="s">
        <v>1822</v>
      </c>
      <c r="T96" s="4577"/>
      <c r="U96" s="4586"/>
      <c r="V96" s="2915"/>
      <c r="W96" s="2117"/>
      <c r="X96" s="345"/>
      <c r="Y96" s="345"/>
      <c r="Z96" s="345"/>
      <c r="AA96" s="345"/>
    </row>
    <row r="97" spans="1:27" ht="31.5" customHeight="1">
      <c r="A97" s="4752"/>
      <c r="B97" s="3474"/>
      <c r="C97" s="3474"/>
      <c r="D97" s="3474"/>
      <c r="E97" s="3474"/>
      <c r="F97" s="3479"/>
      <c r="G97" s="2534"/>
      <c r="H97" s="3561"/>
      <c r="I97" s="4912"/>
      <c r="J97" s="4581"/>
      <c r="K97" s="4589"/>
      <c r="L97" s="4590"/>
      <c r="M97" s="3227" t="s">
        <v>1818</v>
      </c>
      <c r="N97" s="3474"/>
      <c r="O97" s="3474"/>
      <c r="P97" s="3474"/>
      <c r="Q97" s="3474"/>
      <c r="R97" s="4568"/>
      <c r="S97" s="1638"/>
      <c r="T97" s="3561"/>
      <c r="U97" s="4586"/>
      <c r="V97" s="2917"/>
      <c r="W97" s="2117"/>
      <c r="X97" s="345"/>
      <c r="Y97" s="345"/>
      <c r="Z97" s="345"/>
      <c r="AA97" s="345"/>
    </row>
    <row r="98" spans="1:27" ht="31.5" customHeight="1">
      <c r="A98" s="4753"/>
      <c r="B98" s="3471"/>
      <c r="C98" s="3471"/>
      <c r="D98" s="3471"/>
      <c r="E98" s="3471"/>
      <c r="F98" s="3479"/>
      <c r="G98" s="1906"/>
      <c r="H98" s="3561"/>
      <c r="I98" s="4913"/>
      <c r="J98" s="4579"/>
      <c r="K98" s="4579"/>
      <c r="L98" s="4587"/>
      <c r="M98" s="4606" t="s">
        <v>1804</v>
      </c>
      <c r="N98" s="3471"/>
      <c r="O98" s="3471"/>
      <c r="P98" s="3471"/>
      <c r="Q98" s="3471"/>
      <c r="R98" s="4568"/>
      <c r="S98" s="4659" t="s">
        <v>1805</v>
      </c>
      <c r="T98" s="3561"/>
      <c r="U98" s="4604"/>
      <c r="V98" s="2918"/>
      <c r="W98" s="2117"/>
      <c r="X98" s="345"/>
      <c r="Y98" s="345"/>
      <c r="Z98" s="345"/>
      <c r="AA98" s="345"/>
    </row>
    <row r="99" spans="1:27" ht="31.5" customHeight="1">
      <c r="A99" s="4752"/>
      <c r="B99" s="3473"/>
      <c r="C99" s="3473"/>
      <c r="D99" s="3473"/>
      <c r="E99" s="3473"/>
      <c r="F99" s="4576"/>
      <c r="G99" s="3227"/>
      <c r="H99" s="3473"/>
      <c r="I99" s="4912"/>
      <c r="J99" s="4581"/>
      <c r="K99" s="4581"/>
      <c r="L99" s="4582"/>
      <c r="M99" s="3072" t="s">
        <v>1349</v>
      </c>
      <c r="N99" s="2679"/>
      <c r="O99" s="2679"/>
      <c r="P99" s="2679"/>
      <c r="Q99" s="3077"/>
      <c r="R99" s="3072"/>
      <c r="S99" s="1638" t="s">
        <v>1348</v>
      </c>
      <c r="T99" s="2916"/>
      <c r="U99" s="2914"/>
      <c r="V99" s="2918"/>
      <c r="W99" s="2117"/>
      <c r="X99" s="345"/>
      <c r="Y99" s="345"/>
      <c r="Z99" s="345"/>
      <c r="AA99" s="345"/>
    </row>
    <row r="100" spans="1:27" ht="31.5" customHeight="1">
      <c r="A100" s="4752"/>
      <c r="B100" s="3471"/>
      <c r="C100" s="3471"/>
      <c r="D100" s="3471"/>
      <c r="E100" s="3471"/>
      <c r="F100" s="3479"/>
      <c r="G100" s="4740"/>
      <c r="H100" s="3471"/>
      <c r="I100" s="4913"/>
      <c r="J100" s="4584"/>
      <c r="K100" s="4579"/>
      <c r="L100" s="4587"/>
      <c r="M100" s="3062" t="s">
        <v>1350</v>
      </c>
      <c r="N100" s="3073"/>
      <c r="O100" s="3073"/>
      <c r="P100" s="3073"/>
      <c r="Q100" s="3078"/>
      <c r="R100" s="3062"/>
      <c r="S100" s="2098" t="s">
        <v>1351</v>
      </c>
      <c r="T100" s="2098"/>
      <c r="U100" s="2134"/>
      <c r="V100" s="2134"/>
      <c r="W100" s="2117"/>
      <c r="X100" s="345"/>
      <c r="Y100" s="345"/>
      <c r="Z100" s="345"/>
      <c r="AA100" s="345"/>
    </row>
    <row r="101" spans="1:27" ht="31.5" customHeight="1">
      <c r="A101" s="4752"/>
      <c r="B101" s="3473"/>
      <c r="C101" s="3473"/>
      <c r="D101" s="3473"/>
      <c r="E101" s="3473"/>
      <c r="F101" s="4997"/>
      <c r="G101" s="3525"/>
      <c r="H101" s="3473"/>
      <c r="I101" s="4912"/>
      <c r="J101" s="4583"/>
      <c r="K101" s="4581"/>
      <c r="L101" s="4582"/>
      <c r="M101" s="3070" t="s">
        <v>1352</v>
      </c>
      <c r="N101" s="258"/>
      <c r="O101" s="258"/>
      <c r="P101" s="258"/>
      <c r="Q101" s="3075"/>
      <c r="R101" s="3070"/>
      <c r="S101" s="2098"/>
      <c r="T101" s="2098"/>
      <c r="U101" s="2098"/>
      <c r="V101" s="2098"/>
      <c r="W101" s="2117"/>
      <c r="X101" s="345"/>
      <c r="Y101" s="345"/>
      <c r="Z101" s="345"/>
      <c r="AA101" s="345"/>
    </row>
    <row r="102" spans="1:27" ht="31.5" customHeight="1">
      <c r="A102" s="4752"/>
      <c r="B102" s="3473"/>
      <c r="C102" s="3473"/>
      <c r="D102" s="3473"/>
      <c r="E102" s="3473"/>
      <c r="F102" s="4998"/>
      <c r="G102" s="4740"/>
      <c r="H102" s="3473"/>
      <c r="I102" s="4912"/>
      <c r="J102" s="4583"/>
      <c r="K102" s="4581"/>
      <c r="L102" s="4580"/>
      <c r="M102" s="3070" t="s">
        <v>1353</v>
      </c>
      <c r="N102" s="258"/>
      <c r="O102" s="258"/>
      <c r="P102" s="258"/>
      <c r="Q102" s="3075"/>
      <c r="R102" s="3070"/>
      <c r="S102" s="2098" t="s">
        <v>1355</v>
      </c>
      <c r="T102" s="2098"/>
      <c r="U102" s="2098"/>
      <c r="V102" s="2098"/>
      <c r="W102" s="2117"/>
      <c r="X102" s="345"/>
      <c r="Y102" s="345"/>
      <c r="Z102" s="345"/>
      <c r="AA102" s="345"/>
    </row>
    <row r="103" spans="1:27" ht="35.25" customHeight="1">
      <c r="A103" s="4752"/>
      <c r="B103" s="3226"/>
      <c r="C103" s="3226"/>
      <c r="D103" s="3226"/>
      <c r="E103" s="2679"/>
      <c r="F103" s="3079"/>
      <c r="G103" s="3525"/>
      <c r="H103" s="3226"/>
      <c r="I103" s="4914"/>
      <c r="J103" s="4591"/>
      <c r="K103" s="4592"/>
      <c r="L103" s="4593"/>
      <c r="M103" s="3070" t="s">
        <v>1354</v>
      </c>
      <c r="N103" s="258"/>
      <c r="O103" s="2679"/>
      <c r="P103" s="2679"/>
      <c r="Q103" s="3077"/>
      <c r="R103" s="3070"/>
      <c r="S103" s="2098" t="s">
        <v>1356</v>
      </c>
      <c r="T103" s="2098"/>
      <c r="U103" s="2098"/>
      <c r="V103" s="2098"/>
      <c r="W103" s="2117"/>
      <c r="X103" s="345"/>
      <c r="Y103" s="345"/>
      <c r="Z103" s="345"/>
      <c r="AA103" s="345"/>
    </row>
    <row r="104" spans="1:27" ht="35.25" customHeight="1">
      <c r="A104" s="4752"/>
      <c r="B104" s="3231"/>
      <c r="C104" s="3226"/>
      <c r="D104" s="3226"/>
      <c r="E104" s="2679"/>
      <c r="F104" s="3075"/>
      <c r="G104" s="3227"/>
      <c r="H104" s="4741"/>
      <c r="I104" s="4914"/>
      <c r="J104" s="4591"/>
      <c r="K104" s="4592"/>
      <c r="L104" s="4594"/>
      <c r="M104" s="2400" t="s">
        <v>1357</v>
      </c>
      <c r="N104" s="258"/>
      <c r="O104" s="2679"/>
      <c r="P104" s="2679"/>
      <c r="Q104" s="3077"/>
      <c r="R104" s="3070"/>
      <c r="S104" s="2098"/>
      <c r="T104" s="2098"/>
      <c r="U104" s="2098"/>
      <c r="V104" s="2098"/>
      <c r="W104" s="345"/>
      <c r="X104" s="345"/>
      <c r="Y104" s="345"/>
      <c r="Z104" s="345"/>
      <c r="AA104" s="345"/>
    </row>
    <row r="105" spans="1:27" ht="33" customHeight="1">
      <c r="A105" s="4752"/>
      <c r="B105" s="3231"/>
      <c r="C105" s="3285"/>
      <c r="D105" s="3226"/>
      <c r="E105" s="2679"/>
      <c r="F105" s="3075"/>
      <c r="G105" s="3227"/>
      <c r="H105" s="3231"/>
      <c r="I105" s="4915"/>
      <c r="J105" s="4591"/>
      <c r="K105" s="4592"/>
      <c r="L105" s="4594"/>
      <c r="M105" s="3070" t="s">
        <v>1358</v>
      </c>
      <c r="N105" s="258"/>
      <c r="O105" s="3074"/>
      <c r="P105" s="2679"/>
      <c r="Q105" s="3077"/>
      <c r="R105" s="3070"/>
      <c r="S105" s="2098"/>
      <c r="T105" s="2098"/>
      <c r="U105" s="2098"/>
      <c r="V105" s="2098"/>
      <c r="W105" s="345"/>
      <c r="X105" s="345"/>
      <c r="Y105" s="345"/>
      <c r="Z105" s="345"/>
      <c r="AA105" s="345"/>
    </row>
    <row r="106" spans="1:27" ht="30" hidden="1" customHeight="1">
      <c r="A106" s="4753"/>
      <c r="B106" s="3231"/>
      <c r="C106" s="3231"/>
      <c r="D106" s="3231"/>
      <c r="E106" s="258"/>
      <c r="F106" s="3075"/>
      <c r="G106" s="4595"/>
      <c r="H106" s="4580"/>
      <c r="I106" s="4916"/>
      <c r="J106" s="4596"/>
      <c r="K106" s="4597"/>
      <c r="L106" s="4594"/>
      <c r="M106" s="3062" t="s">
        <v>1253</v>
      </c>
      <c r="N106" s="258"/>
      <c r="O106" s="2679"/>
      <c r="P106" s="2679"/>
      <c r="Q106" s="3077"/>
      <c r="R106" s="3062"/>
      <c r="S106" s="2144"/>
      <c r="T106" s="2144"/>
      <c r="U106" s="2364"/>
      <c r="V106" s="2098"/>
      <c r="W106" s="345"/>
      <c r="X106" s="345"/>
      <c r="Y106" s="345"/>
      <c r="Z106" s="345"/>
      <c r="AA106" s="345"/>
    </row>
    <row r="107" spans="1:27" ht="36" customHeight="1" thickBot="1">
      <c r="A107" s="4754"/>
      <c r="B107" s="3477"/>
      <c r="C107" s="3477"/>
      <c r="D107" s="3477"/>
      <c r="E107" s="3076"/>
      <c r="F107" s="3480"/>
      <c r="G107" s="4598"/>
      <c r="H107" s="4599"/>
      <c r="I107" s="4917"/>
      <c r="J107" s="4599"/>
      <c r="K107" s="4600"/>
      <c r="L107" s="4601"/>
      <c r="M107" s="3071" t="s">
        <v>1261</v>
      </c>
      <c r="N107" s="258"/>
      <c r="O107" s="2679"/>
      <c r="P107" s="3073"/>
      <c r="Q107" s="3078"/>
      <c r="R107" s="3071"/>
      <c r="S107" s="2098"/>
      <c r="T107" s="2098"/>
      <c r="U107" s="2364"/>
      <c r="V107" s="2098"/>
      <c r="W107" s="345"/>
      <c r="X107" s="345"/>
      <c r="Y107" s="345"/>
      <c r="Z107" s="345"/>
      <c r="AA107" s="345"/>
    </row>
    <row r="108" spans="1:27" ht="35.25" customHeight="1">
      <c r="A108" s="3222"/>
      <c r="B108" s="2618"/>
      <c r="C108" s="2618"/>
      <c r="D108" s="2618"/>
      <c r="E108" s="2618"/>
      <c r="F108" s="2439"/>
      <c r="G108" s="2440"/>
      <c r="H108" s="2441"/>
      <c r="I108" s="414"/>
      <c r="K108" s="345"/>
      <c r="L108" s="2098"/>
      <c r="M108" s="3071" t="s">
        <v>1254</v>
      </c>
      <c r="N108" s="258"/>
      <c r="O108" s="2679"/>
      <c r="P108" s="258"/>
      <c r="Q108" s="3075"/>
      <c r="R108" s="3071"/>
      <c r="S108" s="2098"/>
      <c r="T108" s="2098"/>
      <c r="U108" s="2098"/>
      <c r="V108" s="2098"/>
      <c r="W108" s="345"/>
      <c r="X108" s="345"/>
      <c r="Y108" s="345"/>
      <c r="Z108" s="345"/>
      <c r="AA108" s="345"/>
    </row>
    <row r="109" spans="1:27" ht="35.25" customHeight="1">
      <c r="A109" s="3222"/>
      <c r="B109" s="2614"/>
      <c r="C109" s="2614"/>
      <c r="D109" s="2614"/>
      <c r="E109" s="2614"/>
      <c r="F109" s="1711"/>
      <c r="G109" s="1712"/>
      <c r="H109" s="1713"/>
      <c r="I109" s="414"/>
      <c r="K109" s="345"/>
      <c r="L109" s="2098"/>
      <c r="M109" s="3062" t="s">
        <v>1262</v>
      </c>
      <c r="N109" s="258"/>
      <c r="O109" s="3073"/>
      <c r="P109" s="2679"/>
      <c r="Q109" s="3077"/>
      <c r="R109" s="3062"/>
      <c r="S109" s="2098"/>
      <c r="T109" s="2098"/>
      <c r="U109" s="2098"/>
      <c r="V109" s="2098"/>
      <c r="W109" s="345"/>
      <c r="X109" s="345"/>
      <c r="Y109" s="345"/>
      <c r="Z109" s="345"/>
      <c r="AA109" s="345"/>
    </row>
    <row r="110" spans="1:27" ht="31.5" customHeight="1">
      <c r="A110" s="3222"/>
      <c r="B110" s="2682"/>
      <c r="C110" s="2683"/>
      <c r="D110" s="2682"/>
      <c r="E110" s="2684"/>
      <c r="F110" s="405"/>
      <c r="G110" s="406"/>
      <c r="H110" s="2687"/>
      <c r="I110" s="414"/>
      <c r="K110" s="345"/>
      <c r="L110" s="2098"/>
      <c r="M110" s="3071" t="s">
        <v>1255</v>
      </c>
      <c r="N110" s="258"/>
      <c r="O110" s="2679"/>
      <c r="P110" s="2679"/>
      <c r="Q110" s="3077"/>
      <c r="R110" s="3071"/>
      <c r="S110" s="2098"/>
      <c r="T110" s="2098"/>
      <c r="U110" s="2098"/>
      <c r="V110" s="2098"/>
      <c r="W110" s="345"/>
      <c r="X110" s="345"/>
      <c r="Y110" s="345"/>
      <c r="Z110" s="345"/>
      <c r="AA110" s="345"/>
    </row>
    <row r="111" spans="1:27" ht="32.25" customHeight="1">
      <c r="A111" s="3222"/>
      <c r="B111" s="2682"/>
      <c r="C111" s="2682"/>
      <c r="D111" s="2682"/>
      <c r="E111" s="2684"/>
      <c r="F111" s="405"/>
      <c r="G111" s="406"/>
      <c r="H111" s="2741"/>
      <c r="I111" s="414"/>
      <c r="K111" s="345"/>
      <c r="L111" s="2098"/>
      <c r="M111" s="3071" t="s">
        <v>1256</v>
      </c>
      <c r="N111" s="258"/>
      <c r="O111" s="2679"/>
      <c r="P111" s="2679"/>
      <c r="Q111" s="3077"/>
      <c r="R111" s="3071"/>
      <c r="S111" s="2098"/>
      <c r="T111" s="2098"/>
      <c r="U111" s="2364"/>
      <c r="V111" s="2098"/>
      <c r="W111" s="345"/>
      <c r="X111" s="345"/>
      <c r="Y111" s="345"/>
      <c r="Z111" s="345"/>
      <c r="AA111" s="345"/>
    </row>
    <row r="112" spans="1:27" ht="36.75" customHeight="1">
      <c r="A112" s="3223"/>
      <c r="B112" s="2743" t="s">
        <v>1730</v>
      </c>
      <c r="C112" s="2743"/>
      <c r="D112" s="2743"/>
      <c r="E112" s="2743" t="s">
        <v>424</v>
      </c>
      <c r="F112" s="2743"/>
      <c r="G112" s="2743"/>
      <c r="H112" s="2743" t="s">
        <v>1212</v>
      </c>
      <c r="I112" s="2744"/>
      <c r="K112" s="345"/>
      <c r="L112" s="1633"/>
      <c r="M112" s="3070" t="s">
        <v>1257</v>
      </c>
      <c r="N112" s="258"/>
      <c r="O112" s="2679"/>
      <c r="P112" s="2679"/>
      <c r="Q112" s="3077"/>
      <c r="R112" s="3070"/>
      <c r="S112" s="2098"/>
      <c r="T112" s="2098"/>
      <c r="U112" s="2364"/>
      <c r="V112" s="2098"/>
      <c r="W112" s="345"/>
      <c r="X112" s="345"/>
      <c r="Y112" s="345"/>
      <c r="Z112" s="345"/>
      <c r="AA112" s="345"/>
    </row>
    <row r="113" spans="1:51" ht="30" customHeight="1" thickBot="1">
      <c r="A113" s="3224"/>
      <c r="B113" s="2745" t="s">
        <v>377</v>
      </c>
      <c r="C113" s="2746"/>
      <c r="D113" s="2745"/>
      <c r="E113" s="2747" t="s">
        <v>376</v>
      </c>
      <c r="F113" s="2745"/>
      <c r="G113" s="2748"/>
      <c r="H113" s="2749" t="s">
        <v>581</v>
      </c>
      <c r="I113" s="2750"/>
      <c r="K113" s="345"/>
      <c r="L113" s="2364"/>
      <c r="M113" s="126" t="s">
        <v>1258</v>
      </c>
      <c r="N113" s="258"/>
      <c r="O113" s="3074"/>
      <c r="P113" s="2679"/>
      <c r="Q113" s="3077"/>
      <c r="R113" s="3072"/>
      <c r="S113" s="2098"/>
      <c r="T113" s="2098"/>
      <c r="U113" s="2363"/>
      <c r="V113" s="2098"/>
      <c r="W113" s="345"/>
      <c r="X113" s="345"/>
      <c r="Y113" s="345"/>
      <c r="Z113" s="345"/>
      <c r="AA113" s="345"/>
    </row>
    <row r="114" spans="1:51" ht="29.25" customHeight="1">
      <c r="A114" s="2637"/>
      <c r="B114" s="2682"/>
      <c r="C114" s="2682"/>
      <c r="D114" s="2682"/>
      <c r="E114" s="2684"/>
      <c r="F114" s="405"/>
      <c r="G114" s="406"/>
      <c r="H114" s="2741"/>
      <c r="I114" s="2742"/>
      <c r="K114" s="345"/>
      <c r="L114" s="2681"/>
      <c r="M114" s="3070" t="s">
        <v>1259</v>
      </c>
      <c r="N114" s="258"/>
      <c r="O114" s="2679"/>
      <c r="P114" s="2679"/>
      <c r="Q114" s="3077"/>
      <c r="R114" s="3071"/>
      <c r="S114" s="2098"/>
      <c r="T114" s="2098"/>
      <c r="U114" s="2098"/>
      <c r="V114" s="2098"/>
      <c r="W114" s="345"/>
      <c r="X114" s="345"/>
      <c r="Y114" s="345"/>
      <c r="Z114" s="345"/>
      <c r="AA114" s="345"/>
    </row>
    <row r="115" spans="1:51" ht="22.5" customHeight="1">
      <c r="A115" s="2145"/>
      <c r="B115" s="2619"/>
      <c r="C115" s="2619"/>
      <c r="D115" s="2619"/>
      <c r="E115" s="2619"/>
      <c r="F115" s="2098"/>
      <c r="G115" s="2098"/>
      <c r="H115" s="2098"/>
      <c r="I115" s="2098"/>
      <c r="K115" s="345"/>
      <c r="L115" s="2098"/>
      <c r="M115" s="3070" t="s">
        <v>1260</v>
      </c>
      <c r="N115" s="258"/>
      <c r="O115" s="2679"/>
      <c r="P115" s="3073"/>
      <c r="Q115" s="3078"/>
      <c r="R115" s="3071"/>
      <c r="S115" s="2098"/>
      <c r="T115" s="2098"/>
      <c r="U115" s="2098"/>
      <c r="V115" s="2098"/>
      <c r="W115" s="345"/>
      <c r="X115" s="345"/>
      <c r="Y115" s="345"/>
      <c r="Z115" s="345"/>
      <c r="AA115" s="345"/>
    </row>
    <row r="116" spans="1:51" ht="34.5" customHeight="1">
      <c r="A116" s="2145"/>
      <c r="B116" s="2618"/>
      <c r="C116" s="2618"/>
      <c r="D116" s="2618"/>
      <c r="E116" s="2618"/>
      <c r="F116" s="2145"/>
      <c r="G116" s="2145"/>
      <c r="H116" s="2145"/>
      <c r="I116" s="2098"/>
      <c r="K116" s="345"/>
      <c r="L116" s="2098"/>
      <c r="M116" s="3070" t="s">
        <v>1294</v>
      </c>
      <c r="N116" s="258"/>
      <c r="O116" s="2679"/>
      <c r="P116" s="258"/>
      <c r="Q116" s="3075"/>
      <c r="R116" s="3072"/>
      <c r="S116" s="345"/>
      <c r="T116" s="345"/>
      <c r="U116" s="2098"/>
      <c r="V116" s="2098"/>
      <c r="W116" s="345"/>
      <c r="X116" s="345"/>
      <c r="Y116" s="345"/>
      <c r="Z116" s="345"/>
      <c r="AA116" s="345"/>
    </row>
    <row r="117" spans="1:51" ht="69.75" customHeight="1">
      <c r="A117" s="3236"/>
      <c r="B117" s="3236"/>
      <c r="C117" s="3236"/>
      <c r="D117" s="3236"/>
      <c r="E117" s="3236"/>
      <c r="F117" s="3236"/>
      <c r="G117" s="1633"/>
      <c r="H117" s="3236"/>
      <c r="I117" s="1633"/>
      <c r="J117" s="3288"/>
      <c r="K117" s="1615"/>
      <c r="L117" s="1633"/>
      <c r="M117" s="3187" t="s">
        <v>1267</v>
      </c>
      <c r="N117" s="3289"/>
      <c r="O117" s="1638"/>
      <c r="P117" s="3290"/>
      <c r="Q117" s="1633"/>
      <c r="R117" s="1633"/>
      <c r="S117" s="1633"/>
      <c r="T117" s="1633"/>
      <c r="U117" s="1633"/>
      <c r="V117" s="1633"/>
      <c r="W117" s="1615"/>
      <c r="X117" s="1615"/>
      <c r="Y117" s="1615"/>
      <c r="Z117" s="1615"/>
      <c r="AA117" s="1615"/>
      <c r="AB117" s="3288"/>
      <c r="AC117" s="3288"/>
      <c r="AD117" s="3288"/>
      <c r="AE117" s="3288"/>
      <c r="AF117" s="3288"/>
      <c r="AG117" s="3288"/>
      <c r="AH117" s="3288"/>
      <c r="AI117" s="3288"/>
      <c r="AJ117" s="3288"/>
      <c r="AK117" s="3288"/>
      <c r="AL117" s="3288"/>
      <c r="AM117" s="3288"/>
      <c r="AN117" s="3288"/>
      <c r="AO117" s="3288"/>
      <c r="AP117" s="3288"/>
      <c r="AQ117" s="3288"/>
      <c r="AR117" s="3288"/>
      <c r="AS117" s="3288"/>
      <c r="AT117" s="3288"/>
      <c r="AU117" s="3288"/>
      <c r="AV117" s="3288"/>
      <c r="AW117" s="3288"/>
      <c r="AX117" s="3288"/>
      <c r="AY117" s="3288"/>
    </row>
    <row r="118" spans="1:51" s="888" customFormat="1" ht="27.75">
      <c r="A118" s="3292"/>
      <c r="B118" s="3292"/>
      <c r="C118" s="3292"/>
      <c r="D118" s="3292"/>
      <c r="E118" s="3292"/>
      <c r="F118" s="3306"/>
      <c r="G118" s="3306"/>
      <c r="H118" s="3306"/>
      <c r="I118" s="3311"/>
      <c r="J118" s="3312"/>
      <c r="K118" s="3311"/>
      <c r="L118" s="3307"/>
      <c r="M118" s="3309" t="s">
        <v>1268</v>
      </c>
      <c r="N118" s="3295"/>
      <c r="O118" s="3306"/>
      <c r="P118" s="3307"/>
      <c r="Q118" s="3307"/>
      <c r="R118" s="3307"/>
      <c r="S118" s="3307"/>
      <c r="T118" s="3307"/>
      <c r="U118" s="3307"/>
      <c r="V118" s="3307"/>
      <c r="W118" s="3311"/>
      <c r="X118" s="3311"/>
      <c r="Y118" s="3311"/>
      <c r="Z118" s="3311"/>
      <c r="AA118" s="3311"/>
      <c r="AB118" s="3312"/>
      <c r="AC118" s="3312"/>
      <c r="AD118" s="3312"/>
      <c r="AE118" s="3312"/>
      <c r="AF118" s="3312"/>
      <c r="AG118" s="3312"/>
      <c r="AH118" s="3312"/>
      <c r="AI118" s="3312"/>
      <c r="AJ118" s="3312"/>
      <c r="AK118" s="3312"/>
      <c r="AL118" s="3312"/>
      <c r="AM118" s="3312"/>
      <c r="AN118" s="3312"/>
      <c r="AO118" s="3312"/>
      <c r="AP118" s="3312"/>
      <c r="AQ118" s="3312"/>
      <c r="AR118" s="3312"/>
      <c r="AS118" s="3312"/>
      <c r="AT118" s="3312"/>
      <c r="AU118" s="3312"/>
      <c r="AV118" s="3312"/>
      <c r="AW118" s="3312"/>
      <c r="AX118" s="3312"/>
      <c r="AY118" s="3312"/>
    </row>
    <row r="119" spans="1:51" s="888" customFormat="1" ht="27.75" customHeight="1">
      <c r="A119" s="3292"/>
      <c r="B119" s="3292"/>
      <c r="C119" s="3292"/>
      <c r="D119" s="3292"/>
      <c r="E119" s="3292"/>
      <c r="F119" s="3291"/>
      <c r="G119" s="3313"/>
      <c r="H119" s="3314"/>
      <c r="I119" s="3311"/>
      <c r="J119" s="3312"/>
      <c r="K119" s="3311"/>
      <c r="L119" s="3307"/>
      <c r="M119" s="3309" t="s">
        <v>1269</v>
      </c>
      <c r="N119" s="3295"/>
      <c r="O119" s="3306"/>
      <c r="P119" s="3307"/>
      <c r="Q119" s="3307"/>
      <c r="R119" s="3307"/>
      <c r="S119" s="3307"/>
      <c r="T119" s="3307"/>
      <c r="U119" s="3307"/>
      <c r="V119" s="3307"/>
      <c r="W119" s="3311"/>
      <c r="X119" s="3311"/>
      <c r="Y119" s="3311"/>
      <c r="Z119" s="3311"/>
      <c r="AA119" s="3311"/>
      <c r="AB119" s="3312"/>
      <c r="AC119" s="3312"/>
      <c r="AD119" s="3312"/>
      <c r="AE119" s="3312"/>
      <c r="AF119" s="3312"/>
      <c r="AG119" s="3312"/>
      <c r="AH119" s="3312"/>
      <c r="AI119" s="3312"/>
      <c r="AJ119" s="3312"/>
      <c r="AK119" s="3312"/>
      <c r="AL119" s="3312"/>
      <c r="AM119" s="3312"/>
      <c r="AN119" s="3312"/>
      <c r="AO119" s="3312"/>
      <c r="AP119" s="3312"/>
      <c r="AQ119" s="3312"/>
      <c r="AR119" s="3312"/>
      <c r="AS119" s="3312"/>
      <c r="AT119" s="3312"/>
      <c r="AU119" s="3312"/>
      <c r="AV119" s="3312"/>
      <c r="AW119" s="3312"/>
      <c r="AX119" s="3312"/>
      <c r="AY119" s="3312"/>
    </row>
    <row r="120" spans="1:51" s="888" customFormat="1" ht="27.75">
      <c r="A120" s="3292"/>
      <c r="B120" s="3306"/>
      <c r="C120" s="3306"/>
      <c r="D120" s="3306"/>
      <c r="E120" s="3306"/>
      <c r="F120" s="3292"/>
      <c r="G120" s="3315"/>
      <c r="H120" s="3344"/>
      <c r="I120" s="3311"/>
      <c r="J120" s="3312"/>
      <c r="K120" s="3311"/>
      <c r="L120" s="3307"/>
      <c r="M120" s="3309" t="s">
        <v>1270</v>
      </c>
      <c r="N120" s="3295"/>
      <c r="O120" s="3306"/>
      <c r="P120" s="3307"/>
      <c r="Q120" s="3311"/>
      <c r="R120" s="3311"/>
      <c r="S120" s="3311"/>
      <c r="T120" s="3311"/>
      <c r="U120" s="3311"/>
      <c r="V120" s="3311"/>
      <c r="W120" s="3311"/>
      <c r="X120" s="3311"/>
      <c r="Y120" s="3311"/>
      <c r="Z120" s="3311"/>
      <c r="AA120" s="3311"/>
      <c r="AB120" s="3312"/>
      <c r="AC120" s="3312"/>
      <c r="AD120" s="3312"/>
      <c r="AE120" s="3312"/>
      <c r="AF120" s="3312"/>
      <c r="AG120" s="3312"/>
      <c r="AH120" s="3312"/>
      <c r="AI120" s="3312"/>
      <c r="AJ120" s="3312"/>
      <c r="AK120" s="3312"/>
      <c r="AL120" s="3312"/>
      <c r="AM120" s="3312"/>
      <c r="AN120" s="3312"/>
      <c r="AO120" s="3312"/>
      <c r="AP120" s="3312"/>
      <c r="AQ120" s="3312"/>
      <c r="AR120" s="3312"/>
      <c r="AS120" s="3312"/>
      <c r="AT120" s="3312"/>
      <c r="AU120" s="3312"/>
      <c r="AV120" s="3312"/>
      <c r="AW120" s="3312"/>
      <c r="AX120" s="3312"/>
      <c r="AY120" s="3312"/>
    </row>
    <row r="121" spans="1:51" s="888" customFormat="1" ht="27.75">
      <c r="A121" s="3292"/>
      <c r="B121" s="3306"/>
      <c r="C121" s="3306"/>
      <c r="D121" s="3306"/>
      <c r="E121" s="3306"/>
      <c r="F121" s="3308"/>
      <c r="G121" s="3308"/>
      <c r="H121" s="3315"/>
      <c r="I121" s="3311"/>
      <c r="J121" s="3312"/>
      <c r="K121" s="3311"/>
      <c r="L121" s="3307"/>
      <c r="M121" s="3309" t="s">
        <v>1271</v>
      </c>
      <c r="N121" s="3295"/>
      <c r="O121" s="3306"/>
      <c r="P121" s="3307"/>
      <c r="Q121" s="3311"/>
      <c r="R121" s="3311"/>
      <c r="S121" s="3311"/>
      <c r="T121" s="3311"/>
      <c r="U121" s="3311"/>
      <c r="V121" s="3311"/>
      <c r="W121" s="3311"/>
      <c r="X121" s="3311"/>
      <c r="Y121" s="3311"/>
      <c r="Z121" s="3311"/>
      <c r="AA121" s="3311"/>
      <c r="AB121" s="3312"/>
      <c r="AC121" s="3312"/>
      <c r="AD121" s="3312"/>
      <c r="AE121" s="3312"/>
      <c r="AF121" s="3312"/>
      <c r="AG121" s="3312"/>
      <c r="AH121" s="3312"/>
      <c r="AI121" s="3312"/>
      <c r="AJ121" s="3312"/>
      <c r="AK121" s="3312"/>
      <c r="AL121" s="3312"/>
      <c r="AM121" s="3312"/>
      <c r="AN121" s="3312"/>
      <c r="AO121" s="3312"/>
      <c r="AP121" s="3312"/>
      <c r="AQ121" s="3312"/>
      <c r="AR121" s="3312"/>
      <c r="AS121" s="3312"/>
      <c r="AT121" s="3312"/>
      <c r="AU121" s="3312"/>
      <c r="AV121" s="3312"/>
      <c r="AW121" s="3312"/>
      <c r="AX121" s="3312"/>
      <c r="AY121" s="3312"/>
    </row>
    <row r="122" spans="1:51" s="888" customFormat="1" ht="27.75">
      <c r="A122" s="3292"/>
      <c r="B122" s="3306"/>
      <c r="C122" s="3306"/>
      <c r="D122" s="3306"/>
      <c r="E122" s="3306"/>
      <c r="F122" s="3345"/>
      <c r="G122" s="3345"/>
      <c r="H122" s="3346"/>
      <c r="I122" s="3311"/>
      <c r="J122" s="3312"/>
      <c r="K122" s="3311"/>
      <c r="L122" s="3307"/>
      <c r="M122" s="3309" t="s">
        <v>1272</v>
      </c>
      <c r="N122" s="3295"/>
      <c r="O122" s="3306"/>
      <c r="P122" s="3307"/>
      <c r="Q122" s="3311"/>
      <c r="R122" s="3311"/>
      <c r="S122" s="3311"/>
      <c r="T122" s="3311"/>
      <c r="U122" s="3311"/>
      <c r="V122" s="3311"/>
      <c r="W122" s="3311"/>
      <c r="X122" s="3311"/>
      <c r="Y122" s="3311"/>
      <c r="Z122" s="3311"/>
      <c r="AA122" s="3311"/>
      <c r="AB122" s="3312"/>
      <c r="AC122" s="3312"/>
      <c r="AD122" s="3312"/>
      <c r="AE122" s="3312"/>
      <c r="AF122" s="3312"/>
      <c r="AG122" s="3312"/>
      <c r="AH122" s="3312"/>
      <c r="AI122" s="3312"/>
      <c r="AJ122" s="3312"/>
      <c r="AK122" s="3312"/>
      <c r="AL122" s="3312"/>
      <c r="AM122" s="3312"/>
      <c r="AN122" s="3312"/>
      <c r="AO122" s="3312"/>
      <c r="AP122" s="3312"/>
      <c r="AQ122" s="3312"/>
      <c r="AR122" s="3312"/>
      <c r="AS122" s="3312"/>
      <c r="AT122" s="3312"/>
      <c r="AU122" s="3312"/>
      <c r="AV122" s="3312"/>
      <c r="AW122" s="3312"/>
      <c r="AX122" s="3312"/>
      <c r="AY122" s="3312"/>
    </row>
    <row r="123" spans="1:51" s="888" customFormat="1" ht="27.75">
      <c r="A123" s="3307" t="s">
        <v>1371</v>
      </c>
      <c r="B123" s="3292"/>
      <c r="C123" s="3292"/>
      <c r="D123" s="3292"/>
      <c r="E123" s="3307"/>
      <c r="F123" s="3292"/>
      <c r="G123" s="3292"/>
      <c r="H123" s="3311"/>
      <c r="I123" s="3311"/>
      <c r="J123" s="3312"/>
      <c r="K123" s="3311"/>
      <c r="L123" s="3307"/>
      <c r="M123" s="3309" t="s">
        <v>1295</v>
      </c>
      <c r="N123" s="3295"/>
      <c r="O123" s="3306"/>
      <c r="P123" s="3307"/>
      <c r="Q123" s="3311"/>
      <c r="R123" s="3311"/>
      <c r="S123" s="3311"/>
      <c r="T123" s="3311"/>
      <c r="U123" s="3311"/>
      <c r="V123" s="3311"/>
      <c r="W123" s="3311"/>
      <c r="X123" s="3311"/>
      <c r="Y123" s="3311"/>
      <c r="Z123" s="3311"/>
      <c r="AA123" s="3311"/>
      <c r="AB123" s="3312"/>
      <c r="AC123" s="3312"/>
      <c r="AD123" s="3312"/>
      <c r="AE123" s="3312"/>
      <c r="AF123" s="3312"/>
      <c r="AG123" s="3312"/>
      <c r="AH123" s="3312"/>
      <c r="AI123" s="3312"/>
      <c r="AJ123" s="3312"/>
      <c r="AK123" s="3312"/>
      <c r="AL123" s="3312"/>
      <c r="AM123" s="3312"/>
      <c r="AN123" s="3312"/>
      <c r="AO123" s="3312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3312"/>
    </row>
    <row r="124" spans="1:51" s="888" customFormat="1" ht="27.75">
      <c r="A124" s="3292" t="s">
        <v>1372</v>
      </c>
      <c r="B124" s="2771"/>
      <c r="C124" s="3347"/>
      <c r="D124" s="2771"/>
      <c r="E124" s="3292"/>
      <c r="F124" s="2771"/>
      <c r="G124" s="3306"/>
      <c r="H124" s="3345"/>
      <c r="I124" s="3311"/>
      <c r="J124" s="3312"/>
      <c r="K124" s="3311"/>
      <c r="L124" s="3307"/>
      <c r="M124" s="3309" t="s">
        <v>1273</v>
      </c>
      <c r="N124" s="3295"/>
      <c r="O124" s="3306"/>
      <c r="P124" s="3307"/>
      <c r="Q124" s="3311"/>
      <c r="R124" s="3311"/>
      <c r="S124" s="3311"/>
      <c r="T124" s="3311"/>
      <c r="U124" s="3311"/>
      <c r="V124" s="3311"/>
      <c r="W124" s="3311"/>
      <c r="X124" s="3311"/>
      <c r="Y124" s="3311"/>
      <c r="Z124" s="3311"/>
      <c r="AA124" s="3311"/>
      <c r="AB124" s="3312"/>
      <c r="AC124" s="3312"/>
      <c r="AD124" s="3312"/>
      <c r="AE124" s="3312"/>
      <c r="AF124" s="3312"/>
      <c r="AG124" s="3312"/>
      <c r="AH124" s="3312"/>
      <c r="AI124" s="3312"/>
      <c r="AJ124" s="3312"/>
      <c r="AK124" s="3312"/>
      <c r="AL124" s="3312"/>
      <c r="AM124" s="3312"/>
      <c r="AN124" s="3312"/>
      <c r="AO124" s="3312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3312"/>
    </row>
    <row r="125" spans="1:51" s="888" customFormat="1" ht="27.75">
      <c r="A125" s="3292" t="s">
        <v>1373</v>
      </c>
      <c r="B125" s="2771"/>
      <c r="C125" s="2771"/>
      <c r="D125" s="2771"/>
      <c r="E125" s="3292"/>
      <c r="F125" s="2771"/>
      <c r="G125" s="3306"/>
      <c r="H125" s="3348"/>
      <c r="I125" s="3311"/>
      <c r="J125" s="3312"/>
      <c r="K125" s="3311"/>
      <c r="L125" s="3307"/>
      <c r="M125" s="3309" t="s">
        <v>1274</v>
      </c>
      <c r="N125" s="3295"/>
      <c r="O125" s="3306"/>
      <c r="P125" s="3307"/>
      <c r="Q125" s="3311"/>
      <c r="R125" s="3311"/>
      <c r="S125" s="3311"/>
      <c r="T125" s="3311"/>
      <c r="U125" s="3311"/>
      <c r="V125" s="3311"/>
      <c r="W125" s="3311"/>
      <c r="X125" s="3311"/>
      <c r="Y125" s="3311"/>
      <c r="Z125" s="3311"/>
      <c r="AA125" s="3311"/>
      <c r="AB125" s="3312"/>
      <c r="AC125" s="3312"/>
      <c r="AD125" s="3312"/>
      <c r="AE125" s="3312"/>
      <c r="AF125" s="3312"/>
      <c r="AG125" s="3312"/>
      <c r="AH125" s="3312"/>
      <c r="AI125" s="3312"/>
      <c r="AJ125" s="3312"/>
      <c r="AK125" s="3312"/>
      <c r="AL125" s="3312"/>
      <c r="AM125" s="3312"/>
      <c r="AN125" s="3312"/>
      <c r="AO125" s="3312"/>
      <c r="AP125" s="3312"/>
      <c r="AQ125" s="3312"/>
      <c r="AR125" s="3312"/>
      <c r="AS125" s="3312"/>
      <c r="AT125" s="3312"/>
      <c r="AU125" s="3312"/>
      <c r="AV125" s="3312"/>
      <c r="AW125" s="3312"/>
      <c r="AX125" s="3312"/>
      <c r="AY125" s="3312"/>
    </row>
    <row r="126" spans="1:51" s="888" customFormat="1" ht="27.75">
      <c r="A126" s="3292" t="s">
        <v>1374</v>
      </c>
      <c r="B126" s="3316"/>
      <c r="C126" s="3316"/>
      <c r="D126" s="3316"/>
      <c r="E126" s="3312"/>
      <c r="F126" s="3312"/>
      <c r="G126" s="3312"/>
      <c r="H126" s="3312"/>
      <c r="I126" s="3312"/>
      <c r="J126" s="3312"/>
      <c r="K126" s="3311"/>
      <c r="L126" s="3307"/>
      <c r="M126" s="3309" t="s">
        <v>1275</v>
      </c>
      <c r="N126" s="3295"/>
      <c r="O126" s="3306"/>
      <c r="P126" s="3307"/>
      <c r="Q126" s="3311"/>
      <c r="R126" s="3311"/>
      <c r="S126" s="3311"/>
      <c r="T126" s="3311"/>
      <c r="U126" s="3311"/>
      <c r="V126" s="3311"/>
      <c r="W126" s="3311"/>
      <c r="X126" s="3311"/>
      <c r="Y126" s="3311"/>
      <c r="Z126" s="3311"/>
      <c r="AA126" s="3311"/>
      <c r="AB126" s="3312"/>
      <c r="AC126" s="3312"/>
      <c r="AD126" s="3312"/>
      <c r="AE126" s="3312"/>
      <c r="AF126" s="3312"/>
      <c r="AG126" s="3312"/>
      <c r="AH126" s="3312"/>
      <c r="AI126" s="3312"/>
      <c r="AJ126" s="3312"/>
      <c r="AK126" s="3312"/>
      <c r="AL126" s="3312"/>
      <c r="AM126" s="3312"/>
      <c r="AN126" s="3312"/>
      <c r="AO126" s="3312"/>
      <c r="AP126" s="3312"/>
      <c r="AQ126" s="3312"/>
      <c r="AR126" s="3312"/>
      <c r="AS126" s="3312"/>
      <c r="AT126" s="3312"/>
      <c r="AU126" s="3312"/>
      <c r="AV126" s="3312"/>
      <c r="AW126" s="3312"/>
      <c r="AX126" s="3312"/>
      <c r="AY126" s="3312"/>
    </row>
    <row r="127" spans="1:51" s="888" customFormat="1" ht="27.75">
      <c r="A127" s="3317" t="s">
        <v>1375</v>
      </c>
      <c r="B127" s="3316"/>
      <c r="C127" s="3316"/>
      <c r="D127" s="3316"/>
      <c r="E127" s="3312"/>
      <c r="F127" s="3312"/>
      <c r="G127" s="3312"/>
      <c r="H127" s="3312"/>
      <c r="I127" s="3312"/>
      <c r="J127" s="3312"/>
      <c r="K127" s="3311"/>
      <c r="L127" s="3307"/>
      <c r="M127" s="3309" t="s">
        <v>1276</v>
      </c>
      <c r="N127" s="3295"/>
      <c r="O127" s="3307"/>
      <c r="P127" s="3307"/>
      <c r="Q127" s="3311"/>
      <c r="R127" s="3311"/>
      <c r="S127" s="3311"/>
      <c r="T127" s="3311"/>
      <c r="U127" s="3311"/>
      <c r="V127" s="3311"/>
      <c r="W127" s="3311"/>
      <c r="X127" s="3311"/>
      <c r="Y127" s="3311"/>
      <c r="Z127" s="3311"/>
      <c r="AA127" s="3311"/>
      <c r="AB127" s="3312"/>
      <c r="AC127" s="3312"/>
      <c r="AD127" s="3312"/>
      <c r="AE127" s="3312"/>
      <c r="AF127" s="3312"/>
      <c r="AG127" s="3312"/>
      <c r="AH127" s="3312"/>
      <c r="AI127" s="3312"/>
      <c r="AJ127" s="3312"/>
      <c r="AK127" s="3312"/>
      <c r="AL127" s="3312"/>
      <c r="AM127" s="3312"/>
      <c r="AN127" s="3312"/>
      <c r="AO127" s="3312"/>
      <c r="AP127" s="3312"/>
      <c r="AQ127" s="3312"/>
      <c r="AR127" s="3312"/>
      <c r="AS127" s="3312"/>
      <c r="AT127" s="3312"/>
      <c r="AU127" s="3312"/>
      <c r="AV127" s="3312"/>
      <c r="AW127" s="3312"/>
      <c r="AX127" s="3312"/>
      <c r="AY127" s="3312"/>
    </row>
    <row r="128" spans="1:51" s="888" customFormat="1" ht="27.75">
      <c r="A128" s="3292" t="s">
        <v>1376</v>
      </c>
      <c r="B128" s="3316"/>
      <c r="C128" s="3316"/>
      <c r="D128" s="3316"/>
      <c r="E128" s="3312"/>
      <c r="F128" s="3312"/>
      <c r="G128" s="3312"/>
      <c r="H128" s="3312"/>
      <c r="I128" s="3312"/>
      <c r="J128" s="3312"/>
      <c r="K128" s="3311"/>
      <c r="L128" s="3307"/>
      <c r="M128" s="3309" t="s">
        <v>1277</v>
      </c>
      <c r="N128" s="3295"/>
      <c r="O128" s="3292"/>
      <c r="P128" s="3307"/>
      <c r="Q128" s="3311"/>
      <c r="R128" s="3311"/>
      <c r="S128" s="3311"/>
      <c r="T128" s="3311"/>
      <c r="U128" s="3311"/>
      <c r="V128" s="3311"/>
      <c r="W128" s="3311"/>
      <c r="X128" s="3311"/>
      <c r="Y128" s="3311"/>
      <c r="Z128" s="3311"/>
      <c r="AA128" s="3311"/>
      <c r="AB128" s="3312"/>
      <c r="AC128" s="3312"/>
      <c r="AD128" s="3312"/>
      <c r="AE128" s="3312"/>
      <c r="AF128" s="3312"/>
      <c r="AG128" s="3312"/>
      <c r="AH128" s="3312"/>
      <c r="AI128" s="3312"/>
      <c r="AJ128" s="3312"/>
      <c r="AK128" s="3312"/>
      <c r="AL128" s="3312"/>
      <c r="AM128" s="3312"/>
      <c r="AN128" s="3312"/>
      <c r="AO128" s="3312"/>
      <c r="AP128" s="3312"/>
      <c r="AQ128" s="3312"/>
      <c r="AR128" s="3312"/>
      <c r="AS128" s="3312"/>
      <c r="AT128" s="3312"/>
      <c r="AU128" s="3312"/>
      <c r="AV128" s="3312"/>
      <c r="AW128" s="3312"/>
      <c r="AX128" s="3312"/>
      <c r="AY128" s="3312"/>
    </row>
    <row r="129" spans="1:51" s="888" customFormat="1" ht="27.75">
      <c r="A129" s="3306" t="s">
        <v>1392</v>
      </c>
      <c r="B129" s="3311"/>
      <c r="C129" s="3311"/>
      <c r="D129" s="3311"/>
      <c r="E129" s="3312"/>
      <c r="F129" s="3294"/>
      <c r="G129" s="3318"/>
      <c r="H129" s="3312"/>
      <c r="I129" s="3312"/>
      <c r="J129" s="3312"/>
      <c r="K129" s="3311"/>
      <c r="L129" s="3307"/>
      <c r="M129" s="3309" t="s">
        <v>1278</v>
      </c>
      <c r="N129" s="3295"/>
      <c r="O129" s="3307"/>
      <c r="P129" s="3307"/>
      <c r="Q129" s="3311"/>
      <c r="R129" s="3311"/>
      <c r="S129" s="3311"/>
      <c r="T129" s="3311"/>
      <c r="U129" s="3311"/>
      <c r="V129" s="3311"/>
      <c r="W129" s="3311"/>
      <c r="X129" s="3311"/>
      <c r="Y129" s="3311"/>
      <c r="Z129" s="3311"/>
      <c r="AA129" s="3311"/>
      <c r="AB129" s="3312"/>
      <c r="AC129" s="3312"/>
      <c r="AD129" s="3312"/>
      <c r="AE129" s="3312"/>
      <c r="AF129" s="3312"/>
      <c r="AG129" s="3312"/>
      <c r="AH129" s="3312"/>
      <c r="AI129" s="3312"/>
      <c r="AJ129" s="3312"/>
      <c r="AK129" s="3312"/>
      <c r="AL129" s="3312"/>
      <c r="AM129" s="3312"/>
      <c r="AN129" s="3312"/>
      <c r="AO129" s="3312"/>
      <c r="AP129" s="3312"/>
      <c r="AQ129" s="3312"/>
      <c r="AR129" s="3312"/>
      <c r="AS129" s="3312"/>
      <c r="AT129" s="3312"/>
      <c r="AU129" s="3312"/>
      <c r="AV129" s="3312"/>
      <c r="AW129" s="3312"/>
      <c r="AX129" s="3312"/>
      <c r="AY129" s="3312"/>
    </row>
    <row r="130" spans="1:51" s="888" customFormat="1" ht="27.75">
      <c r="A130" s="3306" t="s">
        <v>1393</v>
      </c>
      <c r="B130" s="3311"/>
      <c r="C130" s="3311"/>
      <c r="D130" s="3311"/>
      <c r="E130" s="3312"/>
      <c r="F130" s="3294"/>
      <c r="G130" s="3318"/>
      <c r="H130" s="3312"/>
      <c r="I130" s="3312"/>
      <c r="J130" s="3312"/>
      <c r="K130" s="3311"/>
      <c r="L130" s="3307"/>
      <c r="M130" s="3309" t="s">
        <v>1279</v>
      </c>
      <c r="N130" s="3309"/>
      <c r="O130" s="3292"/>
      <c r="P130" s="3307"/>
      <c r="Q130" s="3311"/>
      <c r="R130" s="3311"/>
      <c r="S130" s="3311"/>
      <c r="T130" s="3311"/>
      <c r="U130" s="3311"/>
      <c r="V130" s="3311"/>
      <c r="W130" s="3311"/>
      <c r="X130" s="3311"/>
      <c r="Y130" s="3311"/>
      <c r="Z130" s="3311"/>
      <c r="AA130" s="3311"/>
      <c r="AB130" s="3312"/>
      <c r="AC130" s="3312"/>
      <c r="AD130" s="3312"/>
      <c r="AE130" s="3312"/>
      <c r="AF130" s="3312"/>
      <c r="AG130" s="3312"/>
      <c r="AH130" s="3312"/>
      <c r="AI130" s="3312"/>
      <c r="AJ130" s="3312"/>
      <c r="AK130" s="3312"/>
      <c r="AL130" s="3312"/>
      <c r="AM130" s="3312"/>
      <c r="AN130" s="3312"/>
      <c r="AO130" s="3312"/>
      <c r="AP130" s="3312"/>
      <c r="AQ130" s="3312"/>
      <c r="AR130" s="3312"/>
      <c r="AS130" s="3312"/>
      <c r="AT130" s="3312"/>
      <c r="AU130" s="3312"/>
      <c r="AV130" s="3312"/>
      <c r="AW130" s="3312"/>
      <c r="AX130" s="3312"/>
      <c r="AY130" s="3312"/>
    </row>
    <row r="131" spans="1:51" s="888" customFormat="1" ht="27.75">
      <c r="A131" s="3311" t="s">
        <v>1394</v>
      </c>
      <c r="B131" s="3311"/>
      <c r="C131" s="3311"/>
      <c r="D131" s="3311"/>
      <c r="E131" s="3312"/>
      <c r="F131" s="3309"/>
      <c r="G131" s="3318"/>
      <c r="H131" s="3312"/>
      <c r="I131" s="3312"/>
      <c r="J131" s="3312"/>
      <c r="K131" s="3311"/>
      <c r="L131" s="3307"/>
      <c r="M131" s="3309" t="s">
        <v>1280</v>
      </c>
      <c r="N131" s="3311"/>
      <c r="O131" s="3307"/>
      <c r="P131" s="3307"/>
      <c r="Q131" s="3311"/>
      <c r="R131" s="3311"/>
      <c r="S131" s="3311"/>
      <c r="T131" s="3311"/>
      <c r="U131" s="3311"/>
      <c r="V131" s="3311"/>
      <c r="W131" s="3311"/>
      <c r="X131" s="3311"/>
      <c r="Y131" s="3311"/>
      <c r="Z131" s="3311"/>
      <c r="AA131" s="3311"/>
      <c r="AB131" s="3312"/>
      <c r="AC131" s="3312"/>
      <c r="AD131" s="3312"/>
      <c r="AE131" s="3312"/>
      <c r="AF131" s="3312"/>
      <c r="AG131" s="3312"/>
      <c r="AH131" s="3312"/>
      <c r="AI131" s="3312"/>
      <c r="AJ131" s="3312"/>
      <c r="AK131" s="3312"/>
      <c r="AL131" s="3312"/>
      <c r="AM131" s="3312"/>
      <c r="AN131" s="3312"/>
      <c r="AO131" s="3312"/>
      <c r="AP131" s="3312"/>
      <c r="AQ131" s="3312"/>
      <c r="AR131" s="3312"/>
      <c r="AS131" s="3312"/>
      <c r="AT131" s="3312"/>
      <c r="AU131" s="3312"/>
      <c r="AV131" s="3312"/>
      <c r="AW131" s="3312"/>
      <c r="AX131" s="3312"/>
      <c r="AY131" s="3312"/>
    </row>
    <row r="132" spans="1:51" s="888" customFormat="1" ht="27.75">
      <c r="A132" s="3316" t="s">
        <v>1377</v>
      </c>
      <c r="B132" s="3316"/>
      <c r="C132" s="3316"/>
      <c r="D132" s="3319"/>
      <c r="E132" s="3316"/>
      <c r="F132" s="3316"/>
      <c r="G132" s="3316"/>
      <c r="H132" s="3316"/>
      <c r="I132" s="3312"/>
      <c r="J132" s="3312"/>
      <c r="K132" s="3311"/>
      <c r="L132" s="3320"/>
      <c r="M132" s="3309" t="s">
        <v>1281</v>
      </c>
      <c r="N132" s="3311"/>
      <c r="O132" s="3320"/>
      <c r="P132" s="3312"/>
      <c r="Q132" s="3311"/>
      <c r="R132" s="3311"/>
      <c r="S132" s="3311"/>
      <c r="T132" s="3311"/>
      <c r="U132" s="3311"/>
      <c r="V132" s="3311"/>
      <c r="W132" s="3311"/>
      <c r="X132" s="3311"/>
      <c r="Y132" s="3311"/>
      <c r="Z132" s="3311"/>
      <c r="AA132" s="3311"/>
      <c r="AB132" s="3312"/>
      <c r="AC132" s="3312"/>
      <c r="AD132" s="3312"/>
      <c r="AE132" s="3312"/>
      <c r="AF132" s="3312"/>
      <c r="AG132" s="3312"/>
      <c r="AH132" s="3312"/>
      <c r="AI132" s="3312"/>
      <c r="AJ132" s="3312"/>
      <c r="AK132" s="3312"/>
      <c r="AL132" s="3312"/>
      <c r="AM132" s="3312"/>
      <c r="AN132" s="3312"/>
      <c r="AO132" s="3312"/>
      <c r="AP132" s="3312"/>
      <c r="AQ132" s="3312"/>
      <c r="AR132" s="3312"/>
      <c r="AS132" s="3312"/>
      <c r="AT132" s="3312"/>
      <c r="AU132" s="3312"/>
      <c r="AV132" s="3312"/>
      <c r="AW132" s="3312"/>
      <c r="AX132" s="3312"/>
      <c r="AY132" s="3312"/>
    </row>
    <row r="133" spans="1:51" s="888" customFormat="1" ht="27.75">
      <c r="A133" s="3316" t="s">
        <v>1378</v>
      </c>
      <c r="B133" s="3316"/>
      <c r="C133" s="3316"/>
      <c r="D133" s="3319"/>
      <c r="E133" s="3316"/>
      <c r="F133" s="3316"/>
      <c r="G133" s="3316" t="s">
        <v>1344</v>
      </c>
      <c r="H133" s="3316"/>
      <c r="I133" s="3312"/>
      <c r="J133" s="3312"/>
      <c r="K133" s="3311"/>
      <c r="L133" s="3320"/>
      <c r="M133" s="3309" t="s">
        <v>1282</v>
      </c>
      <c r="N133" s="3311"/>
      <c r="O133" s="3320"/>
      <c r="P133" s="3312"/>
      <c r="Q133" s="3311"/>
      <c r="R133" s="3311"/>
      <c r="S133" s="3311"/>
      <c r="T133" s="3311"/>
      <c r="U133" s="3311"/>
      <c r="V133" s="3311"/>
      <c r="W133" s="3311"/>
      <c r="X133" s="3311"/>
      <c r="Y133" s="3311"/>
      <c r="Z133" s="3311"/>
      <c r="AA133" s="3311"/>
      <c r="AB133" s="3312"/>
      <c r="AC133" s="3312"/>
      <c r="AD133" s="3312"/>
      <c r="AE133" s="3312"/>
      <c r="AF133" s="3312"/>
      <c r="AG133" s="3312"/>
      <c r="AH133" s="3312"/>
      <c r="AI133" s="3312"/>
      <c r="AJ133" s="3312"/>
      <c r="AK133" s="3312"/>
      <c r="AL133" s="3312"/>
      <c r="AM133" s="3312"/>
      <c r="AN133" s="3312"/>
      <c r="AO133" s="3312"/>
      <c r="AP133" s="3312"/>
      <c r="AQ133" s="3312"/>
      <c r="AR133" s="3312"/>
      <c r="AS133" s="3312"/>
      <c r="AT133" s="3312"/>
      <c r="AU133" s="3312"/>
      <c r="AV133" s="3312"/>
      <c r="AW133" s="3312"/>
      <c r="AX133" s="3312"/>
      <c r="AY133" s="3312"/>
    </row>
    <row r="134" spans="1:51" s="888" customFormat="1" ht="27.75">
      <c r="A134" s="3316" t="s">
        <v>1395</v>
      </c>
      <c r="B134" s="3316"/>
      <c r="C134" s="3316"/>
      <c r="D134" s="3319"/>
      <c r="E134" s="3316"/>
      <c r="F134" s="3316"/>
      <c r="G134" s="3316" t="s">
        <v>1343</v>
      </c>
      <c r="H134" s="3316"/>
      <c r="I134" s="3312"/>
      <c r="J134" s="3312"/>
      <c r="K134" s="3311"/>
      <c r="L134" s="3320"/>
      <c r="M134" s="3309" t="s">
        <v>1283</v>
      </c>
      <c r="N134" s="3311"/>
      <c r="O134" s="3320"/>
      <c r="P134" s="3312"/>
      <c r="Q134" s="3311"/>
      <c r="R134" s="3311"/>
      <c r="S134" s="3311"/>
      <c r="T134" s="3311"/>
      <c r="U134" s="3311"/>
      <c r="V134" s="3311"/>
      <c r="W134" s="3311"/>
      <c r="X134" s="3311"/>
      <c r="Y134" s="3311"/>
      <c r="Z134" s="3311"/>
      <c r="AA134" s="3311"/>
      <c r="AB134" s="3312"/>
      <c r="AC134" s="3312"/>
      <c r="AD134" s="3312"/>
      <c r="AE134" s="3312"/>
      <c r="AF134" s="3312"/>
      <c r="AG134" s="3312"/>
      <c r="AH134" s="3312"/>
      <c r="AI134" s="3312"/>
      <c r="AJ134" s="3312"/>
      <c r="AK134" s="3312"/>
      <c r="AL134" s="3312"/>
      <c r="AM134" s="3312"/>
      <c r="AN134" s="3312"/>
      <c r="AO134" s="3312"/>
      <c r="AP134" s="3312"/>
      <c r="AQ134" s="3312"/>
      <c r="AR134" s="3312"/>
      <c r="AS134" s="3312"/>
      <c r="AT134" s="3312"/>
      <c r="AU134" s="3312"/>
      <c r="AV134" s="3312"/>
      <c r="AW134" s="3312"/>
      <c r="AX134" s="3312"/>
      <c r="AY134" s="3312"/>
    </row>
    <row r="135" spans="1:51" s="888" customFormat="1" ht="27.75">
      <c r="A135" s="3316" t="s">
        <v>1379</v>
      </c>
      <c r="B135" s="3316"/>
      <c r="C135" s="3316"/>
      <c r="D135" s="3319"/>
      <c r="E135" s="3316"/>
      <c r="F135" s="3316"/>
      <c r="G135" s="3316"/>
      <c r="H135" s="3316"/>
      <c r="I135" s="3312"/>
      <c r="J135" s="3312"/>
      <c r="K135" s="3311"/>
      <c r="L135" s="3320"/>
      <c r="M135" s="3309" t="s">
        <v>1284</v>
      </c>
      <c r="N135" s="3311"/>
      <c r="O135" s="3320"/>
      <c r="P135" s="3312"/>
      <c r="Q135" s="3311"/>
      <c r="R135" s="3311"/>
      <c r="S135" s="3311"/>
      <c r="T135" s="3311"/>
      <c r="U135" s="3311"/>
      <c r="V135" s="3311"/>
      <c r="W135" s="3311"/>
      <c r="X135" s="3311"/>
      <c r="Y135" s="3311"/>
      <c r="Z135" s="3311"/>
      <c r="AA135" s="3311"/>
      <c r="AB135" s="3312"/>
      <c r="AC135" s="3312"/>
      <c r="AD135" s="3312"/>
      <c r="AE135" s="3312"/>
      <c r="AF135" s="3312"/>
      <c r="AG135" s="3312"/>
      <c r="AH135" s="3312"/>
      <c r="AI135" s="3312"/>
      <c r="AJ135" s="3312"/>
      <c r="AK135" s="3312"/>
      <c r="AL135" s="3312"/>
      <c r="AM135" s="3312"/>
      <c r="AN135" s="3312"/>
      <c r="AO135" s="3312"/>
      <c r="AP135" s="3312"/>
      <c r="AQ135" s="3312"/>
      <c r="AR135" s="3312"/>
      <c r="AS135" s="3312"/>
      <c r="AT135" s="3312"/>
      <c r="AU135" s="3312"/>
      <c r="AV135" s="3312"/>
      <c r="AW135" s="3312"/>
      <c r="AX135" s="3312"/>
      <c r="AY135" s="3312"/>
    </row>
    <row r="136" spans="1:51" s="888" customFormat="1" ht="27.75">
      <c r="A136" s="3316" t="s">
        <v>1380</v>
      </c>
      <c r="B136" s="3316"/>
      <c r="C136" s="3316"/>
      <c r="D136" s="3319"/>
      <c r="E136" s="3316"/>
      <c r="F136" s="3316"/>
      <c r="G136" s="3316"/>
      <c r="H136" s="3316"/>
      <c r="I136" s="3312"/>
      <c r="J136" s="3312"/>
      <c r="K136" s="3311"/>
      <c r="L136" s="3311"/>
      <c r="M136" s="3309" t="s">
        <v>1296</v>
      </c>
      <c r="N136" s="3311"/>
      <c r="O136" s="3311"/>
      <c r="P136" s="3311"/>
      <c r="Q136" s="3311"/>
      <c r="R136" s="3311"/>
      <c r="S136" s="3311"/>
      <c r="T136" s="3311"/>
      <c r="U136" s="3311"/>
      <c r="V136" s="3311"/>
      <c r="W136" s="3311"/>
      <c r="X136" s="3311"/>
      <c r="Y136" s="3311"/>
      <c r="Z136" s="3311"/>
      <c r="AA136" s="3311"/>
      <c r="AB136" s="3312"/>
      <c r="AC136" s="3312"/>
      <c r="AD136" s="3312"/>
      <c r="AE136" s="3312"/>
      <c r="AF136" s="3312"/>
      <c r="AG136" s="3312"/>
      <c r="AH136" s="3312"/>
      <c r="AI136" s="3312"/>
      <c r="AJ136" s="3312"/>
      <c r="AK136" s="3312"/>
      <c r="AL136" s="3312"/>
      <c r="AM136" s="3312"/>
      <c r="AN136" s="3312"/>
      <c r="AO136" s="3312"/>
      <c r="AP136" s="3312"/>
      <c r="AQ136" s="3312"/>
      <c r="AR136" s="3312"/>
      <c r="AS136" s="3312"/>
      <c r="AT136" s="3312"/>
      <c r="AU136" s="3312"/>
      <c r="AV136" s="3312"/>
      <c r="AW136" s="3312"/>
      <c r="AX136" s="3312"/>
      <c r="AY136" s="3312"/>
    </row>
    <row r="137" spans="1:51" s="888" customFormat="1" ht="27.75">
      <c r="A137" s="3316" t="s">
        <v>1381</v>
      </c>
      <c r="B137" s="3316"/>
      <c r="C137" s="3316"/>
      <c r="D137" s="3319"/>
      <c r="E137" s="3316"/>
      <c r="F137" s="3316"/>
      <c r="G137" s="3316"/>
      <c r="H137" s="3316"/>
      <c r="I137" s="3312"/>
      <c r="J137" s="3312"/>
      <c r="K137" s="3311"/>
      <c r="L137" s="3311"/>
      <c r="M137" s="3309" t="s">
        <v>1285</v>
      </c>
      <c r="N137" s="3311"/>
      <c r="O137" s="3311"/>
      <c r="P137" s="3311"/>
      <c r="Q137" s="3311"/>
      <c r="R137" s="3311"/>
      <c r="S137" s="3311"/>
      <c r="T137" s="3311"/>
      <c r="U137" s="3311"/>
      <c r="V137" s="3311"/>
      <c r="W137" s="3311"/>
      <c r="X137" s="3311"/>
      <c r="Y137" s="3311"/>
      <c r="Z137" s="3311"/>
      <c r="AA137" s="3311"/>
      <c r="AB137" s="3312"/>
      <c r="AC137" s="3312"/>
      <c r="AD137" s="3312"/>
      <c r="AE137" s="3312"/>
      <c r="AF137" s="3312"/>
      <c r="AG137" s="3312"/>
      <c r="AH137" s="3312"/>
      <c r="AI137" s="3312"/>
      <c r="AJ137" s="3312"/>
      <c r="AK137" s="3312"/>
      <c r="AL137" s="3312"/>
      <c r="AM137" s="3312"/>
      <c r="AN137" s="3312"/>
      <c r="AO137" s="3312"/>
      <c r="AP137" s="3312"/>
      <c r="AQ137" s="3312"/>
      <c r="AR137" s="3312"/>
      <c r="AS137" s="3312"/>
      <c r="AT137" s="3312"/>
      <c r="AU137" s="3312"/>
      <c r="AV137" s="3312"/>
      <c r="AW137" s="3312"/>
      <c r="AX137" s="3312"/>
      <c r="AY137" s="3312"/>
    </row>
    <row r="138" spans="1:51" s="888" customFormat="1" ht="27.75">
      <c r="A138" s="3316" t="s">
        <v>1396</v>
      </c>
      <c r="B138" s="3316"/>
      <c r="C138" s="3316"/>
      <c r="D138" s="3319"/>
      <c r="E138" s="3316"/>
      <c r="F138" s="3316"/>
      <c r="G138" s="3316"/>
      <c r="H138" s="3316"/>
      <c r="I138" s="3312"/>
      <c r="J138" s="3312"/>
      <c r="K138" s="3311"/>
      <c r="L138" s="3311"/>
      <c r="M138" s="3309" t="s">
        <v>1297</v>
      </c>
      <c r="N138" s="3311"/>
      <c r="O138" s="3311"/>
      <c r="P138" s="3311"/>
      <c r="Q138" s="3311"/>
      <c r="R138" s="3311"/>
      <c r="S138" s="3311"/>
      <c r="T138" s="3311"/>
      <c r="U138" s="3311"/>
      <c r="V138" s="3311"/>
      <c r="W138" s="3311"/>
      <c r="X138" s="3311"/>
      <c r="Y138" s="3311"/>
      <c r="Z138" s="3311"/>
      <c r="AA138" s="3311"/>
      <c r="AB138" s="3312"/>
      <c r="AC138" s="3312"/>
      <c r="AD138" s="3312"/>
      <c r="AE138" s="3312"/>
      <c r="AF138" s="3312"/>
      <c r="AG138" s="3312"/>
      <c r="AH138" s="3312"/>
      <c r="AI138" s="3312"/>
      <c r="AJ138" s="3312"/>
      <c r="AK138" s="3312"/>
      <c r="AL138" s="3312"/>
      <c r="AM138" s="3312"/>
      <c r="AN138" s="3312"/>
      <c r="AO138" s="3312"/>
      <c r="AP138" s="3312"/>
      <c r="AQ138" s="3312"/>
      <c r="AR138" s="3312"/>
      <c r="AS138" s="3312"/>
      <c r="AT138" s="3312"/>
      <c r="AU138" s="3312"/>
      <c r="AV138" s="3312"/>
      <c r="AW138" s="3312"/>
      <c r="AX138" s="3312"/>
      <c r="AY138" s="3312"/>
    </row>
    <row r="139" spans="1:51" s="888" customFormat="1" ht="27.75">
      <c r="A139" s="3321" t="s">
        <v>1382</v>
      </c>
      <c r="B139" s="3321"/>
      <c r="C139" s="3321"/>
      <c r="D139" s="3321"/>
      <c r="E139" s="3316"/>
      <c r="F139" s="3316"/>
      <c r="G139" s="3316"/>
      <c r="H139" s="3316"/>
      <c r="I139" s="3311"/>
      <c r="J139" s="3312"/>
      <c r="K139" s="3311"/>
      <c r="L139" s="3311"/>
      <c r="M139" s="3309" t="s">
        <v>1298</v>
      </c>
      <c r="N139" s="3311"/>
      <c r="O139" s="3311"/>
      <c r="P139" s="3311"/>
      <c r="Q139" s="3311"/>
      <c r="R139" s="3311"/>
      <c r="S139" s="3311"/>
      <c r="T139" s="3311"/>
      <c r="U139" s="3311"/>
      <c r="V139" s="3311"/>
      <c r="W139" s="3311"/>
      <c r="X139" s="3311"/>
      <c r="Y139" s="3311"/>
      <c r="Z139" s="3311"/>
      <c r="AA139" s="3311"/>
      <c r="AB139" s="3312"/>
      <c r="AC139" s="3312"/>
      <c r="AD139" s="3312"/>
      <c r="AE139" s="3312"/>
      <c r="AF139" s="3312"/>
      <c r="AG139" s="3312"/>
      <c r="AH139" s="3312"/>
      <c r="AI139" s="3312"/>
      <c r="AJ139" s="3312"/>
      <c r="AK139" s="3312"/>
      <c r="AL139" s="3312"/>
      <c r="AM139" s="3312"/>
      <c r="AN139" s="3312"/>
      <c r="AO139" s="3312"/>
      <c r="AP139" s="3312"/>
      <c r="AQ139" s="3312"/>
      <c r="AR139" s="3312"/>
      <c r="AS139" s="3312"/>
      <c r="AT139" s="3312"/>
      <c r="AU139" s="3312"/>
      <c r="AV139" s="3312"/>
      <c r="AW139" s="3312"/>
      <c r="AX139" s="3312"/>
      <c r="AY139" s="3312"/>
    </row>
    <row r="140" spans="1:51" s="888" customFormat="1" ht="27.75">
      <c r="A140" s="3344" t="s">
        <v>1383</v>
      </c>
      <c r="B140" s="3344"/>
      <c r="C140" s="3344"/>
      <c r="D140" s="3344"/>
      <c r="E140" s="3349"/>
      <c r="F140" s="3349"/>
      <c r="G140" s="3312"/>
      <c r="H140" s="3349"/>
      <c r="I140" s="3311"/>
      <c r="J140" s="3312"/>
      <c r="K140" s="3311"/>
      <c r="L140" s="3311"/>
      <c r="M140" s="3309" t="s">
        <v>1286</v>
      </c>
      <c r="N140" s="3311"/>
      <c r="O140" s="3311"/>
      <c r="P140" s="3311"/>
      <c r="Q140" s="3311"/>
      <c r="R140" s="3311"/>
      <c r="S140" s="3311"/>
      <c r="T140" s="3311"/>
      <c r="U140" s="3311"/>
      <c r="V140" s="3311"/>
      <c r="W140" s="3311"/>
      <c r="X140" s="3311"/>
      <c r="Y140" s="3311"/>
      <c r="Z140" s="3311"/>
      <c r="AA140" s="3311"/>
      <c r="AB140" s="3312"/>
      <c r="AC140" s="3312"/>
      <c r="AD140" s="3312"/>
      <c r="AE140" s="3312"/>
      <c r="AF140" s="3312"/>
      <c r="AG140" s="3312"/>
      <c r="AH140" s="3312"/>
      <c r="AI140" s="3312"/>
      <c r="AJ140" s="3312"/>
      <c r="AK140" s="3312"/>
      <c r="AL140" s="3312"/>
      <c r="AM140" s="3312"/>
      <c r="AN140" s="3312"/>
      <c r="AO140" s="3312"/>
      <c r="AP140" s="3312"/>
      <c r="AQ140" s="3312"/>
      <c r="AR140" s="3312"/>
      <c r="AS140" s="3312"/>
      <c r="AT140" s="3312"/>
      <c r="AU140" s="3312"/>
      <c r="AV140" s="3312"/>
      <c r="AW140" s="3312"/>
      <c r="AX140" s="3312"/>
      <c r="AY140" s="3312"/>
    </row>
    <row r="141" spans="1:51" s="888" customFormat="1" ht="27.75">
      <c r="A141" s="3346" t="s">
        <v>1384</v>
      </c>
      <c r="B141" s="3346"/>
      <c r="C141" s="3346"/>
      <c r="D141" s="3346"/>
      <c r="E141" s="3350"/>
      <c r="F141" s="3350"/>
      <c r="G141" s="3312"/>
      <c r="H141" s="3350"/>
      <c r="I141" s="3311"/>
      <c r="J141" s="3312"/>
      <c r="K141" s="3311"/>
      <c r="L141" s="3311"/>
      <c r="M141" s="3309" t="s">
        <v>1287</v>
      </c>
      <c r="N141" s="3311"/>
      <c r="O141" s="3311"/>
      <c r="P141" s="3311"/>
      <c r="Q141" s="3311"/>
      <c r="R141" s="3311"/>
      <c r="S141" s="3311"/>
      <c r="T141" s="3311"/>
      <c r="U141" s="3311"/>
      <c r="V141" s="3311"/>
      <c r="W141" s="3311"/>
      <c r="X141" s="3311"/>
      <c r="Y141" s="3311"/>
      <c r="Z141" s="3311"/>
      <c r="AA141" s="3311"/>
      <c r="AB141" s="3312"/>
      <c r="AC141" s="3312"/>
      <c r="AD141" s="3312"/>
      <c r="AE141" s="3312"/>
      <c r="AF141" s="3312"/>
      <c r="AG141" s="3312"/>
      <c r="AH141" s="3312"/>
      <c r="AI141" s="3312"/>
      <c r="AJ141" s="3312"/>
      <c r="AK141" s="3312"/>
      <c r="AL141" s="3312"/>
      <c r="AM141" s="3312"/>
      <c r="AN141" s="3312"/>
      <c r="AO141" s="3312"/>
      <c r="AP141" s="3312"/>
      <c r="AQ141" s="3312"/>
      <c r="AR141" s="3312"/>
      <c r="AS141" s="3312"/>
      <c r="AT141" s="3312"/>
      <c r="AU141" s="3312"/>
      <c r="AV141" s="3312"/>
      <c r="AW141" s="3312"/>
      <c r="AX141" s="3312"/>
      <c r="AY141" s="3312"/>
    </row>
    <row r="142" spans="1:51" s="888" customFormat="1" ht="27.75">
      <c r="A142" s="3344" t="s">
        <v>1385</v>
      </c>
      <c r="B142" s="3344"/>
      <c r="C142" s="3344"/>
      <c r="D142" s="3344"/>
      <c r="E142" s="3349"/>
      <c r="F142" s="3349"/>
      <c r="G142" s="3344"/>
      <c r="H142" s="3349"/>
      <c r="I142" s="3311"/>
      <c r="J142" s="3312"/>
      <c r="K142" s="3311"/>
      <c r="L142" s="3311"/>
      <c r="M142" s="3309" t="s">
        <v>1299</v>
      </c>
      <c r="N142" s="3311"/>
      <c r="O142" s="3311"/>
      <c r="P142" s="3311"/>
      <c r="Q142" s="3311"/>
      <c r="R142" s="3311"/>
      <c r="S142" s="3311"/>
      <c r="T142" s="3311"/>
      <c r="U142" s="3311"/>
      <c r="V142" s="3311"/>
      <c r="W142" s="3311"/>
      <c r="X142" s="3311"/>
      <c r="Y142" s="3311"/>
      <c r="Z142" s="3311"/>
      <c r="AA142" s="3311"/>
      <c r="AB142" s="3312"/>
      <c r="AC142" s="3312"/>
      <c r="AD142" s="3312"/>
      <c r="AE142" s="3312"/>
      <c r="AF142" s="3312"/>
      <c r="AG142" s="3312"/>
      <c r="AH142" s="3312"/>
      <c r="AI142" s="3312"/>
      <c r="AJ142" s="3312"/>
      <c r="AK142" s="3312"/>
      <c r="AL142" s="3312"/>
      <c r="AM142" s="3312"/>
      <c r="AN142" s="3312"/>
      <c r="AO142" s="3312"/>
      <c r="AP142" s="3312"/>
      <c r="AQ142" s="3312"/>
      <c r="AR142" s="3312"/>
      <c r="AS142" s="3312"/>
      <c r="AT142" s="3312"/>
      <c r="AU142" s="3312"/>
      <c r="AV142" s="3312"/>
      <c r="AW142" s="3312"/>
      <c r="AX142" s="3312"/>
      <c r="AY142" s="3312"/>
    </row>
    <row r="143" spans="1:51" s="888" customFormat="1" ht="27.75">
      <c r="A143" s="3315" t="s">
        <v>1386</v>
      </c>
      <c r="B143" s="3315"/>
      <c r="C143" s="3315"/>
      <c r="D143" s="3315"/>
      <c r="E143" s="3315"/>
      <c r="F143" s="3315"/>
      <c r="G143" s="3315"/>
      <c r="H143" s="3315"/>
      <c r="I143" s="3311"/>
      <c r="J143" s="3312"/>
      <c r="K143" s="3311"/>
      <c r="L143" s="3311"/>
      <c r="M143" s="3309" t="s">
        <v>1288</v>
      </c>
      <c r="N143" s="3311"/>
      <c r="O143" s="3311"/>
      <c r="P143" s="3311"/>
      <c r="Q143" s="3311"/>
      <c r="R143" s="3311"/>
      <c r="S143" s="3311"/>
      <c r="T143" s="3311"/>
      <c r="U143" s="3311"/>
      <c r="V143" s="3311"/>
      <c r="W143" s="3311"/>
      <c r="X143" s="3311"/>
      <c r="Y143" s="3311"/>
      <c r="Z143" s="3311"/>
      <c r="AA143" s="3311"/>
      <c r="AB143" s="3312"/>
      <c r="AC143" s="3312"/>
      <c r="AD143" s="3312"/>
      <c r="AE143" s="3312"/>
      <c r="AF143" s="3312"/>
      <c r="AG143" s="3312"/>
      <c r="AH143" s="3312"/>
      <c r="AI143" s="3312"/>
      <c r="AJ143" s="3312"/>
      <c r="AK143" s="3312"/>
      <c r="AL143" s="3312"/>
      <c r="AM143" s="3312"/>
      <c r="AN143" s="3312"/>
      <c r="AO143" s="3312"/>
      <c r="AP143" s="3312"/>
      <c r="AQ143" s="3312"/>
      <c r="AR143" s="3312"/>
      <c r="AS143" s="3312"/>
      <c r="AT143" s="3312"/>
      <c r="AU143" s="3312"/>
      <c r="AV143" s="3312"/>
      <c r="AW143" s="3312"/>
      <c r="AX143" s="3312"/>
      <c r="AY143" s="3312"/>
    </row>
    <row r="144" spans="1:51" s="888" customFormat="1" ht="27.75">
      <c r="A144" s="3292" t="s">
        <v>1387</v>
      </c>
      <c r="B144" s="3348"/>
      <c r="C144" s="3348"/>
      <c r="D144" s="3348"/>
      <c r="E144" s="3316"/>
      <c r="F144" s="3316"/>
      <c r="G144" s="3316"/>
      <c r="H144" s="3316"/>
      <c r="I144" s="3311"/>
      <c r="J144" s="3312"/>
      <c r="K144" s="3311"/>
      <c r="L144" s="3307"/>
      <c r="M144" s="3309" t="s">
        <v>1289</v>
      </c>
      <c r="N144" s="3311"/>
      <c r="O144" s="3307"/>
      <c r="P144" s="3311"/>
      <c r="Q144" s="3311"/>
      <c r="R144" s="3311"/>
      <c r="S144" s="3311"/>
      <c r="T144" s="3311"/>
      <c r="U144" s="3311"/>
      <c r="V144" s="3311"/>
      <c r="W144" s="3311"/>
      <c r="X144" s="3311"/>
      <c r="Y144" s="3311"/>
      <c r="Z144" s="3311"/>
      <c r="AA144" s="3311"/>
      <c r="AB144" s="3312"/>
      <c r="AC144" s="3312"/>
      <c r="AD144" s="3312"/>
      <c r="AE144" s="3312"/>
      <c r="AF144" s="3312"/>
      <c r="AG144" s="3312"/>
      <c r="AH144" s="3312"/>
      <c r="AI144" s="3312"/>
      <c r="AJ144" s="3312"/>
      <c r="AK144" s="3312"/>
      <c r="AL144" s="3312"/>
      <c r="AM144" s="3312"/>
      <c r="AN144" s="3312"/>
      <c r="AO144" s="3312"/>
      <c r="AP144" s="3312"/>
      <c r="AQ144" s="3312"/>
      <c r="AR144" s="3312"/>
      <c r="AS144" s="3312"/>
      <c r="AT144" s="3312"/>
      <c r="AU144" s="3312"/>
      <c r="AV144" s="3312"/>
      <c r="AW144" s="3312"/>
      <c r="AX144" s="3312"/>
      <c r="AY144" s="3312"/>
    </row>
    <row r="145" spans="1:51" s="888" customFormat="1" ht="27.75">
      <c r="A145" s="3316" t="s">
        <v>1397</v>
      </c>
      <c r="B145" s="3316"/>
      <c r="C145" s="3316"/>
      <c r="D145" s="3312"/>
      <c r="E145" s="3316"/>
      <c r="F145" s="3316"/>
      <c r="G145" s="3316"/>
      <c r="H145" s="3316"/>
      <c r="I145" s="3312"/>
      <c r="J145" s="3312"/>
      <c r="K145" s="3311"/>
      <c r="L145" s="3307"/>
      <c r="M145" s="3309" t="s">
        <v>1290</v>
      </c>
      <c r="N145" s="3311"/>
      <c r="O145" s="3307"/>
      <c r="P145" s="3311"/>
      <c r="Q145" s="3311"/>
      <c r="R145" s="3311"/>
      <c r="S145" s="3311"/>
      <c r="T145" s="3311"/>
      <c r="U145" s="3311"/>
      <c r="V145" s="3311"/>
      <c r="W145" s="3311"/>
      <c r="X145" s="3311"/>
      <c r="Y145" s="3311"/>
      <c r="Z145" s="3311"/>
      <c r="AA145" s="3311"/>
      <c r="AB145" s="3312"/>
      <c r="AC145" s="3312"/>
      <c r="AD145" s="3312"/>
      <c r="AE145" s="3312"/>
      <c r="AF145" s="3312"/>
      <c r="AG145" s="3312"/>
      <c r="AH145" s="3312"/>
      <c r="AI145" s="3312"/>
      <c r="AJ145" s="3312"/>
      <c r="AK145" s="3312"/>
      <c r="AL145" s="3312"/>
      <c r="AM145" s="3312"/>
      <c r="AN145" s="3312"/>
      <c r="AO145" s="3312"/>
      <c r="AP145" s="3312"/>
      <c r="AQ145" s="3312"/>
      <c r="AR145" s="3312"/>
      <c r="AS145" s="3312"/>
      <c r="AT145" s="3312"/>
      <c r="AU145" s="3312"/>
      <c r="AV145" s="3312"/>
      <c r="AW145" s="3312"/>
      <c r="AX145" s="3312"/>
      <c r="AY145" s="3312"/>
    </row>
    <row r="146" spans="1:51" s="888" customFormat="1" ht="27.75">
      <c r="A146" s="3311" t="s">
        <v>1389</v>
      </c>
      <c r="B146" s="3312"/>
      <c r="C146" s="3312"/>
      <c r="D146" s="3312"/>
      <c r="E146" s="3312"/>
      <c r="F146" s="3312"/>
      <c r="G146" s="3312"/>
      <c r="H146" s="3312"/>
      <c r="I146" s="3312"/>
      <c r="J146" s="3312"/>
      <c r="K146" s="3311"/>
      <c r="L146" s="3307"/>
      <c r="M146" s="3309" t="s">
        <v>1291</v>
      </c>
      <c r="N146" s="3311"/>
      <c r="O146" s="3307"/>
      <c r="P146" s="3311"/>
      <c r="Q146" s="3311"/>
      <c r="R146" s="3311"/>
      <c r="S146" s="3311"/>
      <c r="T146" s="3311"/>
      <c r="U146" s="3311"/>
      <c r="V146" s="3311"/>
      <c r="W146" s="3311"/>
      <c r="X146" s="3311"/>
      <c r="Y146" s="3311"/>
      <c r="Z146" s="3311"/>
      <c r="AA146" s="3311"/>
      <c r="AB146" s="3312"/>
      <c r="AC146" s="3312"/>
      <c r="AD146" s="3312"/>
      <c r="AE146" s="3312"/>
      <c r="AF146" s="3312"/>
      <c r="AG146" s="3312"/>
      <c r="AH146" s="3312"/>
      <c r="AI146" s="3312"/>
      <c r="AJ146" s="3312"/>
      <c r="AK146" s="3312"/>
      <c r="AL146" s="3312"/>
      <c r="AM146" s="3312"/>
      <c r="AN146" s="3312"/>
      <c r="AO146" s="3312"/>
      <c r="AP146" s="3312"/>
      <c r="AQ146" s="3312"/>
      <c r="AR146" s="3312"/>
      <c r="AS146" s="3312"/>
      <c r="AT146" s="3312"/>
      <c r="AU146" s="3312"/>
      <c r="AV146" s="3312"/>
      <c r="AW146" s="3312"/>
      <c r="AX146" s="3312"/>
      <c r="AY146" s="3312"/>
    </row>
    <row r="147" spans="1:51" s="888" customFormat="1" ht="27.75">
      <c r="A147" s="3311" t="s">
        <v>1388</v>
      </c>
      <c r="B147" s="3312"/>
      <c r="C147" s="3312"/>
      <c r="D147" s="3312"/>
      <c r="E147" s="3312"/>
      <c r="F147" s="3312"/>
      <c r="G147" s="3312"/>
      <c r="H147" s="3312"/>
      <c r="I147" s="3312"/>
      <c r="J147" s="3312"/>
      <c r="K147" s="3311"/>
      <c r="L147" s="3307"/>
      <c r="M147" s="3309" t="s">
        <v>1292</v>
      </c>
      <c r="N147" s="3311"/>
      <c r="O147" s="3292"/>
      <c r="P147" s="3311"/>
      <c r="Q147" s="3311"/>
      <c r="R147" s="3311"/>
      <c r="S147" s="3311"/>
      <c r="T147" s="3311"/>
      <c r="U147" s="3311"/>
      <c r="V147" s="3311"/>
      <c r="W147" s="3311"/>
      <c r="X147" s="3311"/>
      <c r="Y147" s="3311"/>
      <c r="Z147" s="3311"/>
      <c r="AA147" s="3311"/>
      <c r="AB147" s="3312"/>
      <c r="AC147" s="3312"/>
      <c r="AD147" s="3312"/>
      <c r="AE147" s="3312"/>
      <c r="AF147" s="3312"/>
      <c r="AG147" s="3312"/>
      <c r="AH147" s="3312"/>
      <c r="AI147" s="3312"/>
      <c r="AJ147" s="3312"/>
      <c r="AK147" s="3312"/>
      <c r="AL147" s="3312"/>
      <c r="AM147" s="3312"/>
      <c r="AN147" s="3312"/>
      <c r="AO147" s="3312"/>
      <c r="AP147" s="3312"/>
      <c r="AQ147" s="3312"/>
      <c r="AR147" s="3312"/>
      <c r="AS147" s="3312"/>
      <c r="AT147" s="3312"/>
      <c r="AU147" s="3312"/>
      <c r="AV147" s="3312"/>
      <c r="AW147" s="3312"/>
      <c r="AX147" s="3312"/>
      <c r="AY147" s="3312"/>
    </row>
    <row r="148" spans="1:51" s="888" customFormat="1" ht="27.75">
      <c r="A148" s="3311" t="s">
        <v>1390</v>
      </c>
      <c r="B148" s="3312"/>
      <c r="C148" s="3312"/>
      <c r="D148" s="3312"/>
      <c r="E148" s="3312"/>
      <c r="F148" s="3312"/>
      <c r="G148" s="3312"/>
      <c r="H148" s="3312"/>
      <c r="I148" s="3312"/>
      <c r="J148" s="3312"/>
      <c r="K148" s="3311"/>
      <c r="L148" s="3307"/>
      <c r="M148" s="3309" t="s">
        <v>1293</v>
      </c>
      <c r="N148" s="3311"/>
      <c r="O148" s="3307"/>
      <c r="P148" s="3311"/>
      <c r="Q148" s="3311"/>
      <c r="R148" s="3311"/>
      <c r="S148" s="3311"/>
      <c r="T148" s="3311"/>
      <c r="U148" s="3311"/>
      <c r="V148" s="3311"/>
      <c r="W148" s="3311"/>
      <c r="X148" s="3311"/>
      <c r="Y148" s="3311"/>
      <c r="Z148" s="3311"/>
      <c r="AA148" s="3311"/>
      <c r="AB148" s="3312"/>
      <c r="AC148" s="3312"/>
      <c r="AD148" s="3312"/>
      <c r="AE148" s="3312"/>
      <c r="AF148" s="3312"/>
      <c r="AG148" s="3312"/>
      <c r="AH148" s="3312"/>
      <c r="AI148" s="3312"/>
      <c r="AJ148" s="3312"/>
      <c r="AK148" s="3312"/>
      <c r="AL148" s="3312"/>
      <c r="AM148" s="3312"/>
      <c r="AN148" s="3312"/>
      <c r="AO148" s="3312"/>
      <c r="AP148" s="3312"/>
      <c r="AQ148" s="3312"/>
      <c r="AR148" s="3312"/>
      <c r="AS148" s="3312"/>
      <c r="AT148" s="3312"/>
      <c r="AU148" s="3312"/>
      <c r="AV148" s="3312"/>
      <c r="AW148" s="3312"/>
      <c r="AX148" s="3312"/>
      <c r="AY148" s="3312"/>
    </row>
    <row r="149" spans="1:51" s="888" customFormat="1" ht="27.75">
      <c r="A149" s="3311" t="s">
        <v>1391</v>
      </c>
      <c r="B149" s="3312"/>
      <c r="C149" s="3312"/>
      <c r="D149" s="3312"/>
      <c r="E149" s="3312"/>
      <c r="F149" s="3312"/>
      <c r="G149" s="3312"/>
      <c r="H149" s="3312"/>
      <c r="I149" s="3312"/>
      <c r="J149" s="3312"/>
      <c r="K149" s="3311"/>
      <c r="L149" s="3307"/>
      <c r="M149" s="3295" t="s">
        <v>1301</v>
      </c>
      <c r="N149" s="3311"/>
      <c r="O149" s="3307"/>
      <c r="P149" s="3311"/>
      <c r="Q149" s="3311"/>
      <c r="R149" s="3311"/>
      <c r="S149" s="3311"/>
      <c r="T149" s="3311"/>
      <c r="U149" s="3311"/>
      <c r="V149" s="3311"/>
      <c r="W149" s="3311"/>
      <c r="X149" s="3311"/>
      <c r="Y149" s="3311"/>
      <c r="Z149" s="3311"/>
      <c r="AA149" s="3311"/>
      <c r="AB149" s="3312"/>
      <c r="AC149" s="3312"/>
      <c r="AD149" s="3312"/>
      <c r="AE149" s="3312"/>
      <c r="AF149" s="3312"/>
      <c r="AG149" s="3312"/>
      <c r="AH149" s="3312"/>
      <c r="AI149" s="3312"/>
      <c r="AJ149" s="3312"/>
      <c r="AK149" s="3312"/>
      <c r="AL149" s="3312"/>
      <c r="AM149" s="3312"/>
      <c r="AN149" s="3312"/>
      <c r="AO149" s="3312"/>
      <c r="AP149" s="3312"/>
      <c r="AQ149" s="3312"/>
      <c r="AR149" s="3312"/>
      <c r="AS149" s="3312"/>
      <c r="AT149" s="3312"/>
      <c r="AU149" s="3312"/>
      <c r="AV149" s="3312"/>
      <c r="AW149" s="3312"/>
      <c r="AX149" s="3312"/>
      <c r="AY149" s="3312"/>
    </row>
    <row r="150" spans="1:51" s="888" customFormat="1" ht="27.75">
      <c r="A150" s="3311" t="s">
        <v>1398</v>
      </c>
      <c r="B150" s="3312"/>
      <c r="C150" s="3312"/>
      <c r="D150" s="3312"/>
      <c r="E150" s="3312"/>
      <c r="F150" s="3312"/>
      <c r="G150" s="3312"/>
      <c r="H150" s="3312"/>
      <c r="I150" s="3312"/>
      <c r="J150" s="3312"/>
      <c r="K150" s="3311"/>
      <c r="L150" s="3307"/>
      <c r="M150" s="3295" t="s">
        <v>1302</v>
      </c>
      <c r="N150" s="3311"/>
      <c r="O150" s="3307"/>
      <c r="P150" s="3311"/>
      <c r="Q150" s="3311"/>
      <c r="R150" s="3311"/>
      <c r="S150" s="3311"/>
      <c r="T150" s="3311"/>
      <c r="U150" s="3311"/>
      <c r="V150" s="3311"/>
      <c r="W150" s="3311"/>
      <c r="X150" s="3311"/>
      <c r="Y150" s="3311"/>
      <c r="Z150" s="3311"/>
      <c r="AA150" s="3311"/>
      <c r="AB150" s="3312"/>
      <c r="AC150" s="3312"/>
      <c r="AD150" s="3312"/>
      <c r="AE150" s="3312"/>
      <c r="AF150" s="3312"/>
      <c r="AG150" s="3312"/>
      <c r="AH150" s="3312"/>
      <c r="AI150" s="3312"/>
      <c r="AJ150" s="3312"/>
      <c r="AK150" s="3312"/>
      <c r="AL150" s="3312"/>
      <c r="AM150" s="3312"/>
      <c r="AN150" s="3312"/>
      <c r="AO150" s="3312"/>
      <c r="AP150" s="3312"/>
      <c r="AQ150" s="3312"/>
      <c r="AR150" s="3312"/>
      <c r="AS150" s="3312"/>
      <c r="AT150" s="3312"/>
      <c r="AU150" s="3312"/>
      <c r="AV150" s="3312"/>
      <c r="AW150" s="3312"/>
      <c r="AX150" s="3312"/>
      <c r="AY150" s="3312"/>
    </row>
    <row r="151" spans="1:51" s="888" customFormat="1" ht="27.75">
      <c r="A151" s="3304" t="s">
        <v>1360</v>
      </c>
      <c r="B151" s="3296"/>
      <c r="C151" s="3296"/>
      <c r="D151" s="3296"/>
      <c r="E151" s="3322"/>
      <c r="F151" s="3310"/>
      <c r="G151" s="3323"/>
      <c r="H151" s="3312"/>
      <c r="I151" s="3324"/>
      <c r="J151" s="3312"/>
      <c r="K151" s="3311"/>
      <c r="L151" s="3307"/>
      <c r="M151" s="3295" t="s">
        <v>1318</v>
      </c>
      <c r="N151" s="3311"/>
      <c r="O151" s="3307"/>
      <c r="P151" s="3311"/>
      <c r="Q151" s="3311"/>
      <c r="R151" s="3311"/>
      <c r="S151" s="3311"/>
      <c r="T151" s="3311"/>
      <c r="U151" s="3311"/>
      <c r="V151" s="3311"/>
      <c r="W151" s="3311"/>
      <c r="X151" s="3311"/>
      <c r="Y151" s="3311"/>
      <c r="Z151" s="3311"/>
      <c r="AA151" s="3311"/>
      <c r="AB151" s="3312"/>
      <c r="AC151" s="3312"/>
      <c r="AD151" s="3312"/>
      <c r="AE151" s="3312"/>
      <c r="AF151" s="3312"/>
      <c r="AG151" s="3312"/>
      <c r="AH151" s="3312"/>
      <c r="AI151" s="3312"/>
      <c r="AJ151" s="3312"/>
      <c r="AK151" s="3312"/>
      <c r="AL151" s="3312"/>
      <c r="AM151" s="3312"/>
      <c r="AN151" s="3312"/>
      <c r="AO151" s="3312"/>
      <c r="AP151" s="3312"/>
      <c r="AQ151" s="3312"/>
      <c r="AR151" s="3312"/>
      <c r="AS151" s="3312"/>
      <c r="AT151" s="3312"/>
      <c r="AU151" s="3312"/>
      <c r="AV151" s="3312"/>
      <c r="AW151" s="3312"/>
      <c r="AX151" s="3312"/>
      <c r="AY151" s="3312"/>
    </row>
    <row r="152" spans="1:51" s="888" customFormat="1" ht="27.75">
      <c r="A152" s="3305" t="s">
        <v>1359</v>
      </c>
      <c r="B152" s="3323"/>
      <c r="C152" s="3296"/>
      <c r="D152" s="3312"/>
      <c r="E152" s="3325"/>
      <c r="F152" s="3326"/>
      <c r="G152" s="3311"/>
      <c r="H152" s="3312"/>
      <c r="I152" s="3312"/>
      <c r="J152" s="3312"/>
      <c r="K152" s="3311"/>
      <c r="L152" s="3307"/>
      <c r="M152" s="3295" t="s">
        <v>1303</v>
      </c>
      <c r="N152" s="3311"/>
      <c r="O152" s="3307"/>
      <c r="P152" s="3311"/>
      <c r="Q152" s="3311"/>
      <c r="R152" s="3311"/>
      <c r="S152" s="3311"/>
      <c r="T152" s="3311"/>
      <c r="U152" s="3311"/>
      <c r="V152" s="3311"/>
      <c r="W152" s="3311"/>
      <c r="X152" s="3311"/>
      <c r="Y152" s="3311"/>
      <c r="Z152" s="3311"/>
      <c r="AA152" s="3311"/>
      <c r="AB152" s="3312"/>
      <c r="AC152" s="3312"/>
      <c r="AD152" s="3312"/>
      <c r="AE152" s="3312"/>
      <c r="AF152" s="3312"/>
      <c r="AG152" s="3312"/>
      <c r="AH152" s="3312"/>
      <c r="AI152" s="3312"/>
      <c r="AJ152" s="3312"/>
      <c r="AK152" s="3312"/>
      <c r="AL152" s="3312"/>
      <c r="AM152" s="3312"/>
      <c r="AN152" s="3312"/>
      <c r="AO152" s="3312"/>
      <c r="AP152" s="3312"/>
      <c r="AQ152" s="3312"/>
      <c r="AR152" s="3312"/>
      <c r="AS152" s="3312"/>
      <c r="AT152" s="3312"/>
      <c r="AU152" s="3312"/>
      <c r="AV152" s="3312"/>
      <c r="AW152" s="3312"/>
      <c r="AX152" s="3312"/>
      <c r="AY152" s="3312"/>
    </row>
    <row r="153" spans="1:51" s="888" customFormat="1" ht="27.75">
      <c r="A153" s="3305" t="s">
        <v>1361</v>
      </c>
      <c r="B153" s="3296"/>
      <c r="C153" s="3296"/>
      <c r="D153" s="3312"/>
      <c r="E153" s="3325"/>
      <c r="F153" s="3310"/>
      <c r="G153" s="3311"/>
      <c r="H153" s="3312"/>
      <c r="I153" s="3312"/>
      <c r="J153" s="3312"/>
      <c r="K153" s="3311"/>
      <c r="L153" s="3307"/>
      <c r="M153" s="3295" t="s">
        <v>1309</v>
      </c>
      <c r="N153" s="3311"/>
      <c r="O153" s="3307"/>
      <c r="P153" s="3311"/>
      <c r="Q153" s="3311"/>
      <c r="R153" s="3311"/>
      <c r="S153" s="3311"/>
      <c r="T153" s="3311"/>
      <c r="U153" s="3311"/>
      <c r="V153" s="3311"/>
      <c r="W153" s="3311"/>
      <c r="X153" s="3311"/>
      <c r="Y153" s="3311"/>
      <c r="Z153" s="3311"/>
      <c r="AA153" s="3311"/>
      <c r="AB153" s="3312"/>
      <c r="AC153" s="3312"/>
      <c r="AD153" s="3312"/>
      <c r="AE153" s="3312"/>
      <c r="AF153" s="3312"/>
      <c r="AG153" s="3312"/>
      <c r="AH153" s="3312"/>
      <c r="AI153" s="3312"/>
      <c r="AJ153" s="3312"/>
      <c r="AK153" s="3312"/>
      <c r="AL153" s="3312"/>
      <c r="AM153" s="3312"/>
      <c r="AN153" s="3312"/>
      <c r="AO153" s="3312"/>
      <c r="AP153" s="3312"/>
      <c r="AQ153" s="3312"/>
      <c r="AR153" s="3312"/>
      <c r="AS153" s="3312"/>
      <c r="AT153" s="3312"/>
      <c r="AU153" s="3312"/>
      <c r="AV153" s="3312"/>
      <c r="AW153" s="3312"/>
      <c r="AX153" s="3312"/>
      <c r="AY153" s="3312"/>
    </row>
    <row r="154" spans="1:51" s="888" customFormat="1" ht="27.75">
      <c r="A154" s="3305" t="s">
        <v>1362</v>
      </c>
      <c r="B154" s="3296"/>
      <c r="C154" s="3296"/>
      <c r="D154" s="3312"/>
      <c r="E154" s="3325"/>
      <c r="F154" s="3310"/>
      <c r="G154" s="3312"/>
      <c r="H154" s="3312"/>
      <c r="I154" s="3312"/>
      <c r="J154" s="3312"/>
      <c r="K154" s="3311"/>
      <c r="L154" s="3307"/>
      <c r="M154" s="3295" t="s">
        <v>1304</v>
      </c>
      <c r="N154" s="3311"/>
      <c r="O154" s="3307"/>
      <c r="P154" s="3311"/>
      <c r="Q154" s="3311"/>
      <c r="R154" s="3311"/>
      <c r="S154" s="3311"/>
      <c r="T154" s="3311"/>
      <c r="U154" s="3311"/>
      <c r="V154" s="3311"/>
      <c r="W154" s="3311"/>
      <c r="X154" s="3311"/>
      <c r="Y154" s="3311"/>
      <c r="Z154" s="3311"/>
      <c r="AA154" s="3311"/>
      <c r="AB154" s="3312"/>
      <c r="AC154" s="3312"/>
      <c r="AD154" s="3312"/>
      <c r="AE154" s="3312"/>
      <c r="AF154" s="3312"/>
      <c r="AG154" s="3312"/>
      <c r="AH154" s="3312"/>
      <c r="AI154" s="3312"/>
      <c r="AJ154" s="3312"/>
      <c r="AK154" s="3312"/>
      <c r="AL154" s="3312"/>
      <c r="AM154" s="3312"/>
      <c r="AN154" s="3312"/>
      <c r="AO154" s="3312"/>
      <c r="AP154" s="3312"/>
      <c r="AQ154" s="3312"/>
      <c r="AR154" s="3312"/>
      <c r="AS154" s="3312"/>
      <c r="AT154" s="3312"/>
      <c r="AU154" s="3312"/>
      <c r="AV154" s="3312"/>
      <c r="AW154" s="3312"/>
      <c r="AX154" s="3312"/>
      <c r="AY154" s="3312"/>
    </row>
    <row r="155" spans="1:51" s="888" customFormat="1" ht="27.75">
      <c r="A155" s="3305" t="s">
        <v>1363</v>
      </c>
      <c r="B155" s="3296"/>
      <c r="C155" s="3296"/>
      <c r="D155" s="3312"/>
      <c r="E155" s="3325"/>
      <c r="F155" s="3310"/>
      <c r="G155" s="3312"/>
      <c r="H155" s="3312"/>
      <c r="I155" s="3312"/>
      <c r="J155" s="3312"/>
      <c r="K155" s="3311"/>
      <c r="L155" s="3307"/>
      <c r="M155" s="3295" t="s">
        <v>1305</v>
      </c>
      <c r="N155" s="3311"/>
      <c r="O155" s="3307"/>
      <c r="P155" s="3311"/>
      <c r="Q155" s="3311"/>
      <c r="R155" s="3311"/>
      <c r="S155" s="3311"/>
      <c r="T155" s="3311"/>
      <c r="U155" s="3311"/>
      <c r="V155" s="3311"/>
      <c r="W155" s="3311"/>
      <c r="X155" s="3311"/>
      <c r="Y155" s="3311"/>
      <c r="Z155" s="3311"/>
      <c r="AA155" s="3311"/>
      <c r="AB155" s="3312"/>
      <c r="AC155" s="3312"/>
      <c r="AD155" s="3312"/>
      <c r="AE155" s="3312"/>
      <c r="AF155" s="3312"/>
      <c r="AG155" s="3312"/>
      <c r="AH155" s="3312"/>
      <c r="AI155" s="3312"/>
      <c r="AJ155" s="3312"/>
      <c r="AK155" s="3312"/>
      <c r="AL155" s="3312"/>
      <c r="AM155" s="3312"/>
      <c r="AN155" s="3312"/>
      <c r="AO155" s="3312"/>
      <c r="AP155" s="3312"/>
      <c r="AQ155" s="3312"/>
      <c r="AR155" s="3312"/>
      <c r="AS155" s="3312"/>
      <c r="AT155" s="3312"/>
      <c r="AU155" s="3312"/>
      <c r="AV155" s="3312"/>
      <c r="AW155" s="3312"/>
      <c r="AX155" s="3312"/>
      <c r="AY155" s="3312"/>
    </row>
    <row r="156" spans="1:51" s="888" customFormat="1" ht="27.75">
      <c r="A156" s="3305" t="s">
        <v>1364</v>
      </c>
      <c r="B156" s="3296"/>
      <c r="C156" s="3296"/>
      <c r="D156" s="3312"/>
      <c r="E156" s="3325"/>
      <c r="F156" s="3310"/>
      <c r="G156" s="3311"/>
      <c r="H156" s="3312"/>
      <c r="I156" s="3312"/>
      <c r="J156" s="3312"/>
      <c r="K156" s="3311"/>
      <c r="L156" s="3307"/>
      <c r="M156" s="3295" t="s">
        <v>1306</v>
      </c>
      <c r="N156" s="3311"/>
      <c r="O156" s="3307"/>
      <c r="P156" s="3311"/>
      <c r="Q156" s="3311"/>
      <c r="R156" s="3311"/>
      <c r="S156" s="3311"/>
      <c r="T156" s="3311"/>
      <c r="U156" s="3311"/>
      <c r="V156" s="3311"/>
      <c r="W156" s="3311"/>
      <c r="X156" s="3311"/>
      <c r="Y156" s="3311"/>
      <c r="Z156" s="3311"/>
      <c r="AA156" s="3311"/>
      <c r="AB156" s="3312"/>
      <c r="AC156" s="3312"/>
      <c r="AD156" s="3312"/>
      <c r="AE156" s="3312"/>
      <c r="AF156" s="3312"/>
      <c r="AG156" s="3312"/>
      <c r="AH156" s="3312"/>
      <c r="AI156" s="3312"/>
      <c r="AJ156" s="3312"/>
      <c r="AK156" s="3312"/>
      <c r="AL156" s="3312"/>
      <c r="AM156" s="3312"/>
      <c r="AN156" s="3312"/>
      <c r="AO156" s="3312"/>
      <c r="AP156" s="3312"/>
      <c r="AQ156" s="3312"/>
      <c r="AR156" s="3312"/>
      <c r="AS156" s="3312"/>
      <c r="AT156" s="3312"/>
      <c r="AU156" s="3312"/>
      <c r="AV156" s="3312"/>
      <c r="AW156" s="3312"/>
      <c r="AX156" s="3312"/>
      <c r="AY156" s="3312"/>
    </row>
    <row r="157" spans="1:51" s="888" customFormat="1" ht="27.75">
      <c r="A157" s="3305" t="s">
        <v>1365</v>
      </c>
      <c r="B157" s="3296"/>
      <c r="C157" s="3296"/>
      <c r="D157" s="3312"/>
      <c r="E157" s="3325"/>
      <c r="F157" s="3310"/>
      <c r="G157" s="3311"/>
      <c r="H157" s="3312"/>
      <c r="I157" s="3312"/>
      <c r="J157" s="3312"/>
      <c r="K157" s="3311"/>
      <c r="L157" s="3307"/>
      <c r="M157" s="3295" t="s">
        <v>1307</v>
      </c>
      <c r="N157" s="3311"/>
      <c r="O157" s="3307"/>
      <c r="P157" s="3311"/>
      <c r="Q157" s="3311"/>
      <c r="R157" s="3311"/>
      <c r="S157" s="3311"/>
      <c r="T157" s="3311"/>
      <c r="U157" s="3311"/>
      <c r="V157" s="3311"/>
      <c r="W157" s="3311"/>
      <c r="X157" s="3311"/>
      <c r="Y157" s="3311"/>
      <c r="Z157" s="3311"/>
      <c r="AA157" s="3311"/>
      <c r="AB157" s="3312"/>
      <c r="AC157" s="3312"/>
      <c r="AD157" s="3312"/>
      <c r="AE157" s="3312"/>
      <c r="AF157" s="3312"/>
      <c r="AG157" s="3312"/>
      <c r="AH157" s="3312"/>
      <c r="AI157" s="3312"/>
      <c r="AJ157" s="3312"/>
      <c r="AK157" s="3312"/>
      <c r="AL157" s="3312"/>
      <c r="AM157" s="3312"/>
      <c r="AN157" s="3312"/>
      <c r="AO157" s="3312"/>
      <c r="AP157" s="3312"/>
      <c r="AQ157" s="3312"/>
      <c r="AR157" s="3312"/>
      <c r="AS157" s="3312"/>
      <c r="AT157" s="3312"/>
      <c r="AU157" s="3312"/>
      <c r="AV157" s="3312"/>
      <c r="AW157" s="3312"/>
      <c r="AX157" s="3312"/>
      <c r="AY157" s="3312"/>
    </row>
    <row r="158" spans="1:51" s="888" customFormat="1" ht="27.75">
      <c r="A158" s="3305" t="s">
        <v>1366</v>
      </c>
      <c r="B158" s="3296"/>
      <c r="C158" s="3296"/>
      <c r="D158" s="3312"/>
      <c r="E158" s="3325"/>
      <c r="F158" s="3310"/>
      <c r="G158" s="3311"/>
      <c r="H158" s="3312"/>
      <c r="I158" s="3312"/>
      <c r="J158" s="3312"/>
      <c r="K158" s="3311"/>
      <c r="L158" s="3307"/>
      <c r="M158" s="3295" t="s">
        <v>1308</v>
      </c>
      <c r="N158" s="3311"/>
      <c r="O158" s="3307"/>
      <c r="P158" s="3311"/>
      <c r="Q158" s="3311"/>
      <c r="R158" s="3311"/>
      <c r="S158" s="3311"/>
      <c r="T158" s="3311"/>
      <c r="U158" s="3311"/>
      <c r="V158" s="3311"/>
      <c r="W158" s="3311"/>
      <c r="X158" s="3311"/>
      <c r="Y158" s="3311"/>
      <c r="Z158" s="3311"/>
      <c r="AA158" s="3311"/>
      <c r="AB158" s="3312"/>
      <c r="AC158" s="3312"/>
      <c r="AD158" s="3312"/>
      <c r="AE158" s="3312"/>
      <c r="AF158" s="3312"/>
      <c r="AG158" s="3312"/>
      <c r="AH158" s="3312"/>
      <c r="AI158" s="3312"/>
      <c r="AJ158" s="3312"/>
      <c r="AK158" s="3312"/>
      <c r="AL158" s="3312"/>
      <c r="AM158" s="3312"/>
      <c r="AN158" s="3312"/>
      <c r="AO158" s="3312"/>
      <c r="AP158" s="3312"/>
      <c r="AQ158" s="3312"/>
      <c r="AR158" s="3312"/>
      <c r="AS158" s="3312"/>
      <c r="AT158" s="3312"/>
      <c r="AU158" s="3312"/>
      <c r="AV158" s="3312"/>
      <c r="AW158" s="3312"/>
      <c r="AX158" s="3312"/>
      <c r="AY158" s="3312"/>
    </row>
    <row r="159" spans="1:51" s="888" customFormat="1" ht="27.75">
      <c r="A159" s="3305" t="s">
        <v>1367</v>
      </c>
      <c r="B159" s="3296"/>
      <c r="C159" s="3296"/>
      <c r="D159" s="3312"/>
      <c r="E159" s="3325"/>
      <c r="F159" s="3310"/>
      <c r="G159" s="3312"/>
      <c r="H159" s="3312"/>
      <c r="I159" s="3312"/>
      <c r="J159" s="3312"/>
      <c r="K159" s="3311"/>
      <c r="L159" s="3307"/>
      <c r="M159" s="3309" t="s">
        <v>1310</v>
      </c>
      <c r="N159" s="3311"/>
      <c r="O159" s="3307"/>
      <c r="P159" s="3311"/>
      <c r="Q159" s="3311"/>
      <c r="R159" s="3311"/>
      <c r="S159" s="3311"/>
      <c r="T159" s="3311"/>
      <c r="U159" s="3311"/>
      <c r="V159" s="3311"/>
      <c r="W159" s="3311"/>
      <c r="X159" s="3311"/>
      <c r="Y159" s="3311"/>
      <c r="Z159" s="3311"/>
      <c r="AA159" s="3311"/>
      <c r="AB159" s="3312"/>
      <c r="AC159" s="3312"/>
      <c r="AD159" s="3312"/>
      <c r="AE159" s="3312"/>
      <c r="AF159" s="3312"/>
      <c r="AG159" s="3312"/>
      <c r="AH159" s="3312"/>
      <c r="AI159" s="3312"/>
      <c r="AJ159" s="3312"/>
      <c r="AK159" s="3312"/>
      <c r="AL159" s="3312"/>
      <c r="AM159" s="3312"/>
      <c r="AN159" s="3312"/>
      <c r="AO159" s="3312"/>
      <c r="AP159" s="3312"/>
      <c r="AQ159" s="3312"/>
      <c r="AR159" s="3312"/>
      <c r="AS159" s="3312"/>
      <c r="AT159" s="3312"/>
      <c r="AU159" s="3312"/>
      <c r="AV159" s="3312"/>
      <c r="AW159" s="3312"/>
      <c r="AX159" s="3312"/>
      <c r="AY159" s="3312"/>
    </row>
    <row r="160" spans="1:51" s="888" customFormat="1" ht="27.75">
      <c r="A160" s="3305" t="s">
        <v>1368</v>
      </c>
      <c r="B160" s="3296"/>
      <c r="C160" s="3296"/>
      <c r="D160" s="3312"/>
      <c r="E160" s="3325"/>
      <c r="F160" s="3310"/>
      <c r="G160" s="3312"/>
      <c r="H160" s="3312"/>
      <c r="I160" s="3312"/>
      <c r="J160" s="3312"/>
      <c r="K160" s="3311"/>
      <c r="L160" s="3307"/>
      <c r="M160" s="3295" t="s">
        <v>1311</v>
      </c>
      <c r="N160" s="3311"/>
      <c r="O160" s="3307"/>
      <c r="P160" s="3311"/>
      <c r="Q160" s="3311"/>
      <c r="R160" s="3311"/>
      <c r="S160" s="3311"/>
      <c r="T160" s="3311"/>
      <c r="U160" s="3311"/>
      <c r="V160" s="3311"/>
      <c r="W160" s="3311"/>
      <c r="X160" s="3311"/>
      <c r="Y160" s="3311"/>
      <c r="Z160" s="3311"/>
      <c r="AA160" s="3311"/>
      <c r="AB160" s="3312"/>
      <c r="AC160" s="3312"/>
      <c r="AD160" s="3312"/>
      <c r="AE160" s="3312"/>
      <c r="AF160" s="3312"/>
      <c r="AG160" s="3312"/>
      <c r="AH160" s="3312"/>
      <c r="AI160" s="3312"/>
      <c r="AJ160" s="3312"/>
      <c r="AK160" s="3312"/>
      <c r="AL160" s="3312"/>
      <c r="AM160" s="3312"/>
      <c r="AN160" s="3312"/>
      <c r="AO160" s="3312"/>
      <c r="AP160" s="3312"/>
      <c r="AQ160" s="3312"/>
      <c r="AR160" s="3312"/>
      <c r="AS160" s="3312"/>
      <c r="AT160" s="3312"/>
      <c r="AU160" s="3312"/>
      <c r="AV160" s="3312"/>
      <c r="AW160" s="3312"/>
      <c r="AX160" s="3312"/>
      <c r="AY160" s="3312"/>
    </row>
    <row r="161" spans="1:51" s="888" customFormat="1" ht="27.75">
      <c r="A161" s="3305" t="s">
        <v>1336</v>
      </c>
      <c r="B161" s="3327"/>
      <c r="C161" s="3327"/>
      <c r="D161" s="3328"/>
      <c r="E161" s="3329"/>
      <c r="F161" s="3311"/>
      <c r="G161" s="3328"/>
      <c r="H161" s="3312"/>
      <c r="I161" s="3312"/>
      <c r="J161" s="3312"/>
      <c r="K161" s="3311"/>
      <c r="L161" s="3307"/>
      <c r="M161" s="3295" t="s">
        <v>1312</v>
      </c>
      <c r="N161" s="3311"/>
      <c r="O161" s="3307"/>
      <c r="P161" s="3311"/>
      <c r="Q161" s="3311"/>
      <c r="R161" s="3311"/>
      <c r="S161" s="3311"/>
      <c r="T161" s="3311"/>
      <c r="U161" s="3311"/>
      <c r="V161" s="3311"/>
      <c r="W161" s="3311"/>
      <c r="X161" s="3311"/>
      <c r="Y161" s="3311"/>
      <c r="Z161" s="3311"/>
      <c r="AA161" s="3311"/>
      <c r="AB161" s="3312"/>
      <c r="AC161" s="3312"/>
      <c r="AD161" s="3312"/>
      <c r="AE161" s="3312"/>
      <c r="AF161" s="3312"/>
      <c r="AG161" s="3312"/>
      <c r="AH161" s="3312"/>
      <c r="AI161" s="3312"/>
      <c r="AJ161" s="3312"/>
      <c r="AK161" s="3312"/>
      <c r="AL161" s="3312"/>
      <c r="AM161" s="3312"/>
      <c r="AN161" s="3312"/>
      <c r="AO161" s="3312"/>
      <c r="AP161" s="3312"/>
      <c r="AQ161" s="3312"/>
      <c r="AR161" s="3312"/>
      <c r="AS161" s="3312"/>
      <c r="AT161" s="3312"/>
      <c r="AU161" s="3312"/>
      <c r="AV161" s="3312"/>
      <c r="AW161" s="3312"/>
      <c r="AX161" s="3312"/>
      <c r="AY161" s="3312"/>
    </row>
    <row r="162" spans="1:51" s="888" customFormat="1" ht="27.75">
      <c r="A162" s="3305" t="s">
        <v>1337</v>
      </c>
      <c r="B162" s="3327"/>
      <c r="C162" s="3330"/>
      <c r="D162" s="3318"/>
      <c r="E162" s="3331"/>
      <c r="F162" s="3294"/>
      <c r="G162" s="3318"/>
      <c r="H162" s="3312"/>
      <c r="I162" s="3312"/>
      <c r="J162" s="3312"/>
      <c r="K162" s="3311"/>
      <c r="L162" s="3307"/>
      <c r="M162" s="3295" t="s">
        <v>1313</v>
      </c>
      <c r="N162" s="3311"/>
      <c r="O162" s="3307"/>
      <c r="P162" s="3311"/>
      <c r="Q162" s="3311"/>
      <c r="R162" s="3311"/>
      <c r="S162" s="3311"/>
      <c r="T162" s="3311"/>
      <c r="U162" s="3311"/>
      <c r="V162" s="3311"/>
      <c r="W162" s="3311"/>
      <c r="X162" s="3311"/>
      <c r="Y162" s="3311"/>
      <c r="Z162" s="3311"/>
      <c r="AA162" s="3311"/>
      <c r="AB162" s="3312"/>
      <c r="AC162" s="3312"/>
      <c r="AD162" s="3312"/>
      <c r="AE162" s="3312"/>
      <c r="AF162" s="3312"/>
      <c r="AG162" s="3312"/>
      <c r="AH162" s="3312"/>
      <c r="AI162" s="3312"/>
      <c r="AJ162" s="3312"/>
      <c r="AK162" s="3312"/>
      <c r="AL162" s="3312"/>
      <c r="AM162" s="3312"/>
      <c r="AN162" s="3312"/>
      <c r="AO162" s="3312"/>
      <c r="AP162" s="3312"/>
      <c r="AQ162" s="3312"/>
      <c r="AR162" s="3312"/>
      <c r="AS162" s="3312"/>
      <c r="AT162" s="3312"/>
      <c r="AU162" s="3312"/>
      <c r="AV162" s="3312"/>
      <c r="AW162" s="3312"/>
      <c r="AX162" s="3312"/>
      <c r="AY162" s="3312"/>
    </row>
    <row r="163" spans="1:51" s="888" customFormat="1" ht="27.75">
      <c r="A163" s="3305" t="s">
        <v>1338</v>
      </c>
      <c r="B163" s="3327"/>
      <c r="C163" s="3330"/>
      <c r="D163" s="3318"/>
      <c r="E163" s="3331"/>
      <c r="F163" s="3309"/>
      <c r="G163" s="3318"/>
      <c r="H163" s="3312"/>
      <c r="I163" s="3312"/>
      <c r="J163" s="3312"/>
      <c r="K163" s="3311"/>
      <c r="L163" s="3307"/>
      <c r="M163" s="3309" t="s">
        <v>1314</v>
      </c>
      <c r="N163" s="3311"/>
      <c r="O163" s="3307"/>
      <c r="P163" s="3311"/>
      <c r="Q163" s="3311"/>
      <c r="R163" s="3311"/>
      <c r="S163" s="3311"/>
      <c r="T163" s="3311"/>
      <c r="U163" s="3311"/>
      <c r="V163" s="3311"/>
      <c r="W163" s="3311"/>
      <c r="X163" s="3311"/>
      <c r="Y163" s="3311"/>
      <c r="Z163" s="3311"/>
      <c r="AA163" s="3311"/>
      <c r="AB163" s="3312"/>
      <c r="AC163" s="3312"/>
      <c r="AD163" s="3312"/>
      <c r="AE163" s="3312"/>
      <c r="AF163" s="3312"/>
      <c r="AG163" s="3312"/>
      <c r="AH163" s="3312"/>
      <c r="AI163" s="3312"/>
      <c r="AJ163" s="3312"/>
      <c r="AK163" s="3312"/>
      <c r="AL163" s="3312"/>
      <c r="AM163" s="3312"/>
      <c r="AN163" s="3312"/>
      <c r="AO163" s="3312"/>
      <c r="AP163" s="3312"/>
      <c r="AQ163" s="3312"/>
      <c r="AR163" s="3312"/>
      <c r="AS163" s="3312"/>
      <c r="AT163" s="3312"/>
      <c r="AU163" s="3312"/>
      <c r="AV163" s="3312"/>
      <c r="AW163" s="3312"/>
      <c r="AX163" s="3312"/>
      <c r="AY163" s="3312"/>
    </row>
    <row r="164" spans="1:51" s="888" customFormat="1" ht="27.75">
      <c r="A164" s="3305" t="s">
        <v>1339</v>
      </c>
      <c r="B164" s="3327"/>
      <c r="C164" s="3330"/>
      <c r="D164" s="3318"/>
      <c r="E164" s="3331"/>
      <c r="F164" s="3310"/>
      <c r="G164" s="3318"/>
      <c r="H164" s="3312"/>
      <c r="I164" s="3312"/>
      <c r="J164" s="3312"/>
      <c r="K164" s="3311"/>
      <c r="L164" s="3305"/>
      <c r="M164" s="3295" t="s">
        <v>1315</v>
      </c>
      <c r="N164" s="3311"/>
      <c r="O164" s="3305"/>
      <c r="P164" s="3311"/>
      <c r="Q164" s="3311"/>
      <c r="R164" s="3311"/>
      <c r="S164" s="3311"/>
      <c r="T164" s="3311"/>
      <c r="U164" s="3311"/>
      <c r="V164" s="3311"/>
      <c r="W164" s="3311"/>
      <c r="X164" s="3311"/>
      <c r="Y164" s="3311"/>
      <c r="Z164" s="3311"/>
      <c r="AA164" s="3311"/>
      <c r="AB164" s="3312"/>
      <c r="AC164" s="3312"/>
      <c r="AD164" s="3312"/>
      <c r="AE164" s="3312"/>
      <c r="AF164" s="3312"/>
      <c r="AG164" s="3312"/>
      <c r="AH164" s="3312"/>
      <c r="AI164" s="3312"/>
      <c r="AJ164" s="3312"/>
      <c r="AK164" s="3312"/>
      <c r="AL164" s="3312"/>
      <c r="AM164" s="3312"/>
      <c r="AN164" s="3312"/>
      <c r="AO164" s="3312"/>
      <c r="AP164" s="3312"/>
      <c r="AQ164" s="3312"/>
      <c r="AR164" s="3312"/>
      <c r="AS164" s="3312"/>
      <c r="AT164" s="3312"/>
      <c r="AU164" s="3312"/>
      <c r="AV164" s="3312"/>
      <c r="AW164" s="3312"/>
      <c r="AX164" s="3312"/>
      <c r="AY164" s="3312"/>
    </row>
    <row r="165" spans="1:51" s="888" customFormat="1" ht="27.75">
      <c r="A165" s="3305" t="s">
        <v>1340</v>
      </c>
      <c r="B165" s="3332"/>
      <c r="C165" s="3330"/>
      <c r="D165" s="3318"/>
      <c r="E165" s="3331"/>
      <c r="F165" s="3310"/>
      <c r="G165" s="3316"/>
      <c r="H165" s="3312"/>
      <c r="I165" s="3312"/>
      <c r="J165" s="3312"/>
      <c r="K165" s="3311"/>
      <c r="L165" s="3306"/>
      <c r="M165" s="3295" t="s">
        <v>1316</v>
      </c>
      <c r="N165" s="3311"/>
      <c r="O165" s="3306"/>
      <c r="P165" s="3311"/>
      <c r="Q165" s="3311"/>
      <c r="R165" s="3311"/>
      <c r="S165" s="3311"/>
      <c r="T165" s="3311"/>
      <c r="U165" s="3311"/>
      <c r="V165" s="3311"/>
      <c r="W165" s="3311"/>
      <c r="X165" s="3311"/>
      <c r="Y165" s="3311"/>
      <c r="Z165" s="3311"/>
      <c r="AA165" s="3311"/>
      <c r="AB165" s="3312"/>
      <c r="AC165" s="3312"/>
      <c r="AD165" s="3312"/>
      <c r="AE165" s="3312"/>
      <c r="AF165" s="3312"/>
      <c r="AG165" s="3312"/>
      <c r="AH165" s="3312"/>
      <c r="AI165" s="3312"/>
      <c r="AJ165" s="3312"/>
      <c r="AK165" s="3312"/>
      <c r="AL165" s="3312"/>
      <c r="AM165" s="3312"/>
      <c r="AN165" s="3312"/>
      <c r="AO165" s="3312"/>
      <c r="AP165" s="3312"/>
      <c r="AQ165" s="3312"/>
      <c r="AR165" s="3312"/>
      <c r="AS165" s="3312"/>
      <c r="AT165" s="3312"/>
      <c r="AU165" s="3312"/>
      <c r="AV165" s="3312"/>
      <c r="AW165" s="3312"/>
      <c r="AX165" s="3312"/>
      <c r="AY165" s="3312"/>
    </row>
    <row r="166" spans="1:51" s="888" customFormat="1" ht="27.75">
      <c r="A166" s="3305"/>
      <c r="B166" s="3330"/>
      <c r="C166" s="3296"/>
      <c r="D166" s="3312"/>
      <c r="E166" s="3325"/>
      <c r="F166" s="3310"/>
      <c r="G166" s="3316"/>
      <c r="H166" s="3312"/>
      <c r="I166" s="3312"/>
      <c r="J166" s="3312"/>
      <c r="K166" s="3311"/>
      <c r="L166" s="3305"/>
      <c r="M166" s="3295" t="s">
        <v>1319</v>
      </c>
      <c r="N166" s="3311"/>
      <c r="O166" s="3305"/>
      <c r="P166" s="3311"/>
      <c r="Q166" s="3311"/>
      <c r="R166" s="3311"/>
      <c r="S166" s="3311"/>
      <c r="T166" s="3311"/>
      <c r="U166" s="3311"/>
      <c r="V166" s="3311"/>
      <c r="W166" s="3311"/>
      <c r="X166" s="3311"/>
      <c r="Y166" s="3311"/>
      <c r="Z166" s="3311"/>
      <c r="AA166" s="3311"/>
      <c r="AB166" s="3312"/>
      <c r="AC166" s="3312"/>
      <c r="AD166" s="3312"/>
      <c r="AE166" s="3312"/>
      <c r="AF166" s="3312"/>
      <c r="AG166" s="3312"/>
      <c r="AH166" s="3312"/>
      <c r="AI166" s="3312"/>
      <c r="AJ166" s="3312"/>
      <c r="AK166" s="3312"/>
      <c r="AL166" s="3312"/>
      <c r="AM166" s="3312"/>
      <c r="AN166" s="3312"/>
      <c r="AO166" s="3312"/>
      <c r="AP166" s="3312"/>
      <c r="AQ166" s="3312"/>
      <c r="AR166" s="3312"/>
      <c r="AS166" s="3312"/>
      <c r="AT166" s="3312"/>
      <c r="AU166" s="3312"/>
      <c r="AV166" s="3312"/>
      <c r="AW166" s="3312"/>
      <c r="AX166" s="3312"/>
      <c r="AY166" s="3312"/>
    </row>
    <row r="167" spans="1:51" s="888" customFormat="1" ht="27.75">
      <c r="A167" s="3305" t="s">
        <v>1119</v>
      </c>
      <c r="B167" s="3330"/>
      <c r="C167" s="3296"/>
      <c r="D167" s="3312"/>
      <c r="E167" s="3325"/>
      <c r="F167" s="3310"/>
      <c r="G167" s="3328"/>
      <c r="H167" s="3312"/>
      <c r="I167" s="3312"/>
      <c r="J167" s="3312"/>
      <c r="K167" s="3311"/>
      <c r="L167" s="3307"/>
      <c r="M167" s="3295" t="s">
        <v>1317</v>
      </c>
      <c r="N167" s="3311"/>
      <c r="O167" s="3307"/>
      <c r="P167" s="3311"/>
      <c r="Q167" s="3311"/>
      <c r="R167" s="3311"/>
      <c r="S167" s="3311"/>
      <c r="T167" s="3311"/>
      <c r="U167" s="3311"/>
      <c r="V167" s="3311"/>
      <c r="W167" s="3311"/>
      <c r="X167" s="3311"/>
      <c r="Y167" s="3311"/>
      <c r="Z167" s="3311"/>
      <c r="AA167" s="3311"/>
      <c r="AB167" s="3312"/>
      <c r="AC167" s="3312"/>
      <c r="AD167" s="3312"/>
      <c r="AE167" s="3312"/>
      <c r="AF167" s="3312"/>
      <c r="AG167" s="3312"/>
      <c r="AH167" s="3312"/>
      <c r="AI167" s="3312"/>
      <c r="AJ167" s="3312"/>
      <c r="AK167" s="3312"/>
      <c r="AL167" s="3312"/>
      <c r="AM167" s="3312"/>
      <c r="AN167" s="3312"/>
      <c r="AO167" s="3312"/>
      <c r="AP167" s="3312"/>
      <c r="AQ167" s="3312"/>
      <c r="AR167" s="3312"/>
      <c r="AS167" s="3312"/>
      <c r="AT167" s="3312"/>
      <c r="AU167" s="3312"/>
      <c r="AV167" s="3312"/>
      <c r="AW167" s="3312"/>
      <c r="AX167" s="3312"/>
      <c r="AY167" s="3312"/>
    </row>
    <row r="168" spans="1:51" s="888" customFormat="1" ht="27.75">
      <c r="A168" s="3305" t="s">
        <v>1120</v>
      </c>
      <c r="B168" s="3330"/>
      <c r="C168" s="3327"/>
      <c r="D168" s="3328"/>
      <c r="E168" s="3329"/>
      <c r="F168" s="3326"/>
      <c r="G168" s="3315"/>
      <c r="H168" s="3312"/>
      <c r="I168" s="3312"/>
      <c r="J168" s="3312"/>
      <c r="K168" s="3311"/>
      <c r="L168" s="3307"/>
      <c r="M168" s="3295" t="s">
        <v>1324</v>
      </c>
      <c r="N168" s="3311"/>
      <c r="O168" s="3307"/>
      <c r="P168" s="3311"/>
      <c r="Q168" s="3311"/>
      <c r="R168" s="3311"/>
      <c r="S168" s="3311"/>
      <c r="T168" s="3311"/>
      <c r="U168" s="3311"/>
      <c r="V168" s="3311"/>
      <c r="W168" s="3311"/>
      <c r="X168" s="3311"/>
      <c r="Y168" s="3311"/>
      <c r="Z168" s="3311"/>
      <c r="AA168" s="3311"/>
      <c r="AB168" s="3312"/>
      <c r="AC168" s="3312"/>
      <c r="AD168" s="3312"/>
      <c r="AE168" s="3312"/>
      <c r="AF168" s="3312"/>
      <c r="AG168" s="3312"/>
      <c r="AH168" s="3312"/>
      <c r="AI168" s="3312"/>
      <c r="AJ168" s="3312"/>
      <c r="AK168" s="3312"/>
      <c r="AL168" s="3312"/>
      <c r="AM168" s="3312"/>
      <c r="AN168" s="3312"/>
      <c r="AO168" s="3312"/>
      <c r="AP168" s="3312"/>
      <c r="AQ168" s="3312"/>
      <c r="AR168" s="3312"/>
      <c r="AS168" s="3312"/>
      <c r="AT168" s="3312"/>
      <c r="AU168" s="3312"/>
      <c r="AV168" s="3312"/>
      <c r="AW168" s="3312"/>
      <c r="AX168" s="3312"/>
      <c r="AY168" s="3312"/>
    </row>
    <row r="169" spans="1:51" s="888" customFormat="1" ht="27.75">
      <c r="A169" s="3305" t="s">
        <v>1121</v>
      </c>
      <c r="B169" s="3328"/>
      <c r="C169" s="3327"/>
      <c r="D169" s="3328"/>
      <c r="E169" s="3329"/>
      <c r="F169" s="3310" t="s">
        <v>1095</v>
      </c>
      <c r="G169" s="3315"/>
      <c r="H169" s="3312"/>
      <c r="I169" s="3312"/>
      <c r="J169" s="3312"/>
      <c r="K169" s="3311"/>
      <c r="L169" s="3307"/>
      <c r="M169" s="3295" t="s">
        <v>1325</v>
      </c>
      <c r="N169" s="3311"/>
      <c r="O169" s="3307"/>
      <c r="P169" s="3311"/>
      <c r="Q169" s="3311"/>
      <c r="R169" s="3311"/>
      <c r="S169" s="3311"/>
      <c r="T169" s="3311"/>
      <c r="U169" s="3311"/>
      <c r="V169" s="3311"/>
      <c r="W169" s="3311"/>
      <c r="X169" s="3311"/>
      <c r="Y169" s="3311"/>
      <c r="Z169" s="3311"/>
      <c r="AA169" s="3311"/>
      <c r="AB169" s="3312"/>
      <c r="AC169" s="3312"/>
      <c r="AD169" s="3312"/>
      <c r="AE169" s="3312"/>
      <c r="AF169" s="3312"/>
      <c r="AG169" s="3312"/>
      <c r="AH169" s="3312"/>
      <c r="AI169" s="3312"/>
      <c r="AJ169" s="3312"/>
      <c r="AK169" s="3312"/>
      <c r="AL169" s="3312"/>
      <c r="AM169" s="3312"/>
      <c r="AN169" s="3312"/>
      <c r="AO169" s="3312"/>
      <c r="AP169" s="3312"/>
      <c r="AQ169" s="3312"/>
      <c r="AR169" s="3312"/>
      <c r="AS169" s="3312"/>
      <c r="AT169" s="3312"/>
      <c r="AU169" s="3312"/>
      <c r="AV169" s="3312"/>
      <c r="AW169" s="3312"/>
      <c r="AX169" s="3312"/>
      <c r="AY169" s="3312"/>
    </row>
    <row r="170" spans="1:51" s="888" customFormat="1" ht="27.75">
      <c r="A170" s="3305" t="s">
        <v>1122</v>
      </c>
      <c r="B170" s="3296"/>
      <c r="C170" s="3333"/>
      <c r="D170" s="3312"/>
      <c r="E170" s="3325"/>
      <c r="F170" s="3310" t="s">
        <v>1096</v>
      </c>
      <c r="G170" s="3312"/>
      <c r="H170" s="3312"/>
      <c r="I170" s="3312"/>
      <c r="J170" s="3312"/>
      <c r="K170" s="3311"/>
      <c r="L170" s="3307"/>
      <c r="M170" s="3295" t="s">
        <v>1326</v>
      </c>
      <c r="N170" s="3311"/>
      <c r="O170" s="3307"/>
      <c r="P170" s="3311"/>
      <c r="Q170" s="3311"/>
      <c r="R170" s="3311"/>
      <c r="S170" s="3311"/>
      <c r="T170" s="3311"/>
      <c r="U170" s="3311"/>
      <c r="V170" s="3311"/>
      <c r="W170" s="3311"/>
      <c r="X170" s="3311"/>
      <c r="Y170" s="3311"/>
      <c r="Z170" s="3311"/>
      <c r="AA170" s="3311"/>
      <c r="AB170" s="3312"/>
      <c r="AC170" s="3312"/>
      <c r="AD170" s="3312"/>
      <c r="AE170" s="3312"/>
      <c r="AF170" s="3312"/>
      <c r="AG170" s="3312"/>
      <c r="AH170" s="3312"/>
      <c r="AI170" s="3312"/>
      <c r="AJ170" s="3312"/>
      <c r="AK170" s="3312"/>
      <c r="AL170" s="3312"/>
      <c r="AM170" s="3312"/>
      <c r="AN170" s="3312"/>
      <c r="AO170" s="3312"/>
      <c r="AP170" s="3312"/>
      <c r="AQ170" s="3312"/>
      <c r="AR170" s="3312"/>
      <c r="AS170" s="3312"/>
      <c r="AT170" s="3312"/>
      <c r="AU170" s="3312"/>
      <c r="AV170" s="3312"/>
      <c r="AW170" s="3312"/>
      <c r="AX170" s="3312"/>
      <c r="AY170" s="3312"/>
    </row>
    <row r="171" spans="1:51" s="888" customFormat="1" ht="27.75">
      <c r="A171" s="3292" t="s">
        <v>1123</v>
      </c>
      <c r="B171" s="3296"/>
      <c r="C171" s="3296"/>
      <c r="D171" s="3312"/>
      <c r="E171" s="3325"/>
      <c r="F171" s="3310"/>
      <c r="G171" s="3312"/>
      <c r="H171" s="3312"/>
      <c r="I171" s="3312"/>
      <c r="J171" s="3312"/>
      <c r="K171" s="3311"/>
      <c r="L171" s="3307"/>
      <c r="M171" s="3295" t="s">
        <v>1320</v>
      </c>
      <c r="N171" s="3311"/>
      <c r="O171" s="3307"/>
      <c r="P171" s="3311"/>
      <c r="Q171" s="3311"/>
      <c r="R171" s="3311"/>
      <c r="S171" s="3311"/>
      <c r="T171" s="3311"/>
      <c r="U171" s="3311"/>
      <c r="V171" s="3311"/>
      <c r="W171" s="3311"/>
      <c r="X171" s="3311"/>
      <c r="Y171" s="3311"/>
      <c r="Z171" s="3311"/>
      <c r="AA171" s="3311"/>
      <c r="AB171" s="3312"/>
      <c r="AC171" s="3312"/>
      <c r="AD171" s="3312"/>
      <c r="AE171" s="3312"/>
      <c r="AF171" s="3312"/>
      <c r="AG171" s="3312"/>
      <c r="AH171" s="3312"/>
      <c r="AI171" s="3312"/>
      <c r="AJ171" s="3312"/>
      <c r="AK171" s="3312"/>
      <c r="AL171" s="3312"/>
      <c r="AM171" s="3312"/>
      <c r="AN171" s="3312"/>
      <c r="AO171" s="3312"/>
      <c r="AP171" s="3312"/>
      <c r="AQ171" s="3312"/>
      <c r="AR171" s="3312"/>
      <c r="AS171" s="3312"/>
      <c r="AT171" s="3312"/>
      <c r="AU171" s="3312"/>
      <c r="AV171" s="3312"/>
      <c r="AW171" s="3312"/>
      <c r="AX171" s="3312"/>
      <c r="AY171" s="3312"/>
    </row>
    <row r="172" spans="1:51" s="888" customFormat="1" ht="27.75">
      <c r="A172" s="3292" t="s">
        <v>1124</v>
      </c>
      <c r="B172" s="3327"/>
      <c r="C172" s="3296"/>
      <c r="D172" s="3312"/>
      <c r="E172" s="3325"/>
      <c r="F172" s="3310"/>
      <c r="G172" s="3311"/>
      <c r="H172" s="3312"/>
      <c r="I172" s="3312"/>
      <c r="J172" s="3312"/>
      <c r="K172" s="3311"/>
      <c r="L172" s="3305"/>
      <c r="M172" s="3295" t="s">
        <v>1321</v>
      </c>
      <c r="N172" s="3311"/>
      <c r="O172" s="3305"/>
      <c r="P172" s="3311"/>
      <c r="Q172" s="3311"/>
      <c r="R172" s="3311"/>
      <c r="S172" s="3311"/>
      <c r="T172" s="3311"/>
      <c r="U172" s="3311"/>
      <c r="V172" s="3311"/>
      <c r="W172" s="3311"/>
      <c r="X172" s="3311"/>
      <c r="Y172" s="3311"/>
      <c r="Z172" s="3311"/>
      <c r="AA172" s="3311"/>
      <c r="AB172" s="3312"/>
      <c r="AC172" s="3312"/>
      <c r="AD172" s="3312"/>
      <c r="AE172" s="3312"/>
      <c r="AF172" s="3312"/>
      <c r="AG172" s="3312"/>
      <c r="AH172" s="3312"/>
      <c r="AI172" s="3312"/>
      <c r="AJ172" s="3312"/>
      <c r="AK172" s="3312"/>
      <c r="AL172" s="3312"/>
      <c r="AM172" s="3312"/>
      <c r="AN172" s="3312"/>
      <c r="AO172" s="3312"/>
      <c r="AP172" s="3312"/>
      <c r="AQ172" s="3312"/>
      <c r="AR172" s="3312"/>
      <c r="AS172" s="3312"/>
      <c r="AT172" s="3312"/>
      <c r="AU172" s="3312"/>
      <c r="AV172" s="3312"/>
      <c r="AW172" s="3312"/>
      <c r="AX172" s="3312"/>
      <c r="AY172" s="3312"/>
    </row>
    <row r="173" spans="1:51" s="888" customFormat="1" ht="27.75">
      <c r="A173" s="3305" t="s">
        <v>1125</v>
      </c>
      <c r="B173" s="3296"/>
      <c r="C173" s="3296"/>
      <c r="D173" s="3312"/>
      <c r="E173" s="3325"/>
      <c r="F173" s="3310"/>
      <c r="G173" s="3311"/>
      <c r="H173" s="3312"/>
      <c r="I173" s="3312"/>
      <c r="J173" s="3312"/>
      <c r="K173" s="3311"/>
      <c r="L173" s="3307"/>
      <c r="M173" s="3295" t="s">
        <v>1322</v>
      </c>
      <c r="N173" s="3311"/>
      <c r="O173" s="3307"/>
      <c r="P173" s="3311"/>
      <c r="Q173" s="3311"/>
      <c r="R173" s="3311"/>
      <c r="S173" s="3311"/>
      <c r="T173" s="3311"/>
      <c r="U173" s="3311"/>
      <c r="V173" s="3311"/>
      <c r="W173" s="3311"/>
      <c r="X173" s="3311"/>
      <c r="Y173" s="3311"/>
      <c r="Z173" s="3311"/>
      <c r="AA173" s="3311"/>
      <c r="AB173" s="3312"/>
      <c r="AC173" s="3312"/>
      <c r="AD173" s="3312"/>
      <c r="AE173" s="3312"/>
      <c r="AF173" s="3312"/>
      <c r="AG173" s="3312"/>
      <c r="AH173" s="3312"/>
      <c r="AI173" s="3312"/>
      <c r="AJ173" s="3312"/>
      <c r="AK173" s="3312"/>
      <c r="AL173" s="3312"/>
      <c r="AM173" s="3312"/>
      <c r="AN173" s="3312"/>
      <c r="AO173" s="3312"/>
      <c r="AP173" s="3312"/>
      <c r="AQ173" s="3312"/>
      <c r="AR173" s="3312"/>
      <c r="AS173" s="3312"/>
      <c r="AT173" s="3312"/>
      <c r="AU173" s="3312"/>
      <c r="AV173" s="3312"/>
      <c r="AW173" s="3312"/>
      <c r="AX173" s="3312"/>
      <c r="AY173" s="3312"/>
    </row>
    <row r="174" spans="1:51" s="888" customFormat="1" ht="27.75">
      <c r="A174" s="3305" t="s">
        <v>1124</v>
      </c>
      <c r="B174" s="3296"/>
      <c r="C174" s="3296"/>
      <c r="D174" s="3312"/>
      <c r="E174" s="3312"/>
      <c r="F174" s="3310"/>
      <c r="G174" s="3311"/>
      <c r="H174" s="3312"/>
      <c r="I174" s="3312"/>
      <c r="J174" s="3312"/>
      <c r="K174" s="3311"/>
      <c r="L174" s="3307"/>
      <c r="M174" s="3295" t="s">
        <v>1323</v>
      </c>
      <c r="N174" s="3311"/>
      <c r="O174" s="3307"/>
      <c r="P174" s="3311"/>
      <c r="Q174" s="3311"/>
      <c r="R174" s="3311"/>
      <c r="S174" s="3311"/>
      <c r="T174" s="3311"/>
      <c r="U174" s="3311"/>
      <c r="V174" s="3311"/>
      <c r="W174" s="3311"/>
      <c r="X174" s="3311"/>
      <c r="Y174" s="3311"/>
      <c r="Z174" s="3311"/>
      <c r="AA174" s="3311"/>
      <c r="AB174" s="3312"/>
      <c r="AC174" s="3312"/>
      <c r="AD174" s="3312"/>
      <c r="AE174" s="3312"/>
      <c r="AF174" s="3312"/>
      <c r="AG174" s="3312"/>
      <c r="AH174" s="3312"/>
      <c r="AI174" s="3312"/>
      <c r="AJ174" s="3312"/>
      <c r="AK174" s="3312"/>
      <c r="AL174" s="3312"/>
      <c r="AM174" s="3312"/>
      <c r="AN174" s="3312"/>
      <c r="AO174" s="3312"/>
      <c r="AP174" s="3312"/>
      <c r="AQ174" s="3312"/>
      <c r="AR174" s="3312"/>
      <c r="AS174" s="3312"/>
      <c r="AT174" s="3312"/>
      <c r="AU174" s="3312"/>
      <c r="AV174" s="3312"/>
      <c r="AW174" s="3312"/>
      <c r="AX174" s="3312"/>
      <c r="AY174" s="3312"/>
    </row>
    <row r="175" spans="1:51" s="888" customFormat="1" ht="27.75">
      <c r="A175" s="3305" t="s">
        <v>1126</v>
      </c>
      <c r="B175" s="3296"/>
      <c r="C175" s="3296"/>
      <c r="D175" s="3312"/>
      <c r="E175" s="3325"/>
      <c r="F175" s="3310"/>
      <c r="G175" s="3311"/>
      <c r="H175" s="3312"/>
      <c r="I175" s="3312"/>
      <c r="J175" s="3312"/>
      <c r="K175" s="3311"/>
      <c r="L175" s="3307"/>
      <c r="M175" s="3295" t="s">
        <v>1327</v>
      </c>
      <c r="N175" s="3311"/>
      <c r="O175" s="3307"/>
      <c r="P175" s="3311"/>
      <c r="Q175" s="3311"/>
      <c r="R175" s="3311"/>
      <c r="S175" s="3311"/>
      <c r="T175" s="3311"/>
      <c r="U175" s="3311"/>
      <c r="V175" s="3311"/>
      <c r="W175" s="3311"/>
      <c r="X175" s="3311"/>
      <c r="Y175" s="3311"/>
      <c r="Z175" s="3311"/>
      <c r="AA175" s="3311"/>
      <c r="AB175" s="3312"/>
      <c r="AC175" s="3312"/>
      <c r="AD175" s="3312"/>
      <c r="AE175" s="3312"/>
      <c r="AF175" s="3312"/>
      <c r="AG175" s="3312"/>
      <c r="AH175" s="3312"/>
      <c r="AI175" s="3312"/>
      <c r="AJ175" s="3312"/>
      <c r="AK175" s="3312"/>
      <c r="AL175" s="3312"/>
      <c r="AM175" s="3312"/>
      <c r="AN175" s="3312"/>
      <c r="AO175" s="3312"/>
      <c r="AP175" s="3312"/>
      <c r="AQ175" s="3312"/>
      <c r="AR175" s="3312"/>
      <c r="AS175" s="3312"/>
      <c r="AT175" s="3312"/>
      <c r="AU175" s="3312"/>
      <c r="AV175" s="3312"/>
      <c r="AW175" s="3312"/>
      <c r="AX175" s="3312"/>
      <c r="AY175" s="3312"/>
    </row>
    <row r="176" spans="1:51" s="888" customFormat="1" ht="27.75">
      <c r="A176" s="3305"/>
      <c r="B176" s="3312"/>
      <c r="C176" s="3312"/>
      <c r="D176" s="3312"/>
      <c r="E176" s="3312"/>
      <c r="F176" s="3309"/>
      <c r="G176" s="3311"/>
      <c r="H176" s="3312"/>
      <c r="I176" s="3312"/>
      <c r="J176" s="3312"/>
      <c r="K176" s="3311"/>
      <c r="L176" s="3306"/>
      <c r="M176" s="3295" t="s">
        <v>1560</v>
      </c>
      <c r="N176" s="3311"/>
      <c r="O176" s="3306"/>
      <c r="P176" s="3311"/>
      <c r="Q176" s="3311"/>
      <c r="R176" s="3311"/>
      <c r="S176" s="3311"/>
      <c r="T176" s="3311"/>
      <c r="U176" s="3311"/>
      <c r="V176" s="3311"/>
      <c r="W176" s="3311"/>
      <c r="X176" s="3311"/>
      <c r="Y176" s="3311"/>
      <c r="Z176" s="3311"/>
      <c r="AA176" s="3311"/>
      <c r="AB176" s="3312"/>
      <c r="AC176" s="3312"/>
      <c r="AD176" s="3312"/>
      <c r="AE176" s="3312"/>
      <c r="AF176" s="3312"/>
      <c r="AG176" s="3312"/>
      <c r="AH176" s="3312"/>
      <c r="AI176" s="3312"/>
      <c r="AJ176" s="3312"/>
      <c r="AK176" s="3312"/>
      <c r="AL176" s="3312"/>
      <c r="AM176" s="3312"/>
      <c r="AN176" s="3312"/>
      <c r="AO176" s="3312"/>
      <c r="AP176" s="3312"/>
      <c r="AQ176" s="3312"/>
      <c r="AR176" s="3312"/>
      <c r="AS176" s="3312"/>
      <c r="AT176" s="3312"/>
      <c r="AU176" s="3312"/>
      <c r="AV176" s="3312"/>
      <c r="AW176" s="3312"/>
      <c r="AX176" s="3312"/>
      <c r="AY176" s="3312"/>
    </row>
    <row r="177" spans="1:51" s="888" customFormat="1" ht="27.75">
      <c r="A177" s="3305" t="s">
        <v>1134</v>
      </c>
      <c r="B177" s="3312"/>
      <c r="C177" s="3296"/>
      <c r="D177" s="3328"/>
      <c r="E177" s="3315"/>
      <c r="F177" s="3309"/>
      <c r="G177" s="3312"/>
      <c r="H177" s="3312">
        <f>2*556</f>
        <v>1112</v>
      </c>
      <c r="I177" s="3312"/>
      <c r="J177" s="3312"/>
      <c r="K177" s="3311"/>
      <c r="L177" s="3307"/>
      <c r="M177" s="3295" t="s">
        <v>1522</v>
      </c>
      <c r="N177" s="3311"/>
      <c r="O177" s="3307"/>
      <c r="P177" s="3311"/>
      <c r="Q177" s="3311"/>
      <c r="R177" s="3311"/>
      <c r="S177" s="3311"/>
      <c r="T177" s="3311"/>
      <c r="U177" s="3311"/>
      <c r="V177" s="3311"/>
      <c r="W177" s="3311"/>
      <c r="X177" s="3311"/>
      <c r="Y177" s="3311"/>
      <c r="Z177" s="3311"/>
      <c r="AA177" s="3311"/>
      <c r="AB177" s="3312"/>
      <c r="AC177" s="3312"/>
      <c r="AD177" s="3312"/>
      <c r="AE177" s="3312"/>
      <c r="AF177" s="3312"/>
      <c r="AG177" s="3312"/>
      <c r="AH177" s="3312"/>
      <c r="AI177" s="3312"/>
      <c r="AJ177" s="3312"/>
      <c r="AK177" s="3312"/>
      <c r="AL177" s="3312"/>
      <c r="AM177" s="3312"/>
      <c r="AN177" s="3312"/>
      <c r="AO177" s="3312"/>
      <c r="AP177" s="3312"/>
      <c r="AQ177" s="3312"/>
      <c r="AR177" s="3312"/>
      <c r="AS177" s="3312"/>
      <c r="AT177" s="3312"/>
      <c r="AU177" s="3312"/>
      <c r="AV177" s="3312"/>
      <c r="AW177" s="3312"/>
      <c r="AX177" s="3312"/>
      <c r="AY177" s="3312"/>
    </row>
    <row r="178" spans="1:51" s="888" customFormat="1" ht="27.75">
      <c r="A178" s="3292" t="s">
        <v>1133</v>
      </c>
      <c r="B178" s="3327"/>
      <c r="C178" s="3296"/>
      <c r="D178" s="3328"/>
      <c r="E178" s="3315"/>
      <c r="F178" s="3309"/>
      <c r="G178" s="3311"/>
      <c r="H178" s="3312"/>
      <c r="I178" s="3312"/>
      <c r="J178" s="3312"/>
      <c r="K178" s="3311"/>
      <c r="L178" s="3307"/>
      <c r="M178" s="3295" t="s">
        <v>1553</v>
      </c>
      <c r="N178" s="3311"/>
      <c r="O178" s="3307"/>
      <c r="P178" s="3311"/>
      <c r="Q178" s="3311"/>
      <c r="R178" s="3311"/>
      <c r="S178" s="3311"/>
      <c r="T178" s="3311"/>
      <c r="U178" s="3311"/>
      <c r="V178" s="3311"/>
      <c r="W178" s="3311"/>
      <c r="X178" s="3311"/>
      <c r="Y178" s="3311"/>
      <c r="Z178" s="3311"/>
      <c r="AA178" s="3311"/>
      <c r="AB178" s="3312"/>
      <c r="AC178" s="3312"/>
      <c r="AD178" s="3312"/>
      <c r="AE178" s="3312"/>
      <c r="AF178" s="3312"/>
      <c r="AG178" s="3312"/>
      <c r="AH178" s="3312"/>
      <c r="AI178" s="3312"/>
      <c r="AJ178" s="3312"/>
      <c r="AK178" s="3312"/>
      <c r="AL178" s="3312"/>
      <c r="AM178" s="3312"/>
      <c r="AN178" s="3312"/>
      <c r="AO178" s="3312"/>
      <c r="AP178" s="3312"/>
      <c r="AQ178" s="3312"/>
      <c r="AR178" s="3312"/>
      <c r="AS178" s="3312"/>
      <c r="AT178" s="3312"/>
      <c r="AU178" s="3312"/>
      <c r="AV178" s="3312"/>
      <c r="AW178" s="3312"/>
      <c r="AX178" s="3312"/>
      <c r="AY178" s="3312"/>
    </row>
    <row r="179" spans="1:51" s="888" customFormat="1" ht="27.75">
      <c r="A179" s="3292" t="s">
        <v>1132</v>
      </c>
      <c r="B179" s="3296"/>
      <c r="C179" s="3296"/>
      <c r="D179" s="3296"/>
      <c r="E179" s="3307"/>
      <c r="F179" s="3309"/>
      <c r="G179" s="3311"/>
      <c r="H179" s="3312"/>
      <c r="I179" s="3312"/>
      <c r="J179" s="3312"/>
      <c r="K179" s="3311"/>
      <c r="L179" s="3307"/>
      <c r="M179" s="3295" t="s">
        <v>1523</v>
      </c>
      <c r="N179" s="3311"/>
      <c r="O179" s="3307"/>
      <c r="P179" s="3311"/>
      <c r="Q179" s="3311"/>
      <c r="R179" s="3311"/>
      <c r="S179" s="3311"/>
      <c r="T179" s="3311"/>
      <c r="U179" s="3311"/>
      <c r="V179" s="3311"/>
      <c r="W179" s="3311"/>
      <c r="X179" s="3311"/>
      <c r="Y179" s="3311"/>
      <c r="Z179" s="3311"/>
      <c r="AA179" s="3311"/>
      <c r="AB179" s="3312"/>
      <c r="AC179" s="3312"/>
      <c r="AD179" s="3312"/>
      <c r="AE179" s="3312"/>
      <c r="AF179" s="3312"/>
      <c r="AG179" s="3312"/>
      <c r="AH179" s="3312"/>
      <c r="AI179" s="3312"/>
      <c r="AJ179" s="3312"/>
      <c r="AK179" s="3312"/>
      <c r="AL179" s="3312"/>
      <c r="AM179" s="3312"/>
      <c r="AN179" s="3312"/>
      <c r="AO179" s="3312"/>
      <c r="AP179" s="3312"/>
      <c r="AQ179" s="3312"/>
      <c r="AR179" s="3312"/>
      <c r="AS179" s="3312"/>
      <c r="AT179" s="3312"/>
      <c r="AU179" s="3312"/>
      <c r="AV179" s="3312"/>
      <c r="AW179" s="3312"/>
      <c r="AX179" s="3312"/>
      <c r="AY179" s="3312"/>
    </row>
    <row r="180" spans="1:51" s="888" customFormat="1" ht="27.75">
      <c r="A180" s="3292" t="s">
        <v>1131</v>
      </c>
      <c r="B180" s="3296"/>
      <c r="C180" s="3296"/>
      <c r="D180" s="3312"/>
      <c r="E180" s="3311"/>
      <c r="F180" s="3309"/>
      <c r="G180" s="3307"/>
      <c r="H180" s="3312"/>
      <c r="I180" s="3312"/>
      <c r="J180" s="3312"/>
      <c r="K180" s="3311"/>
      <c r="L180" s="3307"/>
      <c r="M180" s="3295" t="s">
        <v>1524</v>
      </c>
      <c r="N180" s="3311"/>
      <c r="O180" s="3307"/>
      <c r="P180" s="3311"/>
      <c r="Q180" s="3311"/>
      <c r="R180" s="3311"/>
      <c r="S180" s="3311"/>
      <c r="T180" s="3311"/>
      <c r="U180" s="3311"/>
      <c r="V180" s="3311"/>
      <c r="W180" s="3311"/>
      <c r="X180" s="3311"/>
      <c r="Y180" s="3311"/>
      <c r="Z180" s="3311"/>
      <c r="AA180" s="3311"/>
      <c r="AB180" s="3312"/>
      <c r="AC180" s="3312"/>
      <c r="AD180" s="3312"/>
      <c r="AE180" s="3312"/>
      <c r="AF180" s="3312"/>
      <c r="AG180" s="3312"/>
      <c r="AH180" s="3312"/>
      <c r="AI180" s="3312"/>
      <c r="AJ180" s="3312"/>
      <c r="AK180" s="3312"/>
      <c r="AL180" s="3312"/>
      <c r="AM180" s="3312"/>
      <c r="AN180" s="3312"/>
      <c r="AO180" s="3312"/>
      <c r="AP180" s="3312"/>
      <c r="AQ180" s="3312"/>
      <c r="AR180" s="3312"/>
      <c r="AS180" s="3312"/>
      <c r="AT180" s="3312"/>
      <c r="AU180" s="3312"/>
      <c r="AV180" s="3312"/>
      <c r="AW180" s="3312"/>
      <c r="AX180" s="3312"/>
      <c r="AY180" s="3312"/>
    </row>
    <row r="181" spans="1:51" s="888" customFormat="1" ht="27.75">
      <c r="A181" s="3292" t="s">
        <v>1130</v>
      </c>
      <c r="B181" s="3296"/>
      <c r="C181" s="3296"/>
      <c r="D181" s="3312"/>
      <c r="E181" s="3311"/>
      <c r="F181" s="3309"/>
      <c r="G181" s="3312"/>
      <c r="H181" s="3312"/>
      <c r="I181" s="3312"/>
      <c r="J181" s="3312"/>
      <c r="K181" s="3311"/>
      <c r="L181" s="3307"/>
      <c r="M181" s="3295" t="s">
        <v>1525</v>
      </c>
      <c r="N181" s="3311"/>
      <c r="O181" s="3307"/>
      <c r="P181" s="3311"/>
      <c r="Q181" s="3311"/>
      <c r="R181" s="3311"/>
      <c r="S181" s="3311"/>
      <c r="T181" s="3311"/>
      <c r="U181" s="3311"/>
      <c r="V181" s="3311"/>
      <c r="W181" s="3311"/>
      <c r="X181" s="3311"/>
      <c r="Y181" s="3311"/>
      <c r="Z181" s="3311"/>
      <c r="AA181" s="3311"/>
      <c r="AB181" s="3312"/>
      <c r="AC181" s="3312"/>
      <c r="AD181" s="3312"/>
      <c r="AE181" s="3312"/>
      <c r="AF181" s="3312"/>
      <c r="AG181" s="3312"/>
      <c r="AH181" s="3312"/>
      <c r="AI181" s="3312"/>
      <c r="AJ181" s="3312"/>
      <c r="AK181" s="3312"/>
      <c r="AL181" s="3312"/>
      <c r="AM181" s="3312"/>
      <c r="AN181" s="3312"/>
      <c r="AO181" s="3312"/>
      <c r="AP181" s="3312"/>
      <c r="AQ181" s="3312"/>
      <c r="AR181" s="3312"/>
      <c r="AS181" s="3312"/>
      <c r="AT181" s="3312"/>
      <c r="AU181" s="3312"/>
      <c r="AV181" s="3312"/>
      <c r="AW181" s="3312"/>
      <c r="AX181" s="3312"/>
      <c r="AY181" s="3312"/>
    </row>
    <row r="182" spans="1:51" s="888" customFormat="1" ht="27.75">
      <c r="A182" s="3305" t="s">
        <v>1129</v>
      </c>
      <c r="B182" s="3292"/>
      <c r="C182" s="3296"/>
      <c r="D182" s="3312"/>
      <c r="E182" s="3312"/>
      <c r="F182" s="3309"/>
      <c r="G182" s="3307"/>
      <c r="H182" s="3312"/>
      <c r="I182" s="3312"/>
      <c r="J182" s="3312"/>
      <c r="K182" s="3311"/>
      <c r="L182" s="3307"/>
      <c r="M182" s="3295" t="s">
        <v>1526</v>
      </c>
      <c r="N182" s="3311"/>
      <c r="O182" s="3307"/>
      <c r="P182" s="3311"/>
      <c r="Q182" s="3311"/>
      <c r="R182" s="3311"/>
      <c r="S182" s="3311"/>
      <c r="T182" s="3311"/>
      <c r="U182" s="3311"/>
      <c r="V182" s="3311"/>
      <c r="W182" s="3311"/>
      <c r="X182" s="3311"/>
      <c r="Y182" s="3311"/>
      <c r="Z182" s="3311"/>
      <c r="AA182" s="3311"/>
      <c r="AB182" s="3312"/>
      <c r="AC182" s="3312"/>
      <c r="AD182" s="3312"/>
      <c r="AE182" s="3312"/>
      <c r="AF182" s="3312"/>
      <c r="AG182" s="3312"/>
      <c r="AH182" s="3312"/>
      <c r="AI182" s="3312"/>
      <c r="AJ182" s="3312"/>
      <c r="AK182" s="3312"/>
      <c r="AL182" s="3312"/>
      <c r="AM182" s="3312"/>
      <c r="AN182" s="3312"/>
      <c r="AO182" s="3312"/>
      <c r="AP182" s="3312"/>
      <c r="AQ182" s="3312"/>
      <c r="AR182" s="3312"/>
      <c r="AS182" s="3312"/>
      <c r="AT182" s="3312"/>
      <c r="AU182" s="3312"/>
      <c r="AV182" s="3312"/>
      <c r="AW182" s="3312"/>
      <c r="AX182" s="3312"/>
      <c r="AY182" s="3312"/>
    </row>
    <row r="183" spans="1:51" s="888" customFormat="1" ht="27.75">
      <c r="A183" s="3305" t="s">
        <v>1128</v>
      </c>
      <c r="B183" s="3296"/>
      <c r="C183" s="3296"/>
      <c r="D183" s="3312"/>
      <c r="E183" s="3312"/>
      <c r="F183" s="3309"/>
      <c r="G183" s="3307"/>
      <c r="H183" s="3312"/>
      <c r="I183" s="3312"/>
      <c r="J183" s="3312"/>
      <c r="K183" s="3311"/>
      <c r="L183" s="3307"/>
      <c r="M183" s="3295" t="s">
        <v>1527</v>
      </c>
      <c r="N183" s="3311"/>
      <c r="O183" s="3307"/>
      <c r="P183" s="3311"/>
      <c r="Q183" s="3311"/>
      <c r="R183" s="3311"/>
      <c r="S183" s="3311"/>
      <c r="T183" s="3311"/>
      <c r="U183" s="3311"/>
      <c r="V183" s="3311"/>
      <c r="W183" s="3311"/>
      <c r="X183" s="3311"/>
      <c r="Y183" s="3311"/>
      <c r="Z183" s="3311"/>
      <c r="AA183" s="3311"/>
      <c r="AB183" s="3312"/>
      <c r="AC183" s="3312"/>
      <c r="AD183" s="3312"/>
      <c r="AE183" s="3312"/>
      <c r="AF183" s="3312"/>
      <c r="AG183" s="3312"/>
      <c r="AH183" s="3312"/>
      <c r="AI183" s="3312"/>
      <c r="AJ183" s="3312"/>
      <c r="AK183" s="3312"/>
      <c r="AL183" s="3312"/>
      <c r="AM183" s="3312"/>
      <c r="AN183" s="3312"/>
      <c r="AO183" s="3312"/>
      <c r="AP183" s="3312"/>
      <c r="AQ183" s="3312"/>
      <c r="AR183" s="3312"/>
      <c r="AS183" s="3312"/>
      <c r="AT183" s="3312"/>
      <c r="AU183" s="3312"/>
      <c r="AV183" s="3312"/>
      <c r="AW183" s="3312"/>
      <c r="AX183" s="3312"/>
      <c r="AY183" s="3312"/>
    </row>
    <row r="184" spans="1:51" s="888" customFormat="1" ht="27.75">
      <c r="A184" s="3305" t="s">
        <v>1127</v>
      </c>
      <c r="B184" s="3296"/>
      <c r="C184" s="3296"/>
      <c r="D184" s="3296"/>
      <c r="E184" s="3334"/>
      <c r="F184" s="3307"/>
      <c r="G184" s="3292"/>
      <c r="H184" s="3312"/>
      <c r="I184" s="3312"/>
      <c r="J184" s="3312"/>
      <c r="K184" s="3311"/>
      <c r="L184" s="3307"/>
      <c r="M184" s="3295" t="s">
        <v>1554</v>
      </c>
      <c r="N184" s="3311"/>
      <c r="O184" s="3307"/>
      <c r="P184" s="3312"/>
      <c r="Q184" s="3312"/>
      <c r="R184" s="3312"/>
      <c r="S184" s="3312"/>
      <c r="T184" s="3312"/>
      <c r="U184" s="3312"/>
      <c r="V184" s="3312"/>
      <c r="W184" s="3312"/>
      <c r="X184" s="3312"/>
      <c r="Y184" s="3312"/>
      <c r="Z184" s="3312"/>
      <c r="AA184" s="3312"/>
      <c r="AB184" s="3312"/>
      <c r="AC184" s="3312"/>
      <c r="AD184" s="3312"/>
      <c r="AE184" s="3312"/>
      <c r="AF184" s="3312"/>
      <c r="AG184" s="3312"/>
      <c r="AH184" s="3312"/>
      <c r="AI184" s="3312"/>
      <c r="AJ184" s="3312"/>
      <c r="AK184" s="3312"/>
      <c r="AL184" s="3312"/>
      <c r="AM184" s="3312"/>
      <c r="AN184" s="3312"/>
      <c r="AO184" s="3312"/>
      <c r="AP184" s="3312"/>
      <c r="AQ184" s="3312"/>
      <c r="AR184" s="3312"/>
      <c r="AS184" s="3312"/>
      <c r="AT184" s="3312"/>
      <c r="AU184" s="3312"/>
      <c r="AV184" s="3312"/>
      <c r="AW184" s="3312"/>
      <c r="AX184" s="3312"/>
      <c r="AY184" s="3312"/>
    </row>
    <row r="185" spans="1:51" s="888" customFormat="1" ht="27.75">
      <c r="A185" s="3305"/>
      <c r="B185" s="3296"/>
      <c r="C185" s="3296"/>
      <c r="D185" s="3296"/>
      <c r="E185" s="3334"/>
      <c r="F185" s="3307"/>
      <c r="G185" s="3292"/>
      <c r="H185" s="3312"/>
      <c r="I185" s="3312"/>
      <c r="J185" s="3312"/>
      <c r="K185" s="3311"/>
      <c r="L185" s="3305"/>
      <c r="M185" s="3295" t="s">
        <v>1528</v>
      </c>
      <c r="N185" s="3311"/>
      <c r="O185" s="3305"/>
      <c r="P185" s="3312"/>
      <c r="Q185" s="3312"/>
      <c r="R185" s="3312"/>
      <c r="S185" s="3312"/>
      <c r="T185" s="3312"/>
      <c r="U185" s="3312"/>
      <c r="V185" s="3312"/>
      <c r="W185" s="3312"/>
      <c r="X185" s="3312"/>
      <c r="Y185" s="3312"/>
      <c r="Z185" s="3312"/>
      <c r="AA185" s="3312"/>
      <c r="AB185" s="3312"/>
      <c r="AC185" s="3312"/>
      <c r="AD185" s="3312"/>
      <c r="AE185" s="3312"/>
      <c r="AF185" s="3312"/>
      <c r="AG185" s="3312"/>
      <c r="AH185" s="3312"/>
      <c r="AI185" s="3312"/>
      <c r="AJ185" s="3312"/>
      <c r="AK185" s="3312"/>
      <c r="AL185" s="3312"/>
      <c r="AM185" s="3312"/>
      <c r="AN185" s="3312"/>
      <c r="AO185" s="3312"/>
      <c r="AP185" s="3312"/>
      <c r="AQ185" s="3312"/>
      <c r="AR185" s="3312"/>
      <c r="AS185" s="3312"/>
      <c r="AT185" s="3312"/>
      <c r="AU185" s="3312"/>
      <c r="AV185" s="3312"/>
      <c r="AW185" s="3312"/>
      <c r="AX185" s="3312"/>
      <c r="AY185" s="3312"/>
    </row>
    <row r="186" spans="1:51" s="888" customFormat="1" ht="27.75">
      <c r="A186" s="3306" t="s">
        <v>1091</v>
      </c>
      <c r="B186" s="3296"/>
      <c r="C186" s="3296"/>
      <c r="D186" s="3296"/>
      <c r="E186" s="3334"/>
      <c r="F186" s="3310"/>
      <c r="G186" s="3292"/>
      <c r="H186" s="3312"/>
      <c r="I186" s="3312"/>
      <c r="J186" s="3312"/>
      <c r="K186" s="3311"/>
      <c r="L186" s="3307"/>
      <c r="M186" s="3295" t="s">
        <v>1529</v>
      </c>
      <c r="N186" s="3311"/>
      <c r="O186" s="3305"/>
      <c r="P186" s="3312"/>
      <c r="Q186" s="3312"/>
      <c r="R186" s="3312"/>
      <c r="S186" s="3312"/>
      <c r="T186" s="3312"/>
      <c r="U186" s="3312"/>
      <c r="V186" s="3312"/>
      <c r="W186" s="3312"/>
      <c r="X186" s="3312"/>
      <c r="Y186" s="3312"/>
      <c r="Z186" s="3312"/>
      <c r="AA186" s="3312"/>
      <c r="AB186" s="3312"/>
      <c r="AC186" s="3312"/>
      <c r="AD186" s="3312"/>
      <c r="AE186" s="3312"/>
      <c r="AF186" s="3312"/>
      <c r="AG186" s="3312"/>
      <c r="AH186" s="3312"/>
      <c r="AI186" s="3312"/>
      <c r="AJ186" s="3312"/>
      <c r="AK186" s="3312"/>
      <c r="AL186" s="3312"/>
      <c r="AM186" s="3312"/>
      <c r="AN186" s="3312"/>
      <c r="AO186" s="3312"/>
      <c r="AP186" s="3312"/>
      <c r="AQ186" s="3312"/>
      <c r="AR186" s="3312"/>
      <c r="AS186" s="3312"/>
      <c r="AT186" s="3312"/>
      <c r="AU186" s="3312"/>
      <c r="AV186" s="3312"/>
      <c r="AW186" s="3312"/>
      <c r="AX186" s="3312"/>
      <c r="AY186" s="3312"/>
    </row>
    <row r="187" spans="1:51" s="888" customFormat="1" ht="27.75">
      <c r="A187" s="3292" t="s">
        <v>1090</v>
      </c>
      <c r="B187" s="3296"/>
      <c r="C187" s="3296"/>
      <c r="D187" s="3296"/>
      <c r="E187" s="3334"/>
      <c r="F187" s="3326"/>
      <c r="G187" s="3292"/>
      <c r="H187" s="3312"/>
      <c r="I187" s="3312"/>
      <c r="J187" s="3312"/>
      <c r="K187" s="3311"/>
      <c r="L187" s="3307"/>
      <c r="M187" s="3295" t="s">
        <v>1530</v>
      </c>
      <c r="N187" s="3311"/>
      <c r="O187" s="3307"/>
      <c r="P187" s="3312"/>
      <c r="Q187" s="3312"/>
      <c r="R187" s="3312"/>
      <c r="S187" s="3312"/>
      <c r="T187" s="3312"/>
      <c r="U187" s="3312"/>
      <c r="V187" s="3312"/>
      <c r="W187" s="3312"/>
      <c r="X187" s="3312"/>
      <c r="Y187" s="3312"/>
      <c r="Z187" s="3312"/>
      <c r="AA187" s="3312"/>
      <c r="AB187" s="3312"/>
      <c r="AC187" s="3312"/>
      <c r="AD187" s="3312"/>
      <c r="AE187" s="3312"/>
      <c r="AF187" s="3312"/>
      <c r="AG187" s="3312"/>
      <c r="AH187" s="3312"/>
      <c r="AI187" s="3312"/>
      <c r="AJ187" s="3312"/>
      <c r="AK187" s="3312"/>
      <c r="AL187" s="3312"/>
      <c r="AM187" s="3312"/>
      <c r="AN187" s="3312"/>
      <c r="AO187" s="3312"/>
      <c r="AP187" s="3312"/>
      <c r="AQ187" s="3312"/>
      <c r="AR187" s="3312"/>
      <c r="AS187" s="3312"/>
      <c r="AT187" s="3312"/>
      <c r="AU187" s="3312"/>
      <c r="AV187" s="3312"/>
      <c r="AW187" s="3312"/>
      <c r="AX187" s="3312"/>
      <c r="AY187" s="3312"/>
    </row>
    <row r="188" spans="1:51" s="888" customFormat="1" ht="27.75">
      <c r="A188" s="3306" t="s">
        <v>1092</v>
      </c>
      <c r="B188" s="3296"/>
      <c r="C188" s="3296"/>
      <c r="D188" s="3296"/>
      <c r="E188" s="3334"/>
      <c r="F188" s="3307" t="s">
        <v>1094</v>
      </c>
      <c r="G188" s="3306"/>
      <c r="H188" s="3312"/>
      <c r="I188" s="3312"/>
      <c r="J188" s="3312"/>
      <c r="K188" s="3311"/>
      <c r="L188" s="3307"/>
      <c r="M188" s="3295" t="s">
        <v>1531</v>
      </c>
      <c r="N188" s="3311"/>
      <c r="O188" s="3307"/>
      <c r="P188" s="3312"/>
      <c r="Q188" s="3312"/>
      <c r="R188" s="3312"/>
      <c r="S188" s="3312"/>
      <c r="T188" s="3312"/>
      <c r="U188" s="3312"/>
      <c r="V188" s="3312"/>
      <c r="W188" s="3312"/>
      <c r="X188" s="3312"/>
      <c r="Y188" s="3312"/>
      <c r="Z188" s="3312"/>
      <c r="AA188" s="3312"/>
      <c r="AB188" s="3312"/>
      <c r="AC188" s="3312"/>
      <c r="AD188" s="3312"/>
      <c r="AE188" s="3312"/>
      <c r="AF188" s="3312"/>
      <c r="AG188" s="3312"/>
      <c r="AH188" s="3312"/>
      <c r="AI188" s="3312"/>
      <c r="AJ188" s="3312"/>
      <c r="AK188" s="3312"/>
      <c r="AL188" s="3312"/>
      <c r="AM188" s="3312"/>
      <c r="AN188" s="3312"/>
      <c r="AO188" s="3312"/>
      <c r="AP188" s="3312"/>
      <c r="AQ188" s="3312"/>
      <c r="AR188" s="3312"/>
      <c r="AS188" s="3312"/>
      <c r="AT188" s="3312"/>
      <c r="AU188" s="3312"/>
      <c r="AV188" s="3312"/>
      <c r="AW188" s="3312"/>
      <c r="AX188" s="3312"/>
      <c r="AY188" s="3312"/>
    </row>
    <row r="189" spans="1:51" s="888" customFormat="1" ht="27.75">
      <c r="A189" s="3306" t="s">
        <v>1093</v>
      </c>
      <c r="B189" s="3296"/>
      <c r="C189" s="3296"/>
      <c r="D189" s="3296"/>
      <c r="E189" s="3334"/>
      <c r="F189" s="3307" t="s">
        <v>1118</v>
      </c>
      <c r="G189" s="3306"/>
      <c r="H189" s="3312"/>
      <c r="I189" s="3312"/>
      <c r="J189" s="3312"/>
      <c r="K189" s="3311"/>
      <c r="L189" s="3307"/>
      <c r="M189" s="3295" t="s">
        <v>1532</v>
      </c>
      <c r="N189" s="3311"/>
      <c r="O189" s="3307"/>
      <c r="P189" s="3312"/>
      <c r="Q189" s="3312"/>
      <c r="R189" s="3312"/>
      <c r="S189" s="3312"/>
      <c r="T189" s="3312"/>
      <c r="U189" s="3312"/>
      <c r="V189" s="3312"/>
      <c r="W189" s="3312"/>
      <c r="X189" s="3312"/>
      <c r="Y189" s="3312"/>
      <c r="Z189" s="3312"/>
      <c r="AA189" s="3312"/>
      <c r="AB189" s="3312"/>
      <c r="AC189" s="3312"/>
      <c r="AD189" s="3312"/>
      <c r="AE189" s="3312"/>
      <c r="AF189" s="3312"/>
      <c r="AG189" s="3312"/>
      <c r="AH189" s="3312"/>
      <c r="AI189" s="3312"/>
      <c r="AJ189" s="3312"/>
      <c r="AK189" s="3312"/>
      <c r="AL189" s="3312"/>
      <c r="AM189" s="3312"/>
      <c r="AN189" s="3312"/>
      <c r="AO189" s="3312"/>
      <c r="AP189" s="3312"/>
      <c r="AQ189" s="3312"/>
      <c r="AR189" s="3312"/>
      <c r="AS189" s="3312"/>
      <c r="AT189" s="3312"/>
      <c r="AU189" s="3312"/>
      <c r="AV189" s="3312"/>
      <c r="AW189" s="3312"/>
      <c r="AX189" s="3312"/>
      <c r="AY189" s="3312"/>
    </row>
    <row r="190" spans="1:51" s="888" customFormat="1" ht="27.75">
      <c r="A190" s="3306" t="s">
        <v>1097</v>
      </c>
      <c r="B190" s="3296"/>
      <c r="C190" s="3296"/>
      <c r="D190" s="3296"/>
      <c r="E190" s="3334"/>
      <c r="F190" s="3312"/>
      <c r="G190" s="3330"/>
      <c r="H190" s="3312"/>
      <c r="I190" s="3312"/>
      <c r="J190" s="3312"/>
      <c r="K190" s="3311"/>
      <c r="L190" s="3305"/>
      <c r="M190" s="3295" t="s">
        <v>1533</v>
      </c>
      <c r="N190" s="3311"/>
      <c r="O190" s="3305"/>
      <c r="P190" s="3312"/>
      <c r="Q190" s="3312"/>
      <c r="R190" s="3312"/>
      <c r="S190" s="3312"/>
      <c r="T190" s="3312"/>
      <c r="U190" s="3312"/>
      <c r="V190" s="3312"/>
      <c r="W190" s="3312"/>
      <c r="X190" s="3312"/>
      <c r="Y190" s="3312"/>
      <c r="Z190" s="3312"/>
      <c r="AA190" s="3312"/>
      <c r="AB190" s="3312"/>
      <c r="AC190" s="3312"/>
      <c r="AD190" s="3312"/>
      <c r="AE190" s="3312"/>
      <c r="AF190" s="3312"/>
      <c r="AG190" s="3312"/>
      <c r="AH190" s="3312"/>
      <c r="AI190" s="3312"/>
      <c r="AJ190" s="3312"/>
      <c r="AK190" s="3312"/>
      <c r="AL190" s="3312"/>
      <c r="AM190" s="3312"/>
      <c r="AN190" s="3312"/>
      <c r="AO190" s="3312"/>
      <c r="AP190" s="3312"/>
      <c r="AQ190" s="3312"/>
      <c r="AR190" s="3312"/>
      <c r="AS190" s="3312"/>
      <c r="AT190" s="3312"/>
      <c r="AU190" s="3312"/>
      <c r="AV190" s="3312"/>
      <c r="AW190" s="3312"/>
      <c r="AX190" s="3312"/>
      <c r="AY190" s="3312"/>
    </row>
    <row r="191" spans="1:51" s="888" customFormat="1" ht="27.75">
      <c r="A191" s="3305" t="s">
        <v>1098</v>
      </c>
      <c r="B191" s="3296"/>
      <c r="C191" s="3296"/>
      <c r="D191" s="3296"/>
      <c r="E191" s="3334"/>
      <c r="F191" s="3312"/>
      <c r="G191" s="3327"/>
      <c r="H191" s="3312"/>
      <c r="I191" s="3312"/>
      <c r="J191" s="3312"/>
      <c r="K191" s="3311"/>
      <c r="L191" s="3305"/>
      <c r="M191" s="3295" t="s">
        <v>1534</v>
      </c>
      <c r="N191" s="3311"/>
      <c r="O191" s="3305"/>
      <c r="P191" s="3312"/>
      <c r="Q191" s="3312"/>
      <c r="R191" s="3312"/>
      <c r="S191" s="3312"/>
      <c r="T191" s="3312"/>
      <c r="U191" s="3312"/>
      <c r="V191" s="3312"/>
      <c r="W191" s="3312"/>
      <c r="X191" s="3312"/>
      <c r="Y191" s="3312"/>
      <c r="Z191" s="3312"/>
      <c r="AA191" s="3312"/>
      <c r="AB191" s="3312"/>
      <c r="AC191" s="3312"/>
      <c r="AD191" s="3312"/>
      <c r="AE191" s="3312"/>
      <c r="AF191" s="3312"/>
      <c r="AG191" s="3312"/>
      <c r="AH191" s="3312"/>
      <c r="AI191" s="3312"/>
      <c r="AJ191" s="3312"/>
      <c r="AK191" s="3312"/>
      <c r="AL191" s="3312"/>
      <c r="AM191" s="3312"/>
      <c r="AN191" s="3312"/>
      <c r="AO191" s="3312"/>
      <c r="AP191" s="3312"/>
      <c r="AQ191" s="3312"/>
      <c r="AR191" s="3312"/>
      <c r="AS191" s="3312"/>
      <c r="AT191" s="3312"/>
      <c r="AU191" s="3312"/>
      <c r="AV191" s="3312"/>
      <c r="AW191" s="3312"/>
      <c r="AX191" s="3312"/>
      <c r="AY191" s="3312"/>
    </row>
    <row r="192" spans="1:51" s="888" customFormat="1" ht="27.75">
      <c r="A192" s="3305" t="s">
        <v>1099</v>
      </c>
      <c r="B192" s="3296"/>
      <c r="C192" s="3296"/>
      <c r="D192" s="3296"/>
      <c r="E192" s="3334"/>
      <c r="F192" s="3310"/>
      <c r="G192" s="3296"/>
      <c r="H192" s="3312"/>
      <c r="I192" s="3312"/>
      <c r="J192" s="3312"/>
      <c r="K192" s="3311"/>
      <c r="L192" s="3311"/>
      <c r="M192" s="3295" t="s">
        <v>1535</v>
      </c>
      <c r="N192" s="3311"/>
      <c r="O192" s="3311"/>
      <c r="P192" s="3312"/>
      <c r="Q192" s="3312"/>
      <c r="R192" s="3312"/>
      <c r="S192" s="3312"/>
      <c r="T192" s="3312"/>
      <c r="U192" s="3312"/>
      <c r="V192" s="3312"/>
      <c r="W192" s="3312"/>
      <c r="X192" s="3312"/>
      <c r="Y192" s="3312"/>
      <c r="Z192" s="3312"/>
      <c r="AA192" s="3312"/>
      <c r="AB192" s="3312"/>
      <c r="AC192" s="3312"/>
      <c r="AD192" s="3312"/>
      <c r="AE192" s="3312"/>
      <c r="AF192" s="3312"/>
      <c r="AG192" s="3312"/>
      <c r="AH192" s="3312"/>
      <c r="AI192" s="3312"/>
      <c r="AJ192" s="3312"/>
      <c r="AK192" s="3312"/>
      <c r="AL192" s="3312"/>
      <c r="AM192" s="3312"/>
      <c r="AN192" s="3312"/>
      <c r="AO192" s="3312"/>
      <c r="AP192" s="3312"/>
      <c r="AQ192" s="3312"/>
      <c r="AR192" s="3312"/>
      <c r="AS192" s="3312"/>
      <c r="AT192" s="3312"/>
      <c r="AU192" s="3312"/>
      <c r="AV192" s="3312"/>
      <c r="AW192" s="3312"/>
      <c r="AX192" s="3312"/>
      <c r="AY192" s="3312"/>
    </row>
    <row r="193" spans="1:51" s="888" customFormat="1" ht="27.75">
      <c r="A193" s="3305" t="s">
        <v>1100</v>
      </c>
      <c r="B193" s="3296"/>
      <c r="C193" s="3296"/>
      <c r="D193" s="3296"/>
      <c r="E193" s="3334"/>
      <c r="F193" s="3310"/>
      <c r="G193" s="3296"/>
      <c r="H193" s="3312"/>
      <c r="I193" s="3312"/>
      <c r="J193" s="3312"/>
      <c r="K193" s="3311"/>
      <c r="L193" s="3311"/>
      <c r="M193" s="3295" t="s">
        <v>1536</v>
      </c>
      <c r="N193" s="3311"/>
      <c r="O193" s="3311"/>
      <c r="P193" s="3312"/>
      <c r="Q193" s="3312"/>
      <c r="R193" s="3312"/>
      <c r="S193" s="3312"/>
      <c r="T193" s="3312"/>
      <c r="U193" s="3312"/>
      <c r="V193" s="3312"/>
      <c r="W193" s="3312"/>
      <c r="X193" s="3312"/>
      <c r="Y193" s="3312"/>
      <c r="Z193" s="3312"/>
      <c r="AA193" s="3312"/>
      <c r="AB193" s="3312"/>
      <c r="AC193" s="3312"/>
      <c r="AD193" s="3312"/>
      <c r="AE193" s="3312"/>
      <c r="AF193" s="3312"/>
      <c r="AG193" s="3312"/>
      <c r="AH193" s="3312"/>
      <c r="AI193" s="3312"/>
      <c r="AJ193" s="3312"/>
      <c r="AK193" s="3312"/>
      <c r="AL193" s="3312"/>
      <c r="AM193" s="3312"/>
      <c r="AN193" s="3312"/>
      <c r="AO193" s="3312"/>
      <c r="AP193" s="3312"/>
      <c r="AQ193" s="3312"/>
      <c r="AR193" s="3312"/>
      <c r="AS193" s="3312"/>
      <c r="AT193" s="3312"/>
      <c r="AU193" s="3312"/>
      <c r="AV193" s="3312"/>
      <c r="AW193" s="3312"/>
      <c r="AX193" s="3312"/>
      <c r="AY193" s="3312"/>
    </row>
    <row r="194" spans="1:51" s="888" customFormat="1" ht="27.75">
      <c r="A194" s="3307" t="s">
        <v>1101</v>
      </c>
      <c r="B194" s="3296"/>
      <c r="C194" s="3296"/>
      <c r="D194" s="3296"/>
      <c r="E194" s="3334"/>
      <c r="F194" s="3310"/>
      <c r="G194" s="3307"/>
      <c r="H194" s="3312"/>
      <c r="I194" s="3312"/>
      <c r="J194" s="3312"/>
      <c r="K194" s="3311"/>
      <c r="L194" s="3311"/>
      <c r="M194" s="3295" t="s">
        <v>1555</v>
      </c>
      <c r="N194" s="3311"/>
      <c r="O194" s="3311"/>
      <c r="P194" s="3312"/>
      <c r="Q194" s="3312"/>
      <c r="R194" s="3312"/>
      <c r="S194" s="3312"/>
      <c r="T194" s="3312"/>
      <c r="U194" s="3312"/>
      <c r="V194" s="3312"/>
      <c r="W194" s="3312"/>
      <c r="X194" s="3312"/>
      <c r="Y194" s="3312"/>
      <c r="Z194" s="3312"/>
      <c r="AA194" s="3312"/>
      <c r="AB194" s="3312"/>
      <c r="AC194" s="3312"/>
      <c r="AD194" s="3312"/>
      <c r="AE194" s="3312"/>
      <c r="AF194" s="3312"/>
      <c r="AG194" s="3312"/>
      <c r="AH194" s="3312"/>
      <c r="AI194" s="3312"/>
      <c r="AJ194" s="3312"/>
      <c r="AK194" s="3312"/>
      <c r="AL194" s="3312"/>
      <c r="AM194" s="3312"/>
      <c r="AN194" s="3312"/>
      <c r="AO194" s="3312"/>
      <c r="AP194" s="3312"/>
      <c r="AQ194" s="3312"/>
      <c r="AR194" s="3312"/>
      <c r="AS194" s="3312"/>
      <c r="AT194" s="3312"/>
      <c r="AU194" s="3312"/>
      <c r="AV194" s="3312"/>
      <c r="AW194" s="3312"/>
      <c r="AX194" s="3312"/>
      <c r="AY194" s="3312"/>
    </row>
    <row r="195" spans="1:51" s="888" customFormat="1" ht="27.75">
      <c r="A195" s="3307" t="s">
        <v>1102</v>
      </c>
      <c r="B195" s="3296"/>
      <c r="C195" s="3296"/>
      <c r="D195" s="3296"/>
      <c r="E195" s="3334"/>
      <c r="F195" s="3310"/>
      <c r="G195" s="3307"/>
      <c r="H195" s="3312"/>
      <c r="I195" s="3312"/>
      <c r="J195" s="3312"/>
      <c r="K195" s="3311"/>
      <c r="L195" s="3311"/>
      <c r="M195" s="3295" t="s">
        <v>1537</v>
      </c>
      <c r="N195" s="3311"/>
      <c r="O195" s="3311"/>
      <c r="P195" s="3312"/>
      <c r="Q195" s="3312"/>
      <c r="R195" s="3312"/>
      <c r="S195" s="3312"/>
      <c r="T195" s="3312"/>
      <c r="U195" s="3312"/>
      <c r="V195" s="3312"/>
      <c r="W195" s="3312"/>
      <c r="X195" s="3312"/>
      <c r="Y195" s="3312"/>
      <c r="Z195" s="3312"/>
      <c r="AA195" s="3312"/>
      <c r="AB195" s="3312"/>
      <c r="AC195" s="3312"/>
      <c r="AD195" s="3312"/>
      <c r="AE195" s="3312"/>
      <c r="AF195" s="3312"/>
      <c r="AG195" s="3312"/>
      <c r="AH195" s="3312"/>
      <c r="AI195" s="3312"/>
      <c r="AJ195" s="3312"/>
      <c r="AK195" s="3312"/>
      <c r="AL195" s="3312"/>
      <c r="AM195" s="3312"/>
      <c r="AN195" s="3312"/>
      <c r="AO195" s="3312"/>
      <c r="AP195" s="3312"/>
      <c r="AQ195" s="3312"/>
      <c r="AR195" s="3312"/>
      <c r="AS195" s="3312"/>
      <c r="AT195" s="3312"/>
      <c r="AU195" s="3312"/>
      <c r="AV195" s="3312"/>
      <c r="AW195" s="3312"/>
      <c r="AX195" s="3312"/>
      <c r="AY195" s="3312"/>
    </row>
    <row r="196" spans="1:51" s="888" customFormat="1" ht="27.75">
      <c r="A196" s="3307" t="s">
        <v>1103</v>
      </c>
      <c r="B196" s="3296"/>
      <c r="C196" s="3296"/>
      <c r="D196" s="3296"/>
      <c r="E196" s="3334"/>
      <c r="F196" s="3310"/>
      <c r="G196" s="3307"/>
      <c r="H196" s="3312"/>
      <c r="I196" s="3312"/>
      <c r="J196" s="3312"/>
      <c r="K196" s="3311"/>
      <c r="L196" s="3311"/>
      <c r="M196" s="3295" t="s">
        <v>1556</v>
      </c>
      <c r="N196" s="3311"/>
      <c r="O196" s="3311"/>
      <c r="P196" s="3312"/>
      <c r="Q196" s="3312"/>
      <c r="R196" s="3312"/>
      <c r="S196" s="3312"/>
      <c r="T196" s="3312"/>
      <c r="U196" s="3312"/>
      <c r="V196" s="3312"/>
      <c r="W196" s="3312"/>
      <c r="X196" s="3312"/>
      <c r="Y196" s="3312"/>
      <c r="Z196" s="3312"/>
      <c r="AA196" s="3312"/>
      <c r="AB196" s="3312"/>
      <c r="AC196" s="3312"/>
      <c r="AD196" s="3312"/>
      <c r="AE196" s="3312"/>
      <c r="AF196" s="3312"/>
      <c r="AG196" s="3312"/>
      <c r="AH196" s="3312"/>
      <c r="AI196" s="3312"/>
      <c r="AJ196" s="3312"/>
      <c r="AK196" s="3312"/>
      <c r="AL196" s="3312"/>
      <c r="AM196" s="3312"/>
      <c r="AN196" s="3312"/>
      <c r="AO196" s="3312"/>
      <c r="AP196" s="3312"/>
      <c r="AQ196" s="3312"/>
      <c r="AR196" s="3312"/>
      <c r="AS196" s="3312"/>
      <c r="AT196" s="3312"/>
      <c r="AU196" s="3312"/>
      <c r="AV196" s="3312"/>
      <c r="AW196" s="3312"/>
      <c r="AX196" s="3312"/>
      <c r="AY196" s="3312"/>
    </row>
    <row r="197" spans="1:51" s="888" customFormat="1" ht="27.75">
      <c r="A197" s="3307" t="s">
        <v>1104</v>
      </c>
      <c r="B197" s="3296"/>
      <c r="C197" s="3296"/>
      <c r="D197" s="3296"/>
      <c r="E197" s="3334"/>
      <c r="F197" s="3310"/>
      <c r="G197" s="3307"/>
      <c r="H197" s="3312"/>
      <c r="I197" s="3312"/>
      <c r="J197" s="3312"/>
      <c r="K197" s="3311"/>
      <c r="L197" s="3311"/>
      <c r="M197" s="3295" t="s">
        <v>1538</v>
      </c>
      <c r="N197" s="3311"/>
      <c r="O197" s="3311"/>
      <c r="P197" s="3312"/>
      <c r="Q197" s="3312"/>
      <c r="R197" s="3312"/>
      <c r="S197" s="3312"/>
      <c r="T197" s="3312"/>
      <c r="U197" s="3312"/>
      <c r="V197" s="3312"/>
      <c r="W197" s="3312"/>
      <c r="X197" s="3312"/>
      <c r="Y197" s="3312"/>
      <c r="Z197" s="3312"/>
      <c r="AA197" s="3312"/>
      <c r="AB197" s="3312"/>
      <c r="AC197" s="3312"/>
      <c r="AD197" s="3312"/>
      <c r="AE197" s="3312"/>
      <c r="AF197" s="3312"/>
      <c r="AG197" s="3312"/>
      <c r="AH197" s="3312"/>
      <c r="AI197" s="3312"/>
      <c r="AJ197" s="3312"/>
      <c r="AK197" s="3312"/>
      <c r="AL197" s="3312"/>
      <c r="AM197" s="3312"/>
      <c r="AN197" s="3312"/>
      <c r="AO197" s="3312"/>
      <c r="AP197" s="3312"/>
      <c r="AQ197" s="3312"/>
      <c r="AR197" s="3312"/>
      <c r="AS197" s="3312"/>
      <c r="AT197" s="3312"/>
      <c r="AU197" s="3312"/>
      <c r="AV197" s="3312"/>
      <c r="AW197" s="3312"/>
      <c r="AX197" s="3312"/>
      <c r="AY197" s="3312"/>
    </row>
    <row r="198" spans="1:51" s="888" customFormat="1" ht="27.75">
      <c r="A198" s="3307"/>
      <c r="B198" s="3296"/>
      <c r="C198" s="3296"/>
      <c r="D198" s="3296"/>
      <c r="E198" s="3334"/>
      <c r="F198" s="3312"/>
      <c r="G198" s="3327"/>
      <c r="H198" s="3312"/>
      <c r="I198" s="3312"/>
      <c r="J198" s="3312"/>
      <c r="K198" s="3311"/>
      <c r="L198" s="3311"/>
      <c r="M198" s="3295" t="s">
        <v>1539</v>
      </c>
      <c r="N198" s="3311"/>
      <c r="O198" s="3311"/>
      <c r="P198" s="3312"/>
      <c r="Q198" s="3312"/>
      <c r="R198" s="3312"/>
      <c r="S198" s="3312"/>
      <c r="T198" s="3312"/>
      <c r="U198" s="3312"/>
      <c r="V198" s="3312"/>
      <c r="W198" s="3312"/>
      <c r="X198" s="3312"/>
      <c r="Y198" s="3312"/>
      <c r="Z198" s="3312"/>
      <c r="AA198" s="3312"/>
      <c r="AB198" s="3312"/>
      <c r="AC198" s="3312"/>
      <c r="AD198" s="3312"/>
      <c r="AE198" s="3312"/>
      <c r="AF198" s="3312"/>
      <c r="AG198" s="3312"/>
      <c r="AH198" s="3312"/>
      <c r="AI198" s="3312"/>
      <c r="AJ198" s="3312"/>
      <c r="AK198" s="3312"/>
      <c r="AL198" s="3312"/>
      <c r="AM198" s="3312"/>
      <c r="AN198" s="3312"/>
      <c r="AO198" s="3312"/>
      <c r="AP198" s="3312"/>
      <c r="AQ198" s="3312"/>
      <c r="AR198" s="3312"/>
      <c r="AS198" s="3312"/>
      <c r="AT198" s="3312"/>
      <c r="AU198" s="3312"/>
      <c r="AV198" s="3312"/>
      <c r="AW198" s="3312"/>
      <c r="AX198" s="3312"/>
      <c r="AY198" s="3312"/>
    </row>
    <row r="199" spans="1:51" s="888" customFormat="1" ht="27.75">
      <c r="A199" s="3307"/>
      <c r="B199" s="3312"/>
      <c r="C199" s="3312"/>
      <c r="D199" s="3312"/>
      <c r="E199" s="3312"/>
      <c r="F199" s="3312"/>
      <c r="G199" s="3312"/>
      <c r="H199" s="3312"/>
      <c r="I199" s="3312"/>
      <c r="J199" s="3312"/>
      <c r="K199" s="3311"/>
      <c r="L199" s="3311"/>
      <c r="M199" s="3295" t="s">
        <v>1540</v>
      </c>
      <c r="N199" s="3311"/>
      <c r="O199" s="3311"/>
      <c r="P199" s="3312"/>
      <c r="Q199" s="3312"/>
      <c r="R199" s="3312"/>
      <c r="S199" s="3312"/>
      <c r="T199" s="3312"/>
      <c r="U199" s="3312"/>
      <c r="V199" s="3312"/>
      <c r="W199" s="3312"/>
      <c r="X199" s="3312"/>
      <c r="Y199" s="3312"/>
      <c r="Z199" s="3312"/>
      <c r="AA199" s="3312"/>
      <c r="AB199" s="3312"/>
      <c r="AC199" s="3312"/>
      <c r="AD199" s="3312"/>
      <c r="AE199" s="3312"/>
      <c r="AF199" s="3312"/>
      <c r="AG199" s="3312"/>
      <c r="AH199" s="3312"/>
      <c r="AI199" s="3312"/>
      <c r="AJ199" s="3312"/>
      <c r="AK199" s="3312"/>
      <c r="AL199" s="3312"/>
      <c r="AM199" s="3312"/>
      <c r="AN199" s="3312"/>
      <c r="AO199" s="3312"/>
      <c r="AP199" s="3312"/>
      <c r="AQ199" s="3312"/>
      <c r="AR199" s="3312"/>
      <c r="AS199" s="3312"/>
      <c r="AT199" s="3312"/>
      <c r="AU199" s="3312"/>
      <c r="AV199" s="3312"/>
      <c r="AW199" s="3312"/>
      <c r="AX199" s="3312"/>
      <c r="AY199" s="3312"/>
    </row>
    <row r="200" spans="1:51" s="888" customFormat="1" ht="27.75">
      <c r="A200" s="3304" t="s">
        <v>1399</v>
      </c>
      <c r="B200" s="3304"/>
      <c r="C200" s="3312"/>
      <c r="D200" s="3312"/>
      <c r="E200" s="3312"/>
      <c r="F200" s="3312"/>
      <c r="G200" s="3312"/>
      <c r="H200" s="3312"/>
      <c r="I200" s="3312"/>
      <c r="J200" s="3312"/>
      <c r="K200" s="3311"/>
      <c r="L200" s="3311"/>
      <c r="M200" s="3295" t="s">
        <v>1541</v>
      </c>
      <c r="N200" s="3311"/>
      <c r="O200" s="3311"/>
      <c r="P200" s="3312"/>
      <c r="Q200" s="3312"/>
      <c r="R200" s="3312"/>
      <c r="S200" s="3312"/>
      <c r="T200" s="3312"/>
      <c r="U200" s="3312"/>
      <c r="V200" s="3312"/>
      <c r="W200" s="3312"/>
      <c r="X200" s="3312"/>
      <c r="Y200" s="3312"/>
      <c r="Z200" s="3312"/>
      <c r="AA200" s="3312"/>
      <c r="AB200" s="3312"/>
      <c r="AC200" s="3312"/>
      <c r="AD200" s="3312"/>
      <c r="AE200" s="3312"/>
      <c r="AF200" s="3312"/>
      <c r="AG200" s="3312"/>
      <c r="AH200" s="3312"/>
      <c r="AI200" s="3312"/>
      <c r="AJ200" s="3312"/>
      <c r="AK200" s="3312"/>
      <c r="AL200" s="3312"/>
      <c r="AM200" s="3312"/>
      <c r="AN200" s="3312"/>
      <c r="AO200" s="3312"/>
      <c r="AP200" s="3312"/>
      <c r="AQ200" s="3312"/>
      <c r="AR200" s="3312"/>
      <c r="AS200" s="3312"/>
      <c r="AT200" s="3312"/>
      <c r="AU200" s="3312"/>
      <c r="AV200" s="3312"/>
      <c r="AW200" s="3312"/>
      <c r="AX200" s="3312"/>
      <c r="AY200" s="3312"/>
    </row>
    <row r="201" spans="1:51" s="888" customFormat="1" ht="27.75">
      <c r="A201" s="3306" t="s">
        <v>1400</v>
      </c>
      <c r="B201" s="3330"/>
      <c r="C201" s="3312"/>
      <c r="D201" s="3312"/>
      <c r="E201" s="3312"/>
      <c r="F201" s="3312"/>
      <c r="G201" s="3312"/>
      <c r="H201" s="3312"/>
      <c r="I201" s="3312"/>
      <c r="J201" s="3312"/>
      <c r="K201" s="3311"/>
      <c r="L201" s="3311"/>
      <c r="M201" s="3295" t="s">
        <v>1542</v>
      </c>
      <c r="N201" s="3311"/>
      <c r="O201" s="3311"/>
      <c r="P201" s="3312"/>
      <c r="Q201" s="3312"/>
      <c r="R201" s="3312"/>
      <c r="S201" s="3312"/>
      <c r="T201" s="3312"/>
      <c r="U201" s="3312"/>
      <c r="V201" s="3312"/>
      <c r="W201" s="3312"/>
      <c r="X201" s="3312"/>
      <c r="Y201" s="3312"/>
      <c r="Z201" s="3312"/>
      <c r="AA201" s="3312"/>
      <c r="AB201" s="3312"/>
      <c r="AC201" s="3312"/>
      <c r="AD201" s="3312"/>
      <c r="AE201" s="3312"/>
      <c r="AF201" s="3312"/>
      <c r="AG201" s="3312"/>
      <c r="AH201" s="3312"/>
      <c r="AI201" s="3312"/>
      <c r="AJ201" s="3312"/>
      <c r="AK201" s="3312"/>
      <c r="AL201" s="3312"/>
      <c r="AM201" s="3312"/>
      <c r="AN201" s="3312"/>
      <c r="AO201" s="3312"/>
      <c r="AP201" s="3312"/>
      <c r="AQ201" s="3312"/>
      <c r="AR201" s="3312"/>
      <c r="AS201" s="3312"/>
      <c r="AT201" s="3312"/>
      <c r="AU201" s="3312"/>
      <c r="AV201" s="3312"/>
      <c r="AW201" s="3312"/>
      <c r="AX201" s="3312"/>
      <c r="AY201" s="3312"/>
    </row>
    <row r="202" spans="1:51" s="888" customFormat="1" ht="27.75">
      <c r="A202" s="3306" t="s">
        <v>1401</v>
      </c>
      <c r="B202" s="3312"/>
      <c r="C202" s="3312"/>
      <c r="D202" s="3312"/>
      <c r="E202" s="3312"/>
      <c r="F202" s="3312"/>
      <c r="G202" s="3312"/>
      <c r="H202" s="3312"/>
      <c r="I202" s="3312"/>
      <c r="J202" s="3312"/>
      <c r="K202" s="3311"/>
      <c r="L202" s="3311"/>
      <c r="M202" s="3295" t="s">
        <v>1543</v>
      </c>
      <c r="N202" s="3311"/>
      <c r="O202" s="3311"/>
      <c r="P202" s="3312"/>
      <c r="Q202" s="3312"/>
      <c r="R202" s="3312"/>
      <c r="S202" s="3312"/>
      <c r="T202" s="3312"/>
      <c r="U202" s="3312"/>
      <c r="V202" s="3312"/>
      <c r="W202" s="3312"/>
      <c r="X202" s="3312"/>
      <c r="Y202" s="3312"/>
      <c r="Z202" s="3312"/>
      <c r="AA202" s="3312"/>
      <c r="AB202" s="3312"/>
      <c r="AC202" s="3312"/>
      <c r="AD202" s="3312"/>
      <c r="AE202" s="3312"/>
      <c r="AF202" s="3312"/>
      <c r="AG202" s="3312"/>
      <c r="AH202" s="3312"/>
      <c r="AI202" s="3312"/>
      <c r="AJ202" s="3312"/>
      <c r="AK202" s="3312"/>
      <c r="AL202" s="3312"/>
      <c r="AM202" s="3312"/>
      <c r="AN202" s="3312"/>
      <c r="AO202" s="3312"/>
      <c r="AP202" s="3312"/>
      <c r="AQ202" s="3312"/>
      <c r="AR202" s="3312"/>
      <c r="AS202" s="3312"/>
      <c r="AT202" s="3312"/>
      <c r="AU202" s="3312"/>
      <c r="AV202" s="3312"/>
      <c r="AW202" s="3312"/>
      <c r="AX202" s="3312"/>
      <c r="AY202" s="3312"/>
    </row>
    <row r="203" spans="1:51" s="888" customFormat="1" ht="27.75">
      <c r="A203" s="3305" t="s">
        <v>1402</v>
      </c>
      <c r="B203" s="3330"/>
      <c r="C203" s="3312"/>
      <c r="D203" s="3312"/>
      <c r="E203" s="3312"/>
      <c r="F203" s="3312"/>
      <c r="G203" s="3312"/>
      <c r="H203" s="3312"/>
      <c r="I203" s="3312"/>
      <c r="J203" s="3312"/>
      <c r="K203" s="3311"/>
      <c r="L203" s="3311"/>
      <c r="M203" s="3295" t="s">
        <v>1544</v>
      </c>
      <c r="N203" s="3311"/>
      <c r="O203" s="3311"/>
      <c r="P203" s="3312"/>
      <c r="Q203" s="3312"/>
      <c r="R203" s="3312"/>
      <c r="S203" s="3312"/>
      <c r="T203" s="3312"/>
      <c r="U203" s="3312"/>
      <c r="V203" s="3312"/>
      <c r="W203" s="3312"/>
      <c r="X203" s="3312"/>
      <c r="Y203" s="3312"/>
      <c r="Z203" s="3312"/>
      <c r="AA203" s="3312"/>
      <c r="AB203" s="3312"/>
      <c r="AC203" s="3312"/>
      <c r="AD203" s="3312"/>
      <c r="AE203" s="3312"/>
      <c r="AF203" s="3312"/>
      <c r="AG203" s="3312"/>
      <c r="AH203" s="3312"/>
      <c r="AI203" s="3312"/>
      <c r="AJ203" s="3312"/>
      <c r="AK203" s="3312"/>
      <c r="AL203" s="3312"/>
      <c r="AM203" s="3312"/>
      <c r="AN203" s="3312"/>
      <c r="AO203" s="3312"/>
      <c r="AP203" s="3312"/>
      <c r="AQ203" s="3312"/>
      <c r="AR203" s="3312"/>
      <c r="AS203" s="3312"/>
      <c r="AT203" s="3312"/>
      <c r="AU203" s="3312"/>
      <c r="AV203" s="3312"/>
      <c r="AW203" s="3312"/>
      <c r="AX203" s="3312"/>
      <c r="AY203" s="3312"/>
    </row>
    <row r="204" spans="1:51" s="888" customFormat="1" ht="27.75">
      <c r="A204" s="3305" t="s">
        <v>1403</v>
      </c>
      <c r="B204" s="3330"/>
      <c r="C204" s="3312"/>
      <c r="D204" s="3312"/>
      <c r="E204" s="3312"/>
      <c r="F204" s="3312"/>
      <c r="G204" s="3312"/>
      <c r="H204" s="3312"/>
      <c r="I204" s="3312"/>
      <c r="J204" s="3312"/>
      <c r="K204" s="3311"/>
      <c r="L204" s="3311"/>
      <c r="M204" s="3295" t="s">
        <v>1545</v>
      </c>
      <c r="N204" s="3311"/>
      <c r="O204" s="3311"/>
      <c r="P204" s="3312"/>
      <c r="Q204" s="3312"/>
      <c r="R204" s="3312"/>
      <c r="S204" s="3312"/>
      <c r="T204" s="3312"/>
      <c r="U204" s="3312"/>
      <c r="V204" s="3312"/>
      <c r="W204" s="3312"/>
      <c r="X204" s="3312"/>
      <c r="Y204" s="3312"/>
      <c r="Z204" s="3312"/>
      <c r="AA204" s="3312"/>
      <c r="AB204" s="3312"/>
      <c r="AC204" s="3312"/>
      <c r="AD204" s="3312"/>
      <c r="AE204" s="3312"/>
      <c r="AF204" s="3312"/>
      <c r="AG204" s="3312"/>
      <c r="AH204" s="3312"/>
      <c r="AI204" s="3312"/>
      <c r="AJ204" s="3312"/>
      <c r="AK204" s="3312"/>
      <c r="AL204" s="3312"/>
      <c r="AM204" s="3312"/>
      <c r="AN204" s="3312"/>
      <c r="AO204" s="3312"/>
      <c r="AP204" s="3312"/>
      <c r="AQ204" s="3312"/>
      <c r="AR204" s="3312"/>
      <c r="AS204" s="3312"/>
      <c r="AT204" s="3312"/>
      <c r="AU204" s="3312"/>
      <c r="AV204" s="3312"/>
      <c r="AW204" s="3312"/>
      <c r="AX204" s="3312"/>
      <c r="AY204" s="3312"/>
    </row>
    <row r="205" spans="1:51" s="888" customFormat="1" ht="27.75">
      <c r="A205" s="3305" t="s">
        <v>1404</v>
      </c>
      <c r="B205" s="3330"/>
      <c r="C205" s="3312"/>
      <c r="D205" s="3312"/>
      <c r="E205" s="3312"/>
      <c r="F205" s="3312"/>
      <c r="G205" s="3312"/>
      <c r="H205" s="3312"/>
      <c r="I205" s="3312"/>
      <c r="J205" s="3312"/>
      <c r="K205" s="3311"/>
      <c r="L205" s="3311"/>
      <c r="M205" s="3295" t="s">
        <v>1546</v>
      </c>
      <c r="N205" s="3311"/>
      <c r="O205" s="3311"/>
      <c r="P205" s="3312"/>
      <c r="Q205" s="3312"/>
      <c r="R205" s="3312"/>
      <c r="S205" s="3312"/>
      <c r="T205" s="3312"/>
      <c r="U205" s="3312"/>
      <c r="V205" s="3312"/>
      <c r="W205" s="3312"/>
      <c r="X205" s="3312"/>
      <c r="Y205" s="3312"/>
      <c r="Z205" s="3312"/>
      <c r="AA205" s="3312"/>
      <c r="AB205" s="3312"/>
      <c r="AC205" s="3312"/>
      <c r="AD205" s="3312"/>
      <c r="AE205" s="3312"/>
      <c r="AF205" s="3312"/>
      <c r="AG205" s="3312"/>
      <c r="AH205" s="3312"/>
      <c r="AI205" s="3312"/>
      <c r="AJ205" s="3312"/>
      <c r="AK205" s="3312"/>
      <c r="AL205" s="3312"/>
      <c r="AM205" s="3312"/>
      <c r="AN205" s="3312"/>
      <c r="AO205" s="3312"/>
      <c r="AP205" s="3312"/>
      <c r="AQ205" s="3312"/>
      <c r="AR205" s="3312"/>
      <c r="AS205" s="3312"/>
      <c r="AT205" s="3312"/>
      <c r="AU205" s="3312"/>
      <c r="AV205" s="3312"/>
      <c r="AW205" s="3312"/>
      <c r="AX205" s="3312"/>
      <c r="AY205" s="3312"/>
    </row>
    <row r="206" spans="1:51" s="888" customFormat="1" ht="27.75">
      <c r="A206" s="3306" t="s">
        <v>1405</v>
      </c>
      <c r="B206" s="3330"/>
      <c r="C206" s="3312"/>
      <c r="D206" s="3312"/>
      <c r="E206" s="3312"/>
      <c r="F206" s="3312"/>
      <c r="G206" s="3312"/>
      <c r="H206" s="3312"/>
      <c r="I206" s="3312"/>
      <c r="J206" s="3312"/>
      <c r="K206" s="3311"/>
      <c r="L206" s="3311"/>
      <c r="M206" s="3295" t="s">
        <v>1557</v>
      </c>
      <c r="N206" s="3311"/>
      <c r="O206" s="3311"/>
      <c r="P206" s="3312"/>
      <c r="Q206" s="3312"/>
      <c r="R206" s="3312"/>
      <c r="S206" s="3312"/>
      <c r="T206" s="3312"/>
      <c r="U206" s="3312"/>
      <c r="V206" s="3312"/>
      <c r="W206" s="3312"/>
      <c r="X206" s="3312"/>
      <c r="Y206" s="3312"/>
      <c r="Z206" s="3312"/>
      <c r="AA206" s="3312"/>
      <c r="AB206" s="3312"/>
      <c r="AC206" s="3312"/>
      <c r="AD206" s="3312"/>
      <c r="AE206" s="3312"/>
      <c r="AF206" s="3312"/>
      <c r="AG206" s="3312"/>
      <c r="AH206" s="3312"/>
      <c r="AI206" s="3312"/>
      <c r="AJ206" s="3312"/>
      <c r="AK206" s="3312"/>
      <c r="AL206" s="3312"/>
      <c r="AM206" s="3312"/>
      <c r="AN206" s="3312"/>
      <c r="AO206" s="3312"/>
      <c r="AP206" s="3312"/>
      <c r="AQ206" s="3312"/>
      <c r="AR206" s="3312"/>
      <c r="AS206" s="3312"/>
      <c r="AT206" s="3312"/>
      <c r="AU206" s="3312"/>
      <c r="AV206" s="3312"/>
      <c r="AW206" s="3312"/>
      <c r="AX206" s="3312"/>
      <c r="AY206" s="3312"/>
    </row>
    <row r="207" spans="1:51" s="888" customFormat="1" ht="27.75">
      <c r="A207" s="3306" t="s">
        <v>1424</v>
      </c>
      <c r="B207" s="3330"/>
      <c r="C207" s="3312"/>
      <c r="D207" s="3312"/>
      <c r="E207" s="3312"/>
      <c r="F207" s="3312"/>
      <c r="G207" s="3312"/>
      <c r="H207" s="3312"/>
      <c r="I207" s="3312"/>
      <c r="J207" s="3312"/>
      <c r="K207" s="3311"/>
      <c r="L207" s="3311"/>
      <c r="M207" s="3295" t="s">
        <v>1547</v>
      </c>
      <c r="N207" s="3311"/>
      <c r="O207" s="3311"/>
      <c r="P207" s="3312"/>
      <c r="Q207" s="3312"/>
      <c r="R207" s="3312"/>
      <c r="S207" s="3312"/>
      <c r="T207" s="3312"/>
      <c r="U207" s="3312"/>
      <c r="V207" s="3312"/>
      <c r="W207" s="3312"/>
      <c r="X207" s="3312"/>
      <c r="Y207" s="3312"/>
      <c r="Z207" s="3312"/>
      <c r="AA207" s="3312"/>
      <c r="AB207" s="3312"/>
      <c r="AC207" s="3312"/>
      <c r="AD207" s="3312"/>
      <c r="AE207" s="3312"/>
      <c r="AF207" s="3312"/>
      <c r="AG207" s="3312"/>
      <c r="AH207" s="3312"/>
      <c r="AI207" s="3312"/>
      <c r="AJ207" s="3312"/>
      <c r="AK207" s="3312"/>
      <c r="AL207" s="3312"/>
      <c r="AM207" s="3312"/>
      <c r="AN207" s="3312"/>
      <c r="AO207" s="3312"/>
      <c r="AP207" s="3312"/>
      <c r="AQ207" s="3312"/>
      <c r="AR207" s="3312"/>
      <c r="AS207" s="3312"/>
      <c r="AT207" s="3312"/>
      <c r="AU207" s="3312"/>
      <c r="AV207" s="3312"/>
      <c r="AW207" s="3312"/>
      <c r="AX207" s="3312"/>
      <c r="AY207" s="3312"/>
    </row>
    <row r="208" spans="1:51" s="888" customFormat="1" ht="27.75">
      <c r="A208" s="3305" t="s">
        <v>1406</v>
      </c>
      <c r="B208" s="3330"/>
      <c r="C208" s="3312"/>
      <c r="D208" s="3312"/>
      <c r="E208" s="3312"/>
      <c r="F208" s="3312"/>
      <c r="G208" s="3312"/>
      <c r="H208" s="3312"/>
      <c r="I208" s="3312"/>
      <c r="J208" s="3312"/>
      <c r="K208" s="3311"/>
      <c r="L208" s="3311"/>
      <c r="M208" s="3295" t="s">
        <v>1548</v>
      </c>
      <c r="N208" s="3311"/>
      <c r="O208" s="3311"/>
      <c r="P208" s="3312"/>
      <c r="Q208" s="3312"/>
      <c r="R208" s="3312"/>
      <c r="S208" s="3312"/>
      <c r="T208" s="3312"/>
      <c r="U208" s="3312"/>
      <c r="V208" s="3312"/>
      <c r="W208" s="3312"/>
      <c r="X208" s="3312"/>
      <c r="Y208" s="3312"/>
      <c r="Z208" s="3312"/>
      <c r="AA208" s="3312"/>
      <c r="AB208" s="3312"/>
      <c r="AC208" s="3312"/>
      <c r="AD208" s="3312"/>
      <c r="AE208" s="3312"/>
      <c r="AF208" s="3312"/>
      <c r="AG208" s="3312"/>
      <c r="AH208" s="3312"/>
      <c r="AI208" s="3312"/>
      <c r="AJ208" s="3312"/>
      <c r="AK208" s="3312"/>
      <c r="AL208" s="3312"/>
      <c r="AM208" s="3312"/>
      <c r="AN208" s="3312"/>
      <c r="AO208" s="3312"/>
      <c r="AP208" s="3312"/>
      <c r="AQ208" s="3312"/>
      <c r="AR208" s="3312"/>
      <c r="AS208" s="3312"/>
      <c r="AT208" s="3312"/>
      <c r="AU208" s="3312"/>
      <c r="AV208" s="3312"/>
      <c r="AW208" s="3312"/>
      <c r="AX208" s="3312"/>
      <c r="AY208" s="3312"/>
    </row>
    <row r="209" spans="1:51" s="888" customFormat="1" ht="27.75">
      <c r="A209" s="3305" t="s">
        <v>1408</v>
      </c>
      <c r="B209" s="3330"/>
      <c r="C209" s="3312"/>
      <c r="D209" s="3312"/>
      <c r="E209" s="3312"/>
      <c r="F209" s="3312"/>
      <c r="G209" s="3312"/>
      <c r="H209" s="3312"/>
      <c r="I209" s="3312"/>
      <c r="J209" s="3312"/>
      <c r="K209" s="3311"/>
      <c r="L209" s="3311"/>
      <c r="M209" s="3295" t="s">
        <v>1549</v>
      </c>
      <c r="N209" s="3311"/>
      <c r="O209" s="3311"/>
      <c r="P209" s="3312"/>
      <c r="Q209" s="3312"/>
      <c r="R209" s="3312"/>
      <c r="S209" s="3312"/>
      <c r="T209" s="3312"/>
      <c r="U209" s="3312"/>
      <c r="V209" s="3312"/>
      <c r="W209" s="3312"/>
      <c r="X209" s="3312"/>
      <c r="Y209" s="3312"/>
      <c r="Z209" s="3312"/>
      <c r="AA209" s="3312"/>
      <c r="AB209" s="3312"/>
      <c r="AC209" s="3312"/>
      <c r="AD209" s="3312"/>
      <c r="AE209" s="3312"/>
      <c r="AF209" s="3312"/>
      <c r="AG209" s="3312"/>
      <c r="AH209" s="3312"/>
      <c r="AI209" s="3312"/>
      <c r="AJ209" s="3312"/>
      <c r="AK209" s="3312"/>
      <c r="AL209" s="3312"/>
      <c r="AM209" s="3312"/>
      <c r="AN209" s="3312"/>
      <c r="AO209" s="3312"/>
      <c r="AP209" s="3312"/>
      <c r="AQ209" s="3312"/>
      <c r="AR209" s="3312"/>
      <c r="AS209" s="3312"/>
      <c r="AT209" s="3312"/>
      <c r="AU209" s="3312"/>
      <c r="AV209" s="3312"/>
      <c r="AW209" s="3312"/>
      <c r="AX209" s="3312"/>
      <c r="AY209" s="3312"/>
    </row>
    <row r="210" spans="1:51" s="888" customFormat="1" ht="27.75">
      <c r="A210" s="3306" t="s">
        <v>1407</v>
      </c>
      <c r="B210" s="3330"/>
      <c r="C210" s="3312"/>
      <c r="D210" s="3312"/>
      <c r="E210" s="3312"/>
      <c r="F210" s="3312"/>
      <c r="G210" s="3312"/>
      <c r="H210" s="3312"/>
      <c r="I210" s="3312"/>
      <c r="J210" s="3312"/>
      <c r="K210" s="3311"/>
      <c r="L210" s="3311"/>
      <c r="M210" s="3295"/>
      <c r="N210" s="3311"/>
      <c r="O210" s="3311"/>
      <c r="P210" s="3312"/>
      <c r="Q210" s="3312"/>
      <c r="R210" s="3312"/>
      <c r="S210" s="3312"/>
      <c r="T210" s="3312"/>
      <c r="U210" s="3312"/>
      <c r="V210" s="3312"/>
      <c r="W210" s="3312"/>
      <c r="X210" s="3312"/>
      <c r="Y210" s="3312"/>
      <c r="Z210" s="3312"/>
      <c r="AA210" s="3312"/>
      <c r="AB210" s="3312"/>
      <c r="AC210" s="3312"/>
      <c r="AD210" s="3312"/>
      <c r="AE210" s="3312"/>
      <c r="AF210" s="3312"/>
      <c r="AG210" s="3312"/>
      <c r="AH210" s="3312"/>
      <c r="AI210" s="3312"/>
      <c r="AJ210" s="3312"/>
      <c r="AK210" s="3312"/>
      <c r="AL210" s="3312"/>
      <c r="AM210" s="3312"/>
      <c r="AN210" s="3312"/>
      <c r="AO210" s="3312"/>
      <c r="AP210" s="3312"/>
      <c r="AQ210" s="3312"/>
      <c r="AR210" s="3312"/>
      <c r="AS210" s="3312"/>
      <c r="AT210" s="3312"/>
      <c r="AU210" s="3312"/>
      <c r="AV210" s="3312"/>
      <c r="AW210" s="3312"/>
      <c r="AX210" s="3312"/>
      <c r="AY210" s="3312"/>
    </row>
    <row r="211" spans="1:51" s="888" customFormat="1" ht="27.75">
      <c r="A211" s="3305" t="s">
        <v>1409</v>
      </c>
      <c r="B211" s="3312"/>
      <c r="C211" s="3312"/>
      <c r="D211" s="3312"/>
      <c r="E211" s="3312"/>
      <c r="F211" s="3312"/>
      <c r="G211" s="3312"/>
      <c r="H211" s="3312"/>
      <c r="I211" s="3312"/>
      <c r="J211" s="3312"/>
      <c r="K211" s="3311"/>
      <c r="L211" s="3311"/>
      <c r="M211" s="3295" t="s">
        <v>1550</v>
      </c>
      <c r="N211" s="3311"/>
      <c r="O211" s="3311"/>
      <c r="P211" s="3312"/>
      <c r="Q211" s="3312"/>
      <c r="R211" s="3312"/>
      <c r="S211" s="3312"/>
      <c r="T211" s="3312"/>
      <c r="U211" s="3312"/>
      <c r="V211" s="3312"/>
      <c r="W211" s="3312"/>
      <c r="X211" s="3312"/>
      <c r="Y211" s="3312"/>
      <c r="Z211" s="3312"/>
      <c r="AA211" s="3312"/>
      <c r="AB211" s="3312"/>
      <c r="AC211" s="3312"/>
      <c r="AD211" s="3312"/>
      <c r="AE211" s="3312"/>
      <c r="AF211" s="3312"/>
      <c r="AG211" s="3312"/>
      <c r="AH211" s="3312"/>
      <c r="AI211" s="3312"/>
      <c r="AJ211" s="3312"/>
      <c r="AK211" s="3312"/>
      <c r="AL211" s="3312"/>
      <c r="AM211" s="3312"/>
      <c r="AN211" s="3312"/>
      <c r="AO211" s="3312"/>
      <c r="AP211" s="3312"/>
      <c r="AQ211" s="3312"/>
      <c r="AR211" s="3312"/>
      <c r="AS211" s="3312"/>
      <c r="AT211" s="3312"/>
      <c r="AU211" s="3312"/>
      <c r="AV211" s="3312"/>
      <c r="AW211" s="3312"/>
      <c r="AX211" s="3312"/>
      <c r="AY211" s="3312"/>
    </row>
    <row r="212" spans="1:51" s="888" customFormat="1" ht="27.75">
      <c r="A212" s="3305" t="s">
        <v>1410</v>
      </c>
      <c r="B212" s="3330"/>
      <c r="C212" s="3312"/>
      <c r="D212" s="3312"/>
      <c r="E212" s="3312"/>
      <c r="F212" s="3312"/>
      <c r="G212" s="3312"/>
      <c r="H212" s="3312"/>
      <c r="I212" s="3312"/>
      <c r="J212" s="3312"/>
      <c r="K212" s="3311"/>
      <c r="L212" s="3311"/>
      <c r="M212" s="3295" t="s">
        <v>1551</v>
      </c>
      <c r="N212" s="3311"/>
      <c r="O212" s="3311"/>
      <c r="P212" s="3312"/>
      <c r="Q212" s="3312"/>
      <c r="R212" s="3312"/>
      <c r="S212" s="3312"/>
      <c r="T212" s="3312"/>
      <c r="U212" s="3312"/>
      <c r="V212" s="3312"/>
      <c r="W212" s="3312"/>
      <c r="X212" s="3312"/>
      <c r="Y212" s="3312"/>
      <c r="Z212" s="3312"/>
      <c r="AA212" s="3312"/>
      <c r="AB212" s="3312"/>
      <c r="AC212" s="3312"/>
      <c r="AD212" s="3312"/>
      <c r="AE212" s="3312"/>
      <c r="AF212" s="3312"/>
      <c r="AG212" s="3312"/>
      <c r="AH212" s="3312"/>
      <c r="AI212" s="3312"/>
      <c r="AJ212" s="3312"/>
      <c r="AK212" s="3312"/>
      <c r="AL212" s="3312"/>
      <c r="AM212" s="3312"/>
      <c r="AN212" s="3312"/>
      <c r="AO212" s="3312"/>
      <c r="AP212" s="3312"/>
      <c r="AQ212" s="3312"/>
      <c r="AR212" s="3312"/>
      <c r="AS212" s="3312"/>
      <c r="AT212" s="3312"/>
      <c r="AU212" s="3312"/>
      <c r="AV212" s="3312"/>
      <c r="AW212" s="3312"/>
      <c r="AX212" s="3312"/>
      <c r="AY212" s="3312"/>
    </row>
    <row r="213" spans="1:51" s="888" customFormat="1" ht="27.75">
      <c r="A213" s="3306" t="s">
        <v>1411</v>
      </c>
      <c r="B213" s="3330"/>
      <c r="C213" s="3312"/>
      <c r="D213" s="3312"/>
      <c r="E213" s="3312"/>
      <c r="F213" s="3312"/>
      <c r="G213" s="3312"/>
      <c r="H213" s="3312"/>
      <c r="I213" s="3312"/>
      <c r="J213" s="3312"/>
      <c r="K213" s="3311"/>
      <c r="L213" s="3311"/>
      <c r="M213" s="3295" t="s">
        <v>1558</v>
      </c>
      <c r="N213" s="3311"/>
      <c r="O213" s="3311"/>
      <c r="P213" s="3312"/>
      <c r="Q213" s="3312"/>
      <c r="R213" s="3312"/>
      <c r="S213" s="3312"/>
      <c r="T213" s="3312"/>
      <c r="U213" s="3312"/>
      <c r="V213" s="3312"/>
      <c r="W213" s="3312"/>
      <c r="X213" s="3312"/>
      <c r="Y213" s="3312"/>
      <c r="Z213" s="3312"/>
      <c r="AA213" s="3312"/>
      <c r="AB213" s="3312"/>
      <c r="AC213" s="3312"/>
      <c r="AD213" s="3312"/>
      <c r="AE213" s="3312"/>
      <c r="AF213" s="3312"/>
      <c r="AG213" s="3312"/>
      <c r="AH213" s="3312"/>
      <c r="AI213" s="3312"/>
      <c r="AJ213" s="3312"/>
      <c r="AK213" s="3312"/>
      <c r="AL213" s="3312"/>
      <c r="AM213" s="3312"/>
      <c r="AN213" s="3312"/>
      <c r="AO213" s="3312"/>
      <c r="AP213" s="3312"/>
      <c r="AQ213" s="3312"/>
      <c r="AR213" s="3312"/>
      <c r="AS213" s="3312"/>
      <c r="AT213" s="3312"/>
      <c r="AU213" s="3312"/>
      <c r="AV213" s="3312"/>
      <c r="AW213" s="3312"/>
      <c r="AX213" s="3312"/>
      <c r="AY213" s="3312"/>
    </row>
    <row r="214" spans="1:51" s="888" customFormat="1" ht="27.75">
      <c r="A214" s="3306" t="s">
        <v>1412</v>
      </c>
      <c r="B214" s="3330"/>
      <c r="C214" s="3312"/>
      <c r="D214" s="3312"/>
      <c r="E214" s="3312"/>
      <c r="F214" s="3312"/>
      <c r="G214" s="3312"/>
      <c r="H214" s="3312"/>
      <c r="I214" s="3312"/>
      <c r="J214" s="3312"/>
      <c r="K214" s="3311"/>
      <c r="L214" s="3311"/>
      <c r="M214" s="3295" t="s">
        <v>1552</v>
      </c>
      <c r="N214" s="3311"/>
      <c r="O214" s="3311"/>
      <c r="P214" s="3312"/>
      <c r="Q214" s="3312"/>
      <c r="R214" s="3312"/>
      <c r="S214" s="3312"/>
      <c r="T214" s="3312"/>
      <c r="U214" s="3312"/>
      <c r="V214" s="3312"/>
      <c r="W214" s="3312"/>
      <c r="X214" s="3312"/>
      <c r="Y214" s="3312"/>
      <c r="Z214" s="3312"/>
      <c r="AA214" s="3312"/>
      <c r="AB214" s="3312"/>
      <c r="AC214" s="3312"/>
      <c r="AD214" s="3312"/>
      <c r="AE214" s="3312"/>
      <c r="AF214" s="3312"/>
      <c r="AG214" s="3312"/>
      <c r="AH214" s="3312"/>
      <c r="AI214" s="3312"/>
      <c r="AJ214" s="3312"/>
      <c r="AK214" s="3312"/>
      <c r="AL214" s="3312"/>
      <c r="AM214" s="3312"/>
      <c r="AN214" s="3312"/>
      <c r="AO214" s="3312"/>
      <c r="AP214" s="3312"/>
      <c r="AQ214" s="3312"/>
      <c r="AR214" s="3312"/>
      <c r="AS214" s="3312"/>
      <c r="AT214" s="3312"/>
      <c r="AU214" s="3312"/>
      <c r="AV214" s="3312"/>
      <c r="AW214" s="3312"/>
      <c r="AX214" s="3312"/>
      <c r="AY214" s="3312"/>
    </row>
    <row r="215" spans="1:51" s="888" customFormat="1" ht="27.75">
      <c r="A215" s="3306" t="s">
        <v>1413</v>
      </c>
      <c r="B215" s="3330"/>
      <c r="C215" s="3312"/>
      <c r="D215" s="3312"/>
      <c r="E215" s="3312"/>
      <c r="F215" s="3312"/>
      <c r="G215" s="3312"/>
      <c r="H215" s="3312"/>
      <c r="I215" s="3312"/>
      <c r="J215" s="3312"/>
      <c r="K215" s="3311"/>
      <c r="L215" s="3311"/>
      <c r="M215" s="3295" t="s">
        <v>1559</v>
      </c>
      <c r="N215" s="3311"/>
      <c r="O215" s="3311"/>
      <c r="P215" s="3312"/>
      <c r="Q215" s="3312"/>
      <c r="R215" s="3312"/>
      <c r="S215" s="3312"/>
      <c r="T215" s="3312"/>
      <c r="U215" s="3312"/>
      <c r="V215" s="3312"/>
      <c r="W215" s="3312"/>
      <c r="X215" s="3312"/>
      <c r="Y215" s="3312"/>
      <c r="Z215" s="3312"/>
      <c r="AA215" s="3312"/>
      <c r="AB215" s="3312"/>
      <c r="AC215" s="3312"/>
      <c r="AD215" s="3312"/>
      <c r="AE215" s="3312"/>
      <c r="AF215" s="3312"/>
      <c r="AG215" s="3312"/>
      <c r="AH215" s="3312"/>
      <c r="AI215" s="3312"/>
      <c r="AJ215" s="3312"/>
      <c r="AK215" s="3312"/>
      <c r="AL215" s="3312"/>
      <c r="AM215" s="3312"/>
      <c r="AN215" s="3312"/>
      <c r="AO215" s="3312"/>
      <c r="AP215" s="3312"/>
      <c r="AQ215" s="3312"/>
      <c r="AR215" s="3312"/>
      <c r="AS215" s="3312"/>
      <c r="AT215" s="3312"/>
      <c r="AU215" s="3312"/>
      <c r="AV215" s="3312"/>
      <c r="AW215" s="3312"/>
      <c r="AX215" s="3312"/>
      <c r="AY215" s="3312"/>
    </row>
    <row r="216" spans="1:51" s="888" customFormat="1" ht="27.75">
      <c r="A216" s="3306" t="s">
        <v>1414</v>
      </c>
      <c r="B216" s="3330"/>
      <c r="C216" s="3312"/>
      <c r="D216" s="3312"/>
      <c r="E216" s="3312"/>
      <c r="F216" s="3312"/>
      <c r="G216" s="3312"/>
      <c r="H216" s="3312"/>
      <c r="I216" s="3312"/>
      <c r="J216" s="3312"/>
      <c r="K216" s="3311"/>
      <c r="L216" s="3311"/>
      <c r="M216" s="3311" t="s">
        <v>1599</v>
      </c>
      <c r="N216" s="3311"/>
      <c r="O216" s="3311"/>
      <c r="P216" s="3312"/>
      <c r="Q216" s="3312"/>
      <c r="R216" s="3312"/>
      <c r="S216" s="3312"/>
      <c r="T216" s="3312"/>
      <c r="U216" s="3312"/>
      <c r="V216" s="3312"/>
      <c r="W216" s="3312"/>
      <c r="X216" s="3312"/>
      <c r="Y216" s="3312"/>
      <c r="Z216" s="3312"/>
      <c r="AA216" s="3312"/>
      <c r="AB216" s="3312"/>
      <c r="AC216" s="3312"/>
      <c r="AD216" s="3312"/>
      <c r="AE216" s="3312"/>
      <c r="AF216" s="3312"/>
      <c r="AG216" s="3312"/>
      <c r="AH216" s="3312"/>
      <c r="AI216" s="3312"/>
      <c r="AJ216" s="3312"/>
      <c r="AK216" s="3312"/>
      <c r="AL216" s="3312"/>
      <c r="AM216" s="3312"/>
      <c r="AN216" s="3312"/>
      <c r="AO216" s="3312"/>
      <c r="AP216" s="3312"/>
      <c r="AQ216" s="3312"/>
      <c r="AR216" s="3312"/>
      <c r="AS216" s="3312"/>
      <c r="AT216" s="3312"/>
      <c r="AU216" s="3312"/>
      <c r="AV216" s="3312"/>
      <c r="AW216" s="3312"/>
      <c r="AX216" s="3312"/>
      <c r="AY216" s="3312"/>
    </row>
    <row r="217" spans="1:51" s="888" customFormat="1" ht="27.75">
      <c r="A217" s="3305" t="s">
        <v>1425</v>
      </c>
      <c r="B217" s="3330"/>
      <c r="C217" s="3312"/>
      <c r="D217" s="3312"/>
      <c r="E217" s="3312"/>
      <c r="F217" s="3312"/>
      <c r="G217" s="3312"/>
      <c r="H217" s="3312"/>
      <c r="I217" s="3312"/>
      <c r="J217" s="3312"/>
      <c r="K217" s="3311"/>
      <c r="L217" s="3311"/>
      <c r="M217" s="3311" t="s">
        <v>1600</v>
      </c>
      <c r="N217" s="3311"/>
      <c r="O217" s="3311"/>
      <c r="P217" s="3312"/>
      <c r="Q217" s="3312"/>
      <c r="R217" s="3312"/>
      <c r="S217" s="3312"/>
      <c r="T217" s="3312"/>
      <c r="U217" s="3312"/>
      <c r="V217" s="3312"/>
      <c r="W217" s="3312"/>
      <c r="X217" s="3312"/>
      <c r="Y217" s="3312"/>
      <c r="Z217" s="3312"/>
      <c r="AA217" s="3312"/>
      <c r="AB217" s="3312"/>
      <c r="AC217" s="3312"/>
      <c r="AD217" s="3312"/>
      <c r="AE217" s="3312"/>
      <c r="AF217" s="3312"/>
      <c r="AG217" s="3312"/>
      <c r="AH217" s="3312"/>
      <c r="AI217" s="3312"/>
      <c r="AJ217" s="3312"/>
      <c r="AK217" s="3312"/>
      <c r="AL217" s="3312"/>
      <c r="AM217" s="3312"/>
      <c r="AN217" s="3312"/>
      <c r="AO217" s="3312"/>
      <c r="AP217" s="3312"/>
      <c r="AQ217" s="3312"/>
      <c r="AR217" s="3312"/>
      <c r="AS217" s="3312"/>
      <c r="AT217" s="3312"/>
      <c r="AU217" s="3312"/>
      <c r="AV217" s="3312"/>
      <c r="AW217" s="3312"/>
      <c r="AX217" s="3312"/>
      <c r="AY217" s="3312"/>
    </row>
    <row r="218" spans="1:51" s="888" customFormat="1" ht="27.75">
      <c r="A218" s="3306" t="s">
        <v>1415</v>
      </c>
      <c r="B218" s="3330"/>
      <c r="C218" s="3312"/>
      <c r="D218" s="3312"/>
      <c r="E218" s="3312"/>
      <c r="F218" s="3312"/>
      <c r="G218" s="3312"/>
      <c r="H218" s="3312"/>
      <c r="I218" s="3312"/>
      <c r="J218" s="3312"/>
      <c r="K218" s="3311"/>
      <c r="L218" s="3311"/>
      <c r="M218" s="3311" t="s">
        <v>1619</v>
      </c>
      <c r="N218" s="3311"/>
      <c r="O218" s="3311"/>
      <c r="P218" s="3312"/>
      <c r="Q218" s="3312"/>
      <c r="R218" s="3312"/>
      <c r="S218" s="3312"/>
      <c r="T218" s="3312"/>
      <c r="U218" s="3312"/>
      <c r="V218" s="3312"/>
      <c r="W218" s="3312"/>
      <c r="X218" s="3312"/>
      <c r="Y218" s="3312"/>
      <c r="Z218" s="3312"/>
      <c r="AA218" s="3312"/>
      <c r="AB218" s="3312"/>
      <c r="AC218" s="3312"/>
      <c r="AD218" s="3312"/>
      <c r="AE218" s="3312"/>
      <c r="AF218" s="3312"/>
      <c r="AG218" s="3312"/>
      <c r="AH218" s="3312"/>
      <c r="AI218" s="3312"/>
      <c r="AJ218" s="3312"/>
      <c r="AK218" s="3312"/>
      <c r="AL218" s="3312"/>
      <c r="AM218" s="3312"/>
      <c r="AN218" s="3312"/>
      <c r="AO218" s="3312"/>
      <c r="AP218" s="3312"/>
      <c r="AQ218" s="3312"/>
      <c r="AR218" s="3312"/>
      <c r="AS218" s="3312"/>
      <c r="AT218" s="3312"/>
      <c r="AU218" s="3312"/>
      <c r="AV218" s="3312"/>
      <c r="AW218" s="3312"/>
      <c r="AX218" s="3312"/>
      <c r="AY218" s="3312"/>
    </row>
    <row r="219" spans="1:51" s="888" customFormat="1" ht="27.75">
      <c r="A219" s="3305" t="s">
        <v>1416</v>
      </c>
      <c r="B219" s="3312"/>
      <c r="C219" s="3312"/>
      <c r="D219" s="3312"/>
      <c r="E219" s="3312"/>
      <c r="F219" s="3312"/>
      <c r="G219" s="3312"/>
      <c r="H219" s="3312"/>
      <c r="I219" s="3312"/>
      <c r="J219" s="3312"/>
      <c r="K219" s="3311"/>
      <c r="L219" s="3311"/>
      <c r="M219" s="3311" t="s">
        <v>1601</v>
      </c>
      <c r="N219" s="3311"/>
      <c r="O219" s="3311"/>
      <c r="P219" s="3312"/>
      <c r="Q219" s="3312"/>
      <c r="R219" s="3312"/>
      <c r="S219" s="3312"/>
      <c r="T219" s="3312"/>
      <c r="U219" s="3312"/>
      <c r="V219" s="3312"/>
      <c r="W219" s="3312"/>
      <c r="X219" s="3312"/>
      <c r="Y219" s="3312"/>
      <c r="Z219" s="3312"/>
      <c r="AA219" s="3312"/>
      <c r="AB219" s="3312"/>
      <c r="AC219" s="3312"/>
      <c r="AD219" s="3312"/>
      <c r="AE219" s="3312"/>
      <c r="AF219" s="3312"/>
      <c r="AG219" s="3312"/>
      <c r="AH219" s="3312"/>
      <c r="AI219" s="3312"/>
      <c r="AJ219" s="3312"/>
      <c r="AK219" s="3312"/>
      <c r="AL219" s="3312"/>
      <c r="AM219" s="3312"/>
      <c r="AN219" s="3312"/>
      <c r="AO219" s="3312"/>
      <c r="AP219" s="3312"/>
      <c r="AQ219" s="3312"/>
      <c r="AR219" s="3312"/>
      <c r="AS219" s="3312"/>
      <c r="AT219" s="3312"/>
      <c r="AU219" s="3312"/>
      <c r="AV219" s="3312"/>
      <c r="AW219" s="3312"/>
      <c r="AX219" s="3312"/>
      <c r="AY219" s="3312"/>
    </row>
    <row r="220" spans="1:51" s="888" customFormat="1" ht="27.75">
      <c r="A220" s="3305" t="s">
        <v>1417</v>
      </c>
      <c r="B220" s="3330"/>
      <c r="C220" s="3312"/>
      <c r="D220" s="3312"/>
      <c r="E220" s="3312"/>
      <c r="F220" s="3312"/>
      <c r="G220" s="3312"/>
      <c r="H220" s="3312"/>
      <c r="I220" s="3312"/>
      <c r="J220" s="3312"/>
      <c r="K220" s="3311"/>
      <c r="L220" s="3312"/>
      <c r="M220" s="3312" t="s">
        <v>1602</v>
      </c>
      <c r="N220" s="3312"/>
      <c r="O220" s="3312"/>
      <c r="P220" s="3312"/>
      <c r="Q220" s="3312"/>
      <c r="R220" s="3312"/>
      <c r="S220" s="3312"/>
      <c r="T220" s="3312"/>
      <c r="U220" s="3312"/>
      <c r="V220" s="3312"/>
      <c r="W220" s="3312"/>
      <c r="X220" s="3312"/>
      <c r="Y220" s="3312"/>
      <c r="Z220" s="3312"/>
      <c r="AA220" s="3312"/>
      <c r="AB220" s="3312"/>
      <c r="AC220" s="3312"/>
      <c r="AD220" s="3312"/>
      <c r="AE220" s="3312"/>
      <c r="AF220" s="3312"/>
      <c r="AG220" s="3312"/>
      <c r="AH220" s="3312"/>
      <c r="AI220" s="3312"/>
      <c r="AJ220" s="3312"/>
      <c r="AK220" s="3312"/>
      <c r="AL220" s="3312"/>
      <c r="AM220" s="3312"/>
      <c r="AN220" s="3312"/>
      <c r="AO220" s="3312"/>
      <c r="AP220" s="3312"/>
      <c r="AQ220" s="3312"/>
      <c r="AR220" s="3312"/>
      <c r="AS220" s="3312"/>
      <c r="AT220" s="3312"/>
      <c r="AU220" s="3312"/>
      <c r="AV220" s="3312"/>
      <c r="AW220" s="3312"/>
      <c r="AX220" s="3312"/>
      <c r="AY220" s="3312"/>
    </row>
    <row r="221" spans="1:51" s="888" customFormat="1" ht="27.75">
      <c r="A221" s="3306" t="s">
        <v>1418</v>
      </c>
      <c r="B221" s="3330"/>
      <c r="C221" s="3312"/>
      <c r="D221" s="3312"/>
      <c r="E221" s="3312"/>
      <c r="F221" s="3312"/>
      <c r="G221" s="3312"/>
      <c r="H221" s="3312"/>
      <c r="I221" s="3312"/>
      <c r="J221" s="3312"/>
      <c r="K221" s="3312"/>
      <c r="L221" s="3312"/>
      <c r="M221" s="3312" t="s">
        <v>1603</v>
      </c>
      <c r="N221" s="3312"/>
      <c r="O221" s="3312"/>
      <c r="P221" s="3312"/>
      <c r="Q221" s="3312"/>
      <c r="R221" s="3312"/>
      <c r="S221" s="3312"/>
      <c r="T221" s="3312"/>
      <c r="U221" s="3312"/>
      <c r="V221" s="3312"/>
      <c r="W221" s="3312"/>
      <c r="X221" s="3312"/>
      <c r="Y221" s="3312"/>
      <c r="Z221" s="3312"/>
      <c r="AA221" s="3312"/>
      <c r="AB221" s="3312"/>
      <c r="AC221" s="3312"/>
      <c r="AD221" s="3312"/>
      <c r="AE221" s="3312"/>
      <c r="AF221" s="3312"/>
      <c r="AG221" s="3312"/>
      <c r="AH221" s="3312"/>
      <c r="AI221" s="3312"/>
      <c r="AJ221" s="3312"/>
      <c r="AK221" s="3312"/>
      <c r="AL221" s="3312"/>
      <c r="AM221" s="3312"/>
      <c r="AN221" s="3312"/>
      <c r="AO221" s="3312"/>
      <c r="AP221" s="3312"/>
      <c r="AQ221" s="3312"/>
      <c r="AR221" s="3312"/>
      <c r="AS221" s="3312"/>
      <c r="AT221" s="3312"/>
      <c r="AU221" s="3312"/>
      <c r="AV221" s="3312"/>
      <c r="AW221" s="3312"/>
      <c r="AX221" s="3312"/>
      <c r="AY221" s="3312"/>
    </row>
    <row r="222" spans="1:51" s="888" customFormat="1" ht="27.75">
      <c r="A222" s="3306" t="s">
        <v>1419</v>
      </c>
      <c r="B222" s="3330"/>
      <c r="C222" s="3312"/>
      <c r="D222" s="3312"/>
      <c r="E222" s="3312"/>
      <c r="F222" s="3312"/>
      <c r="G222" s="3312"/>
      <c r="H222" s="3312"/>
      <c r="I222" s="3312"/>
      <c r="J222" s="3312"/>
      <c r="K222" s="3312"/>
      <c r="L222" s="3312"/>
      <c r="M222" s="3312" t="s">
        <v>1604</v>
      </c>
      <c r="N222" s="3312"/>
      <c r="O222" s="3312"/>
      <c r="P222" s="3312"/>
      <c r="Q222" s="3312"/>
      <c r="R222" s="3312"/>
      <c r="S222" s="3312"/>
      <c r="T222" s="3312"/>
      <c r="U222" s="3312"/>
      <c r="V222" s="3312"/>
      <c r="W222" s="3312"/>
      <c r="X222" s="3312"/>
      <c r="Y222" s="3312"/>
      <c r="Z222" s="3312"/>
      <c r="AA222" s="3312"/>
      <c r="AB222" s="3312"/>
      <c r="AC222" s="3312"/>
      <c r="AD222" s="3312"/>
      <c r="AE222" s="3312"/>
      <c r="AF222" s="3312"/>
      <c r="AG222" s="3312"/>
      <c r="AH222" s="3312"/>
      <c r="AI222" s="3312"/>
      <c r="AJ222" s="3312"/>
      <c r="AK222" s="3312"/>
      <c r="AL222" s="3312"/>
      <c r="AM222" s="3312"/>
      <c r="AN222" s="3312"/>
      <c r="AO222" s="3312"/>
      <c r="AP222" s="3312"/>
      <c r="AQ222" s="3312"/>
      <c r="AR222" s="3312"/>
      <c r="AS222" s="3312"/>
      <c r="AT222" s="3312"/>
      <c r="AU222" s="3312"/>
      <c r="AV222" s="3312"/>
      <c r="AW222" s="3312"/>
      <c r="AX222" s="3312"/>
      <c r="AY222" s="3312"/>
    </row>
    <row r="223" spans="1:51" s="888" customFormat="1" ht="27.75">
      <c r="A223" s="3305" t="s">
        <v>1420</v>
      </c>
      <c r="B223" s="3330"/>
      <c r="C223" s="3312"/>
      <c r="D223" s="3312"/>
      <c r="E223" s="3310" t="s">
        <v>1115</v>
      </c>
      <c r="F223" s="3312"/>
      <c r="G223" s="3312"/>
      <c r="H223" s="3312"/>
      <c r="I223" s="3312"/>
      <c r="J223" s="3312"/>
      <c r="K223" s="3312"/>
      <c r="L223" s="3312"/>
      <c r="M223" s="3312" t="s">
        <v>1605</v>
      </c>
      <c r="N223" s="3312"/>
      <c r="O223" s="3312"/>
      <c r="P223" s="3312"/>
      <c r="Q223" s="3312"/>
      <c r="R223" s="3312"/>
      <c r="S223" s="3312"/>
      <c r="T223" s="3312"/>
      <c r="U223" s="3312"/>
      <c r="V223" s="3312"/>
      <c r="W223" s="3312"/>
      <c r="X223" s="3312"/>
      <c r="Y223" s="3312"/>
      <c r="Z223" s="3312"/>
      <c r="AA223" s="3312"/>
      <c r="AB223" s="3312"/>
      <c r="AC223" s="3312"/>
      <c r="AD223" s="3312"/>
      <c r="AE223" s="3312"/>
      <c r="AF223" s="3312"/>
      <c r="AG223" s="3312"/>
      <c r="AH223" s="3312"/>
      <c r="AI223" s="3312"/>
      <c r="AJ223" s="3312"/>
      <c r="AK223" s="3312"/>
      <c r="AL223" s="3312"/>
      <c r="AM223" s="3312"/>
      <c r="AN223" s="3312"/>
      <c r="AO223" s="3312"/>
      <c r="AP223" s="3312"/>
      <c r="AQ223" s="3312"/>
      <c r="AR223" s="3312"/>
      <c r="AS223" s="3312"/>
      <c r="AT223" s="3312"/>
      <c r="AU223" s="3312"/>
      <c r="AV223" s="3312"/>
      <c r="AW223" s="3312"/>
      <c r="AX223" s="3312"/>
      <c r="AY223" s="3312"/>
    </row>
    <row r="224" spans="1:51" s="888" customFormat="1" ht="27.75">
      <c r="A224" s="3305" t="s">
        <v>1421</v>
      </c>
      <c r="B224" s="3330"/>
      <c r="C224" s="3312"/>
      <c r="D224" s="3312"/>
      <c r="E224" s="3296" t="s">
        <v>1116</v>
      </c>
      <c r="F224" s="3312"/>
      <c r="G224" s="3312"/>
      <c r="H224" s="3312"/>
      <c r="I224" s="3312"/>
      <c r="J224" s="3312"/>
      <c r="K224" s="3312"/>
      <c r="L224" s="3312"/>
      <c r="M224" s="3312" t="s">
        <v>1606</v>
      </c>
      <c r="N224" s="3312"/>
      <c r="O224" s="3312"/>
      <c r="P224" s="3312"/>
      <c r="Q224" s="3312"/>
      <c r="R224" s="3312"/>
      <c r="S224" s="3312"/>
      <c r="T224" s="3312"/>
      <c r="U224" s="3312"/>
      <c r="V224" s="3312"/>
      <c r="W224" s="3312"/>
      <c r="X224" s="3312"/>
      <c r="Y224" s="3312"/>
      <c r="Z224" s="3312"/>
      <c r="AA224" s="3312"/>
      <c r="AB224" s="3312"/>
      <c r="AC224" s="3312"/>
      <c r="AD224" s="3312"/>
      <c r="AE224" s="3312"/>
      <c r="AF224" s="3312"/>
      <c r="AG224" s="3312"/>
      <c r="AH224" s="3312"/>
      <c r="AI224" s="3312"/>
      <c r="AJ224" s="3312"/>
      <c r="AK224" s="3312"/>
      <c r="AL224" s="3312"/>
      <c r="AM224" s="3312"/>
      <c r="AN224" s="3312"/>
      <c r="AO224" s="3312"/>
      <c r="AP224" s="3312"/>
      <c r="AQ224" s="3312"/>
      <c r="AR224" s="3312"/>
      <c r="AS224" s="3312"/>
      <c r="AT224" s="3312"/>
      <c r="AU224" s="3312"/>
      <c r="AV224" s="3312"/>
      <c r="AW224" s="3312"/>
      <c r="AX224" s="3312"/>
      <c r="AY224" s="3312"/>
    </row>
    <row r="225" spans="1:51" s="888" customFormat="1" ht="27.75">
      <c r="A225" s="3305" t="s">
        <v>1426</v>
      </c>
      <c r="B225" s="3330"/>
      <c r="C225" s="3312">
        <v>5</v>
      </c>
      <c r="D225" s="3312"/>
      <c r="E225" s="3312"/>
      <c r="F225" s="3312"/>
      <c r="G225" s="3312"/>
      <c r="H225" s="3312"/>
      <c r="I225" s="3312"/>
      <c r="J225" s="3312"/>
      <c r="K225" s="3312"/>
      <c r="L225" s="3312"/>
      <c r="M225" s="3312" t="s">
        <v>1607</v>
      </c>
      <c r="N225" s="3312"/>
      <c r="O225" s="3312"/>
      <c r="P225" s="3312"/>
      <c r="Q225" s="3312"/>
      <c r="R225" s="3312"/>
      <c r="S225" s="3312"/>
      <c r="T225" s="3312"/>
      <c r="U225" s="3312"/>
      <c r="V225" s="3312"/>
      <c r="W225" s="3312"/>
      <c r="X225" s="3312"/>
      <c r="Y225" s="3312"/>
      <c r="Z225" s="3312"/>
      <c r="AA225" s="3312"/>
      <c r="AB225" s="3312"/>
      <c r="AC225" s="3312"/>
      <c r="AD225" s="3312"/>
      <c r="AE225" s="3312"/>
      <c r="AF225" s="3312"/>
      <c r="AG225" s="3312"/>
      <c r="AH225" s="3312"/>
      <c r="AI225" s="3312"/>
      <c r="AJ225" s="3312"/>
      <c r="AK225" s="3312"/>
      <c r="AL225" s="3312"/>
      <c r="AM225" s="3312"/>
      <c r="AN225" s="3312"/>
      <c r="AO225" s="3312"/>
      <c r="AP225" s="3312"/>
      <c r="AQ225" s="3312"/>
      <c r="AR225" s="3312"/>
      <c r="AS225" s="3312"/>
      <c r="AT225" s="3312"/>
      <c r="AU225" s="3312"/>
      <c r="AV225" s="3312"/>
      <c r="AW225" s="3312"/>
      <c r="AX225" s="3312"/>
      <c r="AY225" s="3312"/>
    </row>
    <row r="226" spans="1:51" s="888" customFormat="1" ht="27.75">
      <c r="A226" s="3305" t="s">
        <v>1427</v>
      </c>
      <c r="B226" s="3330"/>
      <c r="C226" s="3312">
        <v>5</v>
      </c>
      <c r="D226" s="3312"/>
      <c r="E226" s="3312"/>
      <c r="F226" s="3312"/>
      <c r="G226" s="3312"/>
      <c r="H226" s="3312"/>
      <c r="I226" s="3312"/>
      <c r="J226" s="3312"/>
      <c r="K226" s="3312"/>
      <c r="L226" s="3312"/>
      <c r="M226" s="3312" t="s">
        <v>1608</v>
      </c>
      <c r="N226" s="3312"/>
      <c r="O226" s="3312"/>
      <c r="P226" s="3312"/>
      <c r="Q226" s="3312"/>
      <c r="R226" s="3312"/>
      <c r="S226" s="3312"/>
      <c r="T226" s="3312"/>
      <c r="U226" s="3312"/>
      <c r="V226" s="3312"/>
      <c r="W226" s="3312"/>
      <c r="X226" s="3312"/>
      <c r="Y226" s="3312"/>
      <c r="Z226" s="3312"/>
      <c r="AA226" s="3312"/>
      <c r="AB226" s="3312"/>
      <c r="AC226" s="3312"/>
      <c r="AD226" s="3312"/>
      <c r="AE226" s="3312"/>
      <c r="AF226" s="3312"/>
      <c r="AG226" s="3312"/>
      <c r="AH226" s="3312"/>
      <c r="AI226" s="3312"/>
      <c r="AJ226" s="3312"/>
      <c r="AK226" s="3312"/>
      <c r="AL226" s="3312"/>
      <c r="AM226" s="3312"/>
      <c r="AN226" s="3312"/>
      <c r="AO226" s="3312"/>
      <c r="AP226" s="3312"/>
      <c r="AQ226" s="3312"/>
      <c r="AR226" s="3312"/>
      <c r="AS226" s="3312"/>
      <c r="AT226" s="3312"/>
      <c r="AU226" s="3312"/>
      <c r="AV226" s="3312"/>
      <c r="AW226" s="3312"/>
      <c r="AX226" s="3312"/>
      <c r="AY226" s="3312"/>
    </row>
    <row r="227" spans="1:51" s="888" customFormat="1" ht="27.75">
      <c r="A227" s="3306" t="s">
        <v>1422</v>
      </c>
      <c r="B227" s="3330"/>
      <c r="C227" s="3312"/>
      <c r="D227" s="3312"/>
      <c r="E227" s="3312"/>
      <c r="F227" s="3312"/>
      <c r="G227" s="3312"/>
      <c r="H227" s="3312"/>
      <c r="I227" s="3312"/>
      <c r="J227" s="3312"/>
      <c r="K227" s="3312"/>
      <c r="L227" s="3312"/>
      <c r="M227" s="3312" t="s">
        <v>1609</v>
      </c>
      <c r="N227" s="3312"/>
      <c r="O227" s="3312"/>
      <c r="P227" s="3312"/>
      <c r="Q227" s="3312"/>
      <c r="R227" s="3312"/>
      <c r="S227" s="3312"/>
      <c r="T227" s="3312"/>
      <c r="U227" s="3312"/>
      <c r="V227" s="3312"/>
      <c r="W227" s="3312"/>
      <c r="X227" s="3312"/>
      <c r="Y227" s="3312"/>
      <c r="Z227" s="3312"/>
      <c r="AA227" s="3312"/>
      <c r="AB227" s="3312"/>
      <c r="AC227" s="3312"/>
      <c r="AD227" s="3312"/>
      <c r="AE227" s="3312"/>
      <c r="AF227" s="3312"/>
      <c r="AG227" s="3312"/>
      <c r="AH227" s="3312"/>
      <c r="AI227" s="3312"/>
      <c r="AJ227" s="3312"/>
      <c r="AK227" s="3312"/>
      <c r="AL227" s="3312"/>
      <c r="AM227" s="3312"/>
      <c r="AN227" s="3312"/>
      <c r="AO227" s="3312"/>
      <c r="AP227" s="3312"/>
      <c r="AQ227" s="3312"/>
      <c r="AR227" s="3312"/>
      <c r="AS227" s="3312"/>
      <c r="AT227" s="3312"/>
      <c r="AU227" s="3312"/>
      <c r="AV227" s="3312"/>
      <c r="AW227" s="3312"/>
      <c r="AX227" s="3312"/>
      <c r="AY227" s="3312"/>
    </row>
    <row r="228" spans="1:51" s="888" customFormat="1" ht="27.75">
      <c r="A228" s="3306" t="s">
        <v>1423</v>
      </c>
      <c r="B228" s="3332"/>
      <c r="C228" s="3312"/>
      <c r="D228" s="3312"/>
      <c r="E228" s="3312"/>
      <c r="F228" s="3312"/>
      <c r="G228" s="3312"/>
      <c r="H228" s="3312"/>
      <c r="I228" s="3312"/>
      <c r="J228" s="3312"/>
      <c r="K228" s="3312"/>
      <c r="L228" s="3312"/>
      <c r="M228" s="3312"/>
      <c r="N228" s="3312"/>
      <c r="O228" s="3312"/>
      <c r="P228" s="3312"/>
      <c r="Q228" s="3312"/>
      <c r="R228" s="3312"/>
      <c r="S228" s="3312"/>
      <c r="T228" s="3312"/>
      <c r="U228" s="3312"/>
      <c r="V228" s="3312"/>
      <c r="W228" s="3312"/>
      <c r="X228" s="3312"/>
      <c r="Y228" s="3312"/>
      <c r="Z228" s="3312"/>
      <c r="AA228" s="3312"/>
      <c r="AB228" s="3312"/>
      <c r="AC228" s="3312"/>
      <c r="AD228" s="3312"/>
      <c r="AE228" s="3312"/>
      <c r="AF228" s="3312"/>
      <c r="AG228" s="3312"/>
      <c r="AH228" s="3312"/>
      <c r="AI228" s="3312"/>
      <c r="AJ228" s="3312"/>
      <c r="AK228" s="3312"/>
      <c r="AL228" s="3312"/>
      <c r="AM228" s="3312"/>
      <c r="AN228" s="3312"/>
      <c r="AO228" s="3312"/>
      <c r="AP228" s="3312"/>
      <c r="AQ228" s="3312"/>
      <c r="AR228" s="3312"/>
      <c r="AS228" s="3312"/>
      <c r="AT228" s="3312"/>
      <c r="AU228" s="3312"/>
      <c r="AV228" s="3312"/>
      <c r="AW228" s="3312"/>
      <c r="AX228" s="3312"/>
      <c r="AY228" s="3312"/>
    </row>
    <row r="229" spans="1:51" s="888" customFormat="1" ht="27.75">
      <c r="A229" s="3306" t="s">
        <v>1428</v>
      </c>
      <c r="B229" s="3330"/>
      <c r="C229" s="3312"/>
      <c r="D229" s="3312"/>
      <c r="E229" s="3312"/>
      <c r="F229" s="3312"/>
      <c r="G229" s="3312"/>
      <c r="H229" s="3312"/>
      <c r="I229" s="3312"/>
      <c r="J229" s="3312"/>
      <c r="K229" s="3312"/>
      <c r="L229" s="3312"/>
      <c r="M229" s="3312" t="s">
        <v>1620</v>
      </c>
      <c r="N229" s="3312"/>
      <c r="O229" s="3312"/>
      <c r="P229" s="3312"/>
      <c r="Q229" s="3312"/>
      <c r="R229" s="3312"/>
      <c r="S229" s="3312"/>
      <c r="T229" s="3312"/>
      <c r="U229" s="3312"/>
      <c r="V229" s="3312"/>
      <c r="W229" s="3312"/>
      <c r="X229" s="3312"/>
      <c r="Y229" s="3312"/>
      <c r="Z229" s="3312"/>
      <c r="AA229" s="3312"/>
      <c r="AB229" s="3312"/>
      <c r="AC229" s="3312"/>
      <c r="AD229" s="3312"/>
      <c r="AE229" s="3312"/>
      <c r="AF229" s="3312"/>
      <c r="AG229" s="3312"/>
      <c r="AH229" s="3312"/>
      <c r="AI229" s="3312"/>
      <c r="AJ229" s="3312"/>
      <c r="AK229" s="3312"/>
      <c r="AL229" s="3312"/>
      <c r="AM229" s="3312"/>
      <c r="AN229" s="3312"/>
      <c r="AO229" s="3312"/>
      <c r="AP229" s="3312"/>
      <c r="AQ229" s="3312"/>
      <c r="AR229" s="3312"/>
      <c r="AS229" s="3312"/>
      <c r="AT229" s="3312"/>
      <c r="AU229" s="3312"/>
      <c r="AV229" s="3312"/>
      <c r="AW229" s="3312"/>
      <c r="AX229" s="3312"/>
      <c r="AY229" s="3312"/>
    </row>
    <row r="230" spans="1:51" s="888" customFormat="1" ht="27.75">
      <c r="A230" s="3306" t="s">
        <v>1442</v>
      </c>
      <c r="B230" s="3312"/>
      <c r="C230" s="3312"/>
      <c r="D230" s="3312"/>
      <c r="E230" s="3312"/>
      <c r="F230" s="3312"/>
      <c r="G230" s="3312"/>
      <c r="H230" s="3312"/>
      <c r="I230" s="3312"/>
      <c r="J230" s="3312"/>
      <c r="K230" s="3312"/>
      <c r="L230" s="3312"/>
      <c r="M230" s="3312" t="s">
        <v>1610</v>
      </c>
      <c r="N230" s="3312"/>
      <c r="O230" s="3312"/>
      <c r="P230" s="3312"/>
      <c r="Q230" s="3312"/>
      <c r="R230" s="3312"/>
      <c r="S230" s="3312"/>
      <c r="T230" s="3312"/>
      <c r="U230" s="3312"/>
      <c r="V230" s="3312"/>
      <c r="W230" s="3312"/>
      <c r="X230" s="3312"/>
      <c r="Y230" s="3312"/>
      <c r="Z230" s="3312"/>
      <c r="AA230" s="3312"/>
      <c r="AB230" s="3312"/>
      <c r="AC230" s="3312"/>
      <c r="AD230" s="3312"/>
      <c r="AE230" s="3312"/>
      <c r="AF230" s="3312"/>
      <c r="AG230" s="3312"/>
      <c r="AH230" s="3312"/>
      <c r="AI230" s="3312"/>
      <c r="AJ230" s="3312"/>
      <c r="AK230" s="3312"/>
      <c r="AL230" s="3312"/>
      <c r="AM230" s="3312"/>
      <c r="AN230" s="3312"/>
      <c r="AO230" s="3312"/>
      <c r="AP230" s="3312"/>
      <c r="AQ230" s="3312"/>
      <c r="AR230" s="3312"/>
      <c r="AS230" s="3312"/>
      <c r="AT230" s="3312"/>
      <c r="AU230" s="3312"/>
      <c r="AV230" s="3312"/>
      <c r="AW230" s="3312"/>
      <c r="AX230" s="3312"/>
      <c r="AY230" s="3312"/>
    </row>
    <row r="231" spans="1:51" s="888" customFormat="1" ht="27.75">
      <c r="A231" s="3306" t="s">
        <v>1443</v>
      </c>
      <c r="B231" s="3312"/>
      <c r="C231" s="3312"/>
      <c r="D231" s="3312"/>
      <c r="E231" s="3312"/>
      <c r="F231" s="3312"/>
      <c r="G231" s="3312"/>
      <c r="H231" s="3312"/>
      <c r="I231" s="3312"/>
      <c r="J231" s="3312"/>
      <c r="K231" s="3312"/>
      <c r="L231" s="3312"/>
      <c r="M231" s="3312" t="s">
        <v>1621</v>
      </c>
      <c r="N231" s="3312"/>
      <c r="O231" s="3312"/>
      <c r="P231" s="3312"/>
      <c r="Q231" s="3312"/>
      <c r="R231" s="3312"/>
      <c r="S231" s="3312"/>
      <c r="T231" s="3312"/>
      <c r="U231" s="3312"/>
      <c r="V231" s="3312"/>
      <c r="W231" s="3312"/>
      <c r="X231" s="3312"/>
      <c r="Y231" s="3312"/>
      <c r="Z231" s="3312"/>
      <c r="AA231" s="3312"/>
      <c r="AB231" s="3312"/>
      <c r="AC231" s="3312"/>
      <c r="AD231" s="3312"/>
      <c r="AE231" s="3312"/>
      <c r="AF231" s="3312"/>
      <c r="AG231" s="3312"/>
      <c r="AH231" s="3312"/>
      <c r="AI231" s="3312"/>
      <c r="AJ231" s="3312"/>
      <c r="AK231" s="3312"/>
      <c r="AL231" s="3312"/>
      <c r="AM231" s="3312"/>
      <c r="AN231" s="3312"/>
      <c r="AO231" s="3312"/>
      <c r="AP231" s="3312"/>
      <c r="AQ231" s="3312"/>
      <c r="AR231" s="3312"/>
      <c r="AS231" s="3312"/>
      <c r="AT231" s="3312"/>
      <c r="AU231" s="3312"/>
      <c r="AV231" s="3312"/>
      <c r="AW231" s="3312"/>
      <c r="AX231" s="3312"/>
      <c r="AY231" s="3312"/>
    </row>
    <row r="232" spans="1:51" s="888" customFormat="1" ht="27.75">
      <c r="A232" s="3306" t="s">
        <v>1462</v>
      </c>
      <c r="B232" s="3312"/>
      <c r="C232" s="3312"/>
      <c r="D232" s="3312"/>
      <c r="E232" s="3312"/>
      <c r="F232" s="3312"/>
      <c r="G232" s="3312"/>
      <c r="H232" s="3312"/>
      <c r="I232" s="3312"/>
      <c r="J232" s="3312"/>
      <c r="K232" s="3312"/>
      <c r="L232" s="3312"/>
      <c r="M232" s="3312" t="s">
        <v>1611</v>
      </c>
      <c r="N232" s="3312"/>
      <c r="O232" s="3312"/>
      <c r="P232" s="3312"/>
      <c r="Q232" s="3312"/>
      <c r="R232" s="3312"/>
      <c r="S232" s="3312"/>
      <c r="T232" s="3312"/>
      <c r="U232" s="3312"/>
      <c r="V232" s="3312"/>
      <c r="W232" s="3312"/>
      <c r="X232" s="3312"/>
      <c r="Y232" s="3312"/>
      <c r="Z232" s="3312"/>
      <c r="AA232" s="3312"/>
      <c r="AB232" s="3312"/>
      <c r="AC232" s="3312"/>
      <c r="AD232" s="3312"/>
      <c r="AE232" s="3312"/>
      <c r="AF232" s="3312"/>
      <c r="AG232" s="3312"/>
      <c r="AH232" s="3312"/>
      <c r="AI232" s="3312"/>
      <c r="AJ232" s="3312"/>
      <c r="AK232" s="3312"/>
      <c r="AL232" s="3312"/>
      <c r="AM232" s="3312"/>
      <c r="AN232" s="3312"/>
      <c r="AO232" s="3312"/>
      <c r="AP232" s="3312"/>
      <c r="AQ232" s="3312"/>
      <c r="AR232" s="3312"/>
      <c r="AS232" s="3312"/>
      <c r="AT232" s="3312"/>
      <c r="AU232" s="3312"/>
      <c r="AV232" s="3312"/>
      <c r="AW232" s="3312"/>
      <c r="AX232" s="3312"/>
      <c r="AY232" s="3312"/>
    </row>
    <row r="233" spans="1:51" s="888" customFormat="1" ht="27.75">
      <c r="A233" s="3306" t="s">
        <v>1444</v>
      </c>
      <c r="B233" s="3312"/>
      <c r="C233" s="3312"/>
      <c r="D233" s="3312"/>
      <c r="E233" s="3312"/>
      <c r="F233" s="3312"/>
      <c r="G233" s="3312"/>
      <c r="H233" s="3312"/>
      <c r="I233" s="3312"/>
      <c r="J233" s="3312"/>
      <c r="K233" s="3312"/>
      <c r="L233" s="3312"/>
      <c r="M233" s="3312" t="s">
        <v>1612</v>
      </c>
      <c r="N233" s="3312"/>
      <c r="O233" s="3312"/>
      <c r="P233" s="3312"/>
      <c r="Q233" s="3312"/>
      <c r="R233" s="3312"/>
      <c r="S233" s="3312"/>
      <c r="T233" s="3312"/>
      <c r="U233" s="3312"/>
      <c r="V233" s="3312"/>
      <c r="W233" s="3312"/>
      <c r="X233" s="3312"/>
      <c r="Y233" s="3312"/>
      <c r="Z233" s="3312"/>
      <c r="AA233" s="3312"/>
      <c r="AB233" s="3312"/>
      <c r="AC233" s="3312"/>
      <c r="AD233" s="3312"/>
      <c r="AE233" s="3312"/>
      <c r="AF233" s="3312"/>
      <c r="AG233" s="3312"/>
      <c r="AH233" s="3312"/>
      <c r="AI233" s="3312"/>
      <c r="AJ233" s="3312"/>
      <c r="AK233" s="3312"/>
      <c r="AL233" s="3312"/>
      <c r="AM233" s="3312"/>
      <c r="AN233" s="3312"/>
      <c r="AO233" s="3312"/>
      <c r="AP233" s="3312"/>
      <c r="AQ233" s="3312"/>
      <c r="AR233" s="3312"/>
      <c r="AS233" s="3312"/>
      <c r="AT233" s="3312"/>
      <c r="AU233" s="3312"/>
      <c r="AV233" s="3312"/>
      <c r="AW233" s="3312"/>
      <c r="AX233" s="3312"/>
      <c r="AY233" s="3312"/>
    </row>
    <row r="234" spans="1:51" s="888" customFormat="1" ht="27.75">
      <c r="A234" s="3306" t="s">
        <v>1445</v>
      </c>
      <c r="B234" s="3312"/>
      <c r="C234" s="3312"/>
      <c r="D234" s="3312"/>
      <c r="E234" s="3312"/>
      <c r="F234" s="3312"/>
      <c r="G234" s="3312"/>
      <c r="H234" s="3312"/>
      <c r="I234" s="3312"/>
      <c r="J234" s="3312"/>
      <c r="K234" s="3312"/>
      <c r="L234" s="3312"/>
      <c r="M234" s="3312" t="s">
        <v>1613</v>
      </c>
      <c r="N234" s="3312"/>
      <c r="O234" s="3312"/>
      <c r="P234" s="3312"/>
      <c r="Q234" s="3312"/>
      <c r="R234" s="3312"/>
      <c r="S234" s="3312"/>
      <c r="T234" s="3312"/>
      <c r="U234" s="3312"/>
      <c r="V234" s="3312"/>
      <c r="W234" s="3312"/>
      <c r="X234" s="3312"/>
      <c r="Y234" s="3312"/>
      <c r="Z234" s="3312"/>
      <c r="AA234" s="3312"/>
      <c r="AB234" s="3312"/>
      <c r="AC234" s="3312"/>
      <c r="AD234" s="3312"/>
      <c r="AE234" s="3312"/>
      <c r="AF234" s="3312"/>
      <c r="AG234" s="3312"/>
      <c r="AH234" s="3312"/>
      <c r="AI234" s="3312"/>
      <c r="AJ234" s="3312"/>
      <c r="AK234" s="3312"/>
      <c r="AL234" s="3312"/>
      <c r="AM234" s="3312"/>
      <c r="AN234" s="3312"/>
      <c r="AO234" s="3312"/>
      <c r="AP234" s="3312"/>
      <c r="AQ234" s="3312"/>
      <c r="AR234" s="3312"/>
      <c r="AS234" s="3312"/>
      <c r="AT234" s="3312"/>
      <c r="AU234" s="3312"/>
      <c r="AV234" s="3312"/>
      <c r="AW234" s="3312"/>
      <c r="AX234" s="3312"/>
      <c r="AY234" s="3312"/>
    </row>
    <row r="235" spans="1:51" s="888" customFormat="1" ht="27.75">
      <c r="A235" s="3306" t="s">
        <v>1446</v>
      </c>
      <c r="B235" s="3312"/>
      <c r="C235" s="3312"/>
      <c r="D235" s="3312"/>
      <c r="E235" s="3312"/>
      <c r="F235" s="3312"/>
      <c r="G235" s="3312"/>
      <c r="H235" s="3312"/>
      <c r="I235" s="3312"/>
      <c r="J235" s="3312"/>
      <c r="K235" s="3312"/>
      <c r="L235" s="3312"/>
      <c r="M235" s="3312" t="s">
        <v>1614</v>
      </c>
      <c r="N235" s="3312"/>
      <c r="O235" s="3312"/>
      <c r="P235" s="3312"/>
      <c r="Q235" s="3312"/>
      <c r="R235" s="3312"/>
      <c r="S235" s="3312"/>
      <c r="T235" s="3312"/>
      <c r="U235" s="3312"/>
      <c r="V235" s="3312"/>
      <c r="W235" s="3312"/>
      <c r="X235" s="3312"/>
      <c r="Y235" s="3312"/>
      <c r="Z235" s="3312"/>
      <c r="AA235" s="3312"/>
      <c r="AB235" s="3312"/>
      <c r="AC235" s="3312"/>
      <c r="AD235" s="3312"/>
      <c r="AE235" s="3312"/>
      <c r="AF235" s="3312"/>
      <c r="AG235" s="3312"/>
      <c r="AH235" s="3312"/>
      <c r="AI235" s="3312"/>
      <c r="AJ235" s="3312"/>
      <c r="AK235" s="3312"/>
      <c r="AL235" s="3312"/>
      <c r="AM235" s="3312"/>
      <c r="AN235" s="3312"/>
      <c r="AO235" s="3312"/>
      <c r="AP235" s="3312"/>
      <c r="AQ235" s="3312"/>
      <c r="AR235" s="3312"/>
      <c r="AS235" s="3312"/>
      <c r="AT235" s="3312"/>
      <c r="AU235" s="3312"/>
      <c r="AV235" s="3312"/>
      <c r="AW235" s="3312"/>
      <c r="AX235" s="3312"/>
      <c r="AY235" s="3312"/>
    </row>
    <row r="236" spans="1:51" s="888" customFormat="1" ht="27.75">
      <c r="A236" s="3306" t="s">
        <v>1447</v>
      </c>
      <c r="B236" s="3312"/>
      <c r="C236" s="3312"/>
      <c r="D236" s="3312"/>
      <c r="E236" s="3312"/>
      <c r="F236" s="3312"/>
      <c r="G236" s="3312"/>
      <c r="H236" s="3312"/>
      <c r="I236" s="3312"/>
      <c r="J236" s="3312"/>
      <c r="K236" s="3312"/>
      <c r="L236" s="3312"/>
      <c r="M236" s="3312" t="s">
        <v>1615</v>
      </c>
      <c r="N236" s="3312"/>
      <c r="O236" s="3312"/>
      <c r="P236" s="3312"/>
      <c r="Q236" s="3312"/>
      <c r="R236" s="3312"/>
      <c r="S236" s="3312"/>
      <c r="T236" s="3312"/>
      <c r="U236" s="3312"/>
      <c r="V236" s="3312"/>
      <c r="W236" s="3312"/>
      <c r="X236" s="3312"/>
      <c r="Y236" s="3312"/>
      <c r="Z236" s="3312"/>
      <c r="AA236" s="3312"/>
      <c r="AB236" s="3312"/>
      <c r="AC236" s="3312"/>
      <c r="AD236" s="3312"/>
      <c r="AE236" s="3312"/>
      <c r="AF236" s="3312"/>
      <c r="AG236" s="3312"/>
      <c r="AH236" s="3312"/>
      <c r="AI236" s="3312"/>
      <c r="AJ236" s="3312"/>
      <c r="AK236" s="3312"/>
      <c r="AL236" s="3312"/>
      <c r="AM236" s="3312"/>
      <c r="AN236" s="3312"/>
      <c r="AO236" s="3312"/>
      <c r="AP236" s="3312"/>
      <c r="AQ236" s="3312"/>
      <c r="AR236" s="3312"/>
      <c r="AS236" s="3312"/>
      <c r="AT236" s="3312"/>
      <c r="AU236" s="3312"/>
      <c r="AV236" s="3312"/>
      <c r="AW236" s="3312"/>
      <c r="AX236" s="3312"/>
      <c r="AY236" s="3312"/>
    </row>
    <row r="237" spans="1:51" s="888" customFormat="1" ht="27.75">
      <c r="A237" s="3306" t="s">
        <v>1448</v>
      </c>
      <c r="B237" s="3312"/>
      <c r="C237" s="3312"/>
      <c r="D237" s="3312"/>
      <c r="E237" s="3312"/>
      <c r="F237" s="3312"/>
      <c r="G237" s="3312"/>
      <c r="H237" s="3312"/>
      <c r="I237" s="3312"/>
      <c r="J237" s="3312"/>
      <c r="K237" s="3312"/>
      <c r="L237" s="3312"/>
      <c r="M237" s="3312" t="s">
        <v>1616</v>
      </c>
      <c r="N237" s="3312"/>
      <c r="O237" s="3312"/>
      <c r="P237" s="3312"/>
      <c r="Q237" s="3312"/>
      <c r="R237" s="3312"/>
      <c r="S237" s="3312"/>
      <c r="T237" s="3312"/>
      <c r="U237" s="3312"/>
      <c r="V237" s="3312"/>
      <c r="W237" s="3312"/>
      <c r="X237" s="3312"/>
      <c r="Y237" s="3312"/>
      <c r="Z237" s="3312"/>
      <c r="AA237" s="3312"/>
      <c r="AB237" s="3312"/>
      <c r="AC237" s="3312"/>
      <c r="AD237" s="3312"/>
      <c r="AE237" s="3312"/>
      <c r="AF237" s="3312"/>
      <c r="AG237" s="3312"/>
      <c r="AH237" s="3312"/>
      <c r="AI237" s="3312"/>
      <c r="AJ237" s="3312"/>
      <c r="AK237" s="3312"/>
      <c r="AL237" s="3312"/>
      <c r="AM237" s="3312"/>
      <c r="AN237" s="3312"/>
      <c r="AO237" s="3312"/>
      <c r="AP237" s="3312"/>
      <c r="AQ237" s="3312"/>
      <c r="AR237" s="3312"/>
      <c r="AS237" s="3312"/>
      <c r="AT237" s="3312"/>
      <c r="AU237" s="3312"/>
      <c r="AV237" s="3312"/>
      <c r="AW237" s="3312"/>
      <c r="AX237" s="3312"/>
      <c r="AY237" s="3312"/>
    </row>
    <row r="238" spans="1:51" s="888" customFormat="1" ht="27.75">
      <c r="A238" s="3306" t="s">
        <v>1467</v>
      </c>
      <c r="B238" s="3312"/>
      <c r="C238" s="3312"/>
      <c r="D238" s="3312"/>
      <c r="E238" s="3312"/>
      <c r="F238" s="3312"/>
      <c r="G238" s="3312"/>
      <c r="H238" s="3312"/>
      <c r="I238" s="3312"/>
      <c r="J238" s="3312"/>
      <c r="K238" s="3312"/>
      <c r="L238" s="3312"/>
      <c r="M238" s="3312" t="s">
        <v>1617</v>
      </c>
      <c r="N238" s="3312"/>
      <c r="O238" s="3312"/>
      <c r="P238" s="3312"/>
      <c r="Q238" s="3312"/>
      <c r="R238" s="3312"/>
      <c r="S238" s="3312"/>
      <c r="T238" s="3312"/>
      <c r="U238" s="3312"/>
      <c r="V238" s="3312"/>
      <c r="W238" s="3312"/>
      <c r="X238" s="3312"/>
      <c r="Y238" s="3312"/>
      <c r="Z238" s="3312"/>
      <c r="AA238" s="3312"/>
      <c r="AB238" s="3312"/>
      <c r="AC238" s="3312"/>
      <c r="AD238" s="3312"/>
      <c r="AE238" s="3312"/>
      <c r="AF238" s="3312"/>
      <c r="AG238" s="3312"/>
      <c r="AH238" s="3312"/>
      <c r="AI238" s="3312"/>
      <c r="AJ238" s="3312"/>
      <c r="AK238" s="3312"/>
      <c r="AL238" s="3312"/>
      <c r="AM238" s="3312"/>
      <c r="AN238" s="3312"/>
      <c r="AO238" s="3312"/>
      <c r="AP238" s="3312"/>
      <c r="AQ238" s="3312"/>
      <c r="AR238" s="3312"/>
      <c r="AS238" s="3312"/>
      <c r="AT238" s="3312"/>
      <c r="AU238" s="3312"/>
      <c r="AV238" s="3312"/>
      <c r="AW238" s="3312"/>
      <c r="AX238" s="3312"/>
      <c r="AY238" s="3312"/>
    </row>
    <row r="239" spans="1:51" s="888" customFormat="1" ht="27.75">
      <c r="A239" s="3306" t="s">
        <v>1449</v>
      </c>
      <c r="B239" s="3312"/>
      <c r="C239" s="3312"/>
      <c r="D239" s="3312"/>
      <c r="E239" s="3312"/>
      <c r="F239" s="3312"/>
      <c r="G239" s="3312"/>
      <c r="H239" s="3312"/>
      <c r="I239" s="3312"/>
      <c r="J239" s="3312"/>
      <c r="K239" s="3312"/>
      <c r="L239" s="3312"/>
      <c r="M239" s="3312" t="s">
        <v>1618</v>
      </c>
      <c r="N239" s="3312"/>
      <c r="O239" s="3312"/>
      <c r="P239" s="3312"/>
      <c r="Q239" s="3312"/>
      <c r="R239" s="3312"/>
      <c r="S239" s="3312"/>
      <c r="T239" s="3312"/>
      <c r="U239" s="3312"/>
      <c r="V239" s="3312"/>
      <c r="W239" s="3312"/>
      <c r="X239" s="3312"/>
      <c r="Y239" s="3312"/>
      <c r="Z239" s="3312"/>
      <c r="AA239" s="3312"/>
      <c r="AB239" s="3312"/>
      <c r="AC239" s="3312"/>
      <c r="AD239" s="3312"/>
      <c r="AE239" s="3312"/>
      <c r="AF239" s="3312"/>
      <c r="AG239" s="3312"/>
      <c r="AH239" s="3312"/>
      <c r="AI239" s="3312"/>
      <c r="AJ239" s="3312"/>
      <c r="AK239" s="3312"/>
      <c r="AL239" s="3312"/>
      <c r="AM239" s="3312"/>
      <c r="AN239" s="3312"/>
      <c r="AO239" s="3312"/>
      <c r="AP239" s="3312"/>
      <c r="AQ239" s="3312"/>
      <c r="AR239" s="3312"/>
      <c r="AS239" s="3312"/>
      <c r="AT239" s="3312"/>
      <c r="AU239" s="3312"/>
      <c r="AV239" s="3312"/>
      <c r="AW239" s="3312"/>
      <c r="AX239" s="3312"/>
      <c r="AY239" s="3312"/>
    </row>
    <row r="240" spans="1:51" s="888" customFormat="1" ht="27.75">
      <c r="A240" s="3306" t="s">
        <v>1463</v>
      </c>
      <c r="B240" s="3312"/>
      <c r="C240" s="3312"/>
      <c r="D240" s="3312"/>
      <c r="E240" s="3312"/>
      <c r="F240" s="3312"/>
      <c r="G240" s="3312"/>
      <c r="H240" s="3312"/>
      <c r="I240" s="3312"/>
      <c r="J240" s="3312"/>
      <c r="K240" s="3312"/>
      <c r="L240" s="3312"/>
      <c r="M240" s="3312"/>
      <c r="N240" s="3312"/>
      <c r="O240" s="3312"/>
      <c r="P240" s="3312"/>
      <c r="Q240" s="3312"/>
      <c r="R240" s="3312"/>
      <c r="S240" s="3312"/>
      <c r="T240" s="3312"/>
      <c r="U240" s="3312"/>
      <c r="V240" s="3312"/>
      <c r="W240" s="3312"/>
      <c r="X240" s="3312"/>
      <c r="Y240" s="3312"/>
      <c r="Z240" s="3312"/>
      <c r="AA240" s="3312"/>
      <c r="AB240" s="3312"/>
      <c r="AC240" s="3312"/>
      <c r="AD240" s="3312"/>
      <c r="AE240" s="3312"/>
      <c r="AF240" s="3312"/>
      <c r="AG240" s="3312"/>
      <c r="AH240" s="3312"/>
      <c r="AI240" s="3312"/>
      <c r="AJ240" s="3312"/>
      <c r="AK240" s="3312"/>
      <c r="AL240" s="3312"/>
      <c r="AM240" s="3312"/>
      <c r="AN240" s="3312"/>
      <c r="AO240" s="3312"/>
      <c r="AP240" s="3312"/>
      <c r="AQ240" s="3312"/>
      <c r="AR240" s="3312"/>
      <c r="AS240" s="3312"/>
      <c r="AT240" s="3312"/>
      <c r="AU240" s="3312"/>
      <c r="AV240" s="3312"/>
      <c r="AW240" s="3312"/>
      <c r="AX240" s="3312"/>
      <c r="AY240" s="3312"/>
    </row>
    <row r="241" spans="1:51" s="888" customFormat="1" ht="27.75">
      <c r="A241" s="3306" t="s">
        <v>1450</v>
      </c>
      <c r="B241" s="3312"/>
      <c r="C241" s="3312"/>
      <c r="D241" s="3312"/>
      <c r="E241" s="3312"/>
      <c r="F241" s="3312"/>
      <c r="G241" s="3312"/>
      <c r="H241" s="3312"/>
      <c r="I241" s="3312"/>
      <c r="J241" s="3312"/>
      <c r="K241" s="3312"/>
      <c r="L241" s="3312"/>
      <c r="M241" s="3312"/>
      <c r="N241" s="3312"/>
      <c r="O241" s="3312"/>
      <c r="P241" s="3312"/>
      <c r="Q241" s="3312"/>
      <c r="R241" s="3312"/>
      <c r="S241" s="3312"/>
      <c r="T241" s="3312"/>
      <c r="U241" s="3312"/>
      <c r="V241" s="3312"/>
      <c r="W241" s="3312"/>
      <c r="X241" s="3312"/>
      <c r="Y241" s="3312"/>
      <c r="Z241" s="3312"/>
      <c r="AA241" s="3312"/>
      <c r="AB241" s="3312"/>
      <c r="AC241" s="3312"/>
      <c r="AD241" s="3312"/>
      <c r="AE241" s="3312"/>
      <c r="AF241" s="3312"/>
      <c r="AG241" s="3312"/>
      <c r="AH241" s="3312"/>
      <c r="AI241" s="3312"/>
      <c r="AJ241" s="3312"/>
      <c r="AK241" s="3312"/>
      <c r="AL241" s="3312"/>
      <c r="AM241" s="3312"/>
      <c r="AN241" s="3312"/>
      <c r="AO241" s="3312"/>
      <c r="AP241" s="3312"/>
      <c r="AQ241" s="3312"/>
      <c r="AR241" s="3312"/>
      <c r="AS241" s="3312"/>
      <c r="AT241" s="3312"/>
      <c r="AU241" s="3312"/>
      <c r="AV241" s="3312"/>
      <c r="AW241" s="3312"/>
      <c r="AX241" s="3312"/>
      <c r="AY241" s="3312"/>
    </row>
    <row r="242" spans="1:51" s="888" customFormat="1" ht="27.75">
      <c r="A242" s="3306" t="s">
        <v>1451</v>
      </c>
      <c r="B242" s="3312"/>
      <c r="C242" s="3312"/>
      <c r="D242" s="3312"/>
      <c r="E242" s="3312"/>
      <c r="F242" s="3312"/>
      <c r="G242" s="3312"/>
      <c r="H242" s="3312"/>
      <c r="I242" s="3312"/>
      <c r="J242" s="3312"/>
      <c r="K242" s="3312"/>
      <c r="L242" s="3312"/>
      <c r="M242" s="3312"/>
      <c r="N242" s="3312"/>
      <c r="O242" s="3312"/>
      <c r="P242" s="3312"/>
      <c r="Q242" s="3312"/>
      <c r="R242" s="3312"/>
      <c r="S242" s="3312"/>
      <c r="T242" s="3312"/>
      <c r="U242" s="3312"/>
      <c r="V242" s="3312"/>
      <c r="W242" s="3312"/>
      <c r="X242" s="3312"/>
      <c r="Y242" s="3312"/>
      <c r="Z242" s="3312"/>
      <c r="AA242" s="3312"/>
      <c r="AB242" s="3312"/>
      <c r="AC242" s="3312"/>
      <c r="AD242" s="3312"/>
      <c r="AE242" s="3312"/>
      <c r="AF242" s="3312"/>
      <c r="AG242" s="3312"/>
      <c r="AH242" s="3312"/>
      <c r="AI242" s="3312"/>
      <c r="AJ242" s="3312"/>
      <c r="AK242" s="3312"/>
      <c r="AL242" s="3312"/>
      <c r="AM242" s="3312"/>
      <c r="AN242" s="3312"/>
      <c r="AO242" s="3312"/>
      <c r="AP242" s="3312"/>
      <c r="AQ242" s="3312"/>
      <c r="AR242" s="3312"/>
      <c r="AS242" s="3312"/>
      <c r="AT242" s="3312"/>
      <c r="AU242" s="3312"/>
      <c r="AV242" s="3312"/>
      <c r="AW242" s="3312"/>
      <c r="AX242" s="3312"/>
      <c r="AY242" s="3312"/>
    </row>
    <row r="243" spans="1:51" s="888" customFormat="1" ht="51.75" customHeight="1">
      <c r="A243" s="3306" t="s">
        <v>1452</v>
      </c>
      <c r="B243" s="3335"/>
      <c r="C243" s="3335"/>
      <c r="D243" s="3312"/>
      <c r="E243" s="3312"/>
      <c r="F243" s="3312"/>
      <c r="G243" s="3312"/>
      <c r="H243" s="3312"/>
      <c r="I243" s="3312"/>
      <c r="J243" s="3312"/>
      <c r="K243" s="3312"/>
      <c r="L243" s="3312"/>
      <c r="M243" s="3312"/>
      <c r="N243" s="3312"/>
      <c r="O243" s="3312"/>
      <c r="P243" s="3312"/>
      <c r="Q243" s="3312"/>
      <c r="R243" s="3312"/>
      <c r="S243" s="3312"/>
      <c r="T243" s="3312"/>
      <c r="U243" s="3312"/>
      <c r="V243" s="3312"/>
      <c r="W243" s="3312"/>
      <c r="X243" s="3312"/>
      <c r="Y243" s="3312"/>
      <c r="Z243" s="3312"/>
      <c r="AA243" s="3312"/>
      <c r="AB243" s="3312"/>
      <c r="AC243" s="3312"/>
      <c r="AD243" s="3312"/>
      <c r="AE243" s="3312"/>
      <c r="AF243" s="3312"/>
      <c r="AG243" s="3312"/>
      <c r="AH243" s="3312"/>
      <c r="AI243" s="3312"/>
      <c r="AJ243" s="3312"/>
      <c r="AK243" s="3312"/>
      <c r="AL243" s="3312"/>
      <c r="AM243" s="3312"/>
      <c r="AN243" s="3312"/>
      <c r="AO243" s="3312"/>
      <c r="AP243" s="3312"/>
      <c r="AQ243" s="3312"/>
      <c r="AR243" s="3312"/>
      <c r="AS243" s="3312"/>
      <c r="AT243" s="3312"/>
      <c r="AU243" s="3312"/>
      <c r="AV243" s="3312"/>
      <c r="AW243" s="3312"/>
      <c r="AX243" s="3312"/>
      <c r="AY243" s="3312"/>
    </row>
    <row r="244" spans="1:51" s="888" customFormat="1" ht="51.75" customHeight="1">
      <c r="A244" s="3306" t="s">
        <v>1453</v>
      </c>
      <c r="B244" s="3335"/>
      <c r="C244" s="3335"/>
      <c r="D244" s="3312"/>
      <c r="E244" s="3312"/>
      <c r="F244" s="3312"/>
      <c r="G244" s="3312"/>
      <c r="H244" s="3312"/>
      <c r="I244" s="3312"/>
      <c r="J244" s="3312"/>
      <c r="K244" s="3312"/>
      <c r="L244" s="3312"/>
      <c r="M244" s="3312"/>
      <c r="N244" s="3312"/>
      <c r="O244" s="3312"/>
      <c r="P244" s="3312"/>
      <c r="Q244" s="3312"/>
      <c r="R244" s="3312"/>
      <c r="S244" s="3312"/>
      <c r="T244" s="3312"/>
      <c r="U244" s="3312"/>
      <c r="V244" s="3312"/>
      <c r="W244" s="3312"/>
      <c r="X244" s="3312"/>
      <c r="Y244" s="3312"/>
      <c r="Z244" s="3312"/>
      <c r="AA244" s="3312"/>
      <c r="AB244" s="3312"/>
      <c r="AC244" s="3312"/>
      <c r="AD244" s="3312"/>
      <c r="AE244" s="3312"/>
      <c r="AF244" s="3312"/>
      <c r="AG244" s="3312"/>
      <c r="AH244" s="3312"/>
      <c r="AI244" s="3312"/>
      <c r="AJ244" s="3312"/>
      <c r="AK244" s="3312"/>
      <c r="AL244" s="3312"/>
      <c r="AM244" s="3312"/>
      <c r="AN244" s="3312"/>
      <c r="AO244" s="3312"/>
      <c r="AP244" s="3312"/>
      <c r="AQ244" s="3312"/>
      <c r="AR244" s="3312"/>
      <c r="AS244" s="3312"/>
      <c r="AT244" s="3312"/>
      <c r="AU244" s="3312"/>
      <c r="AV244" s="3312"/>
      <c r="AW244" s="3312"/>
      <c r="AX244" s="3312"/>
      <c r="AY244" s="3312"/>
    </row>
    <row r="245" spans="1:51" s="888" customFormat="1" ht="51.75" customHeight="1">
      <c r="A245" s="3306" t="s">
        <v>1454</v>
      </c>
      <c r="B245" s="3335"/>
      <c r="C245" s="3335"/>
      <c r="D245" s="3312"/>
      <c r="E245" s="3336"/>
      <c r="F245" s="3312"/>
      <c r="G245" s="3312"/>
      <c r="H245" s="3312"/>
      <c r="I245" s="3312"/>
      <c r="J245" s="3312"/>
      <c r="K245" s="3312"/>
      <c r="L245" s="3312"/>
      <c r="M245" s="3312"/>
      <c r="N245" s="3312"/>
      <c r="O245" s="3312"/>
      <c r="P245" s="3312"/>
      <c r="Q245" s="3312"/>
      <c r="R245" s="3312"/>
      <c r="S245" s="3312"/>
      <c r="T245" s="3312"/>
      <c r="U245" s="3312"/>
      <c r="V245" s="3312"/>
      <c r="W245" s="3312"/>
      <c r="X245" s="3312"/>
      <c r="Y245" s="3312"/>
      <c r="Z245" s="3312"/>
      <c r="AA245" s="3312"/>
      <c r="AB245" s="3312"/>
      <c r="AC245" s="3312"/>
      <c r="AD245" s="3312"/>
      <c r="AE245" s="3312"/>
      <c r="AF245" s="3312"/>
      <c r="AG245" s="3312"/>
      <c r="AH245" s="3312"/>
      <c r="AI245" s="3312"/>
      <c r="AJ245" s="3312"/>
      <c r="AK245" s="3312"/>
      <c r="AL245" s="3312"/>
      <c r="AM245" s="3312"/>
      <c r="AN245" s="3312"/>
      <c r="AO245" s="3312"/>
      <c r="AP245" s="3312"/>
      <c r="AQ245" s="3312"/>
      <c r="AR245" s="3312"/>
      <c r="AS245" s="3312"/>
      <c r="AT245" s="3312"/>
      <c r="AU245" s="3312"/>
      <c r="AV245" s="3312"/>
      <c r="AW245" s="3312"/>
      <c r="AX245" s="3312"/>
      <c r="AY245" s="3312"/>
    </row>
    <row r="246" spans="1:51" s="888" customFormat="1" ht="51.75" customHeight="1">
      <c r="A246" s="3306" t="s">
        <v>1455</v>
      </c>
      <c r="B246" s="3335"/>
      <c r="C246" s="3335"/>
      <c r="D246" s="3312"/>
      <c r="E246" s="3312"/>
      <c r="F246" s="3312"/>
      <c r="G246" s="3312"/>
      <c r="H246" s="3312"/>
      <c r="I246" s="3312"/>
      <c r="J246" s="3312"/>
      <c r="K246" s="3312"/>
      <c r="L246" s="3312"/>
      <c r="M246" s="3312"/>
      <c r="N246" s="3312"/>
      <c r="O246" s="3312"/>
      <c r="P246" s="3312"/>
      <c r="Q246" s="3312"/>
      <c r="R246" s="3312"/>
      <c r="S246" s="3312"/>
      <c r="T246" s="3312"/>
      <c r="U246" s="3312"/>
      <c r="V246" s="3312"/>
      <c r="W246" s="3312"/>
      <c r="X246" s="3312"/>
      <c r="Y246" s="3312"/>
      <c r="Z246" s="3312"/>
      <c r="AA246" s="3312"/>
      <c r="AB246" s="3312"/>
      <c r="AC246" s="3312"/>
      <c r="AD246" s="3312"/>
      <c r="AE246" s="3312"/>
      <c r="AF246" s="3312"/>
      <c r="AG246" s="3312"/>
      <c r="AH246" s="3312"/>
      <c r="AI246" s="3312"/>
      <c r="AJ246" s="3312"/>
      <c r="AK246" s="3312"/>
      <c r="AL246" s="3312"/>
      <c r="AM246" s="3312"/>
      <c r="AN246" s="3312"/>
      <c r="AO246" s="3312"/>
      <c r="AP246" s="3312"/>
      <c r="AQ246" s="3312"/>
      <c r="AR246" s="3312"/>
      <c r="AS246" s="3312"/>
      <c r="AT246" s="3312"/>
      <c r="AU246" s="3312"/>
      <c r="AV246" s="3312"/>
      <c r="AW246" s="3312"/>
      <c r="AX246" s="3312"/>
      <c r="AY246" s="3312"/>
    </row>
    <row r="247" spans="1:51" s="888" customFormat="1" ht="51.75" customHeight="1">
      <c r="A247" s="3306" t="s">
        <v>1464</v>
      </c>
      <c r="B247" s="3335"/>
      <c r="C247" s="3335"/>
      <c r="D247" s="3312"/>
      <c r="E247" s="3312"/>
      <c r="F247" s="3312"/>
      <c r="G247" s="3312"/>
      <c r="H247" s="3312"/>
      <c r="I247" s="3312"/>
      <c r="J247" s="3312"/>
      <c r="K247" s="3312"/>
      <c r="L247" s="3312"/>
      <c r="M247" s="3312"/>
      <c r="N247" s="3312"/>
      <c r="O247" s="3312"/>
      <c r="P247" s="3312"/>
      <c r="Q247" s="3312"/>
      <c r="R247" s="3312"/>
      <c r="S247" s="3312"/>
      <c r="T247" s="3312"/>
      <c r="U247" s="3312"/>
      <c r="V247" s="3312"/>
      <c r="W247" s="3312"/>
      <c r="X247" s="3312"/>
      <c r="Y247" s="3312"/>
      <c r="Z247" s="3312"/>
      <c r="AA247" s="3312"/>
      <c r="AB247" s="3312"/>
      <c r="AC247" s="3312"/>
      <c r="AD247" s="3312"/>
      <c r="AE247" s="3312"/>
      <c r="AF247" s="3312"/>
      <c r="AG247" s="3312"/>
      <c r="AH247" s="3312"/>
      <c r="AI247" s="3312"/>
      <c r="AJ247" s="3312"/>
      <c r="AK247" s="3312"/>
      <c r="AL247" s="3312"/>
      <c r="AM247" s="3312"/>
      <c r="AN247" s="3312"/>
      <c r="AO247" s="3312"/>
      <c r="AP247" s="3312"/>
      <c r="AQ247" s="3312"/>
      <c r="AR247" s="3312"/>
      <c r="AS247" s="3312"/>
      <c r="AT247" s="3312"/>
      <c r="AU247" s="3312"/>
      <c r="AV247" s="3312"/>
      <c r="AW247" s="3312"/>
      <c r="AX247" s="3312"/>
      <c r="AY247" s="3312"/>
    </row>
    <row r="248" spans="1:51" s="888" customFormat="1" ht="51.75" customHeight="1">
      <c r="A248" s="3306" t="s">
        <v>1456</v>
      </c>
      <c r="B248" s="3312"/>
      <c r="C248" s="3312"/>
      <c r="D248" s="3312"/>
      <c r="E248" s="3312"/>
      <c r="F248" s="3312"/>
      <c r="G248" s="3312"/>
      <c r="H248" s="3312"/>
      <c r="I248" s="3312"/>
      <c r="J248" s="3312"/>
      <c r="K248" s="3312"/>
      <c r="L248" s="3312"/>
      <c r="M248" s="3312"/>
      <c r="N248" s="3312"/>
      <c r="O248" s="3312"/>
      <c r="P248" s="3312"/>
      <c r="Q248" s="3312"/>
      <c r="R248" s="3312"/>
      <c r="S248" s="3312"/>
      <c r="T248" s="3312"/>
      <c r="U248" s="3312"/>
      <c r="V248" s="3312"/>
      <c r="W248" s="3312"/>
      <c r="X248" s="3312"/>
      <c r="Y248" s="3312"/>
      <c r="Z248" s="3312"/>
      <c r="AA248" s="3312"/>
      <c r="AB248" s="3312"/>
      <c r="AC248" s="3312"/>
      <c r="AD248" s="3312"/>
      <c r="AE248" s="3312"/>
      <c r="AF248" s="3312"/>
      <c r="AG248" s="3312"/>
      <c r="AH248" s="3312"/>
      <c r="AI248" s="3312"/>
      <c r="AJ248" s="3312"/>
      <c r="AK248" s="3312"/>
      <c r="AL248" s="3312"/>
      <c r="AM248" s="3312"/>
      <c r="AN248" s="3312"/>
      <c r="AO248" s="3312"/>
      <c r="AP248" s="3312"/>
      <c r="AQ248" s="3312"/>
      <c r="AR248" s="3312"/>
      <c r="AS248" s="3312"/>
      <c r="AT248" s="3312"/>
      <c r="AU248" s="3312"/>
      <c r="AV248" s="3312"/>
      <c r="AW248" s="3312"/>
      <c r="AX248" s="3312"/>
      <c r="AY248" s="3312"/>
    </row>
    <row r="249" spans="1:51" s="888" customFormat="1" ht="51.75" customHeight="1">
      <c r="A249" s="3306" t="s">
        <v>1457</v>
      </c>
      <c r="B249" s="3335"/>
      <c r="C249" s="3335"/>
      <c r="D249" s="3312"/>
      <c r="E249" s="3312"/>
      <c r="F249" s="3312"/>
      <c r="G249" s="3312"/>
      <c r="H249" s="3312"/>
      <c r="I249" s="3312"/>
      <c r="J249" s="3312"/>
      <c r="K249" s="3312"/>
      <c r="L249" s="3312"/>
      <c r="M249" s="3312"/>
      <c r="N249" s="3312"/>
      <c r="O249" s="3312"/>
      <c r="P249" s="3312"/>
      <c r="Q249" s="3312"/>
      <c r="R249" s="3312"/>
      <c r="S249" s="3312"/>
      <c r="T249" s="3312"/>
      <c r="U249" s="3312"/>
      <c r="V249" s="3312"/>
      <c r="W249" s="3312"/>
      <c r="X249" s="3312"/>
      <c r="Y249" s="3312"/>
      <c r="Z249" s="3312"/>
      <c r="AA249" s="3312"/>
      <c r="AB249" s="3312"/>
      <c r="AC249" s="3312"/>
      <c r="AD249" s="3312"/>
      <c r="AE249" s="3312"/>
      <c r="AF249" s="3312"/>
      <c r="AG249" s="3312"/>
      <c r="AH249" s="3312"/>
      <c r="AI249" s="3312"/>
      <c r="AJ249" s="3312"/>
      <c r="AK249" s="3312"/>
      <c r="AL249" s="3312"/>
      <c r="AM249" s="3312"/>
      <c r="AN249" s="3312"/>
      <c r="AO249" s="3312"/>
      <c r="AP249" s="3312"/>
      <c r="AQ249" s="3312"/>
      <c r="AR249" s="3312"/>
      <c r="AS249" s="3312"/>
      <c r="AT249" s="3312"/>
      <c r="AU249" s="3312"/>
      <c r="AV249" s="3312"/>
      <c r="AW249" s="3312"/>
      <c r="AX249" s="3312"/>
      <c r="AY249" s="3312"/>
    </row>
    <row r="250" spans="1:51" s="888" customFormat="1" ht="51.75" customHeight="1">
      <c r="A250" s="3306" t="s">
        <v>1458</v>
      </c>
      <c r="B250" s="3335"/>
      <c r="C250" s="3335"/>
      <c r="D250" s="3312"/>
      <c r="E250" s="3312"/>
      <c r="F250" s="3312"/>
      <c r="G250" s="3312"/>
      <c r="H250" s="3312"/>
      <c r="I250" s="3312"/>
      <c r="J250" s="3312"/>
      <c r="K250" s="3312"/>
      <c r="L250" s="3312"/>
      <c r="M250" s="3312"/>
      <c r="N250" s="3312"/>
      <c r="O250" s="3312"/>
      <c r="P250" s="3312"/>
      <c r="Q250" s="3312"/>
      <c r="R250" s="3312"/>
      <c r="S250" s="3312"/>
      <c r="T250" s="3312"/>
      <c r="U250" s="3312"/>
      <c r="V250" s="3312"/>
      <c r="W250" s="3312"/>
      <c r="X250" s="3312"/>
      <c r="Y250" s="3312"/>
      <c r="Z250" s="3312"/>
      <c r="AA250" s="3312"/>
      <c r="AB250" s="3312"/>
      <c r="AC250" s="3312"/>
      <c r="AD250" s="3312"/>
      <c r="AE250" s="3312"/>
      <c r="AF250" s="3312"/>
      <c r="AG250" s="3312"/>
      <c r="AH250" s="3312"/>
      <c r="AI250" s="3312"/>
      <c r="AJ250" s="3312"/>
      <c r="AK250" s="3312"/>
      <c r="AL250" s="3312"/>
      <c r="AM250" s="3312"/>
      <c r="AN250" s="3312"/>
      <c r="AO250" s="3312"/>
      <c r="AP250" s="3312"/>
      <c r="AQ250" s="3312"/>
      <c r="AR250" s="3312"/>
      <c r="AS250" s="3312"/>
      <c r="AT250" s="3312"/>
      <c r="AU250" s="3312"/>
      <c r="AV250" s="3312"/>
      <c r="AW250" s="3312"/>
      <c r="AX250" s="3312"/>
      <c r="AY250" s="3312"/>
    </row>
    <row r="251" spans="1:51" s="888" customFormat="1" ht="51.75" customHeight="1">
      <c r="A251" s="3306" t="s">
        <v>1459</v>
      </c>
      <c r="B251" s="3335"/>
      <c r="C251" s="3335"/>
      <c r="D251" s="3312"/>
      <c r="E251" s="3312"/>
      <c r="F251" s="3312"/>
      <c r="G251" s="3312"/>
      <c r="H251" s="3312"/>
      <c r="I251" s="3312"/>
      <c r="J251" s="3312"/>
      <c r="K251" s="3312"/>
      <c r="L251" s="3312"/>
      <c r="M251" s="3312"/>
      <c r="N251" s="3312"/>
      <c r="O251" s="3312"/>
      <c r="P251" s="3312"/>
      <c r="Q251" s="3312"/>
      <c r="R251" s="3312"/>
      <c r="S251" s="3312"/>
      <c r="T251" s="3312"/>
      <c r="U251" s="3312"/>
      <c r="V251" s="3312"/>
      <c r="W251" s="3312"/>
      <c r="X251" s="3312"/>
      <c r="Y251" s="3312"/>
      <c r="Z251" s="3312"/>
      <c r="AA251" s="3312"/>
      <c r="AB251" s="3312"/>
      <c r="AC251" s="3312"/>
      <c r="AD251" s="3312"/>
      <c r="AE251" s="3312"/>
      <c r="AF251" s="3312"/>
      <c r="AG251" s="3312"/>
      <c r="AH251" s="3312"/>
      <c r="AI251" s="3312"/>
      <c r="AJ251" s="3312"/>
      <c r="AK251" s="3312"/>
      <c r="AL251" s="3312"/>
      <c r="AM251" s="3312"/>
      <c r="AN251" s="3312"/>
      <c r="AO251" s="3312"/>
      <c r="AP251" s="3312"/>
      <c r="AQ251" s="3312"/>
      <c r="AR251" s="3312"/>
      <c r="AS251" s="3312"/>
      <c r="AT251" s="3312"/>
      <c r="AU251" s="3312"/>
      <c r="AV251" s="3312"/>
      <c r="AW251" s="3312"/>
      <c r="AX251" s="3312"/>
      <c r="AY251" s="3312"/>
    </row>
    <row r="252" spans="1:51" s="888" customFormat="1" ht="51.75" customHeight="1">
      <c r="A252" s="3306" t="s">
        <v>1460</v>
      </c>
      <c r="B252" s="3335"/>
      <c r="C252" s="3335"/>
      <c r="D252" s="3312"/>
      <c r="E252" s="3312"/>
      <c r="F252" s="3312"/>
      <c r="G252" s="3312"/>
      <c r="H252" s="3312"/>
      <c r="I252" s="3312"/>
      <c r="J252" s="3312"/>
      <c r="K252" s="3312"/>
      <c r="L252" s="3312"/>
      <c r="M252" s="3312"/>
      <c r="N252" s="3312"/>
      <c r="O252" s="3312"/>
      <c r="P252" s="3312"/>
      <c r="Q252" s="3312"/>
      <c r="R252" s="3312"/>
      <c r="S252" s="3312"/>
      <c r="T252" s="3312"/>
      <c r="U252" s="3312"/>
      <c r="V252" s="3312"/>
      <c r="W252" s="3312"/>
      <c r="X252" s="3312"/>
      <c r="Y252" s="3312"/>
      <c r="Z252" s="3312"/>
      <c r="AA252" s="3312"/>
      <c r="AB252" s="3312"/>
      <c r="AC252" s="3312"/>
      <c r="AD252" s="3312"/>
      <c r="AE252" s="3312"/>
      <c r="AF252" s="3312"/>
      <c r="AG252" s="3312"/>
      <c r="AH252" s="3312"/>
      <c r="AI252" s="3312"/>
      <c r="AJ252" s="3312"/>
      <c r="AK252" s="3312"/>
      <c r="AL252" s="3312"/>
      <c r="AM252" s="3312"/>
      <c r="AN252" s="3312"/>
      <c r="AO252" s="3312"/>
      <c r="AP252" s="3312"/>
      <c r="AQ252" s="3312"/>
      <c r="AR252" s="3312"/>
      <c r="AS252" s="3312"/>
      <c r="AT252" s="3312"/>
      <c r="AU252" s="3312"/>
      <c r="AV252" s="3312"/>
      <c r="AW252" s="3312"/>
      <c r="AX252" s="3312"/>
      <c r="AY252" s="3312"/>
    </row>
    <row r="253" spans="1:51" s="888" customFormat="1" ht="51.75" customHeight="1">
      <c r="A253" s="3306" t="s">
        <v>1461</v>
      </c>
      <c r="B253" s="3335"/>
      <c r="C253" s="3335"/>
      <c r="D253" s="3312"/>
      <c r="E253" s="3312"/>
      <c r="F253" s="3312"/>
      <c r="G253" s="3312"/>
      <c r="H253" s="3312"/>
      <c r="I253" s="3312"/>
      <c r="J253" s="3312"/>
      <c r="K253" s="3312"/>
      <c r="L253" s="3312"/>
      <c r="M253" s="3312"/>
      <c r="N253" s="3312"/>
      <c r="O253" s="3312"/>
      <c r="P253" s="3312"/>
      <c r="Q253" s="3312"/>
      <c r="R253" s="3312"/>
      <c r="S253" s="3312"/>
      <c r="T253" s="3312"/>
      <c r="U253" s="3312"/>
      <c r="V253" s="3312"/>
      <c r="W253" s="3312"/>
      <c r="X253" s="3312"/>
      <c r="Y253" s="3312"/>
      <c r="Z253" s="3312"/>
      <c r="AA253" s="3312"/>
      <c r="AB253" s="3312"/>
      <c r="AC253" s="3312"/>
      <c r="AD253" s="3312"/>
      <c r="AE253" s="3312"/>
      <c r="AF253" s="3312"/>
      <c r="AG253" s="3312"/>
      <c r="AH253" s="3312"/>
      <c r="AI253" s="3312"/>
      <c r="AJ253" s="3312"/>
      <c r="AK253" s="3312"/>
      <c r="AL253" s="3312"/>
      <c r="AM253" s="3312"/>
      <c r="AN253" s="3312"/>
      <c r="AO253" s="3312"/>
      <c r="AP253" s="3312"/>
      <c r="AQ253" s="3312"/>
      <c r="AR253" s="3312"/>
      <c r="AS253" s="3312"/>
      <c r="AT253" s="3312"/>
      <c r="AU253" s="3312"/>
      <c r="AV253" s="3312"/>
      <c r="AW253" s="3312"/>
      <c r="AX253" s="3312"/>
      <c r="AY253" s="3312"/>
    </row>
    <row r="254" spans="1:51" s="888" customFormat="1" ht="51.75" customHeight="1">
      <c r="A254" s="3306" t="s">
        <v>1465</v>
      </c>
      <c r="B254" s="3312"/>
      <c r="C254" s="3312"/>
      <c r="D254" s="3312"/>
      <c r="E254" s="3312"/>
      <c r="F254" s="3312"/>
      <c r="G254" s="3312"/>
      <c r="H254" s="3312"/>
      <c r="I254" s="3312"/>
      <c r="J254" s="3312"/>
      <c r="K254" s="3312"/>
      <c r="L254" s="3312"/>
      <c r="M254" s="3312"/>
      <c r="N254" s="3312"/>
      <c r="O254" s="3312"/>
      <c r="P254" s="3312"/>
      <c r="Q254" s="3312"/>
      <c r="R254" s="3312"/>
      <c r="S254" s="3312"/>
      <c r="T254" s="3312"/>
      <c r="U254" s="3312"/>
      <c r="V254" s="3312"/>
      <c r="W254" s="3312"/>
      <c r="X254" s="3312"/>
      <c r="Y254" s="3312"/>
      <c r="Z254" s="3312"/>
      <c r="AA254" s="3312"/>
      <c r="AB254" s="3312"/>
      <c r="AC254" s="3312"/>
      <c r="AD254" s="3312"/>
      <c r="AE254" s="3312"/>
      <c r="AF254" s="3312"/>
      <c r="AG254" s="3312"/>
      <c r="AH254" s="3312"/>
      <c r="AI254" s="3312"/>
      <c r="AJ254" s="3312"/>
      <c r="AK254" s="3312"/>
      <c r="AL254" s="3312"/>
      <c r="AM254" s="3312"/>
      <c r="AN254" s="3312"/>
      <c r="AO254" s="3312"/>
      <c r="AP254" s="3312"/>
      <c r="AQ254" s="3312"/>
      <c r="AR254" s="3312"/>
      <c r="AS254" s="3312"/>
      <c r="AT254" s="3312"/>
      <c r="AU254" s="3312"/>
      <c r="AV254" s="3312"/>
      <c r="AW254" s="3312"/>
      <c r="AX254" s="3312"/>
      <c r="AY254" s="3312"/>
    </row>
    <row r="255" spans="1:51" s="888" customFormat="1" ht="51.75" customHeight="1">
      <c r="A255" s="3306" t="s">
        <v>1466</v>
      </c>
      <c r="B255" s="3335"/>
      <c r="C255" s="3335"/>
      <c r="D255" s="3312"/>
      <c r="E255" s="3312"/>
      <c r="F255" s="3312"/>
      <c r="G255" s="3312"/>
      <c r="H255" s="3312"/>
      <c r="I255" s="3312"/>
      <c r="J255" s="3312"/>
      <c r="K255" s="3312"/>
      <c r="L255" s="3312"/>
      <c r="M255" s="3312"/>
      <c r="N255" s="3312"/>
      <c r="O255" s="3312"/>
      <c r="P255" s="3312"/>
      <c r="Q255" s="3312"/>
      <c r="R255" s="3312"/>
      <c r="S255" s="3312"/>
      <c r="T255" s="3312"/>
      <c r="U255" s="3312"/>
      <c r="V255" s="3312"/>
      <c r="W255" s="3312"/>
      <c r="X255" s="3312"/>
      <c r="Y255" s="3312"/>
      <c r="Z255" s="3312"/>
      <c r="AA255" s="3312"/>
      <c r="AB255" s="3312"/>
      <c r="AC255" s="3312"/>
      <c r="AD255" s="3312"/>
      <c r="AE255" s="3312"/>
      <c r="AF255" s="3312"/>
      <c r="AG255" s="3312"/>
      <c r="AH255" s="3312"/>
      <c r="AI255" s="3312"/>
      <c r="AJ255" s="3312"/>
      <c r="AK255" s="3312"/>
      <c r="AL255" s="3312"/>
      <c r="AM255" s="3312"/>
      <c r="AN255" s="3312"/>
      <c r="AO255" s="3312"/>
      <c r="AP255" s="3312"/>
      <c r="AQ255" s="3312"/>
      <c r="AR255" s="3312"/>
      <c r="AS255" s="3312"/>
      <c r="AT255" s="3312"/>
      <c r="AU255" s="3312"/>
      <c r="AV255" s="3312"/>
      <c r="AW255" s="3312"/>
      <c r="AX255" s="3312"/>
      <c r="AY255" s="3312"/>
    </row>
    <row r="256" spans="1:51" s="888" customFormat="1" ht="51.75" customHeight="1">
      <c r="A256" s="3306" t="s">
        <v>1469</v>
      </c>
      <c r="B256" s="3335"/>
      <c r="C256" s="3335"/>
      <c r="D256" s="3312"/>
      <c r="E256" s="3312"/>
      <c r="F256" s="3312"/>
      <c r="G256" s="3312"/>
      <c r="H256" s="3312"/>
      <c r="I256" s="3312"/>
      <c r="J256" s="3312"/>
      <c r="K256" s="3312"/>
      <c r="L256" s="3312"/>
      <c r="M256" s="3312"/>
      <c r="N256" s="3312"/>
      <c r="O256" s="3312"/>
      <c r="P256" s="3312"/>
      <c r="Q256" s="3312"/>
      <c r="R256" s="3312"/>
      <c r="S256" s="3312"/>
      <c r="T256" s="3312"/>
      <c r="U256" s="3312"/>
      <c r="V256" s="3312"/>
      <c r="W256" s="3312"/>
      <c r="X256" s="3312"/>
      <c r="Y256" s="3312"/>
      <c r="Z256" s="3312"/>
      <c r="AA256" s="3312"/>
      <c r="AB256" s="3312"/>
      <c r="AC256" s="3312"/>
      <c r="AD256" s="3312"/>
      <c r="AE256" s="3312"/>
      <c r="AF256" s="3312"/>
      <c r="AG256" s="3312"/>
      <c r="AH256" s="3312"/>
      <c r="AI256" s="3312"/>
      <c r="AJ256" s="3312"/>
      <c r="AK256" s="3312"/>
      <c r="AL256" s="3312"/>
      <c r="AM256" s="3312"/>
      <c r="AN256" s="3312"/>
      <c r="AO256" s="3312"/>
      <c r="AP256" s="3312"/>
      <c r="AQ256" s="3312"/>
      <c r="AR256" s="3312"/>
      <c r="AS256" s="3312"/>
      <c r="AT256" s="3312"/>
      <c r="AU256" s="3312"/>
      <c r="AV256" s="3312"/>
      <c r="AW256" s="3312"/>
      <c r="AX256" s="3312"/>
      <c r="AY256" s="3312"/>
    </row>
    <row r="257" spans="1:51" s="888" customFormat="1" ht="51.75" customHeight="1">
      <c r="A257" s="3306" t="s">
        <v>1470</v>
      </c>
      <c r="B257" s="3335"/>
      <c r="C257" s="3335"/>
      <c r="D257" s="3312"/>
      <c r="E257" s="3312"/>
      <c r="F257" s="3312"/>
      <c r="G257" s="3312"/>
      <c r="H257" s="3312"/>
      <c r="I257" s="3312"/>
      <c r="J257" s="3312"/>
      <c r="K257" s="3312"/>
      <c r="L257" s="3312"/>
      <c r="M257" s="3312"/>
      <c r="N257" s="3312"/>
      <c r="O257" s="3312"/>
      <c r="P257" s="3312"/>
      <c r="Q257" s="3312"/>
      <c r="R257" s="3312"/>
      <c r="S257" s="3312"/>
      <c r="T257" s="3312"/>
      <c r="U257" s="3312"/>
      <c r="V257" s="3312"/>
      <c r="W257" s="3312"/>
      <c r="X257" s="3312"/>
      <c r="Y257" s="3312"/>
      <c r="Z257" s="3312"/>
      <c r="AA257" s="3312"/>
      <c r="AB257" s="3312"/>
      <c r="AC257" s="3312"/>
      <c r="AD257" s="3312"/>
      <c r="AE257" s="3312"/>
      <c r="AF257" s="3312"/>
      <c r="AG257" s="3312"/>
      <c r="AH257" s="3312"/>
      <c r="AI257" s="3312"/>
      <c r="AJ257" s="3312"/>
      <c r="AK257" s="3312"/>
      <c r="AL257" s="3312"/>
      <c r="AM257" s="3312"/>
      <c r="AN257" s="3312"/>
      <c r="AO257" s="3312"/>
      <c r="AP257" s="3312"/>
      <c r="AQ257" s="3312"/>
      <c r="AR257" s="3312"/>
      <c r="AS257" s="3312"/>
      <c r="AT257" s="3312"/>
      <c r="AU257" s="3312"/>
      <c r="AV257" s="3312"/>
      <c r="AW257" s="3312"/>
      <c r="AX257" s="3312"/>
      <c r="AY257" s="3312"/>
    </row>
    <row r="258" spans="1:51" s="888" customFormat="1" ht="51.75" customHeight="1">
      <c r="A258" s="3306"/>
      <c r="B258" s="3335"/>
      <c r="C258" s="3335"/>
      <c r="D258" s="3312"/>
      <c r="E258" s="3312"/>
      <c r="F258" s="3312"/>
      <c r="G258" s="3312"/>
      <c r="H258" s="3312"/>
      <c r="I258" s="3312"/>
      <c r="J258" s="3312"/>
      <c r="K258" s="3312"/>
      <c r="L258" s="3312"/>
      <c r="M258" s="3312"/>
      <c r="N258" s="3312"/>
      <c r="O258" s="3312"/>
      <c r="P258" s="3312"/>
      <c r="Q258" s="3312"/>
      <c r="R258" s="3312"/>
      <c r="S258" s="3312"/>
      <c r="T258" s="3312"/>
      <c r="U258" s="3312"/>
      <c r="V258" s="3312"/>
      <c r="W258" s="3312"/>
      <c r="X258" s="3312"/>
      <c r="Y258" s="3312"/>
      <c r="Z258" s="3312"/>
      <c r="AA258" s="3312"/>
      <c r="AB258" s="3312"/>
      <c r="AC258" s="3312"/>
      <c r="AD258" s="3312"/>
      <c r="AE258" s="3312"/>
      <c r="AF258" s="3312"/>
      <c r="AG258" s="3312"/>
      <c r="AH258" s="3312"/>
      <c r="AI258" s="3312"/>
      <c r="AJ258" s="3312"/>
      <c r="AK258" s="3312"/>
      <c r="AL258" s="3312"/>
      <c r="AM258" s="3312"/>
      <c r="AN258" s="3312"/>
      <c r="AO258" s="3312"/>
      <c r="AP258" s="3312"/>
      <c r="AQ258" s="3312"/>
      <c r="AR258" s="3312"/>
      <c r="AS258" s="3312"/>
      <c r="AT258" s="3312"/>
      <c r="AU258" s="3312"/>
      <c r="AV258" s="3312"/>
      <c r="AW258" s="3312"/>
      <c r="AX258" s="3312"/>
      <c r="AY258" s="3312"/>
    </row>
    <row r="259" spans="1:51" s="888" customFormat="1" ht="51.75" customHeight="1">
      <c r="A259" s="3306" t="s">
        <v>1471</v>
      </c>
      <c r="B259" s="3335"/>
      <c r="C259" s="3335"/>
      <c r="D259" s="3312"/>
      <c r="E259" s="3312"/>
      <c r="F259" s="3312"/>
      <c r="G259" s="3312"/>
      <c r="H259" s="3312"/>
      <c r="I259" s="3312"/>
      <c r="J259" s="3312"/>
      <c r="K259" s="3312"/>
      <c r="L259" s="3312"/>
      <c r="M259" s="3312"/>
      <c r="N259" s="3312"/>
      <c r="O259" s="3312"/>
      <c r="P259" s="3312"/>
      <c r="Q259" s="3312"/>
      <c r="R259" s="3312"/>
      <c r="S259" s="3312"/>
      <c r="T259" s="3312"/>
      <c r="U259" s="3312"/>
      <c r="V259" s="3312"/>
      <c r="W259" s="3312"/>
      <c r="X259" s="3312"/>
      <c r="Y259" s="3312"/>
      <c r="Z259" s="3312"/>
      <c r="AA259" s="3312"/>
      <c r="AB259" s="3312"/>
      <c r="AC259" s="3312"/>
      <c r="AD259" s="3312"/>
      <c r="AE259" s="3312"/>
      <c r="AF259" s="3312"/>
      <c r="AG259" s="3312"/>
      <c r="AH259" s="3312"/>
      <c r="AI259" s="3312"/>
      <c r="AJ259" s="3312"/>
      <c r="AK259" s="3312"/>
      <c r="AL259" s="3312"/>
      <c r="AM259" s="3312"/>
      <c r="AN259" s="3312"/>
      <c r="AO259" s="3312"/>
      <c r="AP259" s="3312"/>
      <c r="AQ259" s="3312"/>
      <c r="AR259" s="3312"/>
      <c r="AS259" s="3312"/>
      <c r="AT259" s="3312"/>
      <c r="AU259" s="3312"/>
      <c r="AV259" s="3312"/>
      <c r="AW259" s="3312"/>
      <c r="AX259" s="3312"/>
      <c r="AY259" s="3312"/>
    </row>
    <row r="260" spans="1:51" s="888" customFormat="1" ht="51.75" customHeight="1">
      <c r="A260" s="3306" t="s">
        <v>1472</v>
      </c>
      <c r="B260" s="3312"/>
      <c r="C260" s="3312"/>
      <c r="D260" s="3312"/>
      <c r="E260" s="3312"/>
      <c r="F260" s="3312"/>
      <c r="G260" s="3312"/>
      <c r="H260" s="3312"/>
      <c r="I260" s="3312"/>
      <c r="J260" s="3312"/>
      <c r="K260" s="3312"/>
      <c r="L260" s="3312"/>
      <c r="M260" s="3312"/>
      <c r="N260" s="3312"/>
      <c r="O260" s="3312"/>
      <c r="P260" s="3312"/>
      <c r="Q260" s="3312"/>
      <c r="R260" s="3312"/>
      <c r="S260" s="3312"/>
      <c r="T260" s="3312"/>
      <c r="U260" s="3312"/>
      <c r="V260" s="3312"/>
      <c r="W260" s="3312"/>
      <c r="X260" s="3312"/>
      <c r="Y260" s="3312"/>
      <c r="Z260" s="3312"/>
      <c r="AA260" s="3312"/>
      <c r="AB260" s="3312"/>
      <c r="AC260" s="3312"/>
      <c r="AD260" s="3312"/>
      <c r="AE260" s="3312"/>
      <c r="AF260" s="3312"/>
      <c r="AG260" s="3312"/>
      <c r="AH260" s="3312"/>
      <c r="AI260" s="3312"/>
      <c r="AJ260" s="3312"/>
      <c r="AK260" s="3312"/>
      <c r="AL260" s="3312"/>
      <c r="AM260" s="3312"/>
      <c r="AN260" s="3312"/>
      <c r="AO260" s="3312"/>
      <c r="AP260" s="3312"/>
      <c r="AQ260" s="3312"/>
      <c r="AR260" s="3312"/>
      <c r="AS260" s="3312"/>
      <c r="AT260" s="3312"/>
      <c r="AU260" s="3312"/>
      <c r="AV260" s="3312"/>
      <c r="AW260" s="3312"/>
      <c r="AX260" s="3312"/>
      <c r="AY260" s="3312"/>
    </row>
    <row r="261" spans="1:51" s="888" customFormat="1" ht="51.75" customHeight="1">
      <c r="A261" s="3306"/>
      <c r="B261" s="3335"/>
      <c r="C261" s="3335"/>
      <c r="D261" s="3312"/>
      <c r="E261" s="3312"/>
      <c r="F261" s="3312"/>
      <c r="G261" s="3312"/>
      <c r="H261" s="3312"/>
      <c r="I261" s="3312"/>
      <c r="J261" s="3312"/>
      <c r="K261" s="4573" t="s">
        <v>1788</v>
      </c>
      <c r="L261" s="3312"/>
      <c r="M261" s="3312"/>
      <c r="N261" s="3312"/>
      <c r="O261" s="3312"/>
      <c r="P261" s="3312"/>
      <c r="Q261" s="3312"/>
      <c r="R261" s="3312"/>
      <c r="S261" s="3312"/>
      <c r="T261" s="3312"/>
      <c r="U261" s="3312"/>
      <c r="V261" s="3312"/>
      <c r="W261" s="3312"/>
      <c r="X261" s="3312"/>
      <c r="Y261" s="3312"/>
      <c r="Z261" s="3312"/>
      <c r="AA261" s="3312"/>
      <c r="AB261" s="3312"/>
      <c r="AC261" s="3312"/>
      <c r="AD261" s="3312"/>
      <c r="AE261" s="3312"/>
      <c r="AF261" s="3312"/>
      <c r="AG261" s="3312"/>
      <c r="AH261" s="3312"/>
      <c r="AI261" s="3312"/>
      <c r="AJ261" s="3312"/>
      <c r="AK261" s="3312"/>
      <c r="AL261" s="3312"/>
      <c r="AM261" s="3312"/>
      <c r="AN261" s="3312"/>
      <c r="AO261" s="3312"/>
      <c r="AP261" s="3312"/>
      <c r="AQ261" s="3312"/>
      <c r="AR261" s="3312"/>
      <c r="AS261" s="3312"/>
      <c r="AT261" s="3312"/>
      <c r="AU261" s="3312"/>
      <c r="AV261" s="3312"/>
      <c r="AW261" s="3312"/>
      <c r="AX261" s="3312"/>
      <c r="AY261" s="3312"/>
    </row>
    <row r="262" spans="1:51" s="888" customFormat="1" ht="51.75" customHeight="1">
      <c r="A262" s="3306" t="s">
        <v>1473</v>
      </c>
      <c r="B262" s="3335"/>
      <c r="C262" s="3335"/>
      <c r="D262" s="3312"/>
      <c r="E262" s="3312"/>
      <c r="F262" s="3312"/>
      <c r="G262" s="3312"/>
      <c r="H262" s="3312"/>
      <c r="I262" s="3312"/>
      <c r="J262" s="3312"/>
      <c r="K262" s="4574" t="s">
        <v>1788</v>
      </c>
      <c r="L262" s="3312"/>
      <c r="M262" s="3312"/>
      <c r="N262" s="3312"/>
      <c r="O262" s="3312"/>
      <c r="P262" s="3312"/>
      <c r="Q262" s="3312"/>
      <c r="R262" s="3312"/>
      <c r="S262" s="3312"/>
      <c r="T262" s="3312"/>
      <c r="U262" s="3312"/>
      <c r="V262" s="3312"/>
      <c r="W262" s="3312"/>
      <c r="X262" s="3312"/>
      <c r="Y262" s="3312"/>
      <c r="Z262" s="3312"/>
      <c r="AA262" s="3312"/>
      <c r="AB262" s="3312"/>
      <c r="AC262" s="3312"/>
      <c r="AD262" s="3312"/>
      <c r="AE262" s="3312"/>
      <c r="AF262" s="3312"/>
      <c r="AG262" s="3312"/>
      <c r="AH262" s="3312"/>
      <c r="AI262" s="3312"/>
      <c r="AJ262" s="3312"/>
      <c r="AK262" s="3312"/>
      <c r="AL262" s="3312"/>
      <c r="AM262" s="3312"/>
      <c r="AN262" s="3312"/>
      <c r="AO262" s="3312"/>
      <c r="AP262" s="3312"/>
      <c r="AQ262" s="3312"/>
      <c r="AR262" s="3312"/>
      <c r="AS262" s="3312"/>
      <c r="AT262" s="3312"/>
      <c r="AU262" s="3312"/>
      <c r="AV262" s="3312"/>
      <c r="AW262" s="3312"/>
      <c r="AX262" s="3312"/>
      <c r="AY262" s="3312"/>
    </row>
    <row r="263" spans="1:51" s="888" customFormat="1" ht="51.75" customHeight="1">
      <c r="A263" s="3306" t="s">
        <v>1474</v>
      </c>
      <c r="B263" s="3335"/>
      <c r="C263" s="3335"/>
      <c r="D263" s="3312"/>
      <c r="E263" s="3312"/>
      <c r="F263" s="3312"/>
      <c r="G263" s="3312"/>
      <c r="H263" s="3312"/>
      <c r="I263" s="3312"/>
      <c r="J263" s="3312"/>
      <c r="K263" s="4574" t="s">
        <v>1788</v>
      </c>
      <c r="L263" s="3312"/>
      <c r="M263" s="3312"/>
      <c r="N263" s="3312"/>
      <c r="O263" s="3312"/>
      <c r="P263" s="3312"/>
      <c r="Q263" s="3312"/>
      <c r="R263" s="3312"/>
      <c r="S263" s="3312"/>
      <c r="T263" s="3312"/>
      <c r="U263" s="3312"/>
      <c r="V263" s="3312"/>
      <c r="W263" s="3312"/>
      <c r="X263" s="3312"/>
      <c r="Y263" s="3312"/>
      <c r="Z263" s="3312"/>
      <c r="AA263" s="3312"/>
      <c r="AB263" s="3312"/>
      <c r="AC263" s="3312"/>
      <c r="AD263" s="3312"/>
      <c r="AE263" s="3312"/>
      <c r="AF263" s="3312"/>
      <c r="AG263" s="3312"/>
      <c r="AH263" s="3312"/>
      <c r="AI263" s="3312"/>
      <c r="AJ263" s="3312"/>
      <c r="AK263" s="3312"/>
      <c r="AL263" s="3312"/>
      <c r="AM263" s="3312"/>
      <c r="AN263" s="3312"/>
      <c r="AO263" s="3312"/>
      <c r="AP263" s="3312"/>
      <c r="AQ263" s="3312"/>
      <c r="AR263" s="3312"/>
      <c r="AS263" s="3312"/>
      <c r="AT263" s="3312"/>
      <c r="AU263" s="3312"/>
      <c r="AV263" s="3312"/>
      <c r="AW263" s="3312"/>
      <c r="AX263" s="3312"/>
      <c r="AY263" s="3312"/>
    </row>
    <row r="264" spans="1:51" s="888" customFormat="1" ht="51.75" customHeight="1">
      <c r="A264" s="3306" t="s">
        <v>1475</v>
      </c>
      <c r="B264" s="3335"/>
      <c r="C264" s="3335"/>
      <c r="D264" s="3312"/>
      <c r="E264" s="3312"/>
      <c r="F264" s="3312"/>
      <c r="G264" s="3312"/>
      <c r="H264" s="3312"/>
      <c r="I264" s="3312"/>
      <c r="J264" s="3312"/>
      <c r="K264" s="4574" t="s">
        <v>1788</v>
      </c>
      <c r="L264" s="3312"/>
      <c r="M264" s="3312"/>
      <c r="N264" s="3312"/>
      <c r="O264" s="3312"/>
      <c r="P264" s="3312"/>
      <c r="Q264" s="3312"/>
      <c r="R264" s="3312"/>
      <c r="S264" s="3312"/>
      <c r="T264" s="3312"/>
      <c r="U264" s="3312"/>
      <c r="V264" s="3312"/>
      <c r="W264" s="3312"/>
      <c r="X264" s="3312"/>
      <c r="Y264" s="3312"/>
      <c r="Z264" s="3312"/>
      <c r="AA264" s="3312"/>
      <c r="AB264" s="3312"/>
      <c r="AC264" s="3312"/>
      <c r="AD264" s="3312"/>
      <c r="AE264" s="3312"/>
      <c r="AF264" s="3312"/>
      <c r="AG264" s="3312"/>
      <c r="AH264" s="3312"/>
      <c r="AI264" s="3312"/>
      <c r="AJ264" s="3312"/>
      <c r="AK264" s="3312"/>
      <c r="AL264" s="3312"/>
      <c r="AM264" s="3312"/>
      <c r="AN264" s="3312"/>
      <c r="AO264" s="3312"/>
      <c r="AP264" s="3312"/>
      <c r="AQ264" s="3312"/>
      <c r="AR264" s="3312"/>
      <c r="AS264" s="3312"/>
      <c r="AT264" s="3312"/>
      <c r="AU264" s="3312"/>
      <c r="AV264" s="3312"/>
      <c r="AW264" s="3312"/>
      <c r="AX264" s="3312"/>
      <c r="AY264" s="3312"/>
    </row>
    <row r="265" spans="1:51" s="888" customFormat="1" ht="51.75" customHeight="1">
      <c r="A265" s="3306" t="s">
        <v>1476</v>
      </c>
      <c r="B265" s="3335"/>
      <c r="C265" s="3335"/>
      <c r="D265" s="3312"/>
      <c r="E265" s="3312"/>
      <c r="F265" s="3312"/>
      <c r="G265" s="3312"/>
      <c r="H265" s="3312"/>
      <c r="I265" s="3312"/>
      <c r="J265" s="3312"/>
      <c r="K265" s="4574" t="s">
        <v>1788</v>
      </c>
      <c r="L265" s="3312"/>
      <c r="M265" s="3312"/>
      <c r="N265" s="3312"/>
      <c r="O265" s="3312"/>
      <c r="P265" s="3312"/>
      <c r="Q265" s="3312"/>
      <c r="R265" s="3312"/>
      <c r="S265" s="3312"/>
      <c r="T265" s="3312"/>
      <c r="U265" s="3312"/>
      <c r="V265" s="3312"/>
      <c r="W265" s="3312"/>
      <c r="X265" s="3312"/>
      <c r="Y265" s="3312"/>
      <c r="Z265" s="3312"/>
      <c r="AA265" s="3312"/>
      <c r="AB265" s="3312"/>
      <c r="AC265" s="3312"/>
      <c r="AD265" s="3312"/>
      <c r="AE265" s="3312"/>
      <c r="AF265" s="3312"/>
      <c r="AG265" s="3312"/>
      <c r="AH265" s="3312"/>
      <c r="AI265" s="3312"/>
      <c r="AJ265" s="3312"/>
      <c r="AK265" s="3312"/>
      <c r="AL265" s="3312"/>
      <c r="AM265" s="3312"/>
      <c r="AN265" s="3312"/>
      <c r="AO265" s="3312"/>
      <c r="AP265" s="3312"/>
      <c r="AQ265" s="3312"/>
      <c r="AR265" s="3312"/>
      <c r="AS265" s="3312"/>
      <c r="AT265" s="3312"/>
      <c r="AU265" s="3312"/>
      <c r="AV265" s="3312"/>
      <c r="AW265" s="3312"/>
      <c r="AX265" s="3312"/>
      <c r="AY265" s="3312"/>
    </row>
    <row r="266" spans="1:51" s="888" customFormat="1" ht="33">
      <c r="A266" s="3306" t="s">
        <v>1477</v>
      </c>
      <c r="B266" s="3312"/>
      <c r="C266" s="3312"/>
      <c r="D266" s="3312"/>
      <c r="E266" s="3312"/>
      <c r="F266" s="3312"/>
      <c r="G266" s="3312"/>
      <c r="H266" s="3312"/>
      <c r="I266" s="3312"/>
      <c r="J266" s="3312"/>
      <c r="K266" s="4574" t="s">
        <v>1788</v>
      </c>
      <c r="L266" s="3312"/>
      <c r="M266" s="3312"/>
      <c r="N266" s="3312"/>
      <c r="O266" s="3312"/>
      <c r="P266" s="3312"/>
      <c r="Q266" s="3312"/>
      <c r="R266" s="3312"/>
      <c r="S266" s="3312"/>
      <c r="T266" s="3312"/>
      <c r="U266" s="3312"/>
      <c r="V266" s="3312"/>
      <c r="W266" s="3312"/>
      <c r="X266" s="3312"/>
      <c r="Y266" s="3312"/>
      <c r="Z266" s="3312"/>
      <c r="AA266" s="3312"/>
      <c r="AB266" s="3312"/>
      <c r="AC266" s="3312"/>
      <c r="AD266" s="3312"/>
      <c r="AE266" s="3312"/>
      <c r="AF266" s="3312"/>
      <c r="AG266" s="3312"/>
      <c r="AH266" s="3312"/>
      <c r="AI266" s="3312"/>
      <c r="AJ266" s="3312"/>
      <c r="AK266" s="3312"/>
      <c r="AL266" s="3312"/>
      <c r="AM266" s="3312"/>
      <c r="AN266" s="3312"/>
      <c r="AO266" s="3312"/>
      <c r="AP266" s="3312"/>
      <c r="AQ266" s="3312"/>
      <c r="AR266" s="3312"/>
      <c r="AS266" s="3312"/>
      <c r="AT266" s="3312"/>
      <c r="AU266" s="3312"/>
      <c r="AV266" s="3312"/>
      <c r="AW266" s="3312"/>
      <c r="AX266" s="3312"/>
      <c r="AY266" s="3312"/>
    </row>
    <row r="267" spans="1:51" s="888" customFormat="1" ht="33">
      <c r="A267" s="3306" t="s">
        <v>1509</v>
      </c>
      <c r="B267" s="3312"/>
      <c r="C267" s="3312"/>
      <c r="D267" s="3312"/>
      <c r="E267" s="3312"/>
      <c r="F267" s="3312"/>
      <c r="G267" s="3312"/>
      <c r="H267" s="3312"/>
      <c r="I267" s="3312"/>
      <c r="J267" s="3312"/>
      <c r="K267" s="4574" t="s">
        <v>1788</v>
      </c>
      <c r="L267" s="3312"/>
      <c r="M267" s="3312"/>
      <c r="N267" s="3312"/>
      <c r="O267" s="3312"/>
      <c r="P267" s="3312"/>
      <c r="Q267" s="3312"/>
      <c r="R267" s="3312"/>
      <c r="S267" s="3312"/>
      <c r="T267" s="3312"/>
      <c r="U267" s="3312"/>
      <c r="V267" s="3312"/>
      <c r="W267" s="3312"/>
      <c r="X267" s="3312"/>
      <c r="Y267" s="3312"/>
      <c r="Z267" s="3312"/>
      <c r="AA267" s="3312"/>
      <c r="AB267" s="3312"/>
      <c r="AC267" s="3312"/>
      <c r="AD267" s="3312"/>
      <c r="AE267" s="3312"/>
      <c r="AF267" s="3312"/>
      <c r="AG267" s="3312"/>
      <c r="AH267" s="3312"/>
      <c r="AI267" s="3312"/>
      <c r="AJ267" s="3312"/>
      <c r="AK267" s="3312"/>
      <c r="AL267" s="3312"/>
      <c r="AM267" s="3312"/>
      <c r="AN267" s="3312"/>
      <c r="AO267" s="3312"/>
      <c r="AP267" s="3312"/>
      <c r="AQ267" s="3312"/>
      <c r="AR267" s="3312"/>
      <c r="AS267" s="3312"/>
      <c r="AT267" s="3312"/>
      <c r="AU267" s="3312"/>
      <c r="AV267" s="3312"/>
      <c r="AW267" s="3312"/>
      <c r="AX267" s="3312"/>
      <c r="AY267" s="3312"/>
    </row>
    <row r="268" spans="1:51" s="888" customFormat="1" ht="33">
      <c r="A268" s="3306" t="s">
        <v>1478</v>
      </c>
      <c r="B268" s="3312"/>
      <c r="C268" s="3312"/>
      <c r="D268" s="3312"/>
      <c r="E268" s="3312"/>
      <c r="F268" s="3312"/>
      <c r="G268" s="3312"/>
      <c r="H268" s="3312"/>
      <c r="I268" s="3312"/>
      <c r="J268" s="3312"/>
      <c r="K268" s="4574" t="s">
        <v>1788</v>
      </c>
      <c r="L268" s="3312"/>
      <c r="M268" s="3312"/>
      <c r="N268" s="3312"/>
      <c r="O268" s="3312"/>
      <c r="P268" s="3312"/>
      <c r="Q268" s="3312"/>
      <c r="R268" s="3312"/>
      <c r="S268" s="3312"/>
      <c r="T268" s="3312"/>
      <c r="U268" s="3312"/>
      <c r="V268" s="3312"/>
      <c r="W268" s="3312"/>
      <c r="X268" s="3312"/>
      <c r="Y268" s="3312"/>
      <c r="Z268" s="3312"/>
      <c r="AA268" s="3312"/>
      <c r="AB268" s="3312"/>
      <c r="AC268" s="3312"/>
      <c r="AD268" s="3312"/>
      <c r="AE268" s="3312"/>
      <c r="AF268" s="3312"/>
      <c r="AG268" s="3312"/>
      <c r="AH268" s="3312"/>
      <c r="AI268" s="3312"/>
      <c r="AJ268" s="3312"/>
      <c r="AK268" s="3312"/>
      <c r="AL268" s="3312"/>
      <c r="AM268" s="3312"/>
      <c r="AN268" s="3312"/>
      <c r="AO268" s="3312"/>
      <c r="AP268" s="3312"/>
      <c r="AQ268" s="3312"/>
      <c r="AR268" s="3312"/>
      <c r="AS268" s="3312"/>
      <c r="AT268" s="3312"/>
      <c r="AU268" s="3312"/>
      <c r="AV268" s="3312"/>
      <c r="AW268" s="3312"/>
      <c r="AX268" s="3312"/>
      <c r="AY268" s="3312"/>
    </row>
    <row r="269" spans="1:51" s="888" customFormat="1" ht="33">
      <c r="A269" s="3306" t="s">
        <v>1510</v>
      </c>
      <c r="B269" s="3312"/>
      <c r="C269" s="3312"/>
      <c r="D269" s="3312"/>
      <c r="E269" s="3312"/>
      <c r="F269" s="3312"/>
      <c r="G269" s="3312"/>
      <c r="H269" s="3312"/>
      <c r="I269" s="3312"/>
      <c r="J269" s="3312"/>
      <c r="K269" s="4574" t="s">
        <v>1788</v>
      </c>
      <c r="L269" s="3312"/>
      <c r="M269" s="3312"/>
      <c r="N269" s="3312"/>
      <c r="O269" s="3312"/>
      <c r="P269" s="3312"/>
      <c r="Q269" s="3312"/>
      <c r="R269" s="3312"/>
      <c r="S269" s="3312"/>
      <c r="T269" s="3312"/>
      <c r="U269" s="3312"/>
      <c r="V269" s="3312"/>
      <c r="W269" s="3312"/>
      <c r="X269" s="3312"/>
      <c r="Y269" s="3312"/>
      <c r="Z269" s="3312"/>
      <c r="AA269" s="3312"/>
      <c r="AB269" s="3312"/>
      <c r="AC269" s="3312"/>
      <c r="AD269" s="3312"/>
      <c r="AE269" s="3312"/>
      <c r="AF269" s="3312"/>
      <c r="AG269" s="3312"/>
      <c r="AH269" s="3312"/>
      <c r="AI269" s="3312"/>
      <c r="AJ269" s="3312"/>
      <c r="AK269" s="3312"/>
      <c r="AL269" s="3312"/>
      <c r="AM269" s="3312"/>
      <c r="AN269" s="3312"/>
      <c r="AO269" s="3312"/>
      <c r="AP269" s="3312"/>
      <c r="AQ269" s="3312"/>
      <c r="AR269" s="3312"/>
      <c r="AS269" s="3312"/>
      <c r="AT269" s="3312"/>
      <c r="AU269" s="3312"/>
      <c r="AV269" s="3312"/>
      <c r="AW269" s="3312"/>
      <c r="AX269" s="3312"/>
      <c r="AY269" s="3312"/>
    </row>
    <row r="270" spans="1:51" s="888" customFormat="1" ht="33">
      <c r="A270" s="3306" t="s">
        <v>1479</v>
      </c>
      <c r="B270" s="3312"/>
      <c r="C270" s="3312"/>
      <c r="D270" s="3312"/>
      <c r="E270" s="3312"/>
      <c r="F270" s="3312"/>
      <c r="G270" s="3312"/>
      <c r="H270" s="3312"/>
      <c r="I270" s="3312"/>
      <c r="J270" s="3312"/>
      <c r="K270" s="4574" t="s">
        <v>1788</v>
      </c>
      <c r="L270" s="3312"/>
      <c r="M270" s="3312"/>
      <c r="N270" s="3312"/>
      <c r="O270" s="3312"/>
      <c r="P270" s="3312"/>
      <c r="Q270" s="3312"/>
      <c r="R270" s="3312"/>
      <c r="S270" s="3312"/>
      <c r="T270" s="3312"/>
      <c r="U270" s="3312"/>
      <c r="V270" s="3312"/>
      <c r="W270" s="3312"/>
      <c r="X270" s="3312"/>
      <c r="Y270" s="3312"/>
      <c r="Z270" s="3312"/>
      <c r="AA270" s="3312"/>
      <c r="AB270" s="3312"/>
      <c r="AC270" s="3312"/>
      <c r="AD270" s="3312"/>
      <c r="AE270" s="3312"/>
      <c r="AF270" s="3312"/>
      <c r="AG270" s="3312"/>
      <c r="AH270" s="3312"/>
      <c r="AI270" s="3312"/>
      <c r="AJ270" s="3312"/>
      <c r="AK270" s="3312"/>
      <c r="AL270" s="3312"/>
      <c r="AM270" s="3312"/>
      <c r="AN270" s="3312"/>
      <c r="AO270" s="3312"/>
      <c r="AP270" s="3312"/>
      <c r="AQ270" s="3312"/>
      <c r="AR270" s="3312"/>
      <c r="AS270" s="3312"/>
      <c r="AT270" s="3312"/>
      <c r="AU270" s="3312"/>
      <c r="AV270" s="3312"/>
      <c r="AW270" s="3312"/>
      <c r="AX270" s="3312"/>
      <c r="AY270" s="3312"/>
    </row>
    <row r="271" spans="1:51" s="888" customFormat="1" ht="33">
      <c r="A271" s="3306" t="s">
        <v>1511</v>
      </c>
      <c r="B271" s="3312"/>
      <c r="C271" s="3312"/>
      <c r="D271" s="3312"/>
      <c r="E271" s="3312"/>
      <c r="F271" s="3312"/>
      <c r="G271" s="3312"/>
      <c r="H271" s="3312"/>
      <c r="I271" s="3312"/>
      <c r="J271" s="3312"/>
      <c r="K271" s="4574" t="s">
        <v>1788</v>
      </c>
      <c r="L271" s="3312"/>
      <c r="M271" s="3312"/>
      <c r="N271" s="3312"/>
      <c r="O271" s="3312"/>
      <c r="P271" s="3312"/>
      <c r="Q271" s="3312"/>
      <c r="R271" s="3312"/>
      <c r="S271" s="3312"/>
      <c r="T271" s="3312"/>
      <c r="U271" s="3312"/>
      <c r="V271" s="3312"/>
      <c r="W271" s="3312"/>
      <c r="X271" s="3312"/>
      <c r="Y271" s="3312"/>
      <c r="Z271" s="3312"/>
      <c r="AA271" s="3312"/>
      <c r="AB271" s="3312"/>
      <c r="AC271" s="3312"/>
      <c r="AD271" s="3312"/>
      <c r="AE271" s="3312"/>
      <c r="AF271" s="3312"/>
      <c r="AG271" s="3312"/>
      <c r="AH271" s="3312"/>
      <c r="AI271" s="3312"/>
      <c r="AJ271" s="3312"/>
      <c r="AK271" s="3312"/>
      <c r="AL271" s="3312"/>
      <c r="AM271" s="3312"/>
      <c r="AN271" s="3312"/>
      <c r="AO271" s="3312"/>
      <c r="AP271" s="3312"/>
      <c r="AQ271" s="3312"/>
      <c r="AR271" s="3312"/>
      <c r="AS271" s="3312"/>
      <c r="AT271" s="3312"/>
      <c r="AU271" s="3312"/>
      <c r="AV271" s="3312"/>
      <c r="AW271" s="3312"/>
      <c r="AX271" s="3312"/>
      <c r="AY271" s="3312"/>
    </row>
    <row r="272" spans="1:51" s="888" customFormat="1" ht="27.75">
      <c r="A272" s="3306" t="s">
        <v>1480</v>
      </c>
      <c r="B272" s="3312"/>
      <c r="C272" s="3312"/>
      <c r="D272" s="3312"/>
      <c r="E272" s="3312"/>
      <c r="F272" s="3312"/>
      <c r="G272" s="3312"/>
      <c r="H272" s="3312"/>
      <c r="I272" s="3312"/>
      <c r="J272" s="3312"/>
      <c r="K272" s="3312"/>
      <c r="L272" s="3312"/>
      <c r="M272" s="3312"/>
      <c r="N272" s="3312"/>
      <c r="O272" s="3312"/>
      <c r="P272" s="3312"/>
      <c r="Q272" s="3312"/>
      <c r="R272" s="3312"/>
      <c r="S272" s="3312"/>
      <c r="T272" s="3312"/>
      <c r="U272" s="3312"/>
      <c r="V272" s="3312"/>
      <c r="W272" s="3312"/>
      <c r="X272" s="3312"/>
      <c r="Y272" s="3312"/>
      <c r="Z272" s="3312"/>
      <c r="AA272" s="3312"/>
      <c r="AB272" s="3312"/>
      <c r="AC272" s="3312"/>
      <c r="AD272" s="3312"/>
      <c r="AE272" s="3312"/>
      <c r="AF272" s="3312"/>
      <c r="AG272" s="3312"/>
      <c r="AH272" s="3312"/>
      <c r="AI272" s="3312"/>
      <c r="AJ272" s="3312"/>
      <c r="AK272" s="3312"/>
      <c r="AL272" s="3312"/>
      <c r="AM272" s="3312"/>
      <c r="AN272" s="3312"/>
      <c r="AO272" s="3312"/>
      <c r="AP272" s="3312"/>
      <c r="AQ272" s="3312"/>
      <c r="AR272" s="3312"/>
      <c r="AS272" s="3312"/>
      <c r="AT272" s="3312"/>
      <c r="AU272" s="3312"/>
      <c r="AV272" s="3312"/>
      <c r="AW272" s="3312"/>
      <c r="AX272" s="3312"/>
      <c r="AY272" s="3312"/>
    </row>
    <row r="273" spans="1:51" s="888" customFormat="1" ht="27.75">
      <c r="A273" s="3306" t="s">
        <v>1512</v>
      </c>
      <c r="B273" s="3312"/>
      <c r="C273" s="3312"/>
      <c r="D273" s="3312"/>
      <c r="E273" s="3312"/>
      <c r="F273" s="3312"/>
      <c r="G273" s="3312"/>
      <c r="H273" s="3312"/>
      <c r="I273" s="3312"/>
      <c r="J273" s="3312"/>
      <c r="K273" s="3312"/>
      <c r="L273" s="3312"/>
      <c r="M273" s="3312"/>
      <c r="N273" s="3312"/>
      <c r="O273" s="3312"/>
      <c r="P273" s="3312"/>
      <c r="Q273" s="3312"/>
      <c r="R273" s="3312"/>
      <c r="S273" s="3312"/>
      <c r="T273" s="3312"/>
      <c r="U273" s="3312"/>
      <c r="V273" s="3312"/>
      <c r="W273" s="3312"/>
      <c r="X273" s="3312"/>
      <c r="Y273" s="3312"/>
      <c r="Z273" s="3312"/>
      <c r="AA273" s="3312"/>
      <c r="AB273" s="3312"/>
      <c r="AC273" s="3312"/>
      <c r="AD273" s="3312"/>
      <c r="AE273" s="3312"/>
      <c r="AF273" s="3312"/>
      <c r="AG273" s="3312"/>
      <c r="AH273" s="3312"/>
      <c r="AI273" s="3312"/>
      <c r="AJ273" s="3312"/>
      <c r="AK273" s="3312"/>
      <c r="AL273" s="3312"/>
      <c r="AM273" s="3312"/>
      <c r="AN273" s="3312"/>
      <c r="AO273" s="3312"/>
      <c r="AP273" s="3312"/>
      <c r="AQ273" s="3312"/>
      <c r="AR273" s="3312"/>
      <c r="AS273" s="3312"/>
      <c r="AT273" s="3312"/>
      <c r="AU273" s="3312"/>
      <c r="AV273" s="3312"/>
      <c r="AW273" s="3312"/>
      <c r="AX273" s="3312"/>
      <c r="AY273" s="3312"/>
    </row>
    <row r="274" spans="1:51" s="888" customFormat="1" ht="27.75">
      <c r="A274" s="3306" t="s">
        <v>1481</v>
      </c>
      <c r="B274" s="3312"/>
      <c r="C274" s="3312"/>
      <c r="D274" s="3312"/>
      <c r="E274" s="3312"/>
      <c r="F274" s="3312"/>
      <c r="G274" s="3312"/>
      <c r="H274" s="3312"/>
      <c r="I274" s="3312"/>
      <c r="J274" s="3312"/>
      <c r="K274" s="3312"/>
      <c r="L274" s="3312"/>
      <c r="M274" s="3312"/>
      <c r="N274" s="3312"/>
      <c r="O274" s="3312"/>
      <c r="P274" s="3312"/>
      <c r="Q274" s="3312"/>
      <c r="R274" s="3312"/>
      <c r="S274" s="3312"/>
      <c r="T274" s="3312"/>
      <c r="U274" s="3312"/>
      <c r="V274" s="3312"/>
      <c r="W274" s="3312"/>
      <c r="X274" s="3312"/>
      <c r="Y274" s="3312"/>
      <c r="Z274" s="3312"/>
      <c r="AA274" s="3312"/>
      <c r="AB274" s="3312"/>
      <c r="AC274" s="3312"/>
      <c r="AD274" s="3312"/>
      <c r="AE274" s="3312"/>
      <c r="AF274" s="3312"/>
      <c r="AG274" s="3312"/>
      <c r="AH274" s="3312"/>
      <c r="AI274" s="3312"/>
      <c r="AJ274" s="3312"/>
      <c r="AK274" s="3312"/>
      <c r="AL274" s="3312"/>
      <c r="AM274" s="3312"/>
      <c r="AN274" s="3312"/>
      <c r="AO274" s="3312"/>
      <c r="AP274" s="3312"/>
      <c r="AQ274" s="3312"/>
      <c r="AR274" s="3312"/>
      <c r="AS274" s="3312"/>
      <c r="AT274" s="3312"/>
      <c r="AU274" s="3312"/>
      <c r="AV274" s="3312"/>
      <c r="AW274" s="3312"/>
      <c r="AX274" s="3312"/>
      <c r="AY274" s="3312"/>
    </row>
    <row r="275" spans="1:51" s="888" customFormat="1" ht="27.75">
      <c r="A275" s="3306" t="s">
        <v>1482</v>
      </c>
      <c r="B275" s="3312"/>
      <c r="C275" s="3312"/>
      <c r="D275" s="3312"/>
      <c r="E275" s="3312"/>
      <c r="F275" s="3312"/>
      <c r="G275" s="3312"/>
      <c r="H275" s="3312"/>
      <c r="I275" s="3312"/>
      <c r="J275" s="3312"/>
      <c r="K275" s="3312"/>
      <c r="L275" s="3312"/>
      <c r="M275" s="3312"/>
      <c r="N275" s="3312"/>
      <c r="O275" s="3312"/>
      <c r="P275" s="3312"/>
      <c r="Q275" s="3312"/>
      <c r="R275" s="3312"/>
      <c r="S275" s="3312"/>
      <c r="T275" s="3312"/>
      <c r="U275" s="3312"/>
      <c r="V275" s="3312"/>
      <c r="W275" s="3312"/>
      <c r="X275" s="3312"/>
      <c r="Y275" s="3312"/>
      <c r="Z275" s="3312"/>
      <c r="AA275" s="3312"/>
      <c r="AB275" s="3312"/>
      <c r="AC275" s="3312"/>
      <c r="AD275" s="3312"/>
      <c r="AE275" s="3312"/>
      <c r="AF275" s="3312"/>
      <c r="AG275" s="3312"/>
      <c r="AH275" s="3312"/>
      <c r="AI275" s="3312"/>
      <c r="AJ275" s="3312"/>
      <c r="AK275" s="3312"/>
      <c r="AL275" s="3312"/>
      <c r="AM275" s="3312"/>
      <c r="AN275" s="3312"/>
      <c r="AO275" s="3312"/>
      <c r="AP275" s="3312"/>
      <c r="AQ275" s="3312"/>
      <c r="AR275" s="3312"/>
      <c r="AS275" s="3312"/>
      <c r="AT275" s="3312"/>
      <c r="AU275" s="3312"/>
      <c r="AV275" s="3312"/>
      <c r="AW275" s="3312"/>
      <c r="AX275" s="3312"/>
      <c r="AY275" s="3312"/>
    </row>
    <row r="276" spans="1:51" s="888" customFormat="1" ht="27.75">
      <c r="A276" s="3306" t="s">
        <v>1483</v>
      </c>
      <c r="B276" s="3312"/>
      <c r="C276" s="3312"/>
      <c r="D276" s="3312"/>
      <c r="E276" s="3312"/>
      <c r="F276" s="3312"/>
      <c r="G276" s="3312"/>
      <c r="H276" s="3312"/>
      <c r="I276" s="3312"/>
      <c r="J276" s="3312"/>
      <c r="K276" s="3312"/>
      <c r="L276" s="3312"/>
      <c r="M276" s="3312"/>
      <c r="N276" s="3312"/>
      <c r="O276" s="3312"/>
      <c r="P276" s="3312"/>
      <c r="Q276" s="3312"/>
      <c r="R276" s="3312"/>
      <c r="S276" s="3312"/>
      <c r="T276" s="3312"/>
      <c r="U276" s="3312"/>
      <c r="V276" s="3312"/>
      <c r="W276" s="3312"/>
      <c r="X276" s="3312"/>
      <c r="Y276" s="3312"/>
      <c r="Z276" s="3312"/>
      <c r="AA276" s="3312"/>
      <c r="AB276" s="3312"/>
      <c r="AC276" s="3312"/>
      <c r="AD276" s="3312"/>
      <c r="AE276" s="3312"/>
      <c r="AF276" s="3312"/>
      <c r="AG276" s="3312"/>
      <c r="AH276" s="3312"/>
      <c r="AI276" s="3312"/>
      <c r="AJ276" s="3312"/>
      <c r="AK276" s="3312"/>
      <c r="AL276" s="3312"/>
      <c r="AM276" s="3312"/>
      <c r="AN276" s="3312"/>
      <c r="AO276" s="3312"/>
      <c r="AP276" s="3312"/>
      <c r="AQ276" s="3312"/>
      <c r="AR276" s="3312"/>
      <c r="AS276" s="3312"/>
      <c r="AT276" s="3312"/>
      <c r="AU276" s="3312"/>
      <c r="AV276" s="3312"/>
      <c r="AW276" s="3312"/>
      <c r="AX276" s="3312"/>
      <c r="AY276" s="3312"/>
    </row>
    <row r="277" spans="1:51" s="888" customFormat="1" ht="27.75">
      <c r="A277" s="3306" t="s">
        <v>1484</v>
      </c>
      <c r="B277" s="3312"/>
      <c r="C277" s="3312"/>
      <c r="D277" s="3312"/>
      <c r="E277" s="3312"/>
      <c r="F277" s="3312"/>
      <c r="G277" s="3312"/>
      <c r="H277" s="3312"/>
      <c r="I277" s="3312"/>
      <c r="J277" s="3312"/>
      <c r="K277" s="3312"/>
      <c r="L277" s="3312"/>
      <c r="M277" s="3312"/>
      <c r="N277" s="3312"/>
      <c r="O277" s="3312"/>
      <c r="P277" s="3312"/>
      <c r="Q277" s="3312"/>
      <c r="R277" s="3312"/>
      <c r="S277" s="3312"/>
      <c r="T277" s="3312"/>
      <c r="U277" s="3312"/>
      <c r="V277" s="3312"/>
      <c r="W277" s="3312"/>
      <c r="X277" s="3312"/>
      <c r="Y277" s="3312"/>
      <c r="Z277" s="3312"/>
      <c r="AA277" s="3312"/>
      <c r="AB277" s="3312"/>
      <c r="AC277" s="3312"/>
      <c r="AD277" s="3312"/>
      <c r="AE277" s="3312"/>
      <c r="AF277" s="3312"/>
      <c r="AG277" s="3312"/>
      <c r="AH277" s="3312"/>
      <c r="AI277" s="3312"/>
      <c r="AJ277" s="3312"/>
      <c r="AK277" s="3312"/>
      <c r="AL277" s="3312"/>
      <c r="AM277" s="3312"/>
      <c r="AN277" s="3312"/>
      <c r="AO277" s="3312"/>
      <c r="AP277" s="3312"/>
      <c r="AQ277" s="3312"/>
      <c r="AR277" s="3312"/>
      <c r="AS277" s="3312"/>
      <c r="AT277" s="3312"/>
      <c r="AU277" s="3312"/>
      <c r="AV277" s="3312"/>
      <c r="AW277" s="3312"/>
      <c r="AX277" s="3312"/>
      <c r="AY277" s="3312"/>
    </row>
    <row r="278" spans="1:51" s="888" customFormat="1" ht="27.75">
      <c r="A278" s="3306" t="s">
        <v>1487</v>
      </c>
      <c r="B278" s="3312"/>
      <c r="C278" s="3312"/>
      <c r="D278" s="3312"/>
      <c r="E278" s="3312"/>
      <c r="F278" s="3312"/>
      <c r="G278" s="3312"/>
      <c r="H278" s="3312"/>
      <c r="I278" s="3312"/>
      <c r="J278" s="3312"/>
      <c r="K278" s="3312"/>
      <c r="L278" s="3312"/>
      <c r="M278" s="3312"/>
      <c r="N278" s="3312"/>
      <c r="O278" s="3312"/>
      <c r="P278" s="3312"/>
      <c r="Q278" s="3312"/>
      <c r="R278" s="3312"/>
      <c r="S278" s="3312"/>
      <c r="T278" s="3312"/>
      <c r="U278" s="3312"/>
      <c r="V278" s="3312"/>
      <c r="W278" s="3312"/>
      <c r="X278" s="3312"/>
      <c r="Y278" s="3312"/>
      <c r="Z278" s="3312"/>
      <c r="AA278" s="3312"/>
      <c r="AB278" s="3312"/>
      <c r="AC278" s="3312"/>
      <c r="AD278" s="3312"/>
      <c r="AE278" s="3312"/>
      <c r="AF278" s="3312"/>
      <c r="AG278" s="3312"/>
      <c r="AH278" s="3312"/>
      <c r="AI278" s="3312"/>
      <c r="AJ278" s="3312"/>
      <c r="AK278" s="3312"/>
      <c r="AL278" s="3312"/>
      <c r="AM278" s="3312"/>
      <c r="AN278" s="3312"/>
      <c r="AO278" s="3312"/>
      <c r="AP278" s="3312"/>
      <c r="AQ278" s="3312"/>
      <c r="AR278" s="3312"/>
      <c r="AS278" s="3312"/>
      <c r="AT278" s="3312"/>
      <c r="AU278" s="3312"/>
      <c r="AV278" s="3312"/>
      <c r="AW278" s="3312"/>
      <c r="AX278" s="3312"/>
      <c r="AY278" s="3312"/>
    </row>
    <row r="279" spans="1:51" s="888" customFormat="1" ht="27.75">
      <c r="A279" s="3306" t="s">
        <v>1485</v>
      </c>
      <c r="B279" s="3312"/>
      <c r="C279" s="3312"/>
      <c r="D279" s="3312"/>
      <c r="E279" s="3312"/>
      <c r="F279" s="3312"/>
      <c r="G279" s="3312"/>
      <c r="H279" s="3312"/>
      <c r="I279" s="3312"/>
      <c r="J279" s="3312"/>
      <c r="K279" s="3312"/>
      <c r="L279" s="3312"/>
      <c r="M279" s="3312"/>
      <c r="N279" s="3312"/>
      <c r="O279" s="3312"/>
      <c r="P279" s="3312"/>
      <c r="Q279" s="3312"/>
      <c r="R279" s="3312"/>
      <c r="S279" s="3312"/>
      <c r="T279" s="3312"/>
      <c r="U279" s="3312"/>
      <c r="V279" s="3312"/>
      <c r="W279" s="3312"/>
      <c r="X279" s="3312"/>
      <c r="Y279" s="3312"/>
      <c r="Z279" s="3312"/>
      <c r="AA279" s="3312"/>
      <c r="AB279" s="3312"/>
      <c r="AC279" s="3312"/>
      <c r="AD279" s="3312"/>
      <c r="AE279" s="3312"/>
      <c r="AF279" s="3312"/>
      <c r="AG279" s="3312"/>
      <c r="AH279" s="3312"/>
      <c r="AI279" s="3312"/>
      <c r="AJ279" s="3312"/>
      <c r="AK279" s="3312"/>
      <c r="AL279" s="3312"/>
      <c r="AM279" s="3312"/>
      <c r="AN279" s="3312"/>
      <c r="AO279" s="3312"/>
      <c r="AP279" s="3312"/>
      <c r="AQ279" s="3312"/>
      <c r="AR279" s="3312"/>
      <c r="AS279" s="3312"/>
      <c r="AT279" s="3312"/>
      <c r="AU279" s="3312"/>
      <c r="AV279" s="3312"/>
      <c r="AW279" s="3312"/>
      <c r="AX279" s="3312"/>
      <c r="AY279" s="3312"/>
    </row>
    <row r="280" spans="1:51" s="888" customFormat="1" ht="27.75">
      <c r="A280" s="3306" t="s">
        <v>1486</v>
      </c>
      <c r="B280" s="3312"/>
      <c r="C280" s="3312"/>
      <c r="D280" s="3312"/>
      <c r="E280" s="3312"/>
      <c r="F280" s="3312"/>
      <c r="G280" s="3312"/>
      <c r="H280" s="3312"/>
      <c r="I280" s="3312"/>
      <c r="J280" s="3312"/>
      <c r="K280" s="3312"/>
      <c r="L280" s="3312"/>
      <c r="M280" s="3312"/>
      <c r="N280" s="3312"/>
      <c r="O280" s="3312"/>
      <c r="P280" s="3312"/>
      <c r="Q280" s="3312"/>
      <c r="R280" s="3312"/>
      <c r="S280" s="3312"/>
      <c r="T280" s="3312"/>
      <c r="U280" s="3312"/>
      <c r="V280" s="3312"/>
      <c r="W280" s="3312"/>
      <c r="X280" s="3312"/>
      <c r="Y280" s="3312"/>
      <c r="Z280" s="3312"/>
      <c r="AA280" s="3312"/>
      <c r="AB280" s="3312"/>
      <c r="AC280" s="3312"/>
      <c r="AD280" s="3312"/>
      <c r="AE280" s="3312"/>
      <c r="AF280" s="3312"/>
      <c r="AG280" s="3312"/>
      <c r="AH280" s="3312"/>
      <c r="AI280" s="3312"/>
      <c r="AJ280" s="3312"/>
      <c r="AK280" s="3312"/>
      <c r="AL280" s="3312"/>
      <c r="AM280" s="3312"/>
      <c r="AN280" s="3312"/>
      <c r="AO280" s="3312"/>
      <c r="AP280" s="3312"/>
      <c r="AQ280" s="3312"/>
      <c r="AR280" s="3312"/>
      <c r="AS280" s="3312"/>
      <c r="AT280" s="3312"/>
      <c r="AU280" s="3312"/>
      <c r="AV280" s="3312"/>
      <c r="AW280" s="3312"/>
      <c r="AX280" s="3312"/>
      <c r="AY280" s="3312"/>
    </row>
    <row r="281" spans="1:51" s="888" customFormat="1" ht="27.75">
      <c r="A281" s="3306" t="s">
        <v>1488</v>
      </c>
      <c r="B281" s="3312"/>
      <c r="C281" s="3312"/>
      <c r="D281" s="3312"/>
      <c r="E281" s="3312"/>
      <c r="F281" s="3312"/>
      <c r="G281" s="3312"/>
      <c r="H281" s="3312"/>
      <c r="I281" s="3312"/>
      <c r="J281" s="3312"/>
      <c r="K281" s="3312"/>
      <c r="L281" s="3312"/>
      <c r="M281" s="3312"/>
      <c r="N281" s="3312"/>
      <c r="O281" s="3312"/>
      <c r="P281" s="3312"/>
      <c r="Q281" s="3312"/>
      <c r="R281" s="3312"/>
      <c r="S281" s="3312"/>
      <c r="T281" s="3312"/>
      <c r="U281" s="3312"/>
      <c r="V281" s="3312"/>
      <c r="W281" s="3312"/>
      <c r="X281" s="3312"/>
      <c r="Y281" s="3312"/>
      <c r="Z281" s="3312"/>
      <c r="AA281" s="3312"/>
      <c r="AB281" s="3312"/>
      <c r="AC281" s="3312"/>
      <c r="AD281" s="3312"/>
      <c r="AE281" s="3312"/>
      <c r="AF281" s="3312"/>
      <c r="AG281" s="3312"/>
      <c r="AH281" s="3312"/>
      <c r="AI281" s="3312"/>
      <c r="AJ281" s="3312"/>
      <c r="AK281" s="3312"/>
      <c r="AL281" s="3312"/>
      <c r="AM281" s="3312"/>
      <c r="AN281" s="3312"/>
      <c r="AO281" s="3312"/>
      <c r="AP281" s="3312"/>
      <c r="AQ281" s="3312"/>
      <c r="AR281" s="3312"/>
      <c r="AS281" s="3312"/>
      <c r="AT281" s="3312"/>
      <c r="AU281" s="3312"/>
      <c r="AV281" s="3312"/>
      <c r="AW281" s="3312"/>
      <c r="AX281" s="3312"/>
      <c r="AY281" s="3312"/>
    </row>
    <row r="282" spans="1:51" s="888" customFormat="1" ht="27.75">
      <c r="A282" s="3306" t="s">
        <v>1489</v>
      </c>
      <c r="B282" s="3312"/>
      <c r="C282" s="3312"/>
      <c r="D282" s="3312"/>
      <c r="E282" s="3312"/>
      <c r="F282" s="3312"/>
      <c r="G282" s="3312"/>
      <c r="H282" s="3312"/>
      <c r="I282" s="3312"/>
      <c r="J282" s="3312"/>
      <c r="K282" s="3312"/>
      <c r="L282" s="3312"/>
      <c r="M282" s="3312"/>
      <c r="N282" s="3312"/>
      <c r="O282" s="3312"/>
      <c r="P282" s="3312"/>
      <c r="Q282" s="3312"/>
      <c r="R282" s="3312"/>
      <c r="S282" s="3312"/>
      <c r="T282" s="3312"/>
      <c r="U282" s="3312"/>
      <c r="V282" s="3312"/>
      <c r="W282" s="3312"/>
      <c r="X282" s="3312"/>
      <c r="Y282" s="3312"/>
      <c r="Z282" s="3312"/>
      <c r="AA282" s="3312"/>
      <c r="AB282" s="3312"/>
      <c r="AC282" s="3312"/>
      <c r="AD282" s="3312"/>
      <c r="AE282" s="3312"/>
      <c r="AF282" s="3312"/>
      <c r="AG282" s="3312"/>
      <c r="AH282" s="3312"/>
      <c r="AI282" s="3312"/>
      <c r="AJ282" s="3312"/>
      <c r="AK282" s="3312"/>
      <c r="AL282" s="3312"/>
      <c r="AM282" s="3312"/>
      <c r="AN282" s="3312"/>
      <c r="AO282" s="3312"/>
      <c r="AP282" s="3312"/>
      <c r="AQ282" s="3312"/>
      <c r="AR282" s="3312"/>
      <c r="AS282" s="3312"/>
      <c r="AT282" s="3312"/>
      <c r="AU282" s="3312"/>
      <c r="AV282" s="3312"/>
      <c r="AW282" s="3312"/>
      <c r="AX282" s="3312"/>
      <c r="AY282" s="3312"/>
    </row>
    <row r="283" spans="1:51" s="888" customFormat="1" ht="27.75">
      <c r="A283" s="3306" t="s">
        <v>1513</v>
      </c>
      <c r="B283" s="3312"/>
      <c r="C283" s="3312"/>
      <c r="D283" s="3312"/>
      <c r="E283" s="3312"/>
      <c r="F283" s="3312"/>
      <c r="G283" s="3312"/>
      <c r="H283" s="3312"/>
      <c r="I283" s="3312"/>
      <c r="J283" s="3312"/>
      <c r="K283" s="3312"/>
      <c r="L283" s="3312"/>
      <c r="M283" s="3312"/>
      <c r="N283" s="3312"/>
      <c r="O283" s="3312"/>
      <c r="P283" s="3312"/>
      <c r="Q283" s="3312"/>
      <c r="R283" s="3312"/>
      <c r="S283" s="3312"/>
      <c r="T283" s="3312"/>
      <c r="U283" s="3312"/>
      <c r="V283" s="3312"/>
      <c r="W283" s="3312"/>
      <c r="X283" s="3312"/>
      <c r="Y283" s="3312"/>
      <c r="Z283" s="3312"/>
      <c r="AA283" s="3312"/>
      <c r="AB283" s="3312"/>
      <c r="AC283" s="3312"/>
      <c r="AD283" s="3312"/>
      <c r="AE283" s="3312"/>
      <c r="AF283" s="3312"/>
      <c r="AG283" s="3312"/>
      <c r="AH283" s="3312"/>
      <c r="AI283" s="3312"/>
      <c r="AJ283" s="3312"/>
      <c r="AK283" s="3312"/>
      <c r="AL283" s="3312"/>
      <c r="AM283" s="3312"/>
      <c r="AN283" s="3312"/>
      <c r="AO283" s="3312"/>
      <c r="AP283" s="3312"/>
      <c r="AQ283" s="3312"/>
      <c r="AR283" s="3312"/>
      <c r="AS283" s="3312"/>
      <c r="AT283" s="3312"/>
      <c r="AU283" s="3312"/>
      <c r="AV283" s="3312"/>
      <c r="AW283" s="3312"/>
      <c r="AX283" s="3312"/>
      <c r="AY283" s="3312"/>
    </row>
    <row r="284" spans="1:51" s="888" customFormat="1" ht="27.75">
      <c r="A284" s="3306" t="s">
        <v>1490</v>
      </c>
      <c r="B284" s="3312"/>
      <c r="C284" s="3312"/>
      <c r="D284" s="3312"/>
      <c r="E284" s="3312"/>
      <c r="F284" s="3312"/>
      <c r="G284" s="3312"/>
      <c r="H284" s="3312"/>
      <c r="I284" s="3312"/>
      <c r="J284" s="3312"/>
      <c r="K284" s="3312"/>
      <c r="L284" s="3312"/>
      <c r="M284" s="3312"/>
      <c r="N284" s="3312"/>
      <c r="O284" s="3312"/>
      <c r="P284" s="3312"/>
      <c r="Q284" s="3312"/>
      <c r="R284" s="3312"/>
      <c r="S284" s="3312"/>
      <c r="T284" s="3312"/>
      <c r="U284" s="3312"/>
      <c r="V284" s="3312"/>
      <c r="W284" s="3312"/>
      <c r="X284" s="3312"/>
      <c r="Y284" s="3312"/>
      <c r="Z284" s="3312"/>
      <c r="AA284" s="3312"/>
      <c r="AB284" s="3312"/>
      <c r="AC284" s="3312"/>
      <c r="AD284" s="3312"/>
      <c r="AE284" s="3312"/>
      <c r="AF284" s="3312"/>
      <c r="AG284" s="3312"/>
      <c r="AH284" s="3312"/>
      <c r="AI284" s="3312"/>
      <c r="AJ284" s="3312"/>
      <c r="AK284" s="3312"/>
      <c r="AL284" s="3312"/>
      <c r="AM284" s="3312"/>
      <c r="AN284" s="3312"/>
      <c r="AO284" s="3312"/>
      <c r="AP284" s="3312"/>
      <c r="AQ284" s="3312"/>
      <c r="AR284" s="3312"/>
      <c r="AS284" s="3312"/>
      <c r="AT284" s="3312"/>
      <c r="AU284" s="3312"/>
      <c r="AV284" s="3312"/>
      <c r="AW284" s="3312"/>
      <c r="AX284" s="3312"/>
      <c r="AY284" s="3312"/>
    </row>
    <row r="285" spans="1:51" s="888" customFormat="1" ht="27.75">
      <c r="A285" s="3306" t="s">
        <v>1491</v>
      </c>
      <c r="B285" s="3323"/>
      <c r="C285" s="3323"/>
      <c r="D285" s="3296"/>
      <c r="E285" s="3296"/>
      <c r="F285" s="3310"/>
      <c r="G285" s="3323"/>
      <c r="H285" s="3323"/>
      <c r="I285" s="3337"/>
      <c r="J285" s="3312"/>
      <c r="K285" s="3312"/>
      <c r="L285" s="3312"/>
      <c r="M285" s="3312"/>
      <c r="N285" s="3312"/>
      <c r="O285" s="3312"/>
      <c r="P285" s="3312"/>
      <c r="Q285" s="3312"/>
      <c r="R285" s="3312"/>
      <c r="S285" s="3312"/>
      <c r="T285" s="3312"/>
      <c r="U285" s="3312"/>
      <c r="V285" s="3312"/>
      <c r="W285" s="3312"/>
      <c r="X285" s="3312"/>
      <c r="Y285" s="3312"/>
      <c r="Z285" s="3312"/>
      <c r="AA285" s="3312"/>
      <c r="AB285" s="3312"/>
      <c r="AC285" s="3312"/>
      <c r="AD285" s="3312"/>
      <c r="AE285" s="3312"/>
      <c r="AF285" s="3312"/>
      <c r="AG285" s="3312"/>
      <c r="AH285" s="3312"/>
      <c r="AI285" s="3312"/>
      <c r="AJ285" s="3312"/>
      <c r="AK285" s="3312"/>
      <c r="AL285" s="3312"/>
      <c r="AM285" s="3312"/>
      <c r="AN285" s="3312"/>
      <c r="AO285" s="3312"/>
      <c r="AP285" s="3312"/>
      <c r="AQ285" s="3312"/>
      <c r="AR285" s="3312"/>
      <c r="AS285" s="3312"/>
      <c r="AT285" s="3312"/>
      <c r="AU285" s="3312"/>
      <c r="AV285" s="3312"/>
      <c r="AW285" s="3312"/>
      <c r="AX285" s="3312"/>
      <c r="AY285" s="3312"/>
    </row>
    <row r="286" spans="1:51" s="888" customFormat="1" ht="27.75">
      <c r="A286" s="3306" t="s">
        <v>1492</v>
      </c>
      <c r="B286" s="3307"/>
      <c r="C286" s="3307"/>
      <c r="D286" s="3296"/>
      <c r="E286" s="3296"/>
      <c r="F286" s="3310"/>
      <c r="G286" s="3307"/>
      <c r="H286" s="3307"/>
      <c r="I286" s="3334"/>
      <c r="J286" s="3312"/>
      <c r="K286" s="3312"/>
      <c r="L286" s="3312"/>
      <c r="M286" s="3312"/>
      <c r="N286" s="3312"/>
      <c r="O286" s="3312"/>
      <c r="P286" s="3312"/>
      <c r="Q286" s="3312"/>
      <c r="R286" s="3312"/>
      <c r="S286" s="3312"/>
      <c r="T286" s="3312"/>
      <c r="U286" s="3312"/>
      <c r="V286" s="3312"/>
      <c r="W286" s="3312"/>
      <c r="X286" s="3312"/>
      <c r="Y286" s="3312"/>
      <c r="Z286" s="3312"/>
      <c r="AA286" s="3312"/>
      <c r="AB286" s="3312"/>
      <c r="AC286" s="3312"/>
      <c r="AD286" s="3312"/>
      <c r="AE286" s="3312"/>
      <c r="AF286" s="3312"/>
      <c r="AG286" s="3312"/>
      <c r="AH286" s="3312"/>
      <c r="AI286" s="3312"/>
      <c r="AJ286" s="3312"/>
      <c r="AK286" s="3312"/>
      <c r="AL286" s="3312"/>
      <c r="AM286" s="3312"/>
      <c r="AN286" s="3312"/>
      <c r="AO286" s="3312"/>
      <c r="AP286" s="3312"/>
      <c r="AQ286" s="3312"/>
      <c r="AR286" s="3312"/>
      <c r="AS286" s="3312"/>
      <c r="AT286" s="3312"/>
      <c r="AU286" s="3312"/>
      <c r="AV286" s="3312"/>
      <c r="AW286" s="3312"/>
      <c r="AX286" s="3312"/>
      <c r="AY286" s="3312"/>
    </row>
    <row r="287" spans="1:51" s="888" customFormat="1" ht="27.75">
      <c r="A287" s="3306" t="s">
        <v>1497</v>
      </c>
      <c r="B287" s="3307"/>
      <c r="C287" s="3307"/>
      <c r="D287" s="3296"/>
      <c r="E287" s="3296"/>
      <c r="F287" s="3309"/>
      <c r="G287" s="3307"/>
      <c r="H287" s="3307"/>
      <c r="I287" s="3338"/>
      <c r="J287" s="3312"/>
      <c r="K287" s="3312"/>
      <c r="L287" s="3312"/>
      <c r="M287" s="3312"/>
      <c r="N287" s="3312"/>
      <c r="O287" s="3312"/>
      <c r="P287" s="3312"/>
      <c r="Q287" s="3312"/>
      <c r="R287" s="3312"/>
      <c r="S287" s="3312"/>
      <c r="T287" s="3312"/>
      <c r="U287" s="3312"/>
      <c r="V287" s="3312"/>
      <c r="W287" s="3312"/>
      <c r="X287" s="3312"/>
      <c r="Y287" s="3312"/>
      <c r="Z287" s="3312"/>
      <c r="AA287" s="3312"/>
      <c r="AB287" s="3312"/>
      <c r="AC287" s="3312"/>
      <c r="AD287" s="3312"/>
      <c r="AE287" s="3312"/>
      <c r="AF287" s="3312"/>
      <c r="AG287" s="3312"/>
      <c r="AH287" s="3312"/>
      <c r="AI287" s="3312"/>
      <c r="AJ287" s="3312"/>
      <c r="AK287" s="3312"/>
      <c r="AL287" s="3312"/>
      <c r="AM287" s="3312"/>
      <c r="AN287" s="3312"/>
      <c r="AO287" s="3312"/>
      <c r="AP287" s="3312"/>
      <c r="AQ287" s="3312"/>
      <c r="AR287" s="3312"/>
      <c r="AS287" s="3312"/>
      <c r="AT287" s="3312"/>
      <c r="AU287" s="3312"/>
      <c r="AV287" s="3312"/>
      <c r="AW287" s="3312"/>
      <c r="AX287" s="3312"/>
      <c r="AY287" s="3312"/>
    </row>
    <row r="288" spans="1:51" s="888" customFormat="1" ht="27.75">
      <c r="A288" s="3306" t="s">
        <v>1490</v>
      </c>
      <c r="B288" s="3307"/>
      <c r="C288" s="3307"/>
      <c r="D288" s="3296"/>
      <c r="E288" s="3296"/>
      <c r="F288" s="3309"/>
      <c r="G288" s="3307"/>
      <c r="H288" s="3307"/>
      <c r="I288" s="3338"/>
      <c r="J288" s="3312"/>
      <c r="K288" s="3312"/>
      <c r="L288" s="3312"/>
      <c r="M288" s="3312"/>
      <c r="N288" s="3312"/>
      <c r="O288" s="3312"/>
      <c r="P288" s="3312"/>
      <c r="Q288" s="3312"/>
      <c r="R288" s="3312"/>
      <c r="S288" s="3312"/>
      <c r="T288" s="3312"/>
      <c r="U288" s="3312"/>
      <c r="V288" s="3312"/>
      <c r="W288" s="3312"/>
      <c r="X288" s="3312"/>
      <c r="Y288" s="3312"/>
      <c r="Z288" s="3312"/>
      <c r="AA288" s="3312"/>
      <c r="AB288" s="3312"/>
      <c r="AC288" s="3312"/>
      <c r="AD288" s="3312"/>
      <c r="AE288" s="3312"/>
      <c r="AF288" s="3312"/>
      <c r="AG288" s="3312"/>
      <c r="AH288" s="3312"/>
      <c r="AI288" s="3312"/>
      <c r="AJ288" s="3312"/>
      <c r="AK288" s="3312"/>
      <c r="AL288" s="3312"/>
      <c r="AM288" s="3312"/>
      <c r="AN288" s="3312"/>
      <c r="AO288" s="3312"/>
      <c r="AP288" s="3312"/>
      <c r="AQ288" s="3312"/>
      <c r="AR288" s="3312"/>
      <c r="AS288" s="3312"/>
      <c r="AT288" s="3312"/>
      <c r="AU288" s="3312"/>
      <c r="AV288" s="3312"/>
      <c r="AW288" s="3312"/>
      <c r="AX288" s="3312"/>
      <c r="AY288" s="3312"/>
    </row>
    <row r="289" spans="1:51" s="888" customFormat="1" ht="27.75">
      <c r="A289" s="3306" t="s">
        <v>1493</v>
      </c>
      <c r="B289" s="3307"/>
      <c r="C289" s="3307"/>
      <c r="D289" s="3296"/>
      <c r="E289" s="3296"/>
      <c r="F289" s="3309"/>
      <c r="G289" s="3307"/>
      <c r="H289" s="3292"/>
      <c r="I289" s="3334"/>
      <c r="J289" s="3312"/>
      <c r="K289" s="3312"/>
      <c r="L289" s="3312"/>
      <c r="M289" s="3312"/>
      <c r="N289" s="3312"/>
      <c r="O289" s="3312"/>
      <c r="P289" s="3312"/>
      <c r="Q289" s="3312"/>
      <c r="R289" s="3312"/>
      <c r="S289" s="3312"/>
      <c r="T289" s="3312"/>
      <c r="U289" s="3312"/>
      <c r="V289" s="3312"/>
      <c r="W289" s="3312"/>
      <c r="X289" s="3312"/>
      <c r="Y289" s="3312"/>
      <c r="Z289" s="3312"/>
      <c r="AA289" s="3312"/>
      <c r="AB289" s="3312"/>
      <c r="AC289" s="3312"/>
      <c r="AD289" s="3312"/>
      <c r="AE289" s="3312"/>
      <c r="AF289" s="3312"/>
      <c r="AG289" s="3312"/>
      <c r="AH289" s="3312"/>
      <c r="AI289" s="3312"/>
      <c r="AJ289" s="3312"/>
      <c r="AK289" s="3312"/>
      <c r="AL289" s="3312"/>
      <c r="AM289" s="3312"/>
      <c r="AN289" s="3312"/>
      <c r="AO289" s="3312"/>
      <c r="AP289" s="3312"/>
      <c r="AQ289" s="3312"/>
      <c r="AR289" s="3312"/>
      <c r="AS289" s="3312"/>
      <c r="AT289" s="3312"/>
      <c r="AU289" s="3312"/>
      <c r="AV289" s="3312"/>
      <c r="AW289" s="3312"/>
      <c r="AX289" s="3312"/>
      <c r="AY289" s="3312"/>
    </row>
    <row r="290" spans="1:51" s="888" customFormat="1" ht="27.75">
      <c r="A290" s="3306" t="s">
        <v>1494</v>
      </c>
      <c r="B290" s="3307"/>
      <c r="C290" s="3307"/>
      <c r="D290" s="3296"/>
      <c r="E290" s="3296"/>
      <c r="F290" s="3309"/>
      <c r="G290" s="3307"/>
      <c r="H290" s="3312"/>
      <c r="I290" s="3338"/>
      <c r="J290" s="3312"/>
      <c r="K290" s="3312"/>
      <c r="L290" s="3312"/>
      <c r="M290" s="3312"/>
      <c r="N290" s="3312"/>
      <c r="O290" s="3312"/>
      <c r="P290" s="3312"/>
      <c r="Q290" s="3312"/>
      <c r="R290" s="3312"/>
      <c r="S290" s="3312"/>
      <c r="T290" s="3312"/>
      <c r="U290" s="3312"/>
      <c r="V290" s="3312"/>
      <c r="W290" s="3312"/>
      <c r="X290" s="3312"/>
      <c r="Y290" s="3312"/>
      <c r="Z290" s="3312"/>
      <c r="AA290" s="3312"/>
      <c r="AB290" s="3312"/>
      <c r="AC290" s="3312"/>
      <c r="AD290" s="3312"/>
      <c r="AE290" s="3312"/>
      <c r="AF290" s="3312"/>
      <c r="AG290" s="3312"/>
      <c r="AH290" s="3312"/>
      <c r="AI290" s="3312"/>
      <c r="AJ290" s="3312"/>
      <c r="AK290" s="3312"/>
      <c r="AL290" s="3312"/>
      <c r="AM290" s="3312"/>
      <c r="AN290" s="3312"/>
      <c r="AO290" s="3312"/>
      <c r="AP290" s="3312"/>
      <c r="AQ290" s="3312"/>
      <c r="AR290" s="3312"/>
      <c r="AS290" s="3312"/>
      <c r="AT290" s="3312"/>
      <c r="AU290" s="3312"/>
      <c r="AV290" s="3312"/>
      <c r="AW290" s="3312"/>
      <c r="AX290" s="3312"/>
      <c r="AY290" s="3312"/>
    </row>
    <row r="291" spans="1:51" s="888" customFormat="1" ht="27.75">
      <c r="A291" s="3306" t="s">
        <v>1514</v>
      </c>
      <c r="B291" s="3307"/>
      <c r="C291" s="3307"/>
      <c r="D291" s="3296"/>
      <c r="E291" s="3296"/>
      <c r="F291" s="3309"/>
      <c r="G291" s="3307"/>
      <c r="H291" s="3312"/>
      <c r="I291" s="3338"/>
      <c r="J291" s="3312"/>
      <c r="K291" s="3312"/>
      <c r="L291" s="3312"/>
      <c r="M291" s="3312"/>
      <c r="N291" s="3312"/>
      <c r="O291" s="3312"/>
      <c r="P291" s="3312"/>
      <c r="Q291" s="3312"/>
      <c r="R291" s="3312"/>
      <c r="S291" s="3312"/>
      <c r="T291" s="3312"/>
      <c r="U291" s="3312"/>
      <c r="V291" s="3312"/>
      <c r="W291" s="3312"/>
      <c r="X291" s="3312"/>
      <c r="Y291" s="3312"/>
      <c r="Z291" s="3312"/>
      <c r="AA291" s="3312"/>
      <c r="AB291" s="3312"/>
      <c r="AC291" s="3312"/>
      <c r="AD291" s="3312"/>
      <c r="AE291" s="3312"/>
      <c r="AF291" s="3312"/>
      <c r="AG291" s="3312"/>
      <c r="AH291" s="3312"/>
      <c r="AI291" s="3312"/>
      <c r="AJ291" s="3312"/>
      <c r="AK291" s="3312"/>
      <c r="AL291" s="3312"/>
      <c r="AM291" s="3312"/>
      <c r="AN291" s="3312"/>
      <c r="AO291" s="3312"/>
      <c r="AP291" s="3312"/>
      <c r="AQ291" s="3312"/>
      <c r="AR291" s="3312"/>
      <c r="AS291" s="3312"/>
      <c r="AT291" s="3312"/>
      <c r="AU291" s="3312"/>
      <c r="AV291" s="3312"/>
      <c r="AW291" s="3312"/>
      <c r="AX291" s="3312"/>
      <c r="AY291" s="3312"/>
    </row>
    <row r="292" spans="1:51" s="888" customFormat="1" ht="27.75">
      <c r="A292" s="3306" t="s">
        <v>1502</v>
      </c>
      <c r="B292" s="3307"/>
      <c r="C292" s="3307"/>
      <c r="D292" s="3296"/>
      <c r="E292" s="3296"/>
      <c r="F292" s="3309"/>
      <c r="G292" s="3307"/>
      <c r="H292" s="3312"/>
      <c r="I292" s="3338"/>
      <c r="J292" s="3312"/>
      <c r="K292" s="3312"/>
      <c r="L292" s="3312"/>
      <c r="M292" s="3312"/>
      <c r="N292" s="3312"/>
      <c r="O292" s="3312"/>
      <c r="P292" s="3312"/>
      <c r="Q292" s="3312"/>
      <c r="R292" s="3312"/>
      <c r="S292" s="3312"/>
      <c r="T292" s="3312"/>
      <c r="U292" s="3312"/>
      <c r="V292" s="3312"/>
      <c r="W292" s="3312"/>
      <c r="X292" s="3312"/>
      <c r="Y292" s="3312"/>
      <c r="Z292" s="3312"/>
      <c r="AA292" s="3312"/>
      <c r="AB292" s="3312"/>
      <c r="AC292" s="3312"/>
      <c r="AD292" s="3312"/>
      <c r="AE292" s="3312"/>
      <c r="AF292" s="3312"/>
      <c r="AG292" s="3312"/>
      <c r="AH292" s="3312"/>
      <c r="AI292" s="3312"/>
      <c r="AJ292" s="3312"/>
      <c r="AK292" s="3312"/>
      <c r="AL292" s="3312"/>
      <c r="AM292" s="3312"/>
      <c r="AN292" s="3312"/>
      <c r="AO292" s="3312"/>
      <c r="AP292" s="3312"/>
      <c r="AQ292" s="3312"/>
      <c r="AR292" s="3312"/>
      <c r="AS292" s="3312"/>
      <c r="AT292" s="3312"/>
      <c r="AU292" s="3312"/>
      <c r="AV292" s="3312"/>
      <c r="AW292" s="3312"/>
      <c r="AX292" s="3312"/>
      <c r="AY292" s="3312"/>
    </row>
    <row r="293" spans="1:51" s="888" customFormat="1" ht="27.75">
      <c r="A293" s="3306" t="s">
        <v>1495</v>
      </c>
      <c r="B293" s="3306"/>
      <c r="C293" s="3306"/>
      <c r="D293" s="3330"/>
      <c r="E293" s="3296"/>
      <c r="F293" s="3309"/>
      <c r="G293" s="3307"/>
      <c r="H293" s="3312"/>
      <c r="I293" s="3338"/>
      <c r="J293" s="3312"/>
      <c r="K293" s="3312"/>
      <c r="L293" s="3312"/>
      <c r="M293" s="3312"/>
      <c r="N293" s="3312"/>
      <c r="O293" s="3312"/>
      <c r="P293" s="3312"/>
      <c r="Q293" s="3312"/>
      <c r="R293" s="3312"/>
      <c r="S293" s="3312"/>
      <c r="T293" s="3312"/>
      <c r="U293" s="3312"/>
      <c r="V293" s="3312"/>
      <c r="W293" s="3312"/>
      <c r="X293" s="3312"/>
      <c r="Y293" s="3312"/>
      <c r="Z293" s="3312"/>
      <c r="AA293" s="3312"/>
      <c r="AB293" s="3312"/>
      <c r="AC293" s="3312"/>
      <c r="AD293" s="3312"/>
      <c r="AE293" s="3312"/>
      <c r="AF293" s="3312"/>
      <c r="AG293" s="3312"/>
      <c r="AH293" s="3312"/>
      <c r="AI293" s="3312"/>
      <c r="AJ293" s="3312"/>
      <c r="AK293" s="3312"/>
      <c r="AL293" s="3312"/>
      <c r="AM293" s="3312"/>
      <c r="AN293" s="3312"/>
      <c r="AO293" s="3312"/>
      <c r="AP293" s="3312"/>
      <c r="AQ293" s="3312"/>
      <c r="AR293" s="3312"/>
      <c r="AS293" s="3312"/>
      <c r="AT293" s="3312"/>
      <c r="AU293" s="3312"/>
      <c r="AV293" s="3312"/>
      <c r="AW293" s="3312"/>
      <c r="AX293" s="3312"/>
      <c r="AY293" s="3312"/>
    </row>
    <row r="294" spans="1:51" s="888" customFormat="1" ht="27.75">
      <c r="A294" s="3306" t="s">
        <v>1496</v>
      </c>
      <c r="B294" s="3306"/>
      <c r="C294" s="3306"/>
      <c r="D294" s="3330"/>
      <c r="E294" s="3296"/>
      <c r="F294" s="3310"/>
      <c r="G294" s="3307"/>
      <c r="H294" s="3296"/>
      <c r="I294" s="3296"/>
      <c r="J294" s="3312"/>
      <c r="K294" s="3312"/>
      <c r="L294" s="3312"/>
      <c r="M294" s="3312"/>
      <c r="N294" s="3312"/>
      <c r="O294" s="3312"/>
      <c r="P294" s="3312"/>
      <c r="Q294" s="3312"/>
      <c r="R294" s="3312"/>
      <c r="S294" s="3312"/>
      <c r="T294" s="3312"/>
      <c r="U294" s="3312"/>
      <c r="V294" s="3312"/>
      <c r="W294" s="3312"/>
      <c r="X294" s="3312"/>
      <c r="Y294" s="3312"/>
      <c r="Z294" s="3312"/>
      <c r="AA294" s="3312"/>
      <c r="AB294" s="3312"/>
      <c r="AC294" s="3312"/>
      <c r="AD294" s="3312"/>
      <c r="AE294" s="3312"/>
      <c r="AF294" s="3312"/>
      <c r="AG294" s="3312"/>
      <c r="AH294" s="3312"/>
      <c r="AI294" s="3312"/>
      <c r="AJ294" s="3312"/>
      <c r="AK294" s="3312"/>
      <c r="AL294" s="3312"/>
      <c r="AM294" s="3312"/>
      <c r="AN294" s="3312"/>
      <c r="AO294" s="3312"/>
      <c r="AP294" s="3312"/>
      <c r="AQ294" s="3312"/>
      <c r="AR294" s="3312"/>
      <c r="AS294" s="3312"/>
      <c r="AT294" s="3312"/>
      <c r="AU294" s="3312"/>
      <c r="AV294" s="3312"/>
      <c r="AW294" s="3312"/>
      <c r="AX294" s="3312"/>
      <c r="AY294" s="3312"/>
    </row>
    <row r="295" spans="1:51" s="888" customFormat="1" ht="27.75">
      <c r="A295" s="3306" t="s">
        <v>1498</v>
      </c>
      <c r="B295" s="3307"/>
      <c r="C295" s="3307"/>
      <c r="D295" s="3330"/>
      <c r="E295" s="3330"/>
      <c r="F295" s="3310"/>
      <c r="G295" s="3307"/>
      <c r="H295" s="3296"/>
      <c r="I295" s="3296"/>
      <c r="J295" s="3312"/>
      <c r="K295" s="3312"/>
      <c r="L295" s="3312"/>
      <c r="M295" s="3312"/>
      <c r="N295" s="3312"/>
      <c r="O295" s="3312"/>
      <c r="P295" s="3312"/>
      <c r="Q295" s="3312"/>
      <c r="R295" s="3312"/>
      <c r="S295" s="3312"/>
      <c r="T295" s="3312"/>
      <c r="U295" s="3312"/>
      <c r="V295" s="3312"/>
      <c r="W295" s="3312"/>
      <c r="X295" s="3312"/>
      <c r="Y295" s="3312"/>
      <c r="Z295" s="3312"/>
      <c r="AA295" s="3312"/>
      <c r="AB295" s="3312"/>
      <c r="AC295" s="3312"/>
      <c r="AD295" s="3312"/>
      <c r="AE295" s="3312"/>
      <c r="AF295" s="3312"/>
      <c r="AG295" s="3312"/>
      <c r="AH295" s="3312"/>
      <c r="AI295" s="3312"/>
      <c r="AJ295" s="3312"/>
      <c r="AK295" s="3312"/>
      <c r="AL295" s="3312"/>
      <c r="AM295" s="3312"/>
      <c r="AN295" s="3312"/>
      <c r="AO295" s="3312"/>
      <c r="AP295" s="3312"/>
      <c r="AQ295" s="3312"/>
      <c r="AR295" s="3312"/>
      <c r="AS295" s="3312"/>
      <c r="AT295" s="3312"/>
      <c r="AU295" s="3312"/>
      <c r="AV295" s="3312"/>
      <c r="AW295" s="3312"/>
      <c r="AX295" s="3312"/>
      <c r="AY295" s="3312"/>
    </row>
    <row r="296" spans="1:51" s="888" customFormat="1" ht="27.75">
      <c r="A296" s="3306" t="s">
        <v>1499</v>
      </c>
      <c r="B296" s="3307"/>
      <c r="C296" s="3307"/>
      <c r="D296" s="3330"/>
      <c r="E296" s="3330"/>
      <c r="F296" s="3309"/>
      <c r="G296" s="3306"/>
      <c r="H296" s="3296"/>
      <c r="I296" s="3312"/>
      <c r="J296" s="3312"/>
      <c r="K296" s="3312"/>
      <c r="L296" s="3312"/>
      <c r="M296" s="3312"/>
      <c r="N296" s="3312"/>
      <c r="O296" s="3312"/>
      <c r="P296" s="3312"/>
      <c r="Q296" s="3312"/>
      <c r="R296" s="3312"/>
      <c r="S296" s="3312"/>
      <c r="T296" s="3312"/>
      <c r="U296" s="3312"/>
      <c r="V296" s="3312"/>
      <c r="W296" s="3312"/>
      <c r="X296" s="3312"/>
      <c r="Y296" s="3312"/>
      <c r="Z296" s="3312"/>
      <c r="AA296" s="3312"/>
      <c r="AB296" s="3312"/>
      <c r="AC296" s="3312"/>
      <c r="AD296" s="3312"/>
      <c r="AE296" s="3312"/>
      <c r="AF296" s="3312"/>
      <c r="AG296" s="3312"/>
      <c r="AH296" s="3312"/>
      <c r="AI296" s="3312"/>
      <c r="AJ296" s="3312"/>
      <c r="AK296" s="3312"/>
      <c r="AL296" s="3312"/>
      <c r="AM296" s="3312"/>
      <c r="AN296" s="3312"/>
      <c r="AO296" s="3312"/>
      <c r="AP296" s="3312"/>
      <c r="AQ296" s="3312"/>
      <c r="AR296" s="3312"/>
      <c r="AS296" s="3312"/>
      <c r="AT296" s="3312"/>
      <c r="AU296" s="3312"/>
      <c r="AV296" s="3312"/>
      <c r="AW296" s="3312"/>
      <c r="AX296" s="3312"/>
      <c r="AY296" s="3312"/>
    </row>
    <row r="297" spans="1:51" s="888" customFormat="1" ht="27.75">
      <c r="A297" s="3306" t="s">
        <v>1500</v>
      </c>
      <c r="B297" s="3307"/>
      <c r="C297" s="3307"/>
      <c r="D297" s="3330"/>
      <c r="E297" s="3330"/>
      <c r="F297" s="3295"/>
      <c r="G297" s="3306"/>
      <c r="H297" s="3296"/>
      <c r="I297" s="3338"/>
      <c r="J297" s="3312"/>
      <c r="K297" s="3312"/>
      <c r="L297" s="3312"/>
      <c r="M297" s="3312"/>
      <c r="N297" s="3312"/>
      <c r="O297" s="3312"/>
      <c r="P297" s="3312"/>
      <c r="Q297" s="3312"/>
      <c r="R297" s="3312"/>
      <c r="S297" s="3312"/>
      <c r="T297" s="3312"/>
      <c r="U297" s="3312"/>
      <c r="V297" s="3312"/>
      <c r="W297" s="3312"/>
      <c r="X297" s="3312"/>
      <c r="Y297" s="3312"/>
      <c r="Z297" s="3312"/>
      <c r="AA297" s="3312"/>
      <c r="AB297" s="3312"/>
      <c r="AC297" s="3312"/>
      <c r="AD297" s="3312"/>
      <c r="AE297" s="3312"/>
      <c r="AF297" s="3312"/>
      <c r="AG297" s="3312"/>
      <c r="AH297" s="3312"/>
      <c r="AI297" s="3312"/>
      <c r="AJ297" s="3312"/>
      <c r="AK297" s="3312"/>
      <c r="AL297" s="3312"/>
      <c r="AM297" s="3312"/>
      <c r="AN297" s="3312"/>
      <c r="AO297" s="3312"/>
      <c r="AP297" s="3312"/>
      <c r="AQ297" s="3312"/>
      <c r="AR297" s="3312"/>
      <c r="AS297" s="3312"/>
      <c r="AT297" s="3312"/>
      <c r="AU297" s="3312"/>
      <c r="AV297" s="3312"/>
      <c r="AW297" s="3312"/>
      <c r="AX297" s="3312"/>
      <c r="AY297" s="3312"/>
    </row>
    <row r="298" spans="1:51" s="888" customFormat="1" ht="27.75">
      <c r="A298" s="3306" t="s">
        <v>1501</v>
      </c>
      <c r="B298" s="3307"/>
      <c r="C298" s="3307"/>
      <c r="D298" s="3296"/>
      <c r="E298" s="3330"/>
      <c r="F298" s="3295"/>
      <c r="G298" s="3306"/>
      <c r="H298" s="3296"/>
      <c r="I298" s="3339"/>
      <c r="J298" s="3312"/>
      <c r="K298" s="3312"/>
      <c r="L298" s="3312"/>
      <c r="M298" s="3312"/>
      <c r="N298" s="3312"/>
      <c r="O298" s="3312"/>
      <c r="P298" s="3312"/>
      <c r="Q298" s="3312"/>
      <c r="R298" s="3312"/>
      <c r="S298" s="3312"/>
      <c r="T298" s="3312"/>
      <c r="U298" s="3312"/>
      <c r="V298" s="3312"/>
      <c r="W298" s="3312"/>
      <c r="X298" s="3312"/>
      <c r="Y298" s="3312"/>
      <c r="Z298" s="3312"/>
      <c r="AA298" s="3312"/>
      <c r="AB298" s="3312"/>
      <c r="AC298" s="3312"/>
      <c r="AD298" s="3312"/>
      <c r="AE298" s="3312"/>
      <c r="AF298" s="3312"/>
      <c r="AG298" s="3312"/>
      <c r="AH298" s="3312"/>
      <c r="AI298" s="3312"/>
      <c r="AJ298" s="3312"/>
      <c r="AK298" s="3312"/>
      <c r="AL298" s="3312"/>
      <c r="AM298" s="3312"/>
      <c r="AN298" s="3312"/>
      <c r="AO298" s="3312"/>
      <c r="AP298" s="3312"/>
      <c r="AQ298" s="3312"/>
      <c r="AR298" s="3312"/>
      <c r="AS298" s="3312"/>
      <c r="AT298" s="3312"/>
      <c r="AU298" s="3312"/>
      <c r="AV298" s="3312"/>
      <c r="AW298" s="3312"/>
      <c r="AX298" s="3312"/>
      <c r="AY298" s="3312"/>
    </row>
    <row r="299" spans="1:51" s="888" customFormat="1" ht="27.75">
      <c r="A299" s="3306" t="s">
        <v>1503</v>
      </c>
      <c r="B299" s="3307"/>
      <c r="C299" s="3307"/>
      <c r="D299" s="3296"/>
      <c r="E299" s="3330"/>
      <c r="F299" s="3295"/>
      <c r="G299" s="3306"/>
      <c r="H299" s="3318"/>
      <c r="I299" s="3340"/>
      <c r="J299" s="3312"/>
      <c r="K299" s="3312"/>
      <c r="L299" s="3312"/>
      <c r="M299" s="3312"/>
      <c r="N299" s="3312"/>
      <c r="O299" s="3312"/>
      <c r="P299" s="3312"/>
      <c r="Q299" s="3312"/>
      <c r="R299" s="3312"/>
      <c r="S299" s="3312"/>
      <c r="T299" s="3312"/>
      <c r="U299" s="3312"/>
      <c r="V299" s="3312"/>
      <c r="W299" s="3312"/>
      <c r="X299" s="3312"/>
      <c r="Y299" s="3312"/>
      <c r="Z299" s="3312"/>
      <c r="AA299" s="3312"/>
      <c r="AB299" s="3312"/>
      <c r="AC299" s="3312"/>
      <c r="AD299" s="3312"/>
      <c r="AE299" s="3312"/>
      <c r="AF299" s="3312"/>
      <c r="AG299" s="3312"/>
      <c r="AH299" s="3312"/>
      <c r="AI299" s="3312"/>
      <c r="AJ299" s="3312"/>
      <c r="AK299" s="3312"/>
      <c r="AL299" s="3312"/>
      <c r="AM299" s="3312"/>
      <c r="AN299" s="3312"/>
      <c r="AO299" s="3312"/>
      <c r="AP299" s="3312"/>
      <c r="AQ299" s="3312"/>
      <c r="AR299" s="3312"/>
      <c r="AS299" s="3312"/>
      <c r="AT299" s="3312"/>
      <c r="AU299" s="3312"/>
      <c r="AV299" s="3312"/>
      <c r="AW299" s="3312"/>
      <c r="AX299" s="3312"/>
      <c r="AY299" s="3312"/>
    </row>
    <row r="300" spans="1:51" s="888" customFormat="1" ht="27.75">
      <c r="A300" s="3306" t="s">
        <v>1504</v>
      </c>
      <c r="B300" s="3307"/>
      <c r="C300" s="3307"/>
      <c r="D300" s="3296"/>
      <c r="E300" s="3296"/>
      <c r="F300" s="3309"/>
      <c r="G300" s="3306"/>
      <c r="H300" s="3318"/>
      <c r="I300" s="3340"/>
      <c r="J300" s="3312"/>
      <c r="K300" s="3312"/>
      <c r="L300" s="3312"/>
      <c r="M300" s="3312"/>
      <c r="N300" s="3312"/>
      <c r="O300" s="3312"/>
      <c r="P300" s="3312"/>
      <c r="Q300" s="3312"/>
      <c r="R300" s="3312"/>
      <c r="S300" s="3312"/>
      <c r="T300" s="3312"/>
      <c r="U300" s="3312"/>
      <c r="V300" s="3312"/>
      <c r="W300" s="3312"/>
      <c r="X300" s="3312"/>
      <c r="Y300" s="3312"/>
      <c r="Z300" s="3312"/>
      <c r="AA300" s="3312"/>
      <c r="AB300" s="3312"/>
      <c r="AC300" s="3312"/>
      <c r="AD300" s="3312"/>
      <c r="AE300" s="3312"/>
      <c r="AF300" s="3312"/>
      <c r="AG300" s="3312"/>
      <c r="AH300" s="3312"/>
      <c r="AI300" s="3312"/>
      <c r="AJ300" s="3312"/>
      <c r="AK300" s="3312"/>
      <c r="AL300" s="3312"/>
      <c r="AM300" s="3312"/>
      <c r="AN300" s="3312"/>
      <c r="AO300" s="3312"/>
      <c r="AP300" s="3312"/>
      <c r="AQ300" s="3312"/>
      <c r="AR300" s="3312"/>
      <c r="AS300" s="3312"/>
      <c r="AT300" s="3312"/>
      <c r="AU300" s="3312"/>
      <c r="AV300" s="3312"/>
      <c r="AW300" s="3312"/>
      <c r="AX300" s="3312"/>
      <c r="AY300" s="3312"/>
    </row>
    <row r="301" spans="1:51" s="888" customFormat="1" ht="27.75">
      <c r="A301" s="3306" t="s">
        <v>1515</v>
      </c>
      <c r="B301" s="3307"/>
      <c r="C301" s="3307"/>
      <c r="D301" s="3296"/>
      <c r="E301" s="3296"/>
      <c r="F301" s="3309"/>
      <c r="G301" s="3307"/>
      <c r="H301" s="3327"/>
      <c r="I301" s="3340"/>
      <c r="J301" s="3312"/>
      <c r="K301" s="3312"/>
      <c r="L301" s="3312"/>
      <c r="M301" s="3312"/>
      <c r="N301" s="3312"/>
      <c r="O301" s="3312"/>
      <c r="P301" s="3312"/>
      <c r="Q301" s="3312"/>
      <c r="R301" s="3312"/>
      <c r="S301" s="3312"/>
      <c r="T301" s="3312"/>
      <c r="U301" s="3312"/>
      <c r="V301" s="3312"/>
      <c r="W301" s="3312"/>
      <c r="X301" s="3312"/>
      <c r="Y301" s="3312"/>
      <c r="Z301" s="3312"/>
      <c r="AA301" s="3312"/>
      <c r="AB301" s="3312"/>
      <c r="AC301" s="3312"/>
      <c r="AD301" s="3312"/>
      <c r="AE301" s="3312"/>
      <c r="AF301" s="3312"/>
      <c r="AG301" s="3312"/>
      <c r="AH301" s="3312"/>
      <c r="AI301" s="3312"/>
      <c r="AJ301" s="3312"/>
      <c r="AK301" s="3312"/>
      <c r="AL301" s="3312"/>
      <c r="AM301" s="3312"/>
      <c r="AN301" s="3312"/>
      <c r="AO301" s="3312"/>
      <c r="AP301" s="3312"/>
      <c r="AQ301" s="3312"/>
      <c r="AR301" s="3312"/>
      <c r="AS301" s="3312"/>
      <c r="AT301" s="3312"/>
      <c r="AU301" s="3312"/>
      <c r="AV301" s="3312"/>
      <c r="AW301" s="3312"/>
      <c r="AX301" s="3312"/>
      <c r="AY301" s="3312"/>
    </row>
    <row r="302" spans="1:51" s="888" customFormat="1" ht="27.75">
      <c r="A302" s="3306" t="s">
        <v>1505</v>
      </c>
      <c r="B302" s="3307"/>
      <c r="C302" s="3307"/>
      <c r="D302" s="3296"/>
      <c r="E302" s="3296"/>
      <c r="F302" s="3309"/>
      <c r="G302" s="3307"/>
      <c r="H302" s="3312"/>
      <c r="I302" s="3329"/>
      <c r="J302" s="3312"/>
      <c r="K302" s="3312"/>
      <c r="L302" s="3312"/>
      <c r="M302" s="3312"/>
      <c r="N302" s="3312"/>
      <c r="O302" s="3312"/>
      <c r="P302" s="3312"/>
      <c r="Q302" s="3312"/>
      <c r="R302" s="3312"/>
      <c r="S302" s="3312"/>
      <c r="T302" s="3312"/>
      <c r="U302" s="3312"/>
      <c r="V302" s="3312"/>
      <c r="W302" s="3312"/>
      <c r="X302" s="3312"/>
      <c r="Y302" s="3312"/>
      <c r="Z302" s="3312"/>
      <c r="AA302" s="3312"/>
      <c r="AB302" s="3312"/>
      <c r="AC302" s="3312"/>
      <c r="AD302" s="3312"/>
      <c r="AE302" s="3312"/>
      <c r="AF302" s="3312"/>
      <c r="AG302" s="3312"/>
      <c r="AH302" s="3312"/>
      <c r="AI302" s="3312"/>
      <c r="AJ302" s="3312"/>
      <c r="AK302" s="3312"/>
      <c r="AL302" s="3312"/>
      <c r="AM302" s="3312"/>
      <c r="AN302" s="3312"/>
      <c r="AO302" s="3312"/>
      <c r="AP302" s="3312"/>
      <c r="AQ302" s="3312"/>
      <c r="AR302" s="3312"/>
      <c r="AS302" s="3312"/>
      <c r="AT302" s="3312"/>
      <c r="AU302" s="3312"/>
      <c r="AV302" s="3312"/>
      <c r="AW302" s="3312"/>
      <c r="AX302" s="3312"/>
      <c r="AY302" s="3312"/>
    </row>
    <row r="303" spans="1:51" s="888" customFormat="1" ht="27.75">
      <c r="A303" s="3306" t="s">
        <v>1506</v>
      </c>
      <c r="B303" s="3307"/>
      <c r="C303" s="3307"/>
      <c r="D303" s="3296"/>
      <c r="E303" s="3296"/>
      <c r="F303" s="3309"/>
      <c r="G303" s="3307"/>
      <c r="H303" s="3312"/>
      <c r="I303" s="3338"/>
      <c r="J303" s="3312"/>
      <c r="K303" s="3312"/>
      <c r="L303" s="3312"/>
      <c r="M303" s="3312"/>
      <c r="N303" s="3312"/>
      <c r="O303" s="3312"/>
      <c r="P303" s="3312"/>
      <c r="Q303" s="3312"/>
      <c r="R303" s="3312"/>
      <c r="S303" s="3312"/>
      <c r="T303" s="3312"/>
      <c r="U303" s="3312"/>
      <c r="V303" s="3312"/>
      <c r="W303" s="3312"/>
      <c r="X303" s="3312"/>
      <c r="Y303" s="3312"/>
      <c r="Z303" s="3312"/>
      <c r="AA303" s="3312"/>
      <c r="AB303" s="3312"/>
      <c r="AC303" s="3312"/>
      <c r="AD303" s="3312"/>
      <c r="AE303" s="3312"/>
      <c r="AF303" s="3312"/>
      <c r="AG303" s="3312"/>
      <c r="AH303" s="3312"/>
      <c r="AI303" s="3312"/>
      <c r="AJ303" s="3312"/>
      <c r="AK303" s="3312"/>
      <c r="AL303" s="3312"/>
      <c r="AM303" s="3312"/>
      <c r="AN303" s="3312"/>
      <c r="AO303" s="3312"/>
      <c r="AP303" s="3312"/>
      <c r="AQ303" s="3312"/>
      <c r="AR303" s="3312"/>
      <c r="AS303" s="3312"/>
      <c r="AT303" s="3312"/>
      <c r="AU303" s="3312"/>
      <c r="AV303" s="3312"/>
      <c r="AW303" s="3312"/>
      <c r="AX303" s="3312"/>
      <c r="AY303" s="3312"/>
    </row>
    <row r="304" spans="1:51" s="888" customFormat="1" ht="27.75">
      <c r="A304" s="3306" t="s">
        <v>1507</v>
      </c>
      <c r="B304" s="3296"/>
      <c r="C304" s="3296"/>
      <c r="D304" s="3296"/>
      <c r="E304" s="3296"/>
      <c r="F304" s="3309"/>
      <c r="G304" s="3330"/>
      <c r="H304" s="3296"/>
      <c r="I304" s="3334"/>
      <c r="J304" s="3312"/>
      <c r="K304" s="3312"/>
      <c r="L304" s="3312"/>
      <c r="M304" s="3312"/>
      <c r="N304" s="3312"/>
      <c r="O304" s="3312"/>
      <c r="P304" s="3312"/>
      <c r="Q304" s="3312"/>
      <c r="R304" s="3312"/>
      <c r="S304" s="3312"/>
      <c r="T304" s="3312"/>
      <c r="U304" s="3312"/>
      <c r="V304" s="3312"/>
      <c r="W304" s="3312"/>
      <c r="X304" s="3312"/>
      <c r="Y304" s="3312"/>
      <c r="Z304" s="3312"/>
      <c r="AA304" s="3312"/>
      <c r="AB304" s="3312"/>
      <c r="AC304" s="3312"/>
      <c r="AD304" s="3312"/>
      <c r="AE304" s="3312"/>
      <c r="AF304" s="3312"/>
      <c r="AG304" s="3312"/>
      <c r="AH304" s="3312"/>
      <c r="AI304" s="3312"/>
      <c r="AJ304" s="3312"/>
      <c r="AK304" s="3312"/>
      <c r="AL304" s="3312"/>
      <c r="AM304" s="3312"/>
      <c r="AN304" s="3312"/>
      <c r="AO304" s="3312"/>
      <c r="AP304" s="3312"/>
      <c r="AQ304" s="3312"/>
      <c r="AR304" s="3312"/>
      <c r="AS304" s="3312"/>
      <c r="AT304" s="3312"/>
      <c r="AU304" s="3312"/>
      <c r="AV304" s="3312"/>
      <c r="AW304" s="3312"/>
      <c r="AX304" s="3312"/>
      <c r="AY304" s="3312"/>
    </row>
    <row r="305" spans="1:51" s="888" customFormat="1" ht="27.75">
      <c r="A305" s="3307"/>
      <c r="B305" s="3296"/>
      <c r="C305" s="3296"/>
      <c r="D305" s="3296"/>
      <c r="E305" s="3296"/>
      <c r="F305" s="3309"/>
      <c r="G305" s="3296"/>
      <c r="H305" s="3296"/>
      <c r="I305" s="3297"/>
      <c r="J305" s="3312"/>
      <c r="K305" s="3312"/>
      <c r="L305" s="3312"/>
      <c r="M305" s="3312"/>
      <c r="N305" s="3312"/>
      <c r="O305" s="3312"/>
      <c r="P305" s="3312"/>
      <c r="Q305" s="3312"/>
      <c r="R305" s="3312"/>
      <c r="S305" s="3312"/>
      <c r="T305" s="3312"/>
      <c r="U305" s="3312"/>
      <c r="V305" s="3312"/>
      <c r="W305" s="3312"/>
      <c r="X305" s="3312"/>
      <c r="Y305" s="3312"/>
      <c r="Z305" s="3312"/>
      <c r="AA305" s="3312"/>
      <c r="AB305" s="3312"/>
      <c r="AC305" s="3312"/>
      <c r="AD305" s="3312"/>
      <c r="AE305" s="3312"/>
      <c r="AF305" s="3312"/>
      <c r="AG305" s="3312"/>
      <c r="AH305" s="3312"/>
      <c r="AI305" s="3312"/>
      <c r="AJ305" s="3312"/>
      <c r="AK305" s="3312"/>
      <c r="AL305" s="3312"/>
      <c r="AM305" s="3312"/>
      <c r="AN305" s="3312"/>
      <c r="AO305" s="3312"/>
      <c r="AP305" s="3312"/>
      <c r="AQ305" s="3312"/>
      <c r="AR305" s="3312"/>
      <c r="AS305" s="3312"/>
      <c r="AT305" s="3312"/>
      <c r="AU305" s="3312"/>
      <c r="AV305" s="3312"/>
      <c r="AW305" s="3312"/>
      <c r="AX305" s="3312"/>
      <c r="AY305" s="3312"/>
    </row>
    <row r="306" spans="1:51" s="3343" customFormat="1" ht="27.75">
      <c r="A306" s="3307" t="s">
        <v>1508</v>
      </c>
      <c r="B306" s="3307"/>
      <c r="C306" s="3307"/>
      <c r="D306" s="3307"/>
      <c r="E306" s="3307"/>
      <c r="F306" s="3309"/>
      <c r="G306" s="3341"/>
      <c r="H306" s="3342"/>
      <c r="I306" s="3297"/>
      <c r="J306" s="3311"/>
      <c r="K306" s="3311"/>
      <c r="L306" s="3311"/>
      <c r="M306" s="3311"/>
      <c r="N306" s="3311"/>
      <c r="O306" s="3311"/>
      <c r="P306" s="3311"/>
      <c r="Q306" s="3311"/>
      <c r="R306" s="3311"/>
      <c r="S306" s="3311"/>
      <c r="T306" s="3311"/>
      <c r="U306" s="3311"/>
      <c r="V306" s="3311"/>
      <c r="W306" s="3311"/>
      <c r="X306" s="3311"/>
      <c r="Y306" s="3311"/>
      <c r="Z306" s="3311"/>
      <c r="AA306" s="3311"/>
      <c r="AB306" s="3311"/>
      <c r="AC306" s="3311"/>
      <c r="AD306" s="3311"/>
      <c r="AE306" s="3311"/>
      <c r="AF306" s="3311"/>
      <c r="AG306" s="3311"/>
      <c r="AH306" s="3311"/>
      <c r="AI306" s="3311"/>
      <c r="AJ306" s="3311"/>
      <c r="AK306" s="3311"/>
      <c r="AL306" s="3311"/>
      <c r="AM306" s="3311"/>
      <c r="AN306" s="3311"/>
      <c r="AO306" s="3311"/>
      <c r="AP306" s="3311"/>
      <c r="AQ306" s="3311"/>
      <c r="AR306" s="3311"/>
      <c r="AS306" s="3311"/>
      <c r="AT306" s="3311"/>
      <c r="AU306" s="3311"/>
      <c r="AV306" s="3311"/>
      <c r="AW306" s="3311"/>
      <c r="AX306" s="3311"/>
      <c r="AY306" s="3311"/>
    </row>
    <row r="307" spans="1:51" ht="27.75">
      <c r="A307" s="3187"/>
      <c r="B307" s="1632"/>
      <c r="C307" s="1632"/>
      <c r="D307" s="1632"/>
      <c r="E307" s="1632"/>
      <c r="F307" s="3301"/>
      <c r="G307" s="3298"/>
      <c r="H307" s="3299"/>
      <c r="I307" s="3300"/>
      <c r="J307" s="3288"/>
      <c r="K307" s="3288"/>
      <c r="L307" s="3288"/>
      <c r="M307" s="3288"/>
      <c r="N307" s="3288"/>
      <c r="O307" s="3288"/>
      <c r="P307" s="3288"/>
      <c r="Q307" s="3288"/>
      <c r="R307" s="3288"/>
      <c r="S307" s="3288"/>
      <c r="T307" s="3288"/>
      <c r="U307" s="3288"/>
      <c r="V307" s="3288"/>
      <c r="W307" s="3288"/>
      <c r="X307" s="3288"/>
      <c r="Y307" s="3288"/>
      <c r="Z307" s="3288"/>
      <c r="AA307" s="3288"/>
      <c r="AB307" s="3288"/>
      <c r="AC307" s="3288"/>
      <c r="AD307" s="3288"/>
      <c r="AE307" s="3288"/>
      <c r="AF307" s="3288"/>
      <c r="AG307" s="3288"/>
      <c r="AH307" s="3288"/>
      <c r="AI307" s="3288"/>
      <c r="AJ307" s="3288"/>
      <c r="AK307" s="3288"/>
      <c r="AL307" s="3288"/>
      <c r="AM307" s="3288"/>
      <c r="AN307" s="3288"/>
      <c r="AO307" s="3288"/>
      <c r="AP307" s="3288"/>
      <c r="AQ307" s="3288"/>
      <c r="AR307" s="3288"/>
      <c r="AS307" s="3288"/>
      <c r="AT307" s="3288"/>
      <c r="AU307" s="3288"/>
      <c r="AV307" s="3288"/>
      <c r="AW307" s="3288"/>
      <c r="AX307" s="3288"/>
      <c r="AY307" s="3288"/>
    </row>
    <row r="308" spans="1:51" ht="27.75">
      <c r="A308" s="3187"/>
      <c r="B308" s="1632"/>
      <c r="C308" s="1632"/>
      <c r="D308" s="1632"/>
      <c r="E308" s="1632"/>
      <c r="F308" s="3293"/>
      <c r="G308" s="3298"/>
      <c r="H308" s="3299"/>
      <c r="I308" s="3300"/>
      <c r="J308" s="3288"/>
      <c r="K308" s="3288"/>
      <c r="L308" s="3288"/>
      <c r="M308" s="3288"/>
      <c r="N308" s="3288"/>
      <c r="O308" s="3288"/>
      <c r="P308" s="3288"/>
      <c r="Q308" s="3288"/>
      <c r="R308" s="3288"/>
      <c r="S308" s="3288"/>
      <c r="T308" s="3288"/>
      <c r="U308" s="3288"/>
      <c r="V308" s="3288"/>
      <c r="W308" s="3288"/>
      <c r="X308" s="3288"/>
      <c r="Y308" s="3288"/>
      <c r="Z308" s="3288"/>
      <c r="AA308" s="3288"/>
      <c r="AB308" s="3288"/>
      <c r="AC308" s="3288"/>
      <c r="AD308" s="3288"/>
      <c r="AE308" s="3288"/>
      <c r="AF308" s="3288"/>
      <c r="AG308" s="3288"/>
      <c r="AH308" s="3288"/>
      <c r="AI308" s="3288"/>
      <c r="AJ308" s="3288"/>
      <c r="AK308" s="3288"/>
      <c r="AL308" s="3288"/>
      <c r="AM308" s="3288"/>
      <c r="AN308" s="3288"/>
      <c r="AO308" s="3288"/>
      <c r="AP308" s="3288"/>
      <c r="AQ308" s="3288"/>
      <c r="AR308" s="3288"/>
      <c r="AS308" s="3288"/>
      <c r="AT308" s="3288"/>
      <c r="AU308" s="3288"/>
      <c r="AV308" s="3288"/>
      <c r="AW308" s="3288"/>
      <c r="AX308" s="3288"/>
      <c r="AY308" s="3288"/>
    </row>
    <row r="309" spans="1:51" ht="27.75">
      <c r="A309" s="3187"/>
      <c r="B309" s="1632"/>
      <c r="C309" s="1632"/>
      <c r="D309" s="1632"/>
      <c r="E309" s="1632"/>
      <c r="F309" s="3293"/>
      <c r="G309" s="3298"/>
      <c r="H309" s="3299"/>
      <c r="I309" s="3300"/>
      <c r="J309" s="3288"/>
      <c r="K309" s="3288"/>
      <c r="L309" s="3288"/>
      <c r="M309" s="3288"/>
      <c r="N309" s="3288"/>
      <c r="O309" s="3288"/>
      <c r="P309" s="3288"/>
      <c r="Q309" s="3288"/>
      <c r="R309" s="3288"/>
      <c r="S309" s="3288"/>
      <c r="T309" s="3288"/>
      <c r="U309" s="3288"/>
      <c r="V309" s="3288"/>
      <c r="W309" s="3288"/>
      <c r="X309" s="3288"/>
      <c r="Y309" s="3288"/>
      <c r="Z309" s="3288"/>
      <c r="AA309" s="3288"/>
      <c r="AB309" s="3288"/>
      <c r="AC309" s="3288"/>
      <c r="AD309" s="3288"/>
      <c r="AE309" s="3288"/>
      <c r="AF309" s="3288"/>
      <c r="AG309" s="3288"/>
      <c r="AH309" s="3288"/>
      <c r="AI309" s="3288"/>
      <c r="AJ309" s="3288"/>
      <c r="AK309" s="3288"/>
      <c r="AL309" s="3288"/>
      <c r="AM309" s="3288"/>
      <c r="AN309" s="3288"/>
      <c r="AO309" s="3288"/>
      <c r="AP309" s="3288"/>
      <c r="AQ309" s="3288"/>
      <c r="AR309" s="3288"/>
      <c r="AS309" s="3288"/>
      <c r="AT309" s="3288"/>
      <c r="AU309" s="3288"/>
      <c r="AV309" s="3288"/>
      <c r="AW309" s="3288"/>
      <c r="AX309" s="3288"/>
      <c r="AY309" s="3288"/>
    </row>
    <row r="310" spans="1:51" ht="27.75">
      <c r="A310" s="3187"/>
      <c r="B310" s="1632"/>
      <c r="C310" s="1632"/>
      <c r="D310" s="1632"/>
      <c r="E310" s="1632"/>
      <c r="F310" s="3187"/>
      <c r="G310" s="3298"/>
      <c r="H310" s="3299"/>
      <c r="I310" s="3300"/>
      <c r="J310" s="3288"/>
      <c r="K310" s="3288"/>
      <c r="L310" s="3288"/>
      <c r="M310" s="3288"/>
      <c r="N310" s="3288"/>
      <c r="O310" s="3288"/>
      <c r="P310" s="3288"/>
      <c r="Q310" s="3288"/>
      <c r="R310" s="3288"/>
      <c r="S310" s="3288"/>
      <c r="T310" s="3288"/>
      <c r="U310" s="3288"/>
      <c r="V310" s="3288"/>
      <c r="W310" s="3288"/>
      <c r="X310" s="3288"/>
      <c r="Y310" s="3288"/>
      <c r="Z310" s="3288"/>
      <c r="AA310" s="3288"/>
      <c r="AB310" s="3288"/>
      <c r="AC310" s="3288"/>
      <c r="AD310" s="3288"/>
      <c r="AE310" s="3288"/>
      <c r="AF310" s="3288"/>
      <c r="AG310" s="3288"/>
      <c r="AH310" s="3288"/>
      <c r="AI310" s="3288"/>
      <c r="AJ310" s="3288"/>
      <c r="AK310" s="3288"/>
      <c r="AL310" s="3288"/>
      <c r="AM310" s="3288"/>
      <c r="AN310" s="3288"/>
      <c r="AO310" s="3288"/>
      <c r="AP310" s="3288"/>
      <c r="AQ310" s="3288"/>
      <c r="AR310" s="3288"/>
      <c r="AS310" s="3288"/>
      <c r="AT310" s="3288"/>
      <c r="AU310" s="3288"/>
      <c r="AV310" s="3288"/>
      <c r="AW310" s="3288"/>
      <c r="AX310" s="3288"/>
      <c r="AY310" s="3288"/>
    </row>
    <row r="311" spans="1:51" ht="27.75">
      <c r="A311" s="3187"/>
      <c r="B311" s="1632"/>
      <c r="C311" s="1632"/>
      <c r="D311" s="1632"/>
      <c r="E311" s="1632"/>
      <c r="F311" s="3302"/>
      <c r="G311" s="3298"/>
      <c r="H311" s="3299"/>
      <c r="I311" s="3300"/>
      <c r="J311" s="3288"/>
      <c r="K311" s="3288"/>
      <c r="L311" s="3288"/>
      <c r="M311" s="3288"/>
      <c r="N311" s="3288"/>
      <c r="O311" s="3288"/>
      <c r="P311" s="3288"/>
      <c r="Q311" s="3288"/>
      <c r="R311" s="3288"/>
      <c r="S311" s="3288"/>
      <c r="T311" s="3288"/>
      <c r="U311" s="3288"/>
      <c r="V311" s="3288"/>
      <c r="W311" s="3288"/>
      <c r="X311" s="3288"/>
      <c r="Y311" s="3288"/>
      <c r="Z311" s="3288"/>
      <c r="AA311" s="3288"/>
      <c r="AB311" s="3288"/>
      <c r="AC311" s="3288"/>
      <c r="AD311" s="3288"/>
      <c r="AE311" s="3288"/>
      <c r="AF311" s="3288"/>
      <c r="AG311" s="3288"/>
      <c r="AH311" s="3288"/>
      <c r="AI311" s="3288"/>
      <c r="AJ311" s="3288"/>
      <c r="AK311" s="3288"/>
      <c r="AL311" s="3288"/>
      <c r="AM311" s="3288"/>
      <c r="AN311" s="3288"/>
      <c r="AO311" s="3288"/>
      <c r="AP311" s="3288"/>
      <c r="AQ311" s="3288"/>
      <c r="AR311" s="3288"/>
      <c r="AS311" s="3288"/>
      <c r="AT311" s="3288"/>
      <c r="AU311" s="3288"/>
      <c r="AV311" s="3288"/>
      <c r="AW311" s="3288"/>
      <c r="AX311" s="3288"/>
      <c r="AY311" s="3288"/>
    </row>
    <row r="312" spans="1:51" ht="27.75">
      <c r="A312" s="3187"/>
      <c r="B312" s="1632"/>
      <c r="C312" s="1632"/>
      <c r="D312" s="1632"/>
      <c r="E312" s="1632"/>
      <c r="F312" s="3187"/>
      <c r="G312" s="1671"/>
      <c r="H312" s="3303"/>
      <c r="I312" s="3300"/>
      <c r="J312" s="3288"/>
      <c r="K312" s="3288"/>
      <c r="L312" s="3288"/>
      <c r="M312" s="3288"/>
      <c r="N312" s="3288"/>
      <c r="O312" s="3288"/>
      <c r="P312" s="3288"/>
      <c r="Q312" s="3288"/>
      <c r="R312" s="3288"/>
      <c r="S312" s="3288"/>
      <c r="T312" s="3288"/>
      <c r="U312" s="3288"/>
      <c r="V312" s="3288"/>
      <c r="W312" s="3288"/>
      <c r="X312" s="3288"/>
      <c r="Y312" s="3288"/>
      <c r="Z312" s="3288"/>
      <c r="AA312" s="3288"/>
      <c r="AB312" s="3288"/>
      <c r="AC312" s="3288"/>
      <c r="AD312" s="3288"/>
      <c r="AE312" s="3288"/>
      <c r="AF312" s="3288"/>
      <c r="AG312" s="3288"/>
      <c r="AH312" s="3288"/>
      <c r="AI312" s="3288"/>
      <c r="AJ312" s="3288"/>
      <c r="AK312" s="3288"/>
      <c r="AL312" s="3288"/>
      <c r="AM312" s="3288"/>
      <c r="AN312" s="3288"/>
      <c r="AO312" s="3288"/>
      <c r="AP312" s="3288"/>
      <c r="AQ312" s="3288"/>
      <c r="AR312" s="3288"/>
      <c r="AS312" s="3288"/>
      <c r="AT312" s="3288"/>
      <c r="AU312" s="3288"/>
      <c r="AV312" s="3288"/>
      <c r="AW312" s="3288"/>
      <c r="AX312" s="3288"/>
      <c r="AY312" s="3288"/>
    </row>
    <row r="313" spans="1:51" ht="27.75">
      <c r="A313" s="3288"/>
      <c r="B313" s="3288"/>
      <c r="C313" s="3288"/>
      <c r="D313" s="3288"/>
      <c r="E313" s="3288"/>
      <c r="F313" s="3288"/>
      <c r="G313" s="3288"/>
      <c r="H313" s="3288"/>
      <c r="I313" s="3288"/>
      <c r="J313" s="3288"/>
      <c r="K313" s="3288"/>
      <c r="L313" s="3288"/>
      <c r="M313" s="3288"/>
      <c r="N313" s="3288"/>
      <c r="O313" s="3288"/>
      <c r="P313" s="3288"/>
      <c r="Q313" s="3288"/>
      <c r="R313" s="3288"/>
      <c r="S313" s="3288"/>
      <c r="T313" s="3288"/>
      <c r="U313" s="3288"/>
      <c r="V313" s="3288"/>
      <c r="W313" s="3288"/>
      <c r="X313" s="3288"/>
      <c r="Y313" s="3288"/>
      <c r="Z313" s="3288"/>
      <c r="AA313" s="3288"/>
      <c r="AB313" s="3288"/>
      <c r="AC313" s="3288"/>
      <c r="AD313" s="3288"/>
      <c r="AE313" s="3288"/>
      <c r="AF313" s="3288"/>
      <c r="AG313" s="3288"/>
      <c r="AH313" s="3288"/>
      <c r="AI313" s="3288"/>
      <c r="AJ313" s="3288"/>
      <c r="AK313" s="3288"/>
      <c r="AL313" s="3288"/>
      <c r="AM313" s="3288"/>
      <c r="AN313" s="3288"/>
      <c r="AO313" s="3288"/>
      <c r="AP313" s="3288"/>
      <c r="AQ313" s="3288"/>
      <c r="AR313" s="3288"/>
      <c r="AS313" s="3288"/>
      <c r="AT313" s="3288"/>
      <c r="AU313" s="3288"/>
      <c r="AV313" s="3288"/>
      <c r="AW313" s="3288"/>
      <c r="AX313" s="3288"/>
      <c r="AY313" s="3288"/>
    </row>
    <row r="314" spans="1:51" ht="27.75">
      <c r="A314" s="3288"/>
      <c r="B314" s="3288"/>
      <c r="C314" s="3288"/>
      <c r="D314" s="3288"/>
      <c r="E314" s="3288"/>
      <c r="F314" s="3288"/>
      <c r="G314" s="3288"/>
      <c r="H314" s="3288"/>
      <c r="I314" s="3288"/>
      <c r="J314" s="3288"/>
      <c r="K314" s="3288"/>
      <c r="L314" s="3288"/>
      <c r="M314" s="3288"/>
      <c r="N314" s="3288"/>
      <c r="O314" s="3288"/>
      <c r="P314" s="3288"/>
      <c r="Q314" s="3288"/>
      <c r="R314" s="3288"/>
      <c r="S314" s="3288"/>
      <c r="T314" s="3288"/>
      <c r="U314" s="3288"/>
      <c r="V314" s="3288"/>
      <c r="W314" s="3288"/>
      <c r="X314" s="3288"/>
      <c r="Y314" s="3288"/>
      <c r="Z314" s="3288"/>
      <c r="AA314" s="3288"/>
      <c r="AB314" s="3288"/>
      <c r="AC314" s="3288"/>
      <c r="AD314" s="3288"/>
      <c r="AE314" s="3288"/>
      <c r="AF314" s="3288"/>
      <c r="AG314" s="3288"/>
      <c r="AH314" s="3288"/>
      <c r="AI314" s="3288"/>
      <c r="AJ314" s="3288"/>
      <c r="AK314" s="3288"/>
      <c r="AL314" s="3288"/>
      <c r="AM314" s="3288"/>
      <c r="AN314" s="3288"/>
      <c r="AO314" s="3288"/>
      <c r="AP314" s="3288"/>
      <c r="AQ314" s="3288"/>
      <c r="AR314" s="3288"/>
      <c r="AS314" s="3288"/>
      <c r="AT314" s="3288"/>
      <c r="AU314" s="3288"/>
      <c r="AV314" s="3288"/>
      <c r="AW314" s="3288"/>
      <c r="AX314" s="3288"/>
      <c r="AY314" s="3288"/>
    </row>
    <row r="315" spans="1:51" ht="27.75">
      <c r="A315" s="3288"/>
      <c r="B315" s="3288"/>
      <c r="C315" s="3288"/>
      <c r="D315" s="3288"/>
      <c r="E315" s="3288"/>
      <c r="F315" s="3288"/>
      <c r="G315" s="3288"/>
      <c r="H315" s="3288"/>
      <c r="I315" s="3288"/>
      <c r="J315" s="3288"/>
      <c r="K315" s="3288"/>
      <c r="L315" s="3288"/>
      <c r="M315" s="3288"/>
      <c r="N315" s="3288"/>
      <c r="O315" s="3288"/>
      <c r="P315" s="3288"/>
      <c r="Q315" s="3288"/>
      <c r="R315" s="3288"/>
      <c r="S315" s="3288"/>
      <c r="T315" s="3288"/>
      <c r="U315" s="3288"/>
      <c r="V315" s="3288"/>
      <c r="W315" s="3288"/>
      <c r="X315" s="3288"/>
      <c r="Y315" s="3288"/>
      <c r="Z315" s="3288"/>
      <c r="AA315" s="3288"/>
      <c r="AB315" s="3288"/>
      <c r="AC315" s="3288"/>
      <c r="AD315" s="3288"/>
      <c r="AE315" s="3288"/>
      <c r="AF315" s="3288"/>
      <c r="AG315" s="3288"/>
      <c r="AH315" s="3288"/>
      <c r="AI315" s="3288"/>
      <c r="AJ315" s="3288"/>
      <c r="AK315" s="3288"/>
      <c r="AL315" s="3288"/>
      <c r="AM315" s="3288"/>
      <c r="AN315" s="3288"/>
      <c r="AO315" s="3288"/>
      <c r="AP315" s="3288"/>
      <c r="AQ315" s="3288"/>
      <c r="AR315" s="3288"/>
      <c r="AS315" s="3288"/>
      <c r="AT315" s="3288"/>
      <c r="AU315" s="3288"/>
      <c r="AV315" s="3288"/>
      <c r="AW315" s="3288"/>
      <c r="AX315" s="3288"/>
      <c r="AY315" s="3288"/>
    </row>
    <row r="316" spans="1:51" ht="27.75">
      <c r="A316" s="3288"/>
      <c r="B316" s="3288"/>
      <c r="C316" s="3288"/>
      <c r="D316" s="3288"/>
      <c r="E316" s="3288"/>
      <c r="F316" s="3288"/>
      <c r="G316" s="3288"/>
      <c r="H316" s="3288"/>
      <c r="I316" s="3288"/>
      <c r="J316" s="3288"/>
      <c r="K316" s="3288"/>
      <c r="L316" s="3288"/>
      <c r="M316" s="3288"/>
      <c r="N316" s="3288"/>
      <c r="O316" s="3288"/>
      <c r="P316" s="3288"/>
      <c r="Q316" s="3288"/>
      <c r="R316" s="3288"/>
      <c r="S316" s="3288"/>
      <c r="T316" s="3288"/>
      <c r="U316" s="3288"/>
      <c r="V316" s="3288"/>
      <c r="W316" s="3288"/>
      <c r="X316" s="3288"/>
      <c r="Y316" s="3288"/>
      <c r="Z316" s="3288"/>
      <c r="AA316" s="3288"/>
      <c r="AB316" s="3288"/>
      <c r="AC316" s="3288"/>
      <c r="AD316" s="3288"/>
      <c r="AE316" s="3288"/>
      <c r="AF316" s="3288"/>
      <c r="AG316" s="3288"/>
      <c r="AH316" s="3288"/>
      <c r="AI316" s="3288"/>
      <c r="AJ316" s="3288"/>
      <c r="AK316" s="3288"/>
      <c r="AL316" s="3288"/>
      <c r="AM316" s="3288"/>
      <c r="AN316" s="3288"/>
      <c r="AO316" s="3288"/>
      <c r="AP316" s="3288"/>
      <c r="AQ316" s="3288"/>
      <c r="AR316" s="3288"/>
      <c r="AS316" s="3288"/>
      <c r="AT316" s="3288"/>
      <c r="AU316" s="3288"/>
      <c r="AV316" s="3288"/>
      <c r="AW316" s="3288"/>
      <c r="AX316" s="3288"/>
      <c r="AY316" s="3288"/>
    </row>
    <row r="317" spans="1:51" ht="27.75">
      <c r="A317" s="3288"/>
      <c r="B317" s="3288"/>
      <c r="C317" s="3288"/>
      <c r="D317" s="3288"/>
      <c r="E317" s="3288"/>
      <c r="F317" s="3288"/>
      <c r="G317" s="3288"/>
      <c r="H317" s="3288"/>
      <c r="I317" s="3288"/>
      <c r="J317" s="3288"/>
      <c r="K317" s="3288"/>
      <c r="L317" s="3288"/>
      <c r="M317" s="3288"/>
      <c r="N317" s="3288"/>
      <c r="O317" s="3288"/>
      <c r="P317" s="3288"/>
      <c r="Q317" s="3288"/>
      <c r="R317" s="3288"/>
      <c r="S317" s="3288"/>
      <c r="T317" s="3288"/>
      <c r="U317" s="3288"/>
      <c r="V317" s="3288"/>
      <c r="W317" s="3288"/>
      <c r="X317" s="3288"/>
      <c r="Y317" s="3288"/>
      <c r="Z317" s="3288"/>
      <c r="AA317" s="3288"/>
      <c r="AB317" s="3288"/>
      <c r="AC317" s="3288"/>
      <c r="AD317" s="3288"/>
      <c r="AE317" s="3288"/>
      <c r="AF317" s="3288"/>
      <c r="AG317" s="3288"/>
      <c r="AH317" s="3288"/>
      <c r="AI317" s="3288"/>
      <c r="AJ317" s="3288"/>
      <c r="AK317" s="3288"/>
      <c r="AL317" s="3288"/>
      <c r="AM317" s="3288"/>
      <c r="AN317" s="3288"/>
      <c r="AO317" s="3288"/>
      <c r="AP317" s="3288"/>
      <c r="AQ317" s="3288"/>
      <c r="AR317" s="3288"/>
      <c r="AS317" s="3288"/>
      <c r="AT317" s="3288"/>
      <c r="AU317" s="3288"/>
      <c r="AV317" s="3288"/>
      <c r="AW317" s="3288"/>
      <c r="AX317" s="3288"/>
      <c r="AY317" s="3288"/>
    </row>
    <row r="318" spans="1:51" ht="27.75">
      <c r="A318" s="3288"/>
      <c r="B318" s="3288"/>
      <c r="C318" s="3288"/>
      <c r="D318" s="3288"/>
      <c r="E318" s="3288"/>
      <c r="F318" s="3288"/>
      <c r="G318" s="3288"/>
      <c r="H318" s="3288"/>
      <c r="I318" s="3288"/>
      <c r="J318" s="3288"/>
      <c r="K318" s="3288"/>
      <c r="L318" s="3288"/>
      <c r="M318" s="3288"/>
      <c r="N318" s="3288"/>
      <c r="O318" s="3288"/>
      <c r="P318" s="3288"/>
      <c r="Q318" s="3288"/>
      <c r="R318" s="3288"/>
      <c r="S318" s="3288"/>
      <c r="T318" s="3288"/>
      <c r="U318" s="3288"/>
      <c r="V318" s="3288"/>
      <c r="W318" s="3288"/>
      <c r="X318" s="3288"/>
      <c r="Y318" s="3288"/>
      <c r="Z318" s="3288"/>
      <c r="AA318" s="3288"/>
      <c r="AB318" s="3288"/>
      <c r="AC318" s="3288"/>
      <c r="AD318" s="3288"/>
      <c r="AE318" s="3288"/>
      <c r="AF318" s="3288"/>
      <c r="AG318" s="3288"/>
      <c r="AH318" s="3288"/>
      <c r="AI318" s="3288"/>
      <c r="AJ318" s="3288"/>
      <c r="AK318" s="3288"/>
      <c r="AL318" s="3288"/>
      <c r="AM318" s="3288"/>
      <c r="AN318" s="3288"/>
      <c r="AO318" s="3288"/>
      <c r="AP318" s="3288"/>
      <c r="AQ318" s="3288"/>
      <c r="AR318" s="3288"/>
      <c r="AS318" s="3288"/>
      <c r="AT318" s="3288"/>
      <c r="AU318" s="3288"/>
      <c r="AV318" s="3288"/>
      <c r="AW318" s="3288"/>
      <c r="AX318" s="3288"/>
      <c r="AY318" s="3288"/>
    </row>
    <row r="319" spans="1:51" ht="27.75">
      <c r="A319" s="3288"/>
      <c r="B319" s="3288"/>
      <c r="C319" s="3288"/>
      <c r="D319" s="3288"/>
      <c r="E319" s="3288"/>
      <c r="F319" s="3288"/>
      <c r="G319" s="3288"/>
      <c r="H319" s="3288"/>
      <c r="I319" s="3288"/>
      <c r="J319" s="3288"/>
      <c r="K319" s="3288"/>
      <c r="L319" s="3288"/>
      <c r="M319" s="3288"/>
      <c r="N319" s="3288"/>
      <c r="O319" s="3288"/>
      <c r="P319" s="3288"/>
      <c r="Q319" s="3288"/>
      <c r="R319" s="3288"/>
      <c r="S319" s="3288"/>
      <c r="T319" s="3288"/>
      <c r="U319" s="3288"/>
      <c r="V319" s="3288"/>
      <c r="W319" s="3288"/>
      <c r="X319" s="3288"/>
      <c r="Y319" s="3288"/>
      <c r="Z319" s="3288"/>
      <c r="AA319" s="3288"/>
      <c r="AB319" s="3288"/>
      <c r="AC319" s="3288"/>
      <c r="AD319" s="3288"/>
      <c r="AE319" s="3288"/>
      <c r="AF319" s="3288"/>
      <c r="AG319" s="3288"/>
      <c r="AH319" s="3288"/>
      <c r="AI319" s="3288"/>
      <c r="AJ319" s="3288"/>
      <c r="AK319" s="3288"/>
      <c r="AL319" s="3288"/>
      <c r="AM319" s="3288"/>
      <c r="AN319" s="3288"/>
      <c r="AO319" s="3288"/>
      <c r="AP319" s="3288"/>
      <c r="AQ319" s="3288"/>
      <c r="AR319" s="3288"/>
      <c r="AS319" s="3288"/>
      <c r="AT319" s="3288"/>
      <c r="AU319" s="3288"/>
      <c r="AV319" s="3288"/>
      <c r="AW319" s="3288"/>
      <c r="AX319" s="3288"/>
      <c r="AY319" s="3288"/>
    </row>
    <row r="320" spans="1:51" ht="27.75">
      <c r="A320" s="3288"/>
      <c r="B320" s="3288"/>
      <c r="C320" s="3288"/>
      <c r="D320" s="3288"/>
      <c r="E320" s="3288"/>
      <c r="F320" s="3288"/>
      <c r="G320" s="3288"/>
      <c r="H320" s="3288"/>
      <c r="I320" s="3288"/>
      <c r="J320" s="3288"/>
      <c r="K320" s="3288"/>
      <c r="L320" s="3288"/>
      <c r="M320" s="3288"/>
      <c r="N320" s="3288"/>
      <c r="O320" s="3288"/>
      <c r="P320" s="3288"/>
      <c r="Q320" s="3288"/>
      <c r="R320" s="3288"/>
      <c r="S320" s="3288"/>
      <c r="T320" s="3288"/>
      <c r="U320" s="3288"/>
      <c r="V320" s="3288"/>
      <c r="W320" s="3288"/>
      <c r="X320" s="3288"/>
      <c r="Y320" s="3288"/>
      <c r="Z320" s="3288"/>
      <c r="AA320" s="3288"/>
      <c r="AB320" s="3288"/>
      <c r="AC320" s="3288"/>
      <c r="AD320" s="3288"/>
      <c r="AE320" s="3288"/>
      <c r="AF320" s="3288"/>
      <c r="AG320" s="3288"/>
      <c r="AH320" s="3288"/>
      <c r="AI320" s="3288"/>
      <c r="AJ320" s="3288"/>
      <c r="AK320" s="3288"/>
      <c r="AL320" s="3288"/>
      <c r="AM320" s="3288"/>
      <c r="AN320" s="3288"/>
      <c r="AO320" s="3288"/>
      <c r="AP320" s="3288"/>
      <c r="AQ320" s="3288"/>
      <c r="AR320" s="3288"/>
      <c r="AS320" s="3288"/>
      <c r="AT320" s="3288"/>
      <c r="AU320" s="3288"/>
      <c r="AV320" s="3288"/>
      <c r="AW320" s="3288"/>
      <c r="AX320" s="3288"/>
      <c r="AY320" s="3288"/>
    </row>
    <row r="321" spans="1:51" ht="27.75">
      <c r="A321" s="3288"/>
      <c r="B321" s="3288"/>
      <c r="C321" s="3288"/>
      <c r="D321" s="3288"/>
      <c r="E321" s="3288"/>
      <c r="F321" s="3288"/>
      <c r="G321" s="3288"/>
      <c r="H321" s="3288"/>
      <c r="I321" s="3288"/>
      <c r="J321" s="3288"/>
      <c r="K321" s="3288"/>
      <c r="L321" s="3288"/>
      <c r="M321" s="3288"/>
      <c r="N321" s="3288"/>
      <c r="O321" s="3288"/>
      <c r="P321" s="3288"/>
      <c r="Q321" s="3288"/>
      <c r="R321" s="3288"/>
      <c r="S321" s="3288"/>
      <c r="T321" s="3288"/>
      <c r="U321" s="3288"/>
      <c r="V321" s="3288"/>
      <c r="W321" s="3288"/>
      <c r="X321" s="3288"/>
      <c r="Y321" s="3288"/>
      <c r="Z321" s="3288"/>
      <c r="AA321" s="3288"/>
      <c r="AB321" s="3288"/>
      <c r="AC321" s="3288"/>
      <c r="AD321" s="3288"/>
      <c r="AE321" s="3288"/>
      <c r="AF321" s="3288"/>
      <c r="AG321" s="3288"/>
      <c r="AH321" s="3288"/>
      <c r="AI321" s="3288"/>
      <c r="AJ321" s="3288"/>
      <c r="AK321" s="3288"/>
      <c r="AL321" s="3288"/>
      <c r="AM321" s="3288"/>
      <c r="AN321" s="3288"/>
      <c r="AO321" s="3288"/>
      <c r="AP321" s="3288"/>
      <c r="AQ321" s="3288"/>
      <c r="AR321" s="3288"/>
      <c r="AS321" s="3288"/>
      <c r="AT321" s="3288"/>
      <c r="AU321" s="3288"/>
      <c r="AV321" s="3288"/>
      <c r="AW321" s="3288"/>
      <c r="AX321" s="3288"/>
      <c r="AY321" s="3288"/>
    </row>
    <row r="322" spans="1:51" ht="27.75">
      <c r="A322" s="3288"/>
      <c r="B322" s="3288"/>
      <c r="C322" s="3288"/>
      <c r="D322" s="3288"/>
      <c r="E322" s="3288"/>
      <c r="F322" s="3288"/>
      <c r="G322" s="3288"/>
      <c r="H322" s="3288"/>
      <c r="I322" s="3288"/>
      <c r="J322" s="3288"/>
      <c r="K322" s="3288"/>
      <c r="L322" s="3288"/>
      <c r="M322" s="3288"/>
      <c r="N322" s="3288"/>
      <c r="O322" s="3288"/>
      <c r="P322" s="3288"/>
      <c r="Q322" s="3288"/>
      <c r="R322" s="3288"/>
      <c r="S322" s="3288"/>
      <c r="T322" s="3288"/>
      <c r="U322" s="3288"/>
      <c r="V322" s="3288"/>
      <c r="W322" s="3288"/>
      <c r="X322" s="3288"/>
      <c r="Y322" s="3288"/>
      <c r="Z322" s="3288"/>
      <c r="AA322" s="3288"/>
      <c r="AB322" s="3288"/>
      <c r="AC322" s="3288"/>
      <c r="AD322" s="3288"/>
      <c r="AE322" s="3288"/>
      <c r="AF322" s="3288"/>
      <c r="AG322" s="3288"/>
      <c r="AH322" s="3288"/>
      <c r="AI322" s="3288"/>
      <c r="AJ322" s="3288"/>
      <c r="AK322" s="3288"/>
      <c r="AL322" s="3288"/>
      <c r="AM322" s="3288"/>
      <c r="AN322" s="3288"/>
      <c r="AO322" s="3288"/>
      <c r="AP322" s="3288"/>
      <c r="AQ322" s="3288"/>
      <c r="AR322" s="3288"/>
      <c r="AS322" s="3288"/>
      <c r="AT322" s="3288"/>
      <c r="AU322" s="3288"/>
      <c r="AV322" s="3288"/>
      <c r="AW322" s="3288"/>
      <c r="AX322" s="3288"/>
      <c r="AY322" s="3288"/>
    </row>
    <row r="323" spans="1:51" ht="27.75">
      <c r="A323" s="3288"/>
      <c r="B323" s="3288"/>
      <c r="C323" s="3288"/>
      <c r="D323" s="3288"/>
      <c r="E323" s="3288"/>
      <c r="F323" s="3288"/>
      <c r="G323" s="3288"/>
      <c r="H323" s="3288"/>
      <c r="I323" s="3288"/>
      <c r="J323" s="3288"/>
      <c r="K323" s="3288"/>
      <c r="L323" s="3288"/>
      <c r="M323" s="3288"/>
      <c r="N323" s="3288"/>
      <c r="O323" s="3288"/>
      <c r="P323" s="3288"/>
      <c r="Q323" s="3288"/>
      <c r="R323" s="3288"/>
      <c r="S323" s="3288"/>
      <c r="T323" s="3288"/>
      <c r="U323" s="3288"/>
      <c r="V323" s="3288"/>
      <c r="W323" s="3288"/>
      <c r="X323" s="3288"/>
      <c r="Y323" s="3288"/>
      <c r="Z323" s="3288"/>
      <c r="AA323" s="3288"/>
      <c r="AB323" s="3288"/>
      <c r="AC323" s="3288"/>
      <c r="AD323" s="3288"/>
      <c r="AE323" s="3288"/>
      <c r="AF323" s="3288"/>
      <c r="AG323" s="3288"/>
      <c r="AH323" s="3288"/>
      <c r="AI323" s="3288"/>
      <c r="AJ323" s="3288"/>
      <c r="AK323" s="3288"/>
      <c r="AL323" s="3288"/>
      <c r="AM323" s="3288"/>
      <c r="AN323" s="3288"/>
      <c r="AO323" s="3288"/>
      <c r="AP323" s="3288"/>
      <c r="AQ323" s="3288"/>
      <c r="AR323" s="3288"/>
      <c r="AS323" s="3288"/>
      <c r="AT323" s="3288"/>
      <c r="AU323" s="3288"/>
      <c r="AV323" s="3288"/>
      <c r="AW323" s="3288"/>
      <c r="AX323" s="3288"/>
      <c r="AY323" s="3288"/>
    </row>
    <row r="324" spans="1:51" ht="27.75">
      <c r="A324" s="3288"/>
      <c r="B324" s="3288"/>
      <c r="C324" s="3288"/>
      <c r="D324" s="3288"/>
      <c r="E324" s="3288"/>
      <c r="F324" s="3288"/>
      <c r="G324" s="3288"/>
      <c r="H324" s="3288"/>
      <c r="I324" s="3288"/>
      <c r="J324" s="3288"/>
      <c r="K324" s="3288"/>
      <c r="L324" s="3288"/>
      <c r="M324" s="3288"/>
      <c r="N324" s="3288"/>
      <c r="O324" s="3288"/>
      <c r="P324" s="3288"/>
      <c r="Q324" s="3288"/>
      <c r="R324" s="3288"/>
      <c r="S324" s="3288"/>
      <c r="T324" s="3288"/>
      <c r="U324" s="3288"/>
      <c r="V324" s="3288"/>
      <c r="W324" s="3288"/>
      <c r="X324" s="3288"/>
      <c r="Y324" s="3288"/>
      <c r="Z324" s="3288"/>
      <c r="AA324" s="3288"/>
      <c r="AB324" s="3288"/>
      <c r="AC324" s="3288"/>
      <c r="AD324" s="3288"/>
      <c r="AE324" s="3288"/>
      <c r="AF324" s="3288"/>
      <c r="AG324" s="3288"/>
      <c r="AH324" s="3288"/>
      <c r="AI324" s="3288"/>
      <c r="AJ324" s="3288"/>
      <c r="AK324" s="3288"/>
      <c r="AL324" s="3288"/>
      <c r="AM324" s="3288"/>
      <c r="AN324" s="3288"/>
      <c r="AO324" s="3288"/>
      <c r="AP324" s="3288"/>
      <c r="AQ324" s="3288"/>
      <c r="AR324" s="3288"/>
      <c r="AS324" s="3288"/>
      <c r="AT324" s="3288"/>
      <c r="AU324" s="3288"/>
      <c r="AV324" s="3288"/>
      <c r="AW324" s="3288"/>
      <c r="AX324" s="3288"/>
      <c r="AY324" s="3288"/>
    </row>
    <row r="325" spans="1:51" ht="27.75">
      <c r="A325" s="3288"/>
      <c r="B325" s="3288"/>
      <c r="C325" s="3288"/>
      <c r="D325" s="3288"/>
      <c r="E325" s="3288"/>
      <c r="F325" s="3288"/>
      <c r="G325" s="3288"/>
      <c r="H325" s="3288"/>
      <c r="I325" s="3288"/>
      <c r="J325" s="3288"/>
      <c r="K325" s="3288"/>
      <c r="L325" s="3288"/>
      <c r="M325" s="3288"/>
      <c r="N325" s="3288"/>
      <c r="O325" s="3288"/>
      <c r="P325" s="3288"/>
      <c r="Q325" s="3288"/>
      <c r="R325" s="3288"/>
      <c r="S325" s="3288"/>
      <c r="T325" s="3288"/>
      <c r="U325" s="3288"/>
      <c r="V325" s="3288"/>
      <c r="W325" s="3288"/>
      <c r="X325" s="3288"/>
      <c r="Y325" s="3288"/>
      <c r="Z325" s="3288"/>
      <c r="AA325" s="3288"/>
      <c r="AB325" s="3288"/>
      <c r="AC325" s="3288"/>
      <c r="AD325" s="3288"/>
      <c r="AE325" s="3288"/>
      <c r="AF325" s="3288"/>
      <c r="AG325" s="3288"/>
      <c r="AH325" s="3288"/>
      <c r="AI325" s="3288"/>
      <c r="AJ325" s="3288"/>
      <c r="AK325" s="3288"/>
      <c r="AL325" s="3288"/>
      <c r="AM325" s="3288"/>
      <c r="AN325" s="3288"/>
      <c r="AO325" s="3288"/>
      <c r="AP325" s="3288"/>
      <c r="AQ325" s="3288"/>
      <c r="AR325" s="3288"/>
      <c r="AS325" s="3288"/>
      <c r="AT325" s="3288"/>
      <c r="AU325" s="3288"/>
      <c r="AV325" s="3288"/>
      <c r="AW325" s="3288"/>
      <c r="AX325" s="3288"/>
      <c r="AY325" s="3288"/>
    </row>
    <row r="326" spans="1:51" ht="27.75">
      <c r="A326" s="3288"/>
      <c r="B326" s="3288"/>
      <c r="C326" s="3288"/>
      <c r="D326" s="3288"/>
      <c r="E326" s="3288"/>
      <c r="F326" s="3288"/>
      <c r="G326" s="3288"/>
      <c r="H326" s="3288"/>
      <c r="I326" s="3288"/>
      <c r="J326" s="3288"/>
      <c r="K326" s="3288"/>
      <c r="L326" s="3288"/>
      <c r="M326" s="3288"/>
      <c r="N326" s="3288"/>
      <c r="O326" s="3288"/>
      <c r="P326" s="3288"/>
      <c r="Q326" s="3288"/>
      <c r="R326" s="3288"/>
      <c r="S326" s="3288"/>
      <c r="T326" s="3288"/>
      <c r="U326" s="3288"/>
      <c r="V326" s="3288"/>
      <c r="W326" s="3288"/>
      <c r="X326" s="3288"/>
      <c r="Y326" s="3288"/>
      <c r="Z326" s="3288"/>
      <c r="AA326" s="3288"/>
      <c r="AB326" s="3288"/>
      <c r="AC326" s="3288"/>
      <c r="AD326" s="3288"/>
      <c r="AE326" s="3288"/>
      <c r="AF326" s="3288"/>
      <c r="AG326" s="3288"/>
      <c r="AH326" s="3288"/>
      <c r="AI326" s="3288"/>
      <c r="AJ326" s="3288"/>
      <c r="AK326" s="3288"/>
      <c r="AL326" s="3288"/>
      <c r="AM326" s="3288"/>
      <c r="AN326" s="3288"/>
      <c r="AO326" s="3288"/>
      <c r="AP326" s="3288"/>
      <c r="AQ326" s="3288"/>
      <c r="AR326" s="3288"/>
      <c r="AS326" s="3288"/>
      <c r="AT326" s="3288"/>
      <c r="AU326" s="3288"/>
      <c r="AV326" s="3288"/>
      <c r="AW326" s="3288"/>
      <c r="AX326" s="3288"/>
      <c r="AY326" s="3288"/>
    </row>
    <row r="327" spans="1:51" ht="27.75">
      <c r="A327" s="3288"/>
      <c r="B327" s="3288"/>
      <c r="C327" s="3288"/>
      <c r="D327" s="3288"/>
      <c r="E327" s="3288"/>
      <c r="F327" s="3288"/>
      <c r="G327" s="3288"/>
      <c r="H327" s="3288"/>
      <c r="I327" s="3288"/>
      <c r="J327" s="3288"/>
      <c r="K327" s="3288"/>
      <c r="L327" s="3288"/>
      <c r="M327" s="3288"/>
      <c r="N327" s="3288"/>
      <c r="O327" s="3288"/>
      <c r="P327" s="3288"/>
      <c r="Q327" s="3288"/>
      <c r="R327" s="3288"/>
      <c r="S327" s="3288"/>
      <c r="T327" s="3288"/>
      <c r="U327" s="3288"/>
      <c r="V327" s="3288"/>
      <c r="W327" s="3288"/>
      <c r="X327" s="3288"/>
      <c r="Y327" s="3288"/>
      <c r="Z327" s="3288"/>
      <c r="AA327" s="3288"/>
      <c r="AB327" s="3288"/>
      <c r="AC327" s="3288"/>
      <c r="AD327" s="3288"/>
      <c r="AE327" s="3288"/>
      <c r="AF327" s="3288"/>
      <c r="AG327" s="3288"/>
      <c r="AH327" s="3288"/>
      <c r="AI327" s="3288"/>
      <c r="AJ327" s="3288"/>
      <c r="AK327" s="3288"/>
      <c r="AL327" s="3288"/>
      <c r="AM327" s="3288"/>
      <c r="AN327" s="3288"/>
      <c r="AO327" s="3288"/>
      <c r="AP327" s="3288"/>
      <c r="AQ327" s="3288"/>
      <c r="AR327" s="3288"/>
      <c r="AS327" s="3288"/>
      <c r="AT327" s="3288"/>
      <c r="AU327" s="3288"/>
      <c r="AV327" s="3288"/>
      <c r="AW327" s="3288"/>
      <c r="AX327" s="3288"/>
      <c r="AY327" s="3288"/>
    </row>
    <row r="328" spans="1:51" ht="27.75">
      <c r="A328" s="3288"/>
      <c r="B328" s="3288"/>
      <c r="C328" s="3288"/>
      <c r="D328" s="3288"/>
      <c r="E328" s="3288"/>
      <c r="F328" s="3288"/>
      <c r="G328" s="3288"/>
      <c r="H328" s="3288"/>
      <c r="I328" s="3288"/>
      <c r="J328" s="3288"/>
      <c r="K328" s="3288"/>
      <c r="L328" s="3288"/>
      <c r="M328" s="3288"/>
      <c r="N328" s="3288"/>
      <c r="O328" s="3288"/>
      <c r="P328" s="3288"/>
      <c r="Q328" s="3288"/>
      <c r="R328" s="3288"/>
      <c r="S328" s="3288"/>
      <c r="T328" s="3288"/>
      <c r="U328" s="3288"/>
      <c r="V328" s="3288"/>
      <c r="W328" s="3288"/>
      <c r="X328" s="3288"/>
      <c r="Y328" s="3288"/>
      <c r="Z328" s="3288"/>
      <c r="AA328" s="3288"/>
      <c r="AB328" s="3288"/>
      <c r="AC328" s="3288"/>
      <c r="AD328" s="3288"/>
      <c r="AE328" s="3288"/>
      <c r="AF328" s="3288"/>
      <c r="AG328" s="3288"/>
      <c r="AH328" s="3288"/>
      <c r="AI328" s="3288"/>
      <c r="AJ328" s="3288"/>
      <c r="AK328" s="3288"/>
      <c r="AL328" s="3288"/>
      <c r="AM328" s="3288"/>
      <c r="AN328" s="3288"/>
      <c r="AO328" s="3288"/>
      <c r="AP328" s="3288"/>
      <c r="AQ328" s="3288"/>
      <c r="AR328" s="3288"/>
      <c r="AS328" s="3288"/>
      <c r="AT328" s="3288"/>
      <c r="AU328" s="3288"/>
      <c r="AV328" s="3288"/>
      <c r="AW328" s="3288"/>
      <c r="AX328" s="3288"/>
      <c r="AY328" s="3288"/>
    </row>
    <row r="329" spans="1:51" ht="27.75">
      <c r="A329" s="3288"/>
      <c r="B329" s="3288"/>
      <c r="C329" s="3288"/>
      <c r="D329" s="3288"/>
      <c r="E329" s="3288"/>
      <c r="F329" s="3288"/>
      <c r="G329" s="3288"/>
      <c r="H329" s="3288"/>
      <c r="I329" s="3288"/>
      <c r="J329" s="3288"/>
      <c r="K329" s="3288"/>
      <c r="L329" s="3288"/>
      <c r="M329" s="3288"/>
      <c r="N329" s="3288"/>
      <c r="O329" s="3288"/>
      <c r="P329" s="3288"/>
      <c r="Q329" s="3288"/>
      <c r="R329" s="3288"/>
      <c r="S329" s="3288"/>
      <c r="T329" s="3288"/>
      <c r="U329" s="3288"/>
      <c r="V329" s="3288"/>
      <c r="W329" s="3288"/>
      <c r="X329" s="3288"/>
      <c r="Y329" s="3288"/>
      <c r="Z329" s="3288"/>
      <c r="AA329" s="3288"/>
      <c r="AB329" s="3288"/>
      <c r="AC329" s="3288"/>
      <c r="AD329" s="3288"/>
      <c r="AE329" s="3288"/>
      <c r="AF329" s="3288"/>
      <c r="AG329" s="3288"/>
      <c r="AH329" s="3288"/>
      <c r="AI329" s="3288"/>
      <c r="AJ329" s="3288"/>
      <c r="AK329" s="3288"/>
      <c r="AL329" s="3288"/>
      <c r="AM329" s="3288"/>
      <c r="AN329" s="3288"/>
      <c r="AO329" s="3288"/>
      <c r="AP329" s="3288"/>
      <c r="AQ329" s="3288"/>
      <c r="AR329" s="3288"/>
      <c r="AS329" s="3288"/>
      <c r="AT329" s="3288"/>
      <c r="AU329" s="3288"/>
      <c r="AV329" s="3288"/>
      <c r="AW329" s="3288"/>
      <c r="AX329" s="3288"/>
      <c r="AY329" s="3288"/>
    </row>
    <row r="330" spans="1:51" ht="27.75">
      <c r="A330" s="3288"/>
      <c r="B330" s="3288"/>
      <c r="C330" s="3288"/>
      <c r="D330" s="3288"/>
      <c r="E330" s="3288"/>
      <c r="F330" s="3288"/>
      <c r="G330" s="3288"/>
      <c r="H330" s="3288"/>
      <c r="I330" s="3288"/>
      <c r="J330" s="3288"/>
      <c r="K330" s="3288"/>
      <c r="L330" s="3288"/>
      <c r="M330" s="3288"/>
      <c r="N330" s="3288"/>
      <c r="O330" s="3288"/>
      <c r="P330" s="3288"/>
      <c r="Q330" s="3288"/>
      <c r="R330" s="3288"/>
      <c r="S330" s="3288"/>
      <c r="T330" s="3288"/>
      <c r="U330" s="3288"/>
      <c r="V330" s="3288"/>
      <c r="W330" s="3288"/>
      <c r="X330" s="3288"/>
      <c r="Y330" s="3288"/>
      <c r="Z330" s="3288"/>
      <c r="AA330" s="3288"/>
      <c r="AB330" s="3288"/>
      <c r="AC330" s="3288"/>
      <c r="AD330" s="3288"/>
      <c r="AE330" s="3288"/>
      <c r="AF330" s="3288"/>
      <c r="AG330" s="3288"/>
      <c r="AH330" s="3288"/>
      <c r="AI330" s="3288"/>
      <c r="AJ330" s="3288"/>
      <c r="AK330" s="3288"/>
      <c r="AL330" s="3288"/>
      <c r="AM330" s="3288"/>
      <c r="AN330" s="3288"/>
      <c r="AO330" s="3288"/>
      <c r="AP330" s="3288"/>
      <c r="AQ330" s="3288"/>
      <c r="AR330" s="3288"/>
      <c r="AS330" s="3288"/>
      <c r="AT330" s="3288"/>
      <c r="AU330" s="3288"/>
      <c r="AV330" s="3288"/>
      <c r="AW330" s="3288"/>
      <c r="AX330" s="3288"/>
      <c r="AY330" s="3288"/>
    </row>
    <row r="331" spans="1:51" ht="27.75">
      <c r="A331" s="3288"/>
      <c r="B331" s="3288"/>
      <c r="C331" s="3288"/>
      <c r="D331" s="3288"/>
      <c r="E331" s="3288"/>
      <c r="F331" s="3288"/>
      <c r="G331" s="3288"/>
      <c r="H331" s="3288"/>
      <c r="I331" s="3288"/>
      <c r="J331" s="3288"/>
      <c r="K331" s="3288"/>
      <c r="L331" s="3288"/>
      <c r="M331" s="3288"/>
      <c r="N331" s="3288"/>
      <c r="O331" s="3288"/>
      <c r="P331" s="3288"/>
      <c r="Q331" s="3288"/>
      <c r="R331" s="3288"/>
      <c r="S331" s="3288"/>
      <c r="T331" s="3288"/>
      <c r="U331" s="3288"/>
      <c r="V331" s="3288"/>
      <c r="W331" s="3288"/>
      <c r="X331" s="3288"/>
      <c r="Y331" s="3288"/>
      <c r="Z331" s="3288"/>
      <c r="AA331" s="3288"/>
      <c r="AB331" s="3288"/>
      <c r="AC331" s="3288"/>
      <c r="AD331" s="3288"/>
      <c r="AE331" s="3288"/>
      <c r="AF331" s="3288"/>
      <c r="AG331" s="3288"/>
      <c r="AH331" s="3288"/>
      <c r="AI331" s="3288"/>
      <c r="AJ331" s="3288"/>
      <c r="AK331" s="3288"/>
      <c r="AL331" s="3288"/>
      <c r="AM331" s="3288"/>
      <c r="AN331" s="3288"/>
      <c r="AO331" s="3288"/>
      <c r="AP331" s="3288"/>
      <c r="AQ331" s="3288"/>
      <c r="AR331" s="3288"/>
      <c r="AS331" s="3288"/>
      <c r="AT331" s="3288"/>
      <c r="AU331" s="3288"/>
      <c r="AV331" s="3288"/>
      <c r="AW331" s="3288"/>
      <c r="AX331" s="3288"/>
      <c r="AY331" s="3288"/>
    </row>
    <row r="332" spans="1:51" ht="27.75">
      <c r="A332" s="3288"/>
      <c r="B332" s="3288"/>
      <c r="C332" s="3288"/>
      <c r="D332" s="3288"/>
      <c r="E332" s="3288"/>
      <c r="F332" s="3288"/>
      <c r="G332" s="3288"/>
      <c r="H332" s="3288"/>
      <c r="I332" s="3288"/>
      <c r="J332" s="3288"/>
      <c r="K332" s="3288"/>
      <c r="L332" s="3288"/>
      <c r="M332" s="3288"/>
      <c r="N332" s="3288"/>
      <c r="O332" s="3288"/>
      <c r="P332" s="3288"/>
      <c r="Q332" s="3288"/>
      <c r="R332" s="3288"/>
      <c r="S332" s="3288"/>
      <c r="T332" s="3288"/>
      <c r="U332" s="3288"/>
      <c r="V332" s="3288"/>
      <c r="W332" s="3288"/>
      <c r="X332" s="3288"/>
      <c r="Y332" s="3288"/>
      <c r="Z332" s="3288"/>
      <c r="AA332" s="3288"/>
      <c r="AB332" s="3288"/>
      <c r="AC332" s="3288"/>
      <c r="AD332" s="3288"/>
      <c r="AE332" s="3288"/>
      <c r="AF332" s="3288"/>
      <c r="AG332" s="3288"/>
      <c r="AH332" s="3288"/>
      <c r="AI332" s="3288"/>
      <c r="AJ332" s="3288"/>
      <c r="AK332" s="3288"/>
      <c r="AL332" s="3288"/>
      <c r="AM332" s="3288"/>
      <c r="AN332" s="3288"/>
      <c r="AO332" s="3288"/>
      <c r="AP332" s="3288"/>
      <c r="AQ332" s="3288"/>
      <c r="AR332" s="3288"/>
      <c r="AS332" s="3288"/>
      <c r="AT332" s="3288"/>
      <c r="AU332" s="3288"/>
      <c r="AV332" s="3288"/>
      <c r="AW332" s="3288"/>
      <c r="AX332" s="3288"/>
      <c r="AY332" s="3288"/>
    </row>
    <row r="333" spans="1:51" ht="27.75">
      <c r="A333" s="3288"/>
      <c r="B333" s="3288"/>
      <c r="C333" s="3288"/>
      <c r="D333" s="3288"/>
      <c r="E333" s="3288"/>
      <c r="F333" s="3288"/>
      <c r="G333" s="3288"/>
      <c r="H333" s="3288"/>
      <c r="I333" s="3288"/>
      <c r="J333" s="3288"/>
      <c r="K333" s="3288"/>
      <c r="L333" s="3288"/>
      <c r="M333" s="3288"/>
      <c r="N333" s="3288"/>
      <c r="O333" s="3288"/>
      <c r="P333" s="3288"/>
      <c r="Q333" s="3288"/>
      <c r="R333" s="3288"/>
      <c r="S333" s="3288"/>
      <c r="T333" s="3288"/>
      <c r="U333" s="3288"/>
      <c r="V333" s="3288"/>
      <c r="W333" s="3288"/>
      <c r="X333" s="3288"/>
      <c r="Y333" s="3288"/>
      <c r="Z333" s="3288"/>
      <c r="AA333" s="3288"/>
      <c r="AB333" s="3288"/>
      <c r="AC333" s="3288"/>
      <c r="AD333" s="3288"/>
      <c r="AE333" s="3288"/>
      <c r="AF333" s="3288"/>
      <c r="AG333" s="3288"/>
      <c r="AH333" s="3288"/>
      <c r="AI333" s="3288"/>
      <c r="AJ333" s="3288"/>
      <c r="AK333" s="3288"/>
      <c r="AL333" s="3288"/>
      <c r="AM333" s="3288"/>
      <c r="AN333" s="3288"/>
      <c r="AO333" s="3288"/>
      <c r="AP333" s="3288"/>
      <c r="AQ333" s="3288"/>
      <c r="AR333" s="3288"/>
      <c r="AS333" s="3288"/>
      <c r="AT333" s="3288"/>
      <c r="AU333" s="3288"/>
      <c r="AV333" s="3288"/>
      <c r="AW333" s="3288"/>
      <c r="AX333" s="3288"/>
      <c r="AY333" s="3288"/>
    </row>
    <row r="1048515" spans="3:28" ht="15.75">
      <c r="C1048515" s="418"/>
      <c r="AB1048515" s="5" t="s">
        <v>1086</v>
      </c>
    </row>
  </sheetData>
  <customSheetViews>
    <customSheetView guid="{751D391F-C74F-4B53-B5B5-25E01AC12EA4}" scale="55" showPageBreaks="1" printArea="1" hiddenRows="1">
      <selection sqref="A1:I115"/>
      <pageMargins left="0" right="0" top="0" bottom="0" header="0" footer="0"/>
      <printOptions horizontalCentered="1"/>
      <pageSetup paperSize="9" scale="23" orientation="portrait" horizontalDpi="4294967295" verticalDpi="4294967295" r:id="rId1"/>
      <headerFooter differentFirst="1" alignWithMargins="0">
        <oddFooter>&amp;CPage &amp;P of 7</oddFooter>
      </headerFooter>
    </customSheetView>
    <customSheetView guid="{5A803268-F6C5-4035-B3E1-A94CB9AA8994}" scale="70" showPageBreaks="1" printArea="1">
      <selection sqref="A1:I115"/>
      <pageMargins left="0.1" right="0.1" top="0.75" bottom="0.44" header="0.3" footer="0.3"/>
      <printOptions horizontalCentered="1"/>
      <pageSetup paperSize="9" scale="30" orientation="portrait" r:id="rId2"/>
      <headerFooter differentFirst="1" alignWithMargins="0">
        <oddFooter>&amp;CPage &amp;P of 7</oddFooter>
      </headerFooter>
    </customSheetView>
    <customSheetView guid="{917057C8-5E5F-4164-B84C-85103677A2E5}" scale="70">
      <selection sqref="A1:I115"/>
      <pageMargins left="0.28000000000000003" right="0.24" top="0.2" bottom="0.17" header="0.37" footer="0.17"/>
      <printOptions horizontalCentered="1"/>
      <pageSetup paperSize="9" scale="23" orientation="portrait" r:id="rId3"/>
      <headerFooter differentFirst="1" alignWithMargins="0">
        <oddFooter>&amp;CPage &amp;P of 7</oddFooter>
      </headerFooter>
    </customSheetView>
    <customSheetView guid="{4593F3EE-0998-4E0E-994A-E02D6BAF3A4B}" scale="55" showPageBreaks="1" printArea="1" hiddenColumns="1" topLeftCell="A65">
      <selection activeCell="D86" sqref="D86"/>
      <pageMargins left="0.28000000000000003" right="0.24" top="0.2" bottom="0.17" header="0.37" footer="0.17"/>
      <printOptions horizontalCentered="1"/>
      <pageSetup paperSize="9" scale="24" orientation="portrait" r:id="rId4"/>
      <headerFooter differentFirst="1" alignWithMargins="0">
        <oddFooter>&amp;CPage &amp;P of 7</oddFooter>
      </headerFooter>
    </customSheetView>
    <customSheetView guid="{23F4DC00-BC97-4745-AA5C-F05D469CB1EF}" scale="70" showPageBreaks="1" printArea="1">
      <selection sqref="A1:I115"/>
      <pageMargins left="0.1" right="0.1" top="0.75" bottom="0.44" header="0.3" footer="0.3"/>
      <printOptions horizontalCentered="1"/>
      <pageSetup paperSize="9" scale="30" orientation="portrait" r:id="rId5"/>
      <headerFooter differentFirst="1" alignWithMargins="0">
        <oddFooter>&amp;CPage &amp;P of 7</oddFooter>
      </headerFooter>
    </customSheetView>
    <customSheetView guid="{B91C2E87-5EDA-40AE-AC27-0E2C17E803CE}" scale="50" showPageBreaks="1" printArea="1" hiddenRows="1" hiddenColumns="1">
      <selection sqref="A1:I115"/>
      <pageMargins left="0.2" right="0.36" top="0.17" bottom="0.17" header="0.17" footer="0.17"/>
      <printOptions horizontalCentered="1"/>
      <pageSetup paperSize="9" scale="25" orientation="portrait" r:id="rId6"/>
      <headerFooter differentFirst="1" alignWithMargins="0">
        <oddFooter>&amp;CPage &amp;P of 7</oddFooter>
      </headerFooter>
    </customSheetView>
    <customSheetView guid="{7C71EF2A-5ADA-494C-8F58-DDA71753DD90}" scale="70" showPageBreaks="1" printArea="1" topLeftCell="A64">
      <selection activeCell="A74" sqref="A74"/>
      <rowBreaks count="1" manualBreakCount="1">
        <brk id="127" max="16383" man="1"/>
      </rowBreaks>
      <pageMargins left="0" right="0" top="0" bottom="0" header="0" footer="0"/>
      <printOptions horizontalCentered="1"/>
      <pageSetup paperSize="9" scale="25" orientation="portrait" horizontalDpi="4294967295" verticalDpi="4294967295" r:id="rId7"/>
      <headerFooter differentFirst="1" alignWithMargins="0">
        <oddFooter>&amp;CPage &amp;P of 7</oddFooter>
      </headerFooter>
    </customSheetView>
    <customSheetView guid="{4DB6C640-CE65-4513-9E5A-F6CDD1F4B8AF}" scale="55" showPageBreaks="1">
      <selection activeCell="D5" sqref="D5"/>
      <pageMargins left="0" right="0" top="0" bottom="0" header="0" footer="0"/>
      <printOptions horizontalCentered="1"/>
      <pageSetup paperSize="9" scale="23" orientation="portrait" horizontalDpi="4294967295" verticalDpi="4294967295" r:id="rId8"/>
      <headerFooter differentFirst="1" alignWithMargins="0">
        <oddFooter>&amp;CPage &amp;P of 7</oddFooter>
      </headerFooter>
    </customSheetView>
    <customSheetView guid="{D1D1E152-95AB-45D3-AC07-4EC0834D3E0C}" scale="55" printArea="1" hiddenRows="1" topLeftCell="A43">
      <selection activeCell="A75" sqref="A75"/>
      <pageMargins left="0" right="0" top="0" bottom="0" header="0" footer="0"/>
      <printOptions horizontalCentered="1"/>
      <pageSetup paperSize="9" scale="23" orientation="portrait" horizontalDpi="4294967295" verticalDpi="4294967295" r:id="rId9"/>
      <headerFooter differentFirst="1" alignWithMargins="0">
        <oddFooter>&amp;CPage &amp;P of 7</oddFooter>
      </headerFooter>
    </customSheetView>
    <customSheetView guid="{C3348F62-02F2-4500-9BF2-19F2DEA57A8D}" scale="60" showPageBreaks="1" printArea="1" hiddenRows="1">
      <selection sqref="A1:I115"/>
      <pageMargins left="0" right="0" top="0" bottom="0" header="0" footer="0"/>
      <printOptions horizontalCentered="1"/>
      <pageSetup paperSize="9" scale="23" orientation="portrait" horizontalDpi="4294967295" verticalDpi="4294967295" r:id="rId10"/>
      <headerFooter differentFirst="1" alignWithMargins="0">
        <oddFooter>&amp;CPage &amp;P of 7</oddFooter>
      </headerFooter>
    </customSheetView>
  </customSheetViews>
  <printOptions horizontalCentered="1"/>
  <pageMargins left="0" right="0" top="0" bottom="0" header="0" footer="0"/>
  <pageSetup paperSize="9" scale="23" orientation="portrait" horizontalDpi="4294967295" verticalDpi="4294967295" r:id="rId11"/>
  <headerFooter differentFirst="1" alignWithMargins="0">
    <oddFooter>&amp;CPage &amp;P of 7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>
    <tabColor theme="9" tint="-0.499984740745262"/>
    <pageSetUpPr fitToPage="1"/>
  </sheetPr>
  <dimension ref="A1:T208"/>
  <sheetViews>
    <sheetView workbookViewId="0">
      <selection sqref="A1:J73"/>
    </sheetView>
  </sheetViews>
  <sheetFormatPr defaultRowHeight="15"/>
  <cols>
    <col min="1" max="1" width="9.28515625" style="5" bestFit="1" customWidth="1"/>
    <col min="2" max="2" width="21.7109375" style="5" customWidth="1"/>
    <col min="3" max="3" width="13.28515625" style="5" customWidth="1"/>
    <col min="4" max="4" width="11" style="5" customWidth="1"/>
    <col min="5" max="5" width="15.28515625" style="5" customWidth="1"/>
    <col min="6" max="6" width="13.7109375" style="5" customWidth="1"/>
    <col min="7" max="7" width="10.140625" style="5" customWidth="1"/>
    <col min="8" max="8" width="14.28515625" style="5" customWidth="1"/>
    <col min="9" max="9" width="12.7109375" style="5" customWidth="1"/>
    <col min="10" max="10" width="9.5703125" style="5" customWidth="1"/>
    <col min="11" max="11" width="16.7109375" style="5" customWidth="1"/>
    <col min="12" max="13" width="9.140625" style="5"/>
    <col min="14" max="14" width="15" style="5" customWidth="1"/>
    <col min="15" max="17" width="9.140625" style="5"/>
    <col min="18" max="18" width="9.42578125" style="5" bestFit="1" customWidth="1"/>
    <col min="19" max="16384" width="9.140625" style="5"/>
  </cols>
  <sheetData>
    <row r="1" spans="1:17" ht="30">
      <c r="A1" s="3351"/>
      <c r="B1" s="3352"/>
      <c r="C1" s="3353"/>
      <c r="D1" s="3354"/>
      <c r="E1" s="3355" t="s">
        <v>1197</v>
      </c>
      <c r="F1" s="3356"/>
      <c r="G1" s="3357"/>
      <c r="H1" s="3358"/>
      <c r="I1" s="3351"/>
      <c r="J1" s="3351"/>
    </row>
    <row r="2" spans="1:17" ht="18.75" customHeight="1">
      <c r="A2" s="3351"/>
      <c r="B2" s="3359"/>
      <c r="C2" s="3360"/>
      <c r="D2" s="3361"/>
      <c r="E2" s="3362" t="s">
        <v>433</v>
      </c>
      <c r="F2" s="3363"/>
      <c r="G2" s="3359"/>
      <c r="H2" s="3359"/>
      <c r="I2" s="3359"/>
      <c r="J2" s="3359"/>
    </row>
    <row r="3" spans="1:17" ht="30">
      <c r="A3" s="3351"/>
      <c r="B3" s="3364"/>
      <c r="C3" s="3365" t="s">
        <v>1198</v>
      </c>
      <c r="D3" s="3366"/>
      <c r="E3" s="3367"/>
      <c r="F3" s="3367"/>
      <c r="G3" s="3365"/>
      <c r="H3" s="3368"/>
      <c r="I3" s="3351"/>
      <c r="J3" s="3351"/>
    </row>
    <row r="4" spans="1:17" ht="18">
      <c r="A4" s="3351"/>
      <c r="B4" s="3369"/>
      <c r="C4" s="3370"/>
      <c r="D4" s="3371"/>
      <c r="E4" s="3372"/>
      <c r="F4" s="3372"/>
      <c r="G4" s="3372"/>
      <c r="H4" s="3373"/>
      <c r="I4" s="3374"/>
      <c r="J4" s="3375" t="s">
        <v>1076</v>
      </c>
    </row>
    <row r="5" spans="1:17" ht="15.75">
      <c r="A5" s="3351"/>
      <c r="B5" s="3376" t="s">
        <v>149</v>
      </c>
      <c r="C5" s="3377">
        <f>YesterdayGen!A2</f>
        <v>43318</v>
      </c>
      <c r="D5" s="3364"/>
      <c r="E5" s="3364"/>
      <c r="F5" s="3364"/>
      <c r="G5" s="3364"/>
      <c r="H5" s="3378"/>
      <c r="I5" s="3351"/>
      <c r="J5" s="3351"/>
    </row>
    <row r="6" spans="1:17" ht="15.75" thickBot="1">
      <c r="A6" s="3351"/>
      <c r="B6" s="3364"/>
      <c r="C6" s="3364"/>
      <c r="D6" s="3364"/>
      <c r="E6" s="3364"/>
      <c r="F6" s="3364"/>
      <c r="G6" s="3364"/>
      <c r="H6" s="3364"/>
      <c r="I6" s="3351"/>
      <c r="J6" s="3351"/>
      <c r="M6" s="2707"/>
    </row>
    <row r="7" spans="1:17" ht="15.75" thickBot="1">
      <c r="A7" s="3351"/>
      <c r="B7" s="3379" t="s">
        <v>502</v>
      </c>
      <c r="C7" s="3380"/>
      <c r="D7" s="3381">
        <f>D8+D9+D10+D11+D12</f>
        <v>8562.2799999999988</v>
      </c>
      <c r="E7" s="3382" t="s">
        <v>36</v>
      </c>
      <c r="F7" s="3383" t="s">
        <v>503</v>
      </c>
      <c r="G7" s="3380"/>
      <c r="H7" s="3384">
        <f>H8+H9+H10+H11</f>
        <v>4041.26</v>
      </c>
      <c r="I7" s="3385" t="s">
        <v>36</v>
      </c>
      <c r="J7" s="3351"/>
    </row>
    <row r="8" spans="1:17">
      <c r="A8" s="3351"/>
      <c r="B8" s="3386" t="s">
        <v>504</v>
      </c>
      <c r="C8" s="3387"/>
      <c r="D8" s="3388">
        <f>Forecast!L194</f>
        <v>4821.78</v>
      </c>
      <c r="E8" s="3389" t="s">
        <v>36</v>
      </c>
      <c r="F8" s="3390" t="s">
        <v>505</v>
      </c>
      <c r="G8" s="3391"/>
      <c r="H8" s="3392">
        <f>Forecast!L196</f>
        <v>1480</v>
      </c>
      <c r="I8" s="3393" t="s">
        <v>36</v>
      </c>
      <c r="J8" s="3351"/>
    </row>
    <row r="9" spans="1:17">
      <c r="A9" s="3351"/>
      <c r="B9" s="3394" t="s">
        <v>506</v>
      </c>
      <c r="C9" s="3395"/>
      <c r="D9" s="3396">
        <f>Forecast!L195</f>
        <v>1245.5</v>
      </c>
      <c r="E9" s="3397" t="s">
        <v>36</v>
      </c>
      <c r="F9" s="3398" t="s">
        <v>507</v>
      </c>
      <c r="G9" s="3399"/>
      <c r="H9" s="3400">
        <f>Forecast!L197</f>
        <v>1251.4000000000001</v>
      </c>
      <c r="I9" s="3393" t="s">
        <v>36</v>
      </c>
      <c r="J9" s="3351"/>
    </row>
    <row r="10" spans="1:17">
      <c r="A10" s="3351"/>
      <c r="B10" s="3401" t="s">
        <v>508</v>
      </c>
      <c r="C10" s="3402"/>
      <c r="D10" s="3403">
        <f>Forecast!L198</f>
        <v>1168</v>
      </c>
      <c r="E10" s="3404" t="s">
        <v>36</v>
      </c>
      <c r="F10" s="3402" t="s">
        <v>509</v>
      </c>
      <c r="G10" s="3402"/>
      <c r="H10" s="3405">
        <f>Forecast!L201</f>
        <v>401.86</v>
      </c>
      <c r="I10" s="3406" t="s">
        <v>36</v>
      </c>
      <c r="J10" s="3351"/>
    </row>
    <row r="11" spans="1:17">
      <c r="A11" s="3351"/>
      <c r="B11" s="3401" t="s">
        <v>510</v>
      </c>
      <c r="C11" s="3402"/>
      <c r="D11" s="3407">
        <f>Forecast!L199</f>
        <v>839</v>
      </c>
      <c r="E11" s="3404" t="s">
        <v>36</v>
      </c>
      <c r="F11" s="3402" t="s">
        <v>511</v>
      </c>
      <c r="G11" s="3402"/>
      <c r="H11" s="3405">
        <f>Forecast!L202</f>
        <v>908</v>
      </c>
      <c r="I11" s="3406" t="s">
        <v>36</v>
      </c>
      <c r="J11" s="3351"/>
    </row>
    <row r="12" spans="1:17" ht="15.75" thickBot="1">
      <c r="A12" s="3351"/>
      <c r="B12" s="3408" t="s">
        <v>512</v>
      </c>
      <c r="C12" s="3409"/>
      <c r="D12" s="3410">
        <f>Forecast!L200</f>
        <v>488</v>
      </c>
      <c r="E12" s="3411" t="s">
        <v>36</v>
      </c>
      <c r="F12" s="3409"/>
      <c r="G12" s="3409"/>
      <c r="H12" s="3412"/>
      <c r="I12" s="3413"/>
      <c r="J12" s="3351"/>
    </row>
    <row r="13" spans="1:17" ht="16.5" thickBot="1">
      <c r="A13" s="3351"/>
      <c r="B13" s="3414"/>
      <c r="C13" s="3415" t="s">
        <v>513</v>
      </c>
      <c r="D13" s="3415"/>
      <c r="E13" s="3416">
        <f>D7+H7</f>
        <v>12603.539999999999</v>
      </c>
      <c r="F13" s="3380" t="s">
        <v>36</v>
      </c>
      <c r="G13" s="3415"/>
      <c r="H13" s="3415"/>
      <c r="I13" s="3417"/>
      <c r="J13" s="3351"/>
    </row>
    <row r="14" spans="1:17">
      <c r="A14" s="3351"/>
      <c r="B14" s="3418"/>
      <c r="C14" s="3419" t="s">
        <v>514</v>
      </c>
      <c r="D14" s="3418"/>
      <c r="E14" s="3418"/>
      <c r="F14" s="3418"/>
      <c r="G14" s="3418"/>
      <c r="H14" s="3418"/>
      <c r="I14" s="3351"/>
      <c r="J14" s="3351"/>
    </row>
    <row r="15" spans="1:17">
      <c r="A15" s="3351"/>
      <c r="B15" s="3352"/>
      <c r="C15" s="3352"/>
      <c r="D15" s="3418"/>
      <c r="E15" s="3352"/>
      <c r="F15" s="3352"/>
      <c r="G15" s="3352"/>
      <c r="H15" s="3352"/>
      <c r="I15" s="3351"/>
      <c r="J15" s="3351"/>
    </row>
    <row r="16" spans="1:17" ht="18" customHeight="1">
      <c r="A16" s="3420"/>
      <c r="B16" s="4774" t="s">
        <v>515</v>
      </c>
      <c r="C16" s="4775" t="s">
        <v>516</v>
      </c>
      <c r="D16" s="4775" t="s">
        <v>667</v>
      </c>
      <c r="E16" s="4774" t="s">
        <v>515</v>
      </c>
      <c r="F16" s="4775" t="s">
        <v>516</v>
      </c>
      <c r="G16" s="4775" t="s">
        <v>667</v>
      </c>
      <c r="H16" s="4774" t="s">
        <v>515</v>
      </c>
      <c r="I16" s="4775" t="s">
        <v>516</v>
      </c>
      <c r="J16" s="4775" t="s">
        <v>667</v>
      </c>
      <c r="K16" s="4776" t="s">
        <v>515</v>
      </c>
      <c r="L16" s="4777" t="s">
        <v>516</v>
      </c>
      <c r="M16" s="4777" t="s">
        <v>667</v>
      </c>
      <c r="N16" s="4776" t="s">
        <v>515</v>
      </c>
      <c r="O16" s="4777" t="s">
        <v>516</v>
      </c>
      <c r="P16" s="4777" t="s">
        <v>667</v>
      </c>
      <c r="Q16" s="4778"/>
    </row>
    <row r="17" spans="1:17" ht="18" customHeight="1">
      <c r="A17" s="3421"/>
      <c r="B17" s="4821" t="s">
        <v>1650</v>
      </c>
      <c r="C17" s="4822">
        <v>19</v>
      </c>
      <c r="D17" s="4823" t="s">
        <v>1759</v>
      </c>
      <c r="E17" s="4821" t="s">
        <v>539</v>
      </c>
      <c r="F17" s="4822">
        <v>182</v>
      </c>
      <c r="G17" s="4823" t="s">
        <v>1651</v>
      </c>
      <c r="H17" s="4821" t="s">
        <v>1</v>
      </c>
      <c r="I17" s="4822">
        <v>5</v>
      </c>
      <c r="J17" s="4823" t="s">
        <v>1754</v>
      </c>
      <c r="K17" s="4821" t="s">
        <v>1214</v>
      </c>
      <c r="L17" s="4822">
        <v>47.3</v>
      </c>
      <c r="M17" s="4823" t="s">
        <v>1651</v>
      </c>
      <c r="N17" s="4821" t="s">
        <v>1687</v>
      </c>
      <c r="O17" s="4822" t="s">
        <v>1636</v>
      </c>
      <c r="P17" s="4823" t="s">
        <v>1636</v>
      </c>
      <c r="Q17" s="4778"/>
    </row>
    <row r="18" spans="1:17" ht="18" customHeight="1">
      <c r="A18" s="3421"/>
      <c r="B18" s="4824" t="s">
        <v>664</v>
      </c>
      <c r="C18" s="4813">
        <v>127</v>
      </c>
      <c r="D18" s="4813" t="s">
        <v>1720</v>
      </c>
      <c r="E18" s="4824" t="s">
        <v>536</v>
      </c>
      <c r="F18" s="4813">
        <v>92</v>
      </c>
      <c r="G18" s="4813" t="s">
        <v>1797</v>
      </c>
      <c r="H18" s="4824" t="s">
        <v>1229</v>
      </c>
      <c r="I18" s="4813">
        <v>92</v>
      </c>
      <c r="J18" s="4813" t="s">
        <v>1754</v>
      </c>
      <c r="K18" s="4824" t="s">
        <v>1716</v>
      </c>
      <c r="L18" s="4813">
        <v>91</v>
      </c>
      <c r="M18" s="4813" t="s">
        <v>1645</v>
      </c>
      <c r="N18" s="4824" t="s">
        <v>518</v>
      </c>
      <c r="O18" s="4813">
        <v>160</v>
      </c>
      <c r="P18" s="4813" t="s">
        <v>1647</v>
      </c>
      <c r="Q18" s="4778"/>
    </row>
    <row r="19" spans="1:17" ht="18" customHeight="1">
      <c r="A19" s="3421"/>
      <c r="B19" s="4821" t="s">
        <v>1186</v>
      </c>
      <c r="C19" s="4822">
        <v>35</v>
      </c>
      <c r="D19" s="4822" t="s">
        <v>1654</v>
      </c>
      <c r="E19" s="4821" t="s">
        <v>1702</v>
      </c>
      <c r="F19" s="4822">
        <v>122</v>
      </c>
      <c r="G19" s="4822" t="s">
        <v>1654</v>
      </c>
      <c r="H19" s="4821" t="s">
        <v>1670</v>
      </c>
      <c r="I19" s="4822">
        <v>64</v>
      </c>
      <c r="J19" s="4822" t="s">
        <v>1645</v>
      </c>
      <c r="K19" s="4821" t="s">
        <v>1717</v>
      </c>
      <c r="L19" s="4822">
        <v>79.5</v>
      </c>
      <c r="M19" s="4822" t="s">
        <v>1758</v>
      </c>
      <c r="N19" s="4821" t="s">
        <v>2</v>
      </c>
      <c r="O19" s="4822">
        <v>116</v>
      </c>
      <c r="P19" s="4822" t="s">
        <v>1648</v>
      </c>
      <c r="Q19" s="4778"/>
    </row>
    <row r="20" spans="1:17" ht="18" customHeight="1">
      <c r="A20" s="3421"/>
      <c r="B20" s="4824" t="s">
        <v>565</v>
      </c>
      <c r="C20" s="4813">
        <v>95</v>
      </c>
      <c r="D20" s="4813" t="s">
        <v>1657</v>
      </c>
      <c r="E20" s="4824" t="s">
        <v>1705</v>
      </c>
      <c r="F20" s="4813">
        <v>154</v>
      </c>
      <c r="G20" s="4813" t="s">
        <v>1755</v>
      </c>
      <c r="H20" s="4824" t="s">
        <v>1672</v>
      </c>
      <c r="I20" s="4813">
        <v>24</v>
      </c>
      <c r="J20" s="4813" t="s">
        <v>1646</v>
      </c>
      <c r="K20" s="4824" t="s">
        <v>1718</v>
      </c>
      <c r="L20" s="4813">
        <v>74</v>
      </c>
      <c r="M20" s="4813" t="s">
        <v>1651</v>
      </c>
      <c r="N20" s="4824" t="s">
        <v>1691</v>
      </c>
      <c r="O20" s="4813">
        <v>100</v>
      </c>
      <c r="P20" s="4813" t="s">
        <v>1754</v>
      </c>
      <c r="Q20" s="4778"/>
    </row>
    <row r="21" spans="1:17" ht="18" customHeight="1">
      <c r="A21" s="3421"/>
      <c r="B21" s="4821" t="s">
        <v>1241</v>
      </c>
      <c r="C21" s="4822">
        <v>72</v>
      </c>
      <c r="D21" s="4822" t="s">
        <v>1762</v>
      </c>
      <c r="E21" s="4821" t="s">
        <v>1706</v>
      </c>
      <c r="F21" s="4822">
        <v>182</v>
      </c>
      <c r="G21" s="4822" t="s">
        <v>1648</v>
      </c>
      <c r="H21" s="4821" t="s">
        <v>5</v>
      </c>
      <c r="I21" s="4822">
        <v>88</v>
      </c>
      <c r="J21" s="4822" t="s">
        <v>1651</v>
      </c>
      <c r="K21" s="4821" t="s">
        <v>578</v>
      </c>
      <c r="L21" s="4822">
        <v>45</v>
      </c>
      <c r="M21" s="4822" t="s">
        <v>1646</v>
      </c>
      <c r="N21" s="4821" t="s">
        <v>839</v>
      </c>
      <c r="O21" s="4822">
        <v>112</v>
      </c>
      <c r="P21" s="4822" t="s">
        <v>1651</v>
      </c>
      <c r="Q21" s="4778"/>
    </row>
    <row r="22" spans="1:17" ht="18" customHeight="1">
      <c r="A22" s="3421"/>
      <c r="B22" s="4824" t="s">
        <v>496</v>
      </c>
      <c r="C22" s="4813">
        <v>52</v>
      </c>
      <c r="D22" s="4813" t="s">
        <v>1651</v>
      </c>
      <c r="E22" s="4824" t="s">
        <v>545</v>
      </c>
      <c r="F22" s="4813">
        <v>159</v>
      </c>
      <c r="G22" s="4813" t="s">
        <v>1646</v>
      </c>
      <c r="H22" s="4824" t="s">
        <v>553</v>
      </c>
      <c r="I22" s="4813">
        <v>170</v>
      </c>
      <c r="J22" s="4813" t="s">
        <v>1646</v>
      </c>
      <c r="K22" s="4824" t="s">
        <v>1109</v>
      </c>
      <c r="L22" s="4813">
        <v>10</v>
      </c>
      <c r="M22" s="4813" t="s">
        <v>1657</v>
      </c>
      <c r="N22" s="4824" t="s">
        <v>1692</v>
      </c>
      <c r="O22" s="4813">
        <v>57</v>
      </c>
      <c r="P22" s="4813" t="s">
        <v>1651</v>
      </c>
      <c r="Q22" s="4778"/>
    </row>
    <row r="23" spans="1:17" ht="18" customHeight="1">
      <c r="A23" s="3421"/>
      <c r="B23" s="4821" t="s">
        <v>542</v>
      </c>
      <c r="C23" s="4822">
        <v>41</v>
      </c>
      <c r="D23" s="4822" t="s">
        <v>1646</v>
      </c>
      <c r="E23" s="4821" t="s">
        <v>10</v>
      </c>
      <c r="F23" s="4822">
        <v>44</v>
      </c>
      <c r="G23" s="4822" t="s">
        <v>1659</v>
      </c>
      <c r="H23" s="4821" t="s">
        <v>1244</v>
      </c>
      <c r="I23" s="4822">
        <v>104</v>
      </c>
      <c r="J23" s="4822" t="s">
        <v>1645</v>
      </c>
      <c r="K23" s="4821" t="s">
        <v>557</v>
      </c>
      <c r="L23" s="4822">
        <v>105</v>
      </c>
      <c r="M23" s="4822" t="s">
        <v>1646</v>
      </c>
      <c r="N23" s="4821" t="s">
        <v>1694</v>
      </c>
      <c r="O23" s="4822">
        <v>48.58</v>
      </c>
      <c r="P23" s="4822" t="s">
        <v>1645</v>
      </c>
      <c r="Q23" s="4778"/>
    </row>
    <row r="24" spans="1:17" ht="18" customHeight="1">
      <c r="A24" s="3421"/>
      <c r="B24" s="4824" t="s">
        <v>576</v>
      </c>
      <c r="C24" s="4813">
        <v>137</v>
      </c>
      <c r="D24" s="4813" t="s">
        <v>1660</v>
      </c>
      <c r="E24" s="4824" t="s">
        <v>840</v>
      </c>
      <c r="F24" s="4813">
        <v>114</v>
      </c>
      <c r="G24" s="4813" t="s">
        <v>1654</v>
      </c>
      <c r="H24" s="4824" t="s">
        <v>674</v>
      </c>
      <c r="I24" s="4813">
        <v>327</v>
      </c>
      <c r="J24" s="4813" t="s">
        <v>1758</v>
      </c>
      <c r="K24" s="4824" t="s">
        <v>574</v>
      </c>
      <c r="L24" s="4813">
        <v>134</v>
      </c>
      <c r="M24" s="4813" t="s">
        <v>1754</v>
      </c>
      <c r="N24" s="4824" t="s">
        <v>818</v>
      </c>
      <c r="O24" s="4813">
        <v>38</v>
      </c>
      <c r="P24" s="4813" t="s">
        <v>1677</v>
      </c>
      <c r="Q24" s="4778"/>
    </row>
    <row r="25" spans="1:17" ht="18" customHeight="1">
      <c r="A25" s="3421"/>
      <c r="B25" s="4821" t="s">
        <v>528</v>
      </c>
      <c r="C25" s="4822">
        <v>91</v>
      </c>
      <c r="D25" s="4822" t="s">
        <v>1755</v>
      </c>
      <c r="E25" s="4821" t="s">
        <v>548</v>
      </c>
      <c r="F25" s="4822">
        <v>160.1</v>
      </c>
      <c r="G25" s="4822" t="s">
        <v>1757</v>
      </c>
      <c r="H25" s="4821" t="s">
        <v>1681</v>
      </c>
      <c r="I25" s="4822">
        <v>40</v>
      </c>
      <c r="J25" s="4822" t="s">
        <v>1651</v>
      </c>
      <c r="K25" s="4821" t="s">
        <v>1649</v>
      </c>
      <c r="L25" s="4822">
        <v>59</v>
      </c>
      <c r="M25" s="4822" t="s">
        <v>1645</v>
      </c>
      <c r="N25" s="4821" t="s">
        <v>4</v>
      </c>
      <c r="O25" s="4822">
        <v>167</v>
      </c>
      <c r="P25" s="4822" t="s">
        <v>1645</v>
      </c>
      <c r="Q25" s="4778"/>
    </row>
    <row r="26" spans="1:17" ht="18" customHeight="1">
      <c r="A26" s="3421"/>
      <c r="B26" s="4824" t="s">
        <v>566</v>
      </c>
      <c r="C26" s="4813">
        <v>107</v>
      </c>
      <c r="D26" s="4813" t="s">
        <v>1654</v>
      </c>
      <c r="E26" s="4824" t="s">
        <v>559</v>
      </c>
      <c r="F26" s="4813">
        <v>90</v>
      </c>
      <c r="G26" s="4813" t="s">
        <v>1651</v>
      </c>
      <c r="H26" s="4824" t="s">
        <v>1074</v>
      </c>
      <c r="I26" s="4813">
        <v>58</v>
      </c>
      <c r="J26" s="4813" t="s">
        <v>1645</v>
      </c>
      <c r="K26" s="4824" t="s">
        <v>540</v>
      </c>
      <c r="L26" s="4813">
        <v>136</v>
      </c>
      <c r="M26" s="4813" t="s">
        <v>1755</v>
      </c>
      <c r="N26" s="4824" t="s">
        <v>1704</v>
      </c>
      <c r="O26" s="4813">
        <v>30.8</v>
      </c>
      <c r="P26" s="4813" t="s">
        <v>1654</v>
      </c>
      <c r="Q26" s="4778"/>
    </row>
    <row r="27" spans="1:17" ht="18" customHeight="1">
      <c r="A27" s="3421"/>
      <c r="B27" s="4821" t="s">
        <v>1263</v>
      </c>
      <c r="C27" s="4822">
        <v>57</v>
      </c>
      <c r="D27" s="4822" t="s">
        <v>1643</v>
      </c>
      <c r="E27" s="4821" t="s">
        <v>521</v>
      </c>
      <c r="F27" s="4822">
        <v>135</v>
      </c>
      <c r="G27" s="4822" t="s">
        <v>1651</v>
      </c>
      <c r="H27" s="4821" t="s">
        <v>1685</v>
      </c>
      <c r="I27" s="4822">
        <v>132</v>
      </c>
      <c r="J27" s="4822" t="s">
        <v>1797</v>
      </c>
      <c r="K27" s="4821" t="s">
        <v>1135</v>
      </c>
      <c r="L27" s="4822">
        <v>1.03</v>
      </c>
      <c r="M27" s="4822" t="s">
        <v>1676</v>
      </c>
      <c r="N27" s="4821" t="s">
        <v>577</v>
      </c>
      <c r="O27" s="4822">
        <v>178</v>
      </c>
      <c r="P27" s="4822" t="s">
        <v>1651</v>
      </c>
      <c r="Q27" s="4778"/>
    </row>
    <row r="28" spans="1:17" ht="18" customHeight="1">
      <c r="A28" s="3421"/>
      <c r="B28" s="4824" t="s">
        <v>544</v>
      </c>
      <c r="C28" s="4813">
        <v>22</v>
      </c>
      <c r="D28" s="4813" t="s">
        <v>1657</v>
      </c>
      <c r="E28" s="4824" t="s">
        <v>1169</v>
      </c>
      <c r="F28" s="4813">
        <v>69</v>
      </c>
      <c r="G28" s="4813" t="s">
        <v>1657</v>
      </c>
      <c r="H28" s="4824" t="s">
        <v>550</v>
      </c>
      <c r="I28" s="4813">
        <v>80</v>
      </c>
      <c r="J28" s="4813" t="s">
        <v>1647</v>
      </c>
      <c r="K28" s="4824" t="s">
        <v>1891</v>
      </c>
      <c r="L28" s="4813">
        <v>46</v>
      </c>
      <c r="M28" s="4813" t="s">
        <v>1647</v>
      </c>
      <c r="N28" s="4824" t="s">
        <v>572</v>
      </c>
      <c r="O28" s="4813">
        <v>90</v>
      </c>
      <c r="P28" s="4813" t="s">
        <v>1645</v>
      </c>
      <c r="Q28" s="4778"/>
    </row>
    <row r="29" spans="1:17" ht="18" customHeight="1">
      <c r="A29" s="3421"/>
      <c r="B29" s="4821" t="s">
        <v>575</v>
      </c>
      <c r="C29" s="4822">
        <v>51</v>
      </c>
      <c r="D29" s="4855" t="s">
        <v>1755</v>
      </c>
      <c r="E29" s="4821" t="s">
        <v>526</v>
      </c>
      <c r="F29" s="4822">
        <v>43</v>
      </c>
      <c r="G29" s="4822" t="s">
        <v>1651</v>
      </c>
      <c r="H29" s="4821" t="s">
        <v>567</v>
      </c>
      <c r="I29" s="4822">
        <v>54</v>
      </c>
      <c r="J29" s="4822" t="s">
        <v>1645</v>
      </c>
      <c r="K29" s="4821" t="s">
        <v>1266</v>
      </c>
      <c r="L29" s="4822">
        <v>18</v>
      </c>
      <c r="M29" s="4822" t="s">
        <v>1757</v>
      </c>
      <c r="N29" s="4821" t="s">
        <v>568</v>
      </c>
      <c r="O29" s="4822">
        <v>124</v>
      </c>
      <c r="P29" s="4822" t="s">
        <v>1651</v>
      </c>
      <c r="Q29" s="4778"/>
    </row>
    <row r="30" spans="1:17" ht="18" customHeight="1">
      <c r="A30" s="3421"/>
      <c r="B30" s="4824" t="s">
        <v>1596</v>
      </c>
      <c r="C30" s="4813">
        <v>20</v>
      </c>
      <c r="D30" s="4813" t="s">
        <v>1647</v>
      </c>
      <c r="E30" s="4824" t="s">
        <v>538</v>
      </c>
      <c r="F30" s="4813">
        <v>96</v>
      </c>
      <c r="G30" s="4813" t="s">
        <v>1645</v>
      </c>
      <c r="H30" s="4824" t="s">
        <v>522</v>
      </c>
      <c r="I30" s="4813">
        <v>65</v>
      </c>
      <c r="J30" s="4813" t="s">
        <v>1654</v>
      </c>
      <c r="K30" s="4824" t="s">
        <v>571</v>
      </c>
      <c r="L30" s="4813">
        <v>130</v>
      </c>
      <c r="M30" s="4813" t="s">
        <v>1651</v>
      </c>
      <c r="N30" s="4824" t="s">
        <v>1208</v>
      </c>
      <c r="O30" s="4813">
        <v>57</v>
      </c>
      <c r="P30" s="4813" t="s">
        <v>1647</v>
      </c>
      <c r="Q30" s="4778"/>
    </row>
    <row r="31" spans="1:17" ht="18" customHeight="1">
      <c r="A31" s="3421"/>
      <c r="B31" s="4821" t="s">
        <v>1195</v>
      </c>
      <c r="C31" s="4822">
        <v>109</v>
      </c>
      <c r="D31" s="4822" t="s">
        <v>1755</v>
      </c>
      <c r="E31" s="4821" t="s">
        <v>1087</v>
      </c>
      <c r="F31" s="4822">
        <v>94</v>
      </c>
      <c r="G31" s="4822" t="s">
        <v>1800</v>
      </c>
      <c r="H31" s="4821" t="s">
        <v>524</v>
      </c>
      <c r="I31" s="4822">
        <v>106</v>
      </c>
      <c r="J31" s="4822" t="s">
        <v>1647</v>
      </c>
      <c r="K31" s="4821" t="s">
        <v>1865</v>
      </c>
      <c r="L31" s="4822" t="s">
        <v>1636</v>
      </c>
      <c r="M31" s="4822" t="s">
        <v>1636</v>
      </c>
      <c r="N31" s="4821" t="s">
        <v>558</v>
      </c>
      <c r="O31" s="4822">
        <v>94</v>
      </c>
      <c r="P31" s="4822" t="s">
        <v>1757</v>
      </c>
      <c r="Q31" s="4778"/>
    </row>
    <row r="32" spans="1:17" ht="18" customHeight="1">
      <c r="A32" s="3421"/>
      <c r="B32" s="4824" t="s">
        <v>1833</v>
      </c>
      <c r="C32" s="4813">
        <v>76</v>
      </c>
      <c r="D32" s="4813" t="s">
        <v>1645</v>
      </c>
      <c r="E32" s="4824" t="s">
        <v>1713</v>
      </c>
      <c r="F32" s="4813">
        <v>46</v>
      </c>
      <c r="G32" s="4813" t="s">
        <v>1643</v>
      </c>
      <c r="H32" s="4824" t="s">
        <v>552</v>
      </c>
      <c r="I32" s="4813">
        <v>90</v>
      </c>
      <c r="J32" s="4813" t="s">
        <v>1755</v>
      </c>
      <c r="K32" s="4824" t="s">
        <v>1656</v>
      </c>
      <c r="L32" s="4813">
        <v>24</v>
      </c>
      <c r="M32" s="4813" t="s">
        <v>1757</v>
      </c>
      <c r="N32" s="4824" t="s">
        <v>1709</v>
      </c>
      <c r="O32" s="4813">
        <v>19</v>
      </c>
      <c r="P32" s="4813" t="s">
        <v>1646</v>
      </c>
      <c r="Q32" s="4778"/>
    </row>
    <row r="33" spans="1:20" ht="18" customHeight="1">
      <c r="A33" s="3421"/>
      <c r="B33" s="4821" t="s">
        <v>1664</v>
      </c>
      <c r="C33" s="4822">
        <v>70</v>
      </c>
      <c r="D33" s="4822" t="s">
        <v>1759</v>
      </c>
      <c r="E33" s="4821" t="s">
        <v>1171</v>
      </c>
      <c r="F33" s="4822">
        <v>26</v>
      </c>
      <c r="G33" s="4822" t="s">
        <v>1647</v>
      </c>
      <c r="H33" s="4821" t="s">
        <v>1170</v>
      </c>
      <c r="I33" s="4822">
        <v>73</v>
      </c>
      <c r="J33" s="4822" t="s">
        <v>1647</v>
      </c>
      <c r="K33" s="4821" t="s">
        <v>1242</v>
      </c>
      <c r="L33" s="4822">
        <v>58</v>
      </c>
      <c r="M33" s="4822" t="s">
        <v>1754</v>
      </c>
      <c r="N33" s="4821" t="s">
        <v>1711</v>
      </c>
      <c r="O33" s="4822">
        <v>59</v>
      </c>
      <c r="P33" s="4822" t="s">
        <v>1647</v>
      </c>
      <c r="Q33" s="4778"/>
    </row>
    <row r="34" spans="1:20" ht="18" customHeight="1">
      <c r="A34" s="3421"/>
      <c r="B34" s="4824" t="s">
        <v>1665</v>
      </c>
      <c r="C34" s="4813">
        <v>68</v>
      </c>
      <c r="D34" s="4813" t="s">
        <v>1645</v>
      </c>
      <c r="E34" s="4824" t="s">
        <v>1715</v>
      </c>
      <c r="F34" s="4813">
        <v>46</v>
      </c>
      <c r="G34" s="4813" t="s">
        <v>1758</v>
      </c>
      <c r="H34" s="4824" t="s">
        <v>534</v>
      </c>
      <c r="I34" s="4813">
        <v>52</v>
      </c>
      <c r="J34" s="4813" t="s">
        <v>1797</v>
      </c>
      <c r="K34" s="4824" t="s">
        <v>1143</v>
      </c>
      <c r="L34" s="4813">
        <v>114</v>
      </c>
      <c r="M34" s="4813" t="s">
        <v>1651</v>
      </c>
      <c r="N34" s="4824"/>
      <c r="O34" s="4813"/>
      <c r="P34" s="4813"/>
      <c r="Q34" s="4778"/>
      <c r="S34" s="2405" t="s">
        <v>1158</v>
      </c>
      <c r="T34" s="2405"/>
    </row>
    <row r="35" spans="1:20" ht="18" customHeight="1">
      <c r="A35" s="3421"/>
      <c r="B35" s="4821" t="s">
        <v>1668</v>
      </c>
      <c r="C35" s="4822">
        <v>169</v>
      </c>
      <c r="D35" s="4822" t="s">
        <v>1754</v>
      </c>
      <c r="E35" s="4821" t="s">
        <v>527</v>
      </c>
      <c r="F35" s="4822">
        <v>106.4</v>
      </c>
      <c r="G35" s="4822" t="s">
        <v>1755</v>
      </c>
      <c r="H35" s="4821" t="s">
        <v>1696</v>
      </c>
      <c r="I35" s="4822">
        <v>60</v>
      </c>
      <c r="J35" s="4822" t="s">
        <v>1646</v>
      </c>
      <c r="K35" s="4821" t="s">
        <v>55</v>
      </c>
      <c r="L35" s="4822">
        <v>140</v>
      </c>
      <c r="M35" s="4822" t="s">
        <v>1645</v>
      </c>
      <c r="N35" s="4821"/>
      <c r="O35" s="4822"/>
      <c r="P35" s="4822"/>
      <c r="Q35" s="4778"/>
      <c r="S35" s="2404" t="s">
        <v>1157</v>
      </c>
      <c r="T35" s="2404"/>
    </row>
    <row r="36" spans="1:20" ht="18" customHeight="1">
      <c r="A36" s="3421"/>
      <c r="B36" s="4824" t="s">
        <v>1669</v>
      </c>
      <c r="C36" s="4813">
        <v>8</v>
      </c>
      <c r="D36" s="4813" t="s">
        <v>1676</v>
      </c>
      <c r="E36" s="4824" t="s">
        <v>556</v>
      </c>
      <c r="F36" s="4813">
        <v>104</v>
      </c>
      <c r="G36" s="4813" t="s">
        <v>1657</v>
      </c>
      <c r="H36" s="4824" t="s">
        <v>1700</v>
      </c>
      <c r="I36" s="4813">
        <v>102</v>
      </c>
      <c r="J36" s="4813" t="s">
        <v>1645</v>
      </c>
      <c r="K36" s="4824" t="s">
        <v>1834</v>
      </c>
      <c r="L36" s="4813">
        <v>37</v>
      </c>
      <c r="M36" s="4813" t="s">
        <v>1651</v>
      </c>
      <c r="N36" s="4824"/>
      <c r="O36" s="4813"/>
      <c r="P36" s="4813"/>
      <c r="Q36" s="4778"/>
      <c r="S36" s="2404" t="s">
        <v>1154</v>
      </c>
      <c r="T36" s="2404"/>
    </row>
    <row r="37" spans="1:20" ht="18" customHeight="1">
      <c r="A37" s="3421"/>
      <c r="B37" s="4821" t="s">
        <v>1671</v>
      </c>
      <c r="C37" s="4822">
        <v>50</v>
      </c>
      <c r="D37" s="4822" t="s">
        <v>1651</v>
      </c>
      <c r="E37" s="4821" t="s">
        <v>555</v>
      </c>
      <c r="F37" s="4822">
        <v>86.5</v>
      </c>
      <c r="G37" s="4822" t="s">
        <v>1762</v>
      </c>
      <c r="H37" s="4821" t="s">
        <v>541</v>
      </c>
      <c r="I37" s="4822">
        <v>83</v>
      </c>
      <c r="J37" s="4822" t="s">
        <v>1643</v>
      </c>
      <c r="K37" s="4821" t="s">
        <v>836</v>
      </c>
      <c r="L37" s="4822">
        <v>120</v>
      </c>
      <c r="M37" s="4822" t="s">
        <v>1646</v>
      </c>
      <c r="N37" s="4821"/>
      <c r="O37" s="4822"/>
      <c r="P37" s="4822"/>
      <c r="Q37" s="4778"/>
      <c r="S37" s="2404" t="s">
        <v>1155</v>
      </c>
      <c r="T37" s="2404"/>
    </row>
    <row r="38" spans="1:20" ht="18" customHeight="1">
      <c r="A38" s="3421"/>
      <c r="B38" s="4824" t="s">
        <v>1674</v>
      </c>
      <c r="C38" s="4813">
        <v>48</v>
      </c>
      <c r="D38" s="4813" t="s">
        <v>1646</v>
      </c>
      <c r="E38" s="4824" t="s">
        <v>1644</v>
      </c>
      <c r="F38" s="4813">
        <v>140</v>
      </c>
      <c r="G38" s="4813" t="s">
        <v>1648</v>
      </c>
      <c r="H38" s="4824" t="s">
        <v>845</v>
      </c>
      <c r="I38" s="4813">
        <v>45</v>
      </c>
      <c r="J38" s="4813" t="s">
        <v>1755</v>
      </c>
      <c r="K38" s="4824" t="s">
        <v>1590</v>
      </c>
      <c r="L38" s="4813">
        <v>33</v>
      </c>
      <c r="M38" s="4813" t="s">
        <v>1647</v>
      </c>
      <c r="N38" s="4824"/>
      <c r="O38" s="4813"/>
      <c r="P38" s="4813"/>
      <c r="Q38" s="4778"/>
      <c r="S38" s="2404" t="s">
        <v>1156</v>
      </c>
      <c r="T38" s="2404"/>
    </row>
    <row r="39" spans="1:20" ht="18" customHeight="1">
      <c r="A39" s="3421"/>
      <c r="B39" s="4821" t="s">
        <v>1675</v>
      </c>
      <c r="C39" s="4822">
        <v>86</v>
      </c>
      <c r="D39" s="4822" t="s">
        <v>1645</v>
      </c>
      <c r="E39" s="4821" t="s">
        <v>537</v>
      </c>
      <c r="F39" s="4822">
        <v>101</v>
      </c>
      <c r="G39" s="4822" t="s">
        <v>1645</v>
      </c>
      <c r="H39" s="4821" t="s">
        <v>529</v>
      </c>
      <c r="I39" s="4822">
        <v>60</v>
      </c>
      <c r="J39" s="4822" t="s">
        <v>1667</v>
      </c>
      <c r="K39" s="4821" t="s">
        <v>857</v>
      </c>
      <c r="L39" s="4822">
        <v>12</v>
      </c>
      <c r="M39" s="4822" t="s">
        <v>1645</v>
      </c>
      <c r="N39" s="4821"/>
      <c r="O39" s="4822"/>
      <c r="P39" s="4822"/>
      <c r="Q39" s="4778"/>
      <c r="S39" s="5" t="s">
        <v>1345</v>
      </c>
    </row>
    <row r="40" spans="1:20" ht="18" customHeight="1">
      <c r="A40" s="3421"/>
      <c r="B40" s="4824" t="s">
        <v>543</v>
      </c>
      <c r="C40" s="4813">
        <v>52</v>
      </c>
      <c r="D40" s="4813" t="s">
        <v>1651</v>
      </c>
      <c r="E40" s="4824" t="s">
        <v>551</v>
      </c>
      <c r="F40" s="4813">
        <v>102</v>
      </c>
      <c r="G40" s="4813" t="s">
        <v>1654</v>
      </c>
      <c r="H40" s="4824" t="s">
        <v>1703</v>
      </c>
      <c r="I40" s="4813">
        <v>53</v>
      </c>
      <c r="J40" s="4813" t="s">
        <v>1759</v>
      </c>
      <c r="K40" s="4824" t="s">
        <v>6</v>
      </c>
      <c r="L40" s="4813">
        <v>160</v>
      </c>
      <c r="M40" s="4813" t="s">
        <v>1645</v>
      </c>
      <c r="N40" s="4824"/>
      <c r="O40" s="4813"/>
      <c r="P40" s="4813"/>
      <c r="Q40" s="4778"/>
      <c r="S40" s="5" t="s">
        <v>1346</v>
      </c>
    </row>
    <row r="41" spans="1:20" ht="18" customHeight="1">
      <c r="A41" s="3421"/>
      <c r="B41" s="4821" t="s">
        <v>1228</v>
      </c>
      <c r="C41" s="4822">
        <v>30</v>
      </c>
      <c r="D41" s="4822" t="s">
        <v>1645</v>
      </c>
      <c r="E41" s="4821" t="s">
        <v>103</v>
      </c>
      <c r="F41" s="4822">
        <v>72</v>
      </c>
      <c r="G41" s="4822" t="s">
        <v>1646</v>
      </c>
      <c r="H41" s="4821" t="s">
        <v>554</v>
      </c>
      <c r="I41" s="4822">
        <v>126</v>
      </c>
      <c r="J41" s="4822" t="s">
        <v>1651</v>
      </c>
      <c r="K41" s="4821" t="s">
        <v>1666</v>
      </c>
      <c r="L41" s="4822">
        <v>4.5999999999999996</v>
      </c>
      <c r="M41" s="4822" t="s">
        <v>1657</v>
      </c>
      <c r="N41" s="4821"/>
      <c r="O41" s="4822"/>
      <c r="P41" s="4822"/>
      <c r="Q41" s="4778"/>
    </row>
    <row r="42" spans="1:20" ht="18" customHeight="1">
      <c r="A42" s="3421"/>
      <c r="B42" s="4824" t="s">
        <v>1678</v>
      </c>
      <c r="C42" s="4813">
        <v>62</v>
      </c>
      <c r="D42" s="4813" t="s">
        <v>1755</v>
      </c>
      <c r="E42" s="4824" t="s">
        <v>1653</v>
      </c>
      <c r="F42" s="4813">
        <v>73</v>
      </c>
      <c r="G42" s="4813" t="s">
        <v>1645</v>
      </c>
      <c r="H42" s="4824" t="s">
        <v>1707</v>
      </c>
      <c r="I42" s="4813" t="s">
        <v>1636</v>
      </c>
      <c r="J42" s="4813" t="s">
        <v>1636</v>
      </c>
      <c r="K42" s="4824" t="s">
        <v>1697</v>
      </c>
      <c r="L42" s="4813">
        <v>15</v>
      </c>
      <c r="M42" s="4813" t="s">
        <v>1755</v>
      </c>
      <c r="N42" s="4824"/>
      <c r="O42" s="4813"/>
      <c r="P42" s="4813"/>
      <c r="Q42" s="4778"/>
    </row>
    <row r="43" spans="1:20" ht="18" customHeight="1">
      <c r="A43" s="3421"/>
      <c r="B43" s="4821" t="s">
        <v>520</v>
      </c>
      <c r="C43" s="4822">
        <v>259</v>
      </c>
      <c r="D43" s="4822" t="s">
        <v>1755</v>
      </c>
      <c r="E43" s="4821" t="s">
        <v>127</v>
      </c>
      <c r="F43" s="4822">
        <v>102</v>
      </c>
      <c r="G43" s="4822" t="s">
        <v>1645</v>
      </c>
      <c r="H43" s="4821" t="s">
        <v>1215</v>
      </c>
      <c r="I43" s="4822">
        <v>38</v>
      </c>
      <c r="J43" s="4822" t="s">
        <v>1797</v>
      </c>
      <c r="K43" s="4821" t="s">
        <v>569</v>
      </c>
      <c r="L43" s="4822">
        <v>114</v>
      </c>
      <c r="M43" s="4822" t="s">
        <v>1654</v>
      </c>
      <c r="N43" s="4821"/>
      <c r="O43" s="4822"/>
      <c r="P43" s="4822"/>
      <c r="Q43" s="4778"/>
    </row>
    <row r="44" spans="1:20" ht="18" customHeight="1">
      <c r="A44" s="3421"/>
      <c r="B44" s="4824" t="s">
        <v>1682</v>
      </c>
      <c r="C44" s="4813">
        <v>53</v>
      </c>
      <c r="D44" s="4813" t="s">
        <v>1755</v>
      </c>
      <c r="E44" s="4824" t="s">
        <v>1655</v>
      </c>
      <c r="F44" s="4813">
        <v>122</v>
      </c>
      <c r="G44" s="4813" t="s">
        <v>1645</v>
      </c>
      <c r="H44" s="4824" t="s">
        <v>1708</v>
      </c>
      <c r="I44" s="4813">
        <v>0</v>
      </c>
      <c r="J44" s="4813" t="s">
        <v>1647</v>
      </c>
      <c r="K44" s="4824" t="s">
        <v>532</v>
      </c>
      <c r="L44" s="4813">
        <v>100</v>
      </c>
      <c r="M44" s="4813" t="s">
        <v>1654</v>
      </c>
      <c r="N44" s="4824"/>
      <c r="O44" s="4813"/>
      <c r="P44" s="4813"/>
      <c r="Q44" s="4778"/>
    </row>
    <row r="45" spans="1:20" ht="18" customHeight="1">
      <c r="A45" s="3421"/>
      <c r="B45" s="4821" t="s">
        <v>1684</v>
      </c>
      <c r="C45" s="4822">
        <v>150</v>
      </c>
      <c r="D45" s="4822" t="s">
        <v>1754</v>
      </c>
      <c r="E45" s="4821" t="s">
        <v>1245</v>
      </c>
      <c r="F45" s="4822">
        <v>108</v>
      </c>
      <c r="G45" s="4822" t="s">
        <v>1797</v>
      </c>
      <c r="H45" s="4821" t="s">
        <v>1710</v>
      </c>
      <c r="I45" s="4822">
        <v>130</v>
      </c>
      <c r="J45" s="4822" t="s">
        <v>1676</v>
      </c>
      <c r="K45" s="4821" t="s">
        <v>1673</v>
      </c>
      <c r="L45" s="4822">
        <v>105</v>
      </c>
      <c r="M45" s="4822" t="s">
        <v>1647</v>
      </c>
      <c r="N45" s="4821"/>
      <c r="O45" s="4822"/>
      <c r="P45" s="4822"/>
      <c r="Q45" s="4778"/>
    </row>
    <row r="46" spans="1:20" ht="18" customHeight="1">
      <c r="A46" s="3421"/>
      <c r="B46" s="4824" t="s">
        <v>1686</v>
      </c>
      <c r="C46" s="4813">
        <v>43</v>
      </c>
      <c r="D46" s="4813" t="s">
        <v>1647</v>
      </c>
      <c r="E46" s="4824" t="s">
        <v>1658</v>
      </c>
      <c r="F46" s="4813">
        <v>209</v>
      </c>
      <c r="G46" s="4813" t="s">
        <v>1754</v>
      </c>
      <c r="H46" s="4824" t="s">
        <v>530</v>
      </c>
      <c r="I46" s="4813">
        <v>36</v>
      </c>
      <c r="J46" s="4813" t="s">
        <v>1660</v>
      </c>
      <c r="K46" s="4824" t="s">
        <v>562</v>
      </c>
      <c r="L46" s="4813">
        <v>201</v>
      </c>
      <c r="M46" s="4813" t="s">
        <v>1645</v>
      </c>
      <c r="N46" s="4824"/>
      <c r="O46" s="4813"/>
      <c r="P46" s="4813"/>
      <c r="Q46" s="4778"/>
    </row>
    <row r="47" spans="1:20" ht="18" customHeight="1">
      <c r="A47" s="3421"/>
      <c r="B47" s="4821" t="s">
        <v>1688</v>
      </c>
      <c r="C47" s="4822">
        <v>154</v>
      </c>
      <c r="D47" s="4822" t="s">
        <v>1645</v>
      </c>
      <c r="E47" s="4821" t="s">
        <v>564</v>
      </c>
      <c r="F47" s="4822">
        <v>58</v>
      </c>
      <c r="G47" s="4822" t="s">
        <v>1651</v>
      </c>
      <c r="H47" s="4821" t="s">
        <v>1234</v>
      </c>
      <c r="I47" s="4822">
        <v>36</v>
      </c>
      <c r="J47" s="4822" t="s">
        <v>1657</v>
      </c>
      <c r="K47" s="4821" t="s">
        <v>560</v>
      </c>
      <c r="L47" s="4822">
        <v>102</v>
      </c>
      <c r="M47" s="4822" t="s">
        <v>1646</v>
      </c>
      <c r="N47" s="4821"/>
      <c r="O47" s="4822"/>
      <c r="P47" s="4822"/>
      <c r="Q47" s="4778"/>
    </row>
    <row r="48" spans="1:20" ht="18" customHeight="1">
      <c r="A48" s="3421"/>
      <c r="B48" s="4824" t="s">
        <v>1690</v>
      </c>
      <c r="C48" s="4813">
        <v>150</v>
      </c>
      <c r="D48" s="4813" t="s">
        <v>1651</v>
      </c>
      <c r="E48" s="4824" t="s">
        <v>1661</v>
      </c>
      <c r="F48" s="4813">
        <v>27</v>
      </c>
      <c r="G48" s="4813" t="s">
        <v>1755</v>
      </c>
      <c r="H48" s="4824" t="s">
        <v>1712</v>
      </c>
      <c r="I48" s="4813">
        <v>104</v>
      </c>
      <c r="J48" s="4813" t="s">
        <v>1645</v>
      </c>
      <c r="K48" s="4824" t="s">
        <v>523</v>
      </c>
      <c r="L48" s="4813">
        <v>109</v>
      </c>
      <c r="M48" s="4813" t="s">
        <v>1755</v>
      </c>
      <c r="N48" s="4824"/>
      <c r="O48" s="4813"/>
      <c r="P48" s="4813"/>
      <c r="Q48" s="4778"/>
    </row>
    <row r="49" spans="1:18" ht="18" customHeight="1">
      <c r="A49" s="3421"/>
      <c r="B49" s="4821" t="s">
        <v>535</v>
      </c>
      <c r="C49" s="4822">
        <v>69</v>
      </c>
      <c r="D49" s="4822" t="s">
        <v>1646</v>
      </c>
      <c r="E49" s="4821" t="s">
        <v>1679</v>
      </c>
      <c r="F49" s="4822">
        <v>29.9</v>
      </c>
      <c r="G49" s="4822" t="s">
        <v>1757</v>
      </c>
      <c r="H49" s="4821" t="s">
        <v>106</v>
      </c>
      <c r="I49" s="4822">
        <v>208</v>
      </c>
      <c r="J49" s="4822" t="s">
        <v>1754</v>
      </c>
      <c r="K49" s="4821" t="s">
        <v>573</v>
      </c>
      <c r="L49" s="4822">
        <v>44.2</v>
      </c>
      <c r="M49" s="4822" t="s">
        <v>1762</v>
      </c>
      <c r="N49" s="4821"/>
      <c r="O49" s="4822"/>
      <c r="P49" s="4822"/>
      <c r="Q49" s="4779"/>
    </row>
    <row r="50" spans="1:18" ht="18" customHeight="1">
      <c r="A50" s="3421"/>
      <c r="B50" s="4824" t="s">
        <v>563</v>
      </c>
      <c r="C50" s="4813">
        <v>32</v>
      </c>
      <c r="D50" s="4813" t="s">
        <v>1654</v>
      </c>
      <c r="E50" s="4824" t="s">
        <v>570</v>
      </c>
      <c r="F50" s="4813">
        <v>269</v>
      </c>
      <c r="G50" s="4813" t="s">
        <v>1757</v>
      </c>
      <c r="H50" s="4824" t="s">
        <v>1519</v>
      </c>
      <c r="I50" s="4813">
        <v>116</v>
      </c>
      <c r="J50" s="4813" t="s">
        <v>1755</v>
      </c>
      <c r="K50" s="4824" t="s">
        <v>1680</v>
      </c>
      <c r="L50" s="4813">
        <v>82</v>
      </c>
      <c r="M50" s="4813" t="s">
        <v>1755</v>
      </c>
      <c r="N50" s="4824"/>
      <c r="O50" s="4813"/>
      <c r="P50" s="4813"/>
      <c r="Q50" s="4779"/>
    </row>
    <row r="51" spans="1:18" ht="18" customHeight="1">
      <c r="A51" s="3421"/>
      <c r="B51" s="4821" t="s">
        <v>1693</v>
      </c>
      <c r="C51" s="4822">
        <v>62</v>
      </c>
      <c r="D51" s="4822" t="s">
        <v>1646</v>
      </c>
      <c r="E51" s="4821" t="s">
        <v>1300</v>
      </c>
      <c r="F51" s="4822">
        <v>64</v>
      </c>
      <c r="G51" s="4822" t="s">
        <v>1651</v>
      </c>
      <c r="H51" s="4821" t="s">
        <v>1204</v>
      </c>
      <c r="I51" s="4822">
        <v>44</v>
      </c>
      <c r="J51" s="4822" t="s">
        <v>1651</v>
      </c>
      <c r="K51" s="4821" t="s">
        <v>519</v>
      </c>
      <c r="L51" s="4822">
        <v>90</v>
      </c>
      <c r="M51" s="4822" t="s">
        <v>1645</v>
      </c>
      <c r="N51" s="4821"/>
      <c r="O51" s="4822"/>
      <c r="P51" s="4822"/>
      <c r="Q51" s="4780"/>
    </row>
    <row r="52" spans="1:18" ht="18" customHeight="1">
      <c r="A52" s="3421"/>
      <c r="B52" s="4824" t="s">
        <v>1695</v>
      </c>
      <c r="C52" s="4813">
        <v>44</v>
      </c>
      <c r="D52" s="4813" t="s">
        <v>1647</v>
      </c>
      <c r="E52" s="4824" t="s">
        <v>1662</v>
      </c>
      <c r="F52" s="4813">
        <v>90</v>
      </c>
      <c r="G52" s="4813" t="s">
        <v>1648</v>
      </c>
      <c r="H52" s="4824" t="s">
        <v>546</v>
      </c>
      <c r="I52" s="4813">
        <v>72.2</v>
      </c>
      <c r="J52" s="4813" t="s">
        <v>1757</v>
      </c>
      <c r="K52" s="4824" t="s">
        <v>1683</v>
      </c>
      <c r="L52" s="4813">
        <v>27</v>
      </c>
      <c r="M52" s="4813" t="s">
        <v>1755</v>
      </c>
      <c r="N52" s="4824"/>
      <c r="O52" s="4813"/>
      <c r="P52" s="4813"/>
      <c r="Q52" s="4779"/>
    </row>
    <row r="53" spans="1:18" ht="18" customHeight="1">
      <c r="A53" s="3421"/>
      <c r="B53" s="4821" t="s">
        <v>1699</v>
      </c>
      <c r="C53" s="4822">
        <v>54</v>
      </c>
      <c r="D53" s="4822" t="s">
        <v>1645</v>
      </c>
      <c r="E53" s="4821" t="s">
        <v>1663</v>
      </c>
      <c r="F53" s="4822">
        <v>26</v>
      </c>
      <c r="G53" s="4822" t="s">
        <v>1754</v>
      </c>
      <c r="H53" s="4821" t="s">
        <v>1714</v>
      </c>
      <c r="I53" s="4822">
        <v>208</v>
      </c>
      <c r="J53" s="4822" t="s">
        <v>1755</v>
      </c>
      <c r="K53" s="4821" t="s">
        <v>1835</v>
      </c>
      <c r="L53" s="4822" t="s">
        <v>1636</v>
      </c>
      <c r="M53" s="4822" t="s">
        <v>1636</v>
      </c>
      <c r="N53" s="4821"/>
      <c r="O53" s="4822"/>
      <c r="P53" s="4822"/>
      <c r="Q53" s="4779"/>
    </row>
    <row r="54" spans="1:18" ht="18" customHeight="1">
      <c r="A54" s="3421"/>
      <c r="B54" s="4824" t="s">
        <v>1701</v>
      </c>
      <c r="C54" s="4813">
        <v>23</v>
      </c>
      <c r="D54" s="4813" t="s">
        <v>1755</v>
      </c>
      <c r="E54" s="4824" t="s">
        <v>561</v>
      </c>
      <c r="F54" s="4813">
        <v>58</v>
      </c>
      <c r="G54" s="4813" t="s">
        <v>1643</v>
      </c>
      <c r="H54" s="4824" t="s">
        <v>547</v>
      </c>
      <c r="I54" s="4813">
        <v>122</v>
      </c>
      <c r="J54" s="4813" t="s">
        <v>1755</v>
      </c>
      <c r="K54" s="4824" t="s">
        <v>525</v>
      </c>
      <c r="L54" s="4813">
        <v>116</v>
      </c>
      <c r="M54" s="4813" t="s">
        <v>1657</v>
      </c>
      <c r="N54" s="4824"/>
      <c r="O54" s="4813"/>
      <c r="P54" s="4813"/>
      <c r="Q54" s="4779"/>
    </row>
    <row r="55" spans="1:18" s="4757" customFormat="1" ht="18" customHeight="1">
      <c r="A55" s="3421"/>
      <c r="B55" s="4814"/>
      <c r="C55" s="4815"/>
      <c r="D55" s="4816"/>
      <c r="E55" s="4814"/>
      <c r="F55" s="4815"/>
      <c r="G55" s="4817"/>
      <c r="H55" s="4814"/>
      <c r="I55" s="4815"/>
      <c r="J55" s="4817"/>
      <c r="K55" s="4818"/>
      <c r="L55" s="4819"/>
      <c r="M55" s="4819"/>
      <c r="N55" s="4819"/>
      <c r="O55" s="4820"/>
      <c r="P55" s="4820"/>
      <c r="Q55" s="3500"/>
    </row>
    <row r="56" spans="1:18" s="889" customFormat="1" ht="18" customHeight="1">
      <c r="A56" s="3421"/>
      <c r="N56" s="4757"/>
      <c r="O56" s="3499"/>
      <c r="P56" s="3499"/>
      <c r="Q56" s="3500"/>
      <c r="R56" s="4757"/>
    </row>
    <row r="57" spans="1:18" s="889" customFormat="1" ht="18" customHeight="1">
      <c r="A57" s="3421"/>
      <c r="Q57" s="3500"/>
      <c r="R57" s="4757"/>
    </row>
    <row r="58" spans="1:18" s="889" customFormat="1" ht="18" customHeight="1">
      <c r="A58" s="3421"/>
      <c r="Q58" s="3500"/>
      <c r="R58" s="4757"/>
    </row>
    <row r="59" spans="1:18" s="889" customFormat="1" ht="18" customHeight="1">
      <c r="A59" s="3421"/>
      <c r="B59" s="326" t="s">
        <v>579</v>
      </c>
      <c r="C59" s="526"/>
      <c r="D59" s="3249"/>
      <c r="F59" s="3250" t="s">
        <v>375</v>
      </c>
      <c r="J59" s="326" t="s">
        <v>580</v>
      </c>
      <c r="K59" s="4755"/>
      <c r="N59" s="4757"/>
      <c r="O59" s="4771"/>
      <c r="P59" s="3499"/>
      <c r="Q59" s="3500"/>
      <c r="R59" s="4757"/>
    </row>
    <row r="60" spans="1:18" s="889" customFormat="1" ht="18" customHeight="1">
      <c r="A60" s="3421"/>
      <c r="B60" s="190" t="s">
        <v>377</v>
      </c>
      <c r="C60" s="436"/>
      <c r="D60" s="436"/>
      <c r="F60" s="3248" t="s">
        <v>377</v>
      </c>
      <c r="J60" s="190" t="s">
        <v>581</v>
      </c>
      <c r="K60" s="4755"/>
      <c r="N60" s="4757"/>
      <c r="O60" s="3499"/>
      <c r="P60" s="3499"/>
      <c r="Q60" s="3500"/>
      <c r="R60" s="4757"/>
    </row>
    <row r="61" spans="1:18" s="889" customFormat="1" ht="15.75">
      <c r="A61" s="3422"/>
      <c r="B61" s="3245"/>
      <c r="C61" s="2707"/>
      <c r="D61" s="2707"/>
      <c r="F61" s="5"/>
      <c r="J61" s="3245"/>
      <c r="K61" s="4755"/>
      <c r="N61" s="4757"/>
      <c r="O61" s="4765"/>
      <c r="P61" s="3499"/>
      <c r="Q61" s="3500"/>
      <c r="R61" s="4757"/>
    </row>
    <row r="62" spans="1:18" s="889" customFormat="1" ht="15.75">
      <c r="A62" s="3421"/>
      <c r="B62" s="436" t="s">
        <v>582</v>
      </c>
      <c r="C62" s="436"/>
      <c r="D62" s="436" t="s">
        <v>18</v>
      </c>
      <c r="F62" s="436" t="s">
        <v>583</v>
      </c>
      <c r="J62" s="436" t="s">
        <v>584</v>
      </c>
      <c r="K62" s="4755"/>
      <c r="N62" s="4757"/>
      <c r="O62" s="4766"/>
      <c r="P62" s="3499"/>
      <c r="Q62" s="3500"/>
      <c r="R62" s="4757"/>
    </row>
    <row r="63" spans="1:18" s="889" customFormat="1" ht="15.75">
      <c r="A63" s="3422"/>
      <c r="B63" s="436" t="s">
        <v>1841</v>
      </c>
      <c r="C63" s="436"/>
      <c r="D63" s="423"/>
      <c r="F63" s="190" t="s">
        <v>585</v>
      </c>
      <c r="J63" s="433" t="s">
        <v>586</v>
      </c>
      <c r="K63" s="4755"/>
      <c r="N63" s="4757"/>
      <c r="O63" s="3499"/>
      <c r="P63" s="3499"/>
      <c r="Q63" s="3500"/>
      <c r="R63" s="4757"/>
    </row>
    <row r="64" spans="1:18" s="889" customFormat="1">
      <c r="A64" s="4756"/>
      <c r="B64" s="436" t="s">
        <v>1842</v>
      </c>
      <c r="C64" s="436"/>
      <c r="D64" s="436"/>
      <c r="F64" s="2092" t="s">
        <v>587</v>
      </c>
      <c r="J64" s="436" t="s">
        <v>1723</v>
      </c>
      <c r="K64" s="4755"/>
      <c r="N64" s="4757"/>
      <c r="O64" s="3499"/>
      <c r="P64" s="3499"/>
      <c r="Q64" s="3500"/>
      <c r="R64" s="4757"/>
    </row>
    <row r="65" spans="1:18" s="889" customFormat="1">
      <c r="A65" s="4756"/>
      <c r="B65" s="436" t="s">
        <v>588</v>
      </c>
      <c r="C65" s="436"/>
      <c r="D65" s="436"/>
      <c r="F65" s="436" t="s">
        <v>589</v>
      </c>
      <c r="J65" s="433" t="s">
        <v>590</v>
      </c>
      <c r="K65" s="4755"/>
      <c r="N65" s="4757"/>
      <c r="O65" s="3499"/>
      <c r="P65" s="3499"/>
      <c r="Q65" s="3500"/>
      <c r="R65" s="4757"/>
    </row>
    <row r="66" spans="1:18" s="889" customFormat="1">
      <c r="A66" s="4756"/>
      <c r="B66" s="436" t="s">
        <v>1843</v>
      </c>
      <c r="C66" s="2092"/>
      <c r="D66" s="2092"/>
      <c r="F66" s="2092" t="s">
        <v>1845</v>
      </c>
      <c r="J66" s="433" t="s">
        <v>591</v>
      </c>
      <c r="K66" s="4755"/>
      <c r="N66" s="4757"/>
      <c r="O66" s="3506"/>
      <c r="P66" s="3499"/>
      <c r="Q66" s="4773"/>
      <c r="R66" s="4757"/>
    </row>
    <row r="67" spans="1:18" s="889" customFormat="1">
      <c r="A67" s="4756"/>
      <c r="B67" s="436" t="s">
        <v>592</v>
      </c>
      <c r="C67" s="2092"/>
      <c r="D67" s="2092"/>
      <c r="F67" s="2092" t="s">
        <v>593</v>
      </c>
      <c r="J67" s="433" t="s">
        <v>594</v>
      </c>
      <c r="N67" s="4757"/>
      <c r="O67" s="3499"/>
      <c r="P67" s="3499"/>
      <c r="Q67" s="3500"/>
      <c r="R67" s="4757"/>
    </row>
    <row r="68" spans="1:18" s="889" customFormat="1">
      <c r="A68" s="4756"/>
      <c r="B68" s="436" t="s">
        <v>595</v>
      </c>
      <c r="C68" s="2092"/>
      <c r="D68" s="2092"/>
      <c r="F68" s="190" t="s">
        <v>596</v>
      </c>
      <c r="J68" s="433" t="s">
        <v>597</v>
      </c>
      <c r="N68" s="4757"/>
      <c r="O68" s="3497"/>
      <c r="P68" s="4772"/>
      <c r="Q68" s="3500"/>
      <c r="R68" s="4757"/>
    </row>
    <row r="69" spans="1:18" s="889" customFormat="1">
      <c r="A69" s="4756"/>
      <c r="B69" s="436" t="s">
        <v>598</v>
      </c>
      <c r="C69" s="190"/>
      <c r="D69" s="190"/>
      <c r="F69" s="2092" t="s">
        <v>599</v>
      </c>
      <c r="J69" s="190" t="s">
        <v>600</v>
      </c>
      <c r="N69" s="4757"/>
      <c r="O69" s="3499"/>
      <c r="P69" s="3499"/>
      <c r="Q69" s="3500"/>
      <c r="R69" s="4757"/>
    </row>
    <row r="70" spans="1:18" s="4757" customFormat="1">
      <c r="A70" s="4756"/>
      <c r="B70" s="190" t="s">
        <v>601</v>
      </c>
      <c r="C70" s="190"/>
      <c r="D70" s="190"/>
      <c r="E70" s="889"/>
      <c r="F70" s="2092" t="s">
        <v>1724</v>
      </c>
      <c r="G70" s="889"/>
      <c r="H70" s="889"/>
      <c r="I70" s="889"/>
      <c r="J70" s="190" t="s">
        <v>1725</v>
      </c>
      <c r="K70" s="889"/>
      <c r="L70" s="889"/>
      <c r="M70" s="889"/>
      <c r="O70" s="3499"/>
      <c r="P70" s="3499"/>
      <c r="Q70" s="3500"/>
    </row>
    <row r="71" spans="1:18" s="4757" customFormat="1">
      <c r="A71" s="4756"/>
      <c r="B71" s="190" t="s">
        <v>602</v>
      </c>
      <c r="C71" s="190"/>
      <c r="D71" s="190"/>
      <c r="E71" s="889"/>
      <c r="F71" s="2092" t="s">
        <v>1726</v>
      </c>
      <c r="G71" s="889"/>
      <c r="H71" s="889"/>
      <c r="I71" s="889"/>
      <c r="J71" s="190" t="s">
        <v>1727</v>
      </c>
      <c r="K71" s="889"/>
      <c r="L71" s="889"/>
      <c r="M71" s="889"/>
      <c r="O71" s="3499"/>
      <c r="P71" s="3499"/>
      <c r="Q71" s="3500"/>
    </row>
    <row r="72" spans="1:18" s="4757" customFormat="1" ht="15.75">
      <c r="A72" s="4756"/>
      <c r="B72" s="190" t="s">
        <v>1844</v>
      </c>
      <c r="C72" s="190"/>
      <c r="D72" s="190"/>
      <c r="E72" s="889"/>
      <c r="F72" s="2092" t="s">
        <v>1728</v>
      </c>
      <c r="G72" s="889"/>
      <c r="H72" s="889"/>
      <c r="I72" s="190"/>
      <c r="J72" s="138"/>
      <c r="K72" s="889"/>
      <c r="O72" s="4765"/>
      <c r="P72" s="3499"/>
      <c r="Q72" s="3500"/>
    </row>
    <row r="73" spans="1:18" s="4757" customFormat="1" ht="18.75">
      <c r="A73" s="4756"/>
      <c r="B73" s="4759"/>
      <c r="C73" s="4760"/>
      <c r="D73" s="4761"/>
      <c r="E73" s="4759"/>
      <c r="F73" s="4760"/>
      <c r="G73" s="4761"/>
      <c r="H73" s="4762"/>
      <c r="I73" s="4763"/>
      <c r="J73" s="4764"/>
      <c r="O73" s="3497"/>
      <c r="P73" s="3499"/>
      <c r="Q73" s="3500"/>
    </row>
    <row r="74" spans="1:18" s="4757" customFormat="1" ht="18.75">
      <c r="A74" s="4756"/>
      <c r="B74" s="4759"/>
      <c r="C74" s="4760"/>
      <c r="D74" s="4761"/>
      <c r="E74" s="4759"/>
      <c r="F74" s="4760"/>
      <c r="G74" s="4761"/>
      <c r="H74" s="4762"/>
      <c r="I74" s="4763"/>
      <c r="J74" s="4764"/>
      <c r="O74" s="4765"/>
      <c r="P74" s="3499"/>
      <c r="Q74" s="3500"/>
    </row>
    <row r="75" spans="1:18" s="4757" customFormat="1" ht="18.75">
      <c r="A75" s="4756"/>
      <c r="B75" s="4759"/>
      <c r="C75" s="4760"/>
      <c r="D75" s="4761"/>
      <c r="E75" s="4759"/>
      <c r="F75" s="4760"/>
      <c r="G75" s="4761"/>
      <c r="H75" s="4762"/>
      <c r="I75" s="4763"/>
      <c r="J75" s="4764"/>
      <c r="O75" s="4766"/>
      <c r="P75" s="3499"/>
      <c r="Q75" s="3500"/>
    </row>
    <row r="76" spans="1:18" s="4757" customFormat="1" ht="18.75">
      <c r="A76" s="4756"/>
      <c r="B76" s="4759"/>
      <c r="C76" s="4760"/>
      <c r="D76" s="4761"/>
      <c r="E76" s="4759"/>
      <c r="F76" s="4760"/>
      <c r="G76" s="4761"/>
      <c r="H76" s="4762"/>
      <c r="I76" s="4763"/>
      <c r="J76" s="4764"/>
      <c r="O76" s="4767"/>
      <c r="P76" s="3499"/>
      <c r="Q76" s="3500"/>
    </row>
    <row r="77" spans="1:18" s="345" customFormat="1" ht="15.75">
      <c r="O77" s="4768"/>
      <c r="P77" s="3499"/>
      <c r="Q77" s="3500"/>
    </row>
    <row r="78" spans="1:18" s="345" customFormat="1" ht="15.75">
      <c r="B78" s="432"/>
      <c r="C78" s="251"/>
      <c r="D78" s="3246"/>
      <c r="E78" s="3247"/>
      <c r="F78" s="251"/>
      <c r="G78" s="3439"/>
      <c r="H78" s="231"/>
      <c r="I78" s="175"/>
      <c r="J78" s="175"/>
      <c r="O78" s="4769" t="s">
        <v>1582</v>
      </c>
      <c r="P78" s="3499"/>
      <c r="Q78" s="3500"/>
    </row>
    <row r="79" spans="1:18" s="345" customFormat="1">
      <c r="B79" s="424"/>
      <c r="C79" s="207"/>
      <c r="D79" s="207"/>
      <c r="E79" s="3440"/>
      <c r="F79" s="207"/>
      <c r="G79" s="207"/>
      <c r="H79" s="231"/>
      <c r="I79" s="175"/>
      <c r="J79" s="175"/>
      <c r="O79" s="3499"/>
      <c r="P79" s="3499"/>
      <c r="Q79" s="3500"/>
    </row>
    <row r="80" spans="1:18" s="345" customFormat="1">
      <c r="I80" s="175"/>
      <c r="J80" s="175"/>
      <c r="O80" s="3499"/>
      <c r="P80" s="3499"/>
      <c r="Q80" s="3500"/>
    </row>
    <row r="81" spans="10:17" s="345" customFormat="1">
      <c r="J81" s="175"/>
      <c r="O81" s="3506"/>
      <c r="P81" s="3499"/>
      <c r="Q81" s="3500"/>
    </row>
    <row r="82" spans="10:17" s="345" customFormat="1" ht="15.75">
      <c r="J82" s="175"/>
      <c r="O82" s="4770"/>
      <c r="P82" s="3499"/>
      <c r="Q82" s="3500"/>
    </row>
    <row r="83" spans="10:17" s="345" customFormat="1" ht="15.75">
      <c r="J83" s="175"/>
      <c r="O83" s="4769" t="s">
        <v>1575</v>
      </c>
      <c r="P83" s="3499"/>
      <c r="Q83" s="3500"/>
    </row>
    <row r="84" spans="10:17" s="345" customFormat="1" ht="15.75">
      <c r="J84" s="175"/>
      <c r="O84" s="4769" t="s">
        <v>1573</v>
      </c>
      <c r="P84" s="3499"/>
      <c r="Q84" s="3500"/>
    </row>
    <row r="85" spans="10:17" s="345" customFormat="1">
      <c r="J85" s="175"/>
      <c r="O85" s="3499"/>
      <c r="P85" s="3499"/>
      <c r="Q85" s="3500"/>
    </row>
    <row r="86" spans="10:17">
      <c r="O86" s="3497"/>
      <c r="P86" s="3499"/>
      <c r="Q86" s="3500"/>
    </row>
    <row r="87" spans="10:17">
      <c r="O87" s="3499"/>
      <c r="P87" s="3499"/>
      <c r="Q87" s="3500"/>
    </row>
    <row r="88" spans="10:17">
      <c r="O88" s="3499"/>
      <c r="P88" s="3499"/>
      <c r="Q88" s="3500"/>
    </row>
    <row r="89" spans="10:17">
      <c r="O89" s="3499"/>
      <c r="P89" s="3499"/>
      <c r="Q89" s="3500"/>
    </row>
    <row r="90" spans="10:17">
      <c r="O90" s="3499"/>
      <c r="P90" s="3499"/>
      <c r="Q90" s="3500"/>
    </row>
    <row r="91" spans="10:17">
      <c r="O91" s="3506"/>
      <c r="P91" s="3499"/>
      <c r="Q91" s="3500"/>
    </row>
    <row r="92" spans="10:17" ht="15.75">
      <c r="O92" s="3511" t="s">
        <v>1579</v>
      </c>
      <c r="P92" s="3499"/>
      <c r="Q92" s="3500"/>
    </row>
    <row r="93" spans="10:17" ht="16.5" thickBot="1">
      <c r="O93" s="3512" t="s">
        <v>1581</v>
      </c>
      <c r="P93" s="3499"/>
      <c r="Q93" s="3500"/>
    </row>
    <row r="94" spans="10:17" ht="16.5" thickTop="1">
      <c r="O94" s="3511" t="s">
        <v>1572</v>
      </c>
      <c r="P94" s="3499"/>
      <c r="Q94" s="3500"/>
    </row>
    <row r="95" spans="10:17" ht="15.75">
      <c r="O95" s="3508"/>
      <c r="P95" s="3499"/>
      <c r="Q95" s="3500"/>
    </row>
    <row r="96" spans="10:17" s="345" customFormat="1" ht="15.75">
      <c r="O96" s="4758" t="s">
        <v>536</v>
      </c>
      <c r="P96" s="3499"/>
      <c r="Q96" s="3500"/>
    </row>
    <row r="97" spans="3:17">
      <c r="O97" s="3499"/>
      <c r="P97" s="3499"/>
      <c r="Q97" s="3500"/>
    </row>
    <row r="98" spans="3:17" ht="15.75">
      <c r="O98" s="3511" t="s">
        <v>1580</v>
      </c>
      <c r="P98" s="3499"/>
      <c r="Q98" s="3500"/>
    </row>
    <row r="99" spans="3:17">
      <c r="O99" s="3502"/>
      <c r="P99" s="3499"/>
      <c r="Q99" s="3500"/>
    </row>
    <row r="100" spans="3:17">
      <c r="O100" s="3499"/>
      <c r="P100" s="3499"/>
      <c r="Q100" s="3500"/>
    </row>
    <row r="101" spans="3:17">
      <c r="O101" s="3498"/>
      <c r="P101" s="3499"/>
      <c r="Q101" s="3500"/>
    </row>
    <row r="102" spans="3:17">
      <c r="O102" s="3499"/>
      <c r="P102" s="3499"/>
      <c r="Q102" s="3500"/>
    </row>
    <row r="103" spans="3:17">
      <c r="O103" s="3506"/>
      <c r="P103" s="3499"/>
      <c r="Q103" s="3500"/>
    </row>
    <row r="104" spans="3:17">
      <c r="O104" s="3499"/>
      <c r="P104" s="3499"/>
      <c r="Q104" s="3500"/>
    </row>
    <row r="105" spans="3:17" ht="15.75">
      <c r="O105" s="3492"/>
      <c r="P105" s="3499"/>
      <c r="Q105" s="3500"/>
    </row>
    <row r="106" spans="3:17">
      <c r="O106" s="3499"/>
      <c r="P106" s="3499"/>
      <c r="Q106" s="3500"/>
    </row>
    <row r="107" spans="3:17">
      <c r="O107" s="3493"/>
      <c r="P107" s="3502"/>
      <c r="Q107" s="3504"/>
    </row>
    <row r="108" spans="3:17">
      <c r="O108" s="3499"/>
      <c r="P108" s="3499"/>
      <c r="Q108" s="3500"/>
    </row>
    <row r="109" spans="3:17">
      <c r="O109" s="3499"/>
      <c r="P109" s="3499"/>
      <c r="Q109" s="3500"/>
    </row>
    <row r="110" spans="3:17">
      <c r="O110" s="3506"/>
      <c r="P110" s="3499"/>
      <c r="Q110" s="3500"/>
    </row>
    <row r="111" spans="3:17">
      <c r="C111" s="5">
        <v>175</v>
      </c>
      <c r="D111" s="5">
        <v>0.8125</v>
      </c>
      <c r="I111" s="5">
        <v>101</v>
      </c>
      <c r="J111" s="5">
        <v>0.91666666666666663</v>
      </c>
      <c r="O111" s="3498"/>
      <c r="P111" s="3499"/>
      <c r="Q111" s="3500"/>
    </row>
    <row r="112" spans="3:17">
      <c r="O112" s="3499"/>
      <c r="P112" s="3499"/>
      <c r="Q112" s="3500"/>
    </row>
    <row r="113" spans="15:17">
      <c r="O113" s="3499"/>
      <c r="P113" s="3499"/>
      <c r="Q113" s="3500"/>
    </row>
    <row r="114" spans="15:17">
      <c r="O114" s="3499"/>
      <c r="P114" s="3499"/>
      <c r="Q114" s="3500"/>
    </row>
    <row r="115" spans="15:17">
      <c r="O115" s="3499"/>
      <c r="P115" s="3499"/>
      <c r="Q115" s="3500"/>
    </row>
    <row r="116" spans="15:17">
      <c r="O116" s="3499"/>
      <c r="P116" s="3499"/>
      <c r="Q116" s="3500"/>
    </row>
    <row r="117" spans="15:17">
      <c r="O117" s="3493" t="s">
        <v>1578</v>
      </c>
      <c r="P117" s="3499"/>
      <c r="Q117" s="3500"/>
    </row>
    <row r="118" spans="15:17">
      <c r="O118" s="3506"/>
      <c r="P118" s="3499"/>
      <c r="Q118" s="3500"/>
    </row>
    <row r="119" spans="15:17">
      <c r="O119" s="3499"/>
      <c r="P119" s="3499"/>
      <c r="Q119" s="3500"/>
    </row>
    <row r="120" spans="15:17">
      <c r="O120" s="3499"/>
      <c r="P120" s="3499"/>
      <c r="Q120" s="3500"/>
    </row>
    <row r="121" spans="15:17">
      <c r="O121" s="3499"/>
      <c r="P121" s="3499"/>
      <c r="Q121" s="3500"/>
    </row>
    <row r="122" spans="15:17">
      <c r="O122" s="3493"/>
      <c r="P122" s="3499"/>
      <c r="Q122" s="3500"/>
    </row>
    <row r="123" spans="15:17">
      <c r="O123" s="3499"/>
      <c r="P123" s="3499"/>
      <c r="Q123" s="3500"/>
    </row>
    <row r="124" spans="15:17">
      <c r="O124" s="3499"/>
      <c r="P124" s="3499"/>
      <c r="Q124" s="3500"/>
    </row>
    <row r="125" spans="15:17" ht="15.75">
      <c r="O125" s="3511" t="s">
        <v>1574</v>
      </c>
      <c r="P125" s="3499"/>
      <c r="Q125" s="3500"/>
    </row>
    <row r="126" spans="15:17">
      <c r="O126" s="3499"/>
      <c r="P126" s="3499"/>
      <c r="Q126" s="3500"/>
    </row>
    <row r="127" spans="15:17">
      <c r="O127" s="3493"/>
      <c r="P127" s="3499"/>
      <c r="Q127" s="3500"/>
    </row>
    <row r="128" spans="15:17">
      <c r="O128" s="3499"/>
      <c r="P128" s="3499"/>
      <c r="Q128" s="3500"/>
    </row>
    <row r="129" spans="15:17">
      <c r="O129" s="3499"/>
      <c r="P129" s="3499"/>
      <c r="Q129" s="3500"/>
    </row>
    <row r="130" spans="15:17">
      <c r="O130" s="3506"/>
      <c r="P130" s="3499"/>
      <c r="Q130" s="3500"/>
    </row>
    <row r="131" spans="15:17">
      <c r="O131" s="3493" t="s">
        <v>540</v>
      </c>
      <c r="P131" s="3499"/>
      <c r="Q131" s="3500"/>
    </row>
    <row r="132" spans="15:17">
      <c r="O132" s="3499"/>
      <c r="P132" s="3499"/>
      <c r="Q132" s="3500"/>
    </row>
    <row r="133" spans="15:17">
      <c r="O133" s="3499"/>
      <c r="P133" s="3499"/>
      <c r="Q133" s="3500"/>
    </row>
    <row r="134" spans="15:17">
      <c r="O134" s="3499"/>
      <c r="P134" s="3499"/>
      <c r="Q134" s="3500"/>
    </row>
    <row r="135" spans="15:17">
      <c r="O135" s="3499"/>
      <c r="P135" s="3499"/>
      <c r="Q135" s="3500"/>
    </row>
    <row r="136" spans="15:17">
      <c r="O136" s="3493" t="s">
        <v>530</v>
      </c>
      <c r="P136" s="3499"/>
      <c r="Q136" s="3500"/>
    </row>
    <row r="137" spans="15:17">
      <c r="O137" s="3510"/>
      <c r="P137" s="3499"/>
      <c r="Q137" s="3500"/>
    </row>
    <row r="138" spans="15:17">
      <c r="O138" s="3499"/>
      <c r="P138" s="3499"/>
      <c r="Q138" s="3500"/>
    </row>
    <row r="139" spans="15:17">
      <c r="O139" s="3493" t="s">
        <v>532</v>
      </c>
      <c r="P139" s="3499"/>
      <c r="Q139" s="3500"/>
    </row>
    <row r="140" spans="15:17">
      <c r="O140" s="3499"/>
      <c r="P140" s="3499"/>
      <c r="Q140" s="3500"/>
    </row>
    <row r="141" spans="15:17">
      <c r="O141" s="3499"/>
      <c r="P141" s="3499"/>
      <c r="Q141" s="3500"/>
    </row>
    <row r="142" spans="15:17">
      <c r="O142" s="3493"/>
      <c r="P142" s="3499"/>
      <c r="Q142" s="3500"/>
    </row>
    <row r="143" spans="15:17">
      <c r="O143" s="3499"/>
      <c r="P143" s="3499"/>
      <c r="Q143" s="3500"/>
    </row>
    <row r="144" spans="15:17">
      <c r="O144" s="3498"/>
      <c r="P144" s="3499"/>
      <c r="Q144" s="3500"/>
    </row>
    <row r="145" spans="3:17">
      <c r="O145" s="3499"/>
      <c r="P145" s="3499"/>
      <c r="Q145" s="3500"/>
    </row>
    <row r="146" spans="3:17">
      <c r="O146" s="3493" t="s">
        <v>1577</v>
      </c>
      <c r="P146" s="3499"/>
      <c r="Q146" s="3500"/>
    </row>
    <row r="147" spans="3:17">
      <c r="O147" s="3499"/>
      <c r="P147" s="3499"/>
      <c r="Q147" s="3500"/>
    </row>
    <row r="148" spans="3:17">
      <c r="O148" s="3499"/>
      <c r="P148" s="3499"/>
      <c r="Q148" s="3500"/>
    </row>
    <row r="149" spans="3:17">
      <c r="O149" s="3507"/>
      <c r="P149" s="3499"/>
      <c r="Q149" s="3500"/>
    </row>
    <row r="150" spans="3:17">
      <c r="O150" s="3499"/>
      <c r="P150" s="3499"/>
      <c r="Q150" s="3500"/>
    </row>
    <row r="151" spans="3:17">
      <c r="O151" s="3493" t="s">
        <v>1242</v>
      </c>
      <c r="P151" s="3499"/>
      <c r="Q151" s="3500"/>
    </row>
    <row r="152" spans="3:17">
      <c r="O152" s="3499"/>
      <c r="P152" s="3499"/>
      <c r="Q152" s="3500"/>
    </row>
    <row r="153" spans="3:17">
      <c r="C153" s="5">
        <v>263</v>
      </c>
      <c r="D153" s="5">
        <v>0.58333333333333337</v>
      </c>
      <c r="F153" s="5">
        <v>44</v>
      </c>
      <c r="G153" s="5">
        <v>0.83333333333333337</v>
      </c>
      <c r="I153" s="5">
        <v>143</v>
      </c>
      <c r="J153" s="5">
        <v>0.83333333333333337</v>
      </c>
      <c r="O153" s="3497"/>
      <c r="P153" s="3499"/>
      <c r="Q153" s="3500"/>
    </row>
    <row r="154" spans="3:17">
      <c r="O154" s="3506"/>
      <c r="P154" s="3499"/>
      <c r="Q154" s="3500"/>
    </row>
    <row r="155" spans="3:17">
      <c r="O155" s="3499"/>
      <c r="P155" s="3499"/>
      <c r="Q155" s="3500"/>
    </row>
    <row r="156" spans="3:17">
      <c r="O156" s="3499"/>
      <c r="P156" s="3499"/>
      <c r="Q156" s="3500"/>
    </row>
    <row r="157" spans="3:17" ht="15.75">
      <c r="O157" s="3508"/>
      <c r="P157" s="3499"/>
      <c r="Q157" s="3500"/>
    </row>
    <row r="158" spans="3:17">
      <c r="O158" s="3493"/>
      <c r="P158" s="3499"/>
      <c r="Q158" s="3500"/>
    </row>
    <row r="159" spans="3:17">
      <c r="O159" s="3498"/>
      <c r="P159" s="3499"/>
      <c r="Q159" s="3500"/>
    </row>
    <row r="160" spans="3:17">
      <c r="O160" s="3499"/>
      <c r="P160" s="3499"/>
      <c r="Q160" s="3500"/>
    </row>
    <row r="161" spans="3:17">
      <c r="O161" s="3499"/>
      <c r="P161" s="3499"/>
      <c r="Q161" s="3500"/>
    </row>
    <row r="162" spans="3:17">
      <c r="O162" s="3493"/>
      <c r="P162" s="3499"/>
      <c r="Q162" s="3500"/>
    </row>
    <row r="163" spans="3:17">
      <c r="O163" s="3499"/>
      <c r="P163" s="3499"/>
      <c r="Q163" s="3500"/>
    </row>
    <row r="164" spans="3:17">
      <c r="O164" s="3499"/>
      <c r="P164" s="3499"/>
      <c r="Q164" s="3500"/>
    </row>
    <row r="165" spans="3:17">
      <c r="O165" s="3493"/>
      <c r="P165" s="3499"/>
      <c r="Q165" s="3500"/>
    </row>
    <row r="166" spans="3:17">
      <c r="O166" s="3498"/>
      <c r="P166" s="3499"/>
      <c r="Q166" s="3500"/>
    </row>
    <row r="167" spans="3:17">
      <c r="O167" s="3499"/>
      <c r="P167" s="3499"/>
      <c r="Q167" s="3500"/>
    </row>
    <row r="168" spans="3:17">
      <c r="O168" s="3499"/>
      <c r="P168" s="3499"/>
      <c r="Q168" s="3500"/>
    </row>
    <row r="169" spans="3:17">
      <c r="C169" s="5">
        <v>74</v>
      </c>
      <c r="D169" s="5">
        <v>0.5</v>
      </c>
      <c r="J169" s="5">
        <v>0.83333333333333337</v>
      </c>
      <c r="O169" s="3498"/>
      <c r="P169" s="3499"/>
      <c r="Q169" s="3500"/>
    </row>
    <row r="170" spans="3:17">
      <c r="C170" s="5">
        <v>19</v>
      </c>
      <c r="D170" s="5">
        <v>0.79166666666666663</v>
      </c>
      <c r="F170" s="5">
        <v>164</v>
      </c>
      <c r="G170" s="5">
        <v>0.875</v>
      </c>
      <c r="I170" s="5">
        <v>52</v>
      </c>
      <c r="J170" s="5">
        <v>0.83333333333333337</v>
      </c>
      <c r="O170" s="3493" t="s">
        <v>543</v>
      </c>
      <c r="P170" s="3499"/>
      <c r="Q170" s="3500"/>
    </row>
    <row r="171" spans="3:17">
      <c r="O171" s="3499"/>
      <c r="P171" s="3499"/>
      <c r="Q171" s="3500"/>
    </row>
    <row r="172" spans="3:17">
      <c r="C172" s="5">
        <v>138</v>
      </c>
      <c r="D172" s="5">
        <v>0.70833333333333337</v>
      </c>
      <c r="J172" s="5">
        <v>0.83333333333333337</v>
      </c>
      <c r="O172" s="3498"/>
      <c r="P172" s="3499"/>
      <c r="Q172" s="3500"/>
    </row>
    <row r="173" spans="3:17">
      <c r="O173" s="3493" t="s">
        <v>534</v>
      </c>
      <c r="P173" s="3499"/>
      <c r="Q173" s="3500"/>
    </row>
    <row r="174" spans="3:17">
      <c r="C174" s="5">
        <v>34</v>
      </c>
      <c r="D174" s="5">
        <v>0.625</v>
      </c>
      <c r="I174" s="5">
        <v>103</v>
      </c>
      <c r="J174" s="5">
        <v>0.8125</v>
      </c>
      <c r="O174" s="3501"/>
      <c r="P174" s="3499"/>
      <c r="Q174" s="3500"/>
    </row>
    <row r="175" spans="3:17">
      <c r="O175" s="3499"/>
      <c r="P175" s="3499"/>
      <c r="Q175" s="3500"/>
    </row>
    <row r="176" spans="3:17" ht="15.75">
      <c r="O176" s="3508"/>
      <c r="P176" s="3499"/>
      <c r="Q176" s="3500"/>
    </row>
    <row r="177" spans="3:17">
      <c r="C177" s="5">
        <v>86</v>
      </c>
      <c r="F177" s="5">
        <v>20</v>
      </c>
      <c r="G177" s="5">
        <v>0.91666666666666663</v>
      </c>
      <c r="I177" s="5">
        <v>68</v>
      </c>
      <c r="J177" s="5">
        <v>0.875</v>
      </c>
      <c r="O177" s="3498"/>
      <c r="P177" s="3499"/>
      <c r="Q177" s="3500"/>
    </row>
    <row r="178" spans="3:17">
      <c r="O178" s="3499"/>
      <c r="P178" s="3499"/>
      <c r="Q178" s="3500"/>
    </row>
    <row r="179" spans="3:17" ht="15.75">
      <c r="O179" s="3494"/>
      <c r="P179" s="3499"/>
      <c r="Q179" s="3500"/>
    </row>
    <row r="180" spans="3:17">
      <c r="O180" s="3506"/>
      <c r="P180" s="3499"/>
      <c r="Q180" s="3500"/>
    </row>
    <row r="181" spans="3:17">
      <c r="O181" s="3499"/>
      <c r="P181" s="3499"/>
      <c r="Q181" s="3500"/>
    </row>
    <row r="182" spans="3:17" ht="15.75">
      <c r="O182" s="3508"/>
      <c r="P182" s="3499"/>
      <c r="Q182" s="3500"/>
    </row>
    <row r="183" spans="3:17">
      <c r="O183" s="3499"/>
      <c r="P183" s="3499"/>
      <c r="Q183" s="3500"/>
    </row>
    <row r="184" spans="3:17">
      <c r="C184" s="5">
        <v>80</v>
      </c>
      <c r="D184" s="5">
        <v>0.77083333333333337</v>
      </c>
      <c r="F184" s="5">
        <v>106</v>
      </c>
      <c r="G184" s="5">
        <v>0.91666666666666663</v>
      </c>
      <c r="I184" s="5">
        <v>98</v>
      </c>
      <c r="J184" s="5">
        <v>0.83333333333333337</v>
      </c>
      <c r="O184" s="3498"/>
      <c r="P184" s="3499"/>
      <c r="Q184" s="3500"/>
    </row>
    <row r="185" spans="3:17">
      <c r="C185" s="5">
        <v>313</v>
      </c>
      <c r="D185" s="5">
        <v>0.79166666666666663</v>
      </c>
      <c r="I185" s="5">
        <v>94</v>
      </c>
      <c r="O185" s="3493" t="s">
        <v>528</v>
      </c>
      <c r="P185" s="3499"/>
      <c r="Q185" s="3500"/>
    </row>
    <row r="186" spans="3:17">
      <c r="O186" s="3498"/>
      <c r="P186" s="3499"/>
      <c r="Q186" s="3500"/>
    </row>
    <row r="187" spans="3:17">
      <c r="O187" s="3498"/>
      <c r="P187" s="3499"/>
      <c r="Q187" s="3503"/>
    </row>
    <row r="188" spans="3:17">
      <c r="O188" s="3499"/>
      <c r="P188" s="3499"/>
      <c r="Q188" s="3500"/>
    </row>
    <row r="189" spans="3:17">
      <c r="O189" s="3493" t="s">
        <v>1571</v>
      </c>
      <c r="P189" s="3505"/>
      <c r="Q189" s="3503"/>
    </row>
    <row r="190" spans="3:17">
      <c r="O190" s="3499"/>
      <c r="P190" s="3499"/>
      <c r="Q190" s="3500"/>
    </row>
    <row r="191" spans="3:17">
      <c r="O191" s="3493" t="s">
        <v>521</v>
      </c>
      <c r="P191" s="3499"/>
      <c r="Q191" s="3500"/>
    </row>
    <row r="192" spans="3:17">
      <c r="O192" s="3499"/>
      <c r="P192" s="3499"/>
      <c r="Q192" s="3500"/>
    </row>
    <row r="193" spans="15:17">
      <c r="O193" s="3493"/>
      <c r="P193" s="3499"/>
      <c r="Q193" s="3500"/>
    </row>
    <row r="194" spans="15:17">
      <c r="O194" s="3493" t="s">
        <v>1576</v>
      </c>
      <c r="P194" s="3499"/>
      <c r="Q194" s="3500"/>
    </row>
    <row r="195" spans="15:17">
      <c r="O195" s="3499"/>
      <c r="P195" s="3499"/>
      <c r="Q195" s="3500"/>
    </row>
    <row r="196" spans="15:17">
      <c r="O196" s="3499"/>
      <c r="P196" s="3499"/>
      <c r="Q196" s="3500"/>
    </row>
    <row r="197" spans="15:17" ht="15.75">
      <c r="O197" s="3496"/>
      <c r="P197" s="3499"/>
      <c r="Q197" s="3500"/>
    </row>
    <row r="198" spans="15:17">
      <c r="O198" s="3495"/>
      <c r="P198" s="3499"/>
      <c r="Q198" s="3500"/>
    </row>
    <row r="199" spans="15:17">
      <c r="O199" s="3499"/>
      <c r="P199" s="3499"/>
      <c r="Q199" s="3500"/>
    </row>
    <row r="200" spans="15:17">
      <c r="O200" s="3499"/>
      <c r="P200" s="3499"/>
      <c r="Q200" s="3500"/>
    </row>
    <row r="201" spans="15:17" ht="15.75">
      <c r="O201" s="3508"/>
      <c r="P201" s="3499"/>
      <c r="Q201" s="3500"/>
    </row>
    <row r="202" spans="15:17">
      <c r="O202" s="3499"/>
      <c r="P202" s="3499"/>
      <c r="Q202" s="3500"/>
    </row>
    <row r="203" spans="15:17">
      <c r="O203" s="3499"/>
      <c r="P203" s="3499"/>
      <c r="Q203" s="3500"/>
    </row>
    <row r="204" spans="15:17">
      <c r="O204" s="3493" t="s">
        <v>527</v>
      </c>
      <c r="P204" s="3499"/>
      <c r="Q204" s="3500"/>
    </row>
    <row r="205" spans="15:17">
      <c r="O205" s="3493" t="s">
        <v>524</v>
      </c>
      <c r="P205" s="3499"/>
      <c r="Q205" s="3500"/>
    </row>
    <row r="206" spans="15:17">
      <c r="O206" s="3507"/>
      <c r="P206" s="3499"/>
      <c r="Q206" s="3500"/>
    </row>
    <row r="207" spans="15:17" ht="15.75">
      <c r="O207" s="3509"/>
      <c r="P207" s="3499"/>
      <c r="Q207" s="3500"/>
    </row>
    <row r="208" spans="15:17">
      <c r="O208" s="3499"/>
      <c r="P208" s="3499"/>
      <c r="Q208" s="3500"/>
    </row>
  </sheetData>
  <customSheetViews>
    <customSheetView guid="{751D391F-C74F-4B53-B5B5-25E01AC12EA4}" showPageBreaks="1" printArea="1" topLeftCell="A7">
      <selection sqref="A1:J73"/>
      <pageMargins left="0.8" right="0.12" top="0.17" bottom="0.15" header="0.19" footer="0.15"/>
      <pageSetup scale="53" orientation="portrait" horizontalDpi="4294967295" verticalDpi="4294967295" r:id="rId1"/>
    </customSheetView>
    <customSheetView guid="{5A803268-F6C5-4035-B3E1-A94CB9AA8994}" showPageBreaks="1" printArea="1">
      <selection sqref="A1:J73"/>
      <pageMargins left="0.55000000000000004" right="0.12" top="0.17" bottom="0.15" header="0.19" footer="0.15"/>
      <pageSetup scale="63" orientation="portrait" r:id="rId2"/>
    </customSheetView>
    <customSheetView guid="{917057C8-5E5F-4164-B84C-85103677A2E5}">
      <selection sqref="A1:J73"/>
      <pageMargins left="0.55000000000000004" right="0.12" top="0.17" bottom="0.15" header="0.19" footer="0.15"/>
      <pageSetup scale="62" orientation="portrait" r:id="rId3"/>
    </customSheetView>
    <customSheetView guid="{4593F3EE-0998-4E0E-994A-E02D6BAF3A4B}" showPageBreaks="1" printArea="1" topLeftCell="A43">
      <selection activeCell="H17" sqref="H17:I55"/>
      <pageMargins left="0.55000000000000004" right="0.12" top="0.17" bottom="0.15" header="0.19" footer="0.15"/>
      <pageSetup scale="62" orientation="portrait" r:id="rId4"/>
    </customSheetView>
    <customSheetView guid="{23F4DC00-BC97-4745-AA5C-F05D469CB1EF}" showPageBreaks="1" printArea="1">
      <selection sqref="A1:J73"/>
      <pageMargins left="0.55000000000000004" right="0.12" top="0.17" bottom="0.15" header="0.19" footer="0.15"/>
      <pageSetup scale="63" orientation="portrait" r:id="rId5"/>
    </customSheetView>
    <customSheetView guid="{B91C2E87-5EDA-40AE-AC27-0E2C17E803CE}" showPageBreaks="1" printArea="1">
      <selection sqref="A1:J73"/>
      <pageMargins left="0.55000000000000004" right="0.12" top="0.17" bottom="0.15" header="0.19" footer="0.15"/>
      <pageSetup scale="58" orientation="portrait" r:id="rId6"/>
    </customSheetView>
    <customSheetView guid="{7C71EF2A-5ADA-494C-8F58-DDA71753DD90}" scale="120" showPageBreaks="1" printArea="1" topLeftCell="A30">
      <selection activeCell="B32" sqref="B32"/>
      <pageMargins left="0.8" right="0.12" top="0.17" bottom="0.15" header="0.19" footer="0.15"/>
      <pageSetup scale="57" orientation="portrait" horizontalDpi="4294967295" verticalDpi="4294967295" r:id="rId7"/>
    </customSheetView>
    <customSheetView guid="{4DB6C640-CE65-4513-9E5A-F6CDD1F4B8AF}" showPageBreaks="1" topLeftCell="A46">
      <selection activeCell="C17" sqref="C17:J66"/>
      <pageMargins left="0.8" right="0.12" top="0.17" bottom="0.15" header="0.19" footer="0.15"/>
      <pageSetup scale="54" orientation="portrait" horizontalDpi="4294967295" verticalDpi="4294967295" r:id="rId8"/>
    </customSheetView>
    <customSheetView guid="{D1D1E152-95AB-45D3-AC07-4EC0834D3E0C}" fitToPage="1">
      <selection activeCell="B1" sqref="B1:P70"/>
      <pageMargins left="0.8" right="0.12" top="0.17" bottom="0.15" header="0.19" footer="0.15"/>
      <pageSetup scale="48" orientation="landscape" r:id="rId9"/>
    </customSheetView>
    <customSheetView guid="{C3348F62-02F2-4500-9BF2-19F2DEA57A8D}" showPageBreaks="1" fitToPage="1" printArea="1">
      <selection sqref="A1:J73"/>
      <pageMargins left="0.8" right="0.12" top="0.18" bottom="0.15" header="0.19" footer="0.15"/>
      <pageSetup scale="48" orientation="landscape" horizontalDpi="4294967295" verticalDpi="4294967295" r:id="rId10"/>
    </customSheetView>
  </customSheetViews>
  <pageMargins left="0.8" right="0.12" top="0.18" bottom="0.15" header="0.19" footer="0.15"/>
  <pageSetup scale="48" orientation="landscape" horizontalDpi="4294967295" verticalDpi="4294967295" r:id="rId1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>
    <tabColor rgb="FFFF33CC"/>
  </sheetPr>
  <dimension ref="A1:BC187"/>
  <sheetViews>
    <sheetView zoomScale="85" zoomScaleNormal="85" workbookViewId="0">
      <selection sqref="A1:L108"/>
    </sheetView>
  </sheetViews>
  <sheetFormatPr defaultRowHeight="15"/>
  <cols>
    <col min="1" max="1" width="1.85546875" style="5" customWidth="1"/>
    <col min="2" max="2" width="25.7109375" style="535" customWidth="1"/>
    <col min="3" max="6" width="17.28515625" style="5" customWidth="1"/>
    <col min="7" max="7" width="25.5703125" style="535" customWidth="1"/>
    <col min="8" max="11" width="17.5703125" style="5" customWidth="1"/>
    <col min="12" max="12" width="8.85546875" style="5"/>
    <col min="13" max="13" width="13.28515625" style="5" customWidth="1"/>
    <col min="14" max="14" width="12.7109375" style="5" customWidth="1"/>
    <col min="15" max="15" width="23.42578125" style="5" customWidth="1"/>
    <col min="16" max="16" width="16.28515625" style="5" customWidth="1"/>
    <col min="17" max="17" width="17.7109375" style="5" customWidth="1"/>
    <col min="18" max="18" width="15.5703125" style="5" customWidth="1"/>
    <col min="19" max="19" width="15.28515625" style="5" customWidth="1"/>
    <col min="20" max="20" width="17" style="5" bestFit="1" customWidth="1"/>
    <col min="21" max="22" width="8.7109375" style="5" customWidth="1"/>
    <col min="23" max="23" width="12" style="5" bestFit="1" customWidth="1"/>
    <col min="24" max="24" width="8.42578125" style="5" customWidth="1"/>
    <col min="25" max="25" width="13.140625" style="5" customWidth="1"/>
    <col min="26" max="26" width="8.140625" style="5" customWidth="1"/>
    <col min="27" max="27" width="8.7109375" style="5" customWidth="1"/>
    <col min="28" max="29" width="8.28515625" style="5" customWidth="1"/>
    <col min="30" max="30" width="13.140625" style="5" bestFit="1" customWidth="1"/>
    <col min="31" max="31" width="9.5703125" style="5" customWidth="1"/>
    <col min="32" max="32" width="13" style="5" bestFit="1" customWidth="1"/>
    <col min="33" max="34" width="13.140625" style="5" bestFit="1" customWidth="1"/>
    <col min="35" max="35" width="8.7109375" style="5" customWidth="1"/>
    <col min="36" max="37" width="7.7109375" style="5" customWidth="1"/>
    <col min="38" max="41" width="10.5703125" style="5" bestFit="1" customWidth="1"/>
    <col min="42" max="43" width="10.28515625" style="5" customWidth="1"/>
    <col min="44" max="44" width="11.42578125" style="5" customWidth="1"/>
    <col min="45" max="45" width="11.140625" style="5" customWidth="1"/>
    <col min="46" max="46" width="10.7109375" style="5" customWidth="1"/>
    <col min="47" max="52" width="10.5703125" style="5" bestFit="1" customWidth="1"/>
    <col min="53" max="53" width="9.28515625" style="5" bestFit="1" customWidth="1"/>
    <col min="54" max="16384" width="9.140625" style="5"/>
  </cols>
  <sheetData>
    <row r="1" spans="1:53" ht="12" customHeight="1">
      <c r="A1" s="3351" t="s">
        <v>1159</v>
      </c>
      <c r="B1" s="3423"/>
      <c r="C1" s="3351"/>
      <c r="D1" s="3424"/>
      <c r="E1" s="3424"/>
      <c r="F1" s="3424"/>
      <c r="G1" s="3424"/>
      <c r="H1" s="3424"/>
      <c r="I1" s="3424"/>
      <c r="J1" s="3423"/>
      <c r="K1" s="3423"/>
      <c r="L1" s="3425"/>
    </row>
    <row r="2" spans="1:53" ht="22.9" customHeight="1">
      <c r="A2" s="3358"/>
      <c r="B2" s="3441"/>
      <c r="C2" s="4742" t="s">
        <v>841</v>
      </c>
      <c r="D2" s="3441"/>
      <c r="E2" s="3441"/>
      <c r="F2" s="3441"/>
      <c r="G2" s="3441"/>
      <c r="H2" s="3441"/>
      <c r="I2" s="3441"/>
      <c r="J2" s="3441"/>
      <c r="K2" s="3441"/>
      <c r="L2" s="3425"/>
      <c r="N2" s="3564"/>
      <c r="O2" s="3235"/>
      <c r="P2" s="3235"/>
      <c r="Q2" s="3235"/>
      <c r="R2" s="3235"/>
      <c r="S2" s="3235"/>
      <c r="T2" s="3235"/>
      <c r="U2" s="3235"/>
      <c r="V2" s="3235"/>
      <c r="W2" s="3235"/>
      <c r="X2" s="3235"/>
      <c r="Y2" s="3235"/>
      <c r="Z2" s="3235"/>
      <c r="AA2" s="3235"/>
      <c r="AB2" s="3235"/>
      <c r="AC2" s="3235"/>
      <c r="AD2" s="3235"/>
      <c r="AE2" s="3235"/>
      <c r="AF2" s="3235"/>
      <c r="AG2" s="3235"/>
      <c r="AH2" s="3235"/>
      <c r="AI2" s="3235"/>
      <c r="AJ2" s="3235"/>
      <c r="AK2" s="3235"/>
      <c r="AL2" s="3235"/>
      <c r="AM2" s="3235"/>
      <c r="AN2" s="3235"/>
      <c r="AO2" s="3235"/>
      <c r="AP2" s="3235"/>
      <c r="AQ2" s="3235"/>
      <c r="AR2" s="3235"/>
      <c r="AS2" s="3235"/>
      <c r="AT2" s="3235"/>
      <c r="AU2" s="3235"/>
      <c r="AV2" s="3235"/>
      <c r="AW2" s="3235"/>
      <c r="AX2" s="3235"/>
      <c r="AY2" s="3235"/>
      <c r="AZ2" s="3235"/>
      <c r="BA2" s="3235"/>
    </row>
    <row r="3" spans="1:53" ht="21.6" customHeight="1">
      <c r="A3" s="3351"/>
      <c r="B3" s="4743" t="s">
        <v>149</v>
      </c>
      <c r="C3" s="4744">
        <f>'En-Curve'!S7</f>
        <v>43318</v>
      </c>
      <c r="D3" s="3443"/>
      <c r="E3" s="3443"/>
      <c r="F3" s="3443"/>
      <c r="G3" s="3443"/>
      <c r="H3" s="3443"/>
      <c r="I3" s="3443"/>
      <c r="J3" s="3443"/>
      <c r="K3" s="4745" t="s">
        <v>1264</v>
      </c>
      <c r="L3" s="3425"/>
      <c r="M3" s="530"/>
      <c r="N3" s="3565"/>
      <c r="O3" s="3486"/>
      <c r="P3" s="3486"/>
      <c r="Q3" s="3486"/>
      <c r="R3" s="3486"/>
      <c r="S3" s="3486"/>
      <c r="T3" s="3486"/>
      <c r="U3" s="3486"/>
      <c r="V3" s="3486"/>
      <c r="W3" s="3486"/>
      <c r="X3" s="3486"/>
      <c r="Y3" s="3486"/>
      <c r="Z3" s="3486"/>
      <c r="AA3" s="3486"/>
      <c r="AB3" s="3486"/>
      <c r="AC3" s="3486"/>
      <c r="AD3" s="3486"/>
      <c r="AE3" s="3486"/>
      <c r="AF3" s="3486"/>
      <c r="AG3" s="3486"/>
      <c r="AH3" s="3486"/>
      <c r="AI3" s="3486"/>
      <c r="AJ3" s="3486"/>
      <c r="AK3" s="3486"/>
      <c r="AL3" s="3486"/>
      <c r="AM3" s="3486"/>
      <c r="AN3" s="3486"/>
      <c r="AO3" s="3486"/>
      <c r="AP3" s="3486"/>
      <c r="AQ3" s="3486"/>
      <c r="AR3" s="3486"/>
      <c r="AS3" s="3486"/>
      <c r="AT3" s="3486"/>
      <c r="AU3" s="3486"/>
      <c r="AV3" s="3486"/>
      <c r="AW3" s="3486"/>
      <c r="AX3" s="3486"/>
      <c r="AY3" s="3486"/>
      <c r="AZ3" s="3486"/>
      <c r="BA3" s="3486"/>
    </row>
    <row r="4" spans="1:53" ht="16.899999999999999" customHeight="1" thickBot="1">
      <c r="A4" s="3351"/>
      <c r="B4" s="3442"/>
      <c r="C4" s="3444"/>
      <c r="D4" s="3443"/>
      <c r="E4" s="3443"/>
      <c r="F4" s="3443"/>
      <c r="G4" s="3443"/>
      <c r="H4" s="3443"/>
      <c r="I4" s="3443"/>
      <c r="J4" s="3443"/>
      <c r="K4" s="3443"/>
      <c r="L4" s="3425"/>
      <c r="M4" s="530"/>
      <c r="N4" s="3563"/>
      <c r="O4" s="3243"/>
      <c r="P4" s="3243"/>
      <c r="Q4" s="3243"/>
      <c r="R4" s="3243"/>
      <c r="S4" s="3243"/>
      <c r="T4" s="3243"/>
      <c r="U4" s="3243"/>
      <c r="V4" s="3243"/>
      <c r="W4" s="3243"/>
      <c r="X4" s="3243"/>
      <c r="Y4" s="3243"/>
      <c r="Z4" s="3243"/>
      <c r="AA4" s="3243"/>
      <c r="AB4" s="3243"/>
      <c r="AC4" s="3243"/>
      <c r="AD4" s="3243"/>
      <c r="AE4" s="3243"/>
      <c r="AF4" s="3243"/>
      <c r="AG4" s="3243"/>
      <c r="AH4" s="3243"/>
      <c r="AI4" s="3243"/>
      <c r="AJ4" s="3243"/>
      <c r="AK4" s="3243"/>
      <c r="AL4" s="3243"/>
      <c r="AM4" s="3243"/>
      <c r="AN4" s="3243"/>
      <c r="AO4" s="3243"/>
      <c r="AP4" s="3243"/>
      <c r="AQ4" s="3243"/>
      <c r="AR4" s="3243"/>
      <c r="AS4" s="3243"/>
      <c r="AT4" s="3243"/>
      <c r="AU4" s="3243"/>
      <c r="AV4" s="3243"/>
      <c r="AW4" s="3243"/>
      <c r="AX4" s="3243"/>
      <c r="AY4" s="3243"/>
      <c r="AZ4" s="3243"/>
      <c r="BA4" s="3243"/>
    </row>
    <row r="5" spans="1:53" s="2128" customFormat="1" ht="15.75" customHeight="1">
      <c r="A5" s="3426"/>
      <c r="B5" s="3458" t="s">
        <v>644</v>
      </c>
      <c r="C5" s="3445" t="s">
        <v>881</v>
      </c>
      <c r="D5" s="3446" t="s">
        <v>517</v>
      </c>
      <c r="E5" s="3446" t="s">
        <v>882</v>
      </c>
      <c r="F5" s="3447" t="s">
        <v>517</v>
      </c>
      <c r="G5" s="3461" t="s">
        <v>644</v>
      </c>
      <c r="H5" s="3448" t="s">
        <v>645</v>
      </c>
      <c r="I5" s="3446" t="s">
        <v>517</v>
      </c>
      <c r="J5" s="3446" t="s">
        <v>882</v>
      </c>
      <c r="K5" s="3447" t="s">
        <v>517</v>
      </c>
      <c r="L5" s="3427"/>
      <c r="N5" s="3566"/>
      <c r="O5" s="3487"/>
      <c r="P5" s="3487"/>
      <c r="Q5" s="3487"/>
      <c r="R5" s="3487"/>
      <c r="S5" s="3487"/>
      <c r="T5" s="3487"/>
      <c r="U5" s="3487"/>
      <c r="V5" s="3487"/>
      <c r="W5" s="3487"/>
      <c r="X5" s="3487"/>
      <c r="Y5" s="3487"/>
      <c r="Z5" s="3487"/>
      <c r="AA5" s="3487"/>
      <c r="AB5" s="3487"/>
      <c r="AC5" s="3487"/>
      <c r="AD5" s="3487"/>
      <c r="AE5" s="3487"/>
      <c r="AF5" s="3487"/>
      <c r="AG5" s="3487"/>
      <c r="AH5" s="3487"/>
      <c r="AI5" s="3487"/>
      <c r="AJ5" s="3487"/>
      <c r="AK5" s="3487"/>
      <c r="AL5" s="3487"/>
      <c r="AM5" s="3487"/>
      <c r="AN5" s="3487"/>
      <c r="AO5" s="3487"/>
      <c r="AP5" s="3487"/>
      <c r="AQ5" s="3487"/>
      <c r="AR5" s="3487"/>
      <c r="AS5" s="3487"/>
      <c r="AT5" s="3487"/>
      <c r="AU5" s="3487"/>
      <c r="AV5" s="3487"/>
      <c r="AW5" s="3487"/>
      <c r="AX5" s="3487"/>
      <c r="AY5" s="3487"/>
      <c r="AZ5" s="3487"/>
      <c r="BA5" s="3487"/>
    </row>
    <row r="6" spans="1:53" s="2128" customFormat="1" ht="15.75" customHeight="1" thickBot="1">
      <c r="A6" s="3428"/>
      <c r="B6" s="3459"/>
      <c r="C6" s="3449"/>
      <c r="D6" s="3449"/>
      <c r="E6" s="3449" t="s">
        <v>646</v>
      </c>
      <c r="F6" s="3450"/>
      <c r="G6" s="3462"/>
      <c r="H6" s="3449" t="s">
        <v>646</v>
      </c>
      <c r="I6" s="3449"/>
      <c r="J6" s="3449" t="s">
        <v>646</v>
      </c>
      <c r="K6" s="3450"/>
      <c r="L6" s="3427"/>
      <c r="AA6" s="2129"/>
      <c r="AB6" s="2129"/>
      <c r="AC6" s="2130"/>
    </row>
    <row r="7" spans="1:53" s="2128" customFormat="1" ht="15.75" customHeight="1" thickTop="1" thickBot="1">
      <c r="A7" s="3429"/>
      <c r="B7" s="3460" t="s">
        <v>647</v>
      </c>
      <c r="C7" s="3457" t="s">
        <v>648</v>
      </c>
      <c r="D7" s="3457" t="s">
        <v>517</v>
      </c>
      <c r="E7" s="3457" t="s">
        <v>648</v>
      </c>
      <c r="F7" s="3457" t="s">
        <v>517</v>
      </c>
      <c r="G7" s="3460" t="s">
        <v>647</v>
      </c>
      <c r="H7" s="3457" t="s">
        <v>648</v>
      </c>
      <c r="I7" s="3457" t="s">
        <v>517</v>
      </c>
      <c r="J7" s="3457" t="s">
        <v>648</v>
      </c>
      <c r="K7" s="3457" t="s">
        <v>517</v>
      </c>
      <c r="L7" s="3427"/>
    </row>
    <row r="8" spans="1:53" s="4792" customFormat="1" ht="15.75" customHeight="1" thickBot="1">
      <c r="A8" s="4790">
        <v>14</v>
      </c>
      <c r="B8" s="4781" t="s">
        <v>520</v>
      </c>
      <c r="C8" s="4782">
        <v>385</v>
      </c>
      <c r="D8" s="4783" t="s">
        <v>1646</v>
      </c>
      <c r="E8" s="4784">
        <v>363</v>
      </c>
      <c r="F8" s="4785" t="s">
        <v>1667</v>
      </c>
      <c r="G8" s="4781" t="s">
        <v>650</v>
      </c>
      <c r="H8" s="4782">
        <v>390</v>
      </c>
      <c r="I8" s="4785" t="s">
        <v>1646</v>
      </c>
      <c r="J8" s="4782">
        <v>375</v>
      </c>
      <c r="K8" s="4785" t="s">
        <v>1667</v>
      </c>
      <c r="L8" s="4791"/>
      <c r="N8" s="4793"/>
      <c r="O8" s="4793"/>
      <c r="P8" s="4793"/>
      <c r="Q8" s="4793"/>
      <c r="R8" s="4793"/>
      <c r="S8" s="4793"/>
      <c r="T8" s="4793"/>
      <c r="U8" s="4793"/>
      <c r="V8" s="4793"/>
      <c r="W8" s="4793"/>
      <c r="X8" s="4793"/>
      <c r="Y8" s="4793"/>
      <c r="Z8" s="4793"/>
      <c r="AA8" s="4793"/>
      <c r="AB8" s="4794"/>
      <c r="AC8" s="4795"/>
      <c r="AD8" s="4796"/>
      <c r="AE8" s="4793"/>
      <c r="AF8" s="4793"/>
      <c r="AG8" s="4793"/>
      <c r="AH8" s="4793"/>
      <c r="AI8" s="4793"/>
      <c r="AJ8" s="4793"/>
      <c r="AK8" s="4793"/>
      <c r="AL8" s="4793"/>
      <c r="AM8" s="4793"/>
      <c r="AN8" s="4793"/>
      <c r="AO8" s="4793"/>
      <c r="AP8" s="4793"/>
      <c r="AQ8" s="4793"/>
      <c r="AR8" s="4794"/>
      <c r="AS8" s="4797" t="s">
        <v>651</v>
      </c>
      <c r="AT8" s="4797" t="s">
        <v>649</v>
      </c>
      <c r="AU8" s="4798" t="s">
        <v>520</v>
      </c>
      <c r="AV8" s="4799" t="s">
        <v>843</v>
      </c>
      <c r="AW8" s="4800" t="s">
        <v>650</v>
      </c>
      <c r="AX8" s="4800" t="s">
        <v>527</v>
      </c>
      <c r="AY8" s="4800" t="s">
        <v>1135</v>
      </c>
    </row>
    <row r="9" spans="1:53" s="4792" customFormat="1" ht="15.75" customHeight="1">
      <c r="A9" s="4801"/>
      <c r="B9" s="4781" t="s">
        <v>1801</v>
      </c>
      <c r="C9" s="4782">
        <v>410</v>
      </c>
      <c r="D9" s="4785" t="s">
        <v>1646</v>
      </c>
      <c r="E9" s="4782">
        <v>394</v>
      </c>
      <c r="F9" s="4785" t="s">
        <v>1667</v>
      </c>
      <c r="G9" s="4781" t="s">
        <v>1135</v>
      </c>
      <c r="H9" s="4784">
        <v>416</v>
      </c>
      <c r="I9" s="4785" t="s">
        <v>1757</v>
      </c>
      <c r="J9" s="4782">
        <v>408</v>
      </c>
      <c r="K9" s="4785" t="s">
        <v>1647</v>
      </c>
      <c r="L9" s="4791"/>
      <c r="N9" s="4802"/>
      <c r="O9" s="5490" t="s">
        <v>652</v>
      </c>
      <c r="P9" s="5490"/>
      <c r="Q9" s="5490"/>
      <c r="R9" s="5490"/>
      <c r="S9" s="5490"/>
      <c r="T9" s="5490"/>
      <c r="U9" s="5490"/>
      <c r="V9" s="5490"/>
      <c r="W9" s="5490"/>
      <c r="X9" s="5490"/>
      <c r="Y9" s="5490"/>
      <c r="Z9" s="5490"/>
      <c r="AA9" s="5490"/>
      <c r="AB9" s="5490"/>
      <c r="AC9" s="5490"/>
      <c r="AD9" s="5490"/>
      <c r="AE9" s="5490"/>
      <c r="AF9" s="5490"/>
      <c r="AG9" s="5490"/>
      <c r="AH9" s="5490"/>
      <c r="AI9" s="5490"/>
      <c r="AJ9" s="5490"/>
      <c r="AK9" s="5490"/>
      <c r="AL9" s="5490"/>
      <c r="AM9" s="5490"/>
      <c r="AN9" s="5490"/>
      <c r="AO9" s="5490"/>
      <c r="AP9" s="5490"/>
      <c r="AQ9" s="4803"/>
      <c r="AR9" s="5491"/>
      <c r="AS9" s="5491"/>
      <c r="AT9" s="5491"/>
      <c r="AU9" s="4804" t="s">
        <v>653</v>
      </c>
      <c r="AV9" s="4804"/>
    </row>
    <row r="10" spans="1:53" s="4792" customFormat="1" ht="15.75" customHeight="1" thickBot="1">
      <c r="A10" s="4805"/>
      <c r="B10" s="4781" t="s">
        <v>1802</v>
      </c>
      <c r="C10" s="4782">
        <v>404</v>
      </c>
      <c r="D10" s="4785" t="s">
        <v>1762</v>
      </c>
      <c r="E10" s="4782">
        <v>394</v>
      </c>
      <c r="F10" s="4785" t="s">
        <v>1645</v>
      </c>
      <c r="G10" s="4781" t="s">
        <v>1865</v>
      </c>
      <c r="H10" s="4955"/>
      <c r="I10" s="4956"/>
      <c r="J10" s="4957"/>
      <c r="K10" s="4958"/>
      <c r="L10" s="4791"/>
      <c r="N10" s="4806"/>
      <c r="O10" s="4807"/>
      <c r="P10" s="4807"/>
      <c r="Q10" s="4807"/>
      <c r="R10" s="4807"/>
      <c r="S10" s="4807"/>
      <c r="T10" s="4807"/>
      <c r="U10" s="4807"/>
      <c r="V10" s="4807"/>
      <c r="W10" s="4807"/>
      <c r="X10" s="4807"/>
      <c r="Y10" s="4807"/>
      <c r="Z10" s="4807"/>
      <c r="AA10" s="4807"/>
      <c r="AB10" s="4807"/>
      <c r="AC10" s="4807"/>
      <c r="AD10" s="4807"/>
      <c r="AE10" s="4807"/>
      <c r="AF10" s="4807"/>
      <c r="AG10" s="4807"/>
      <c r="AH10" s="4807"/>
      <c r="AI10" s="4807"/>
      <c r="AJ10" s="4807"/>
      <c r="AK10" s="4807"/>
      <c r="AL10" s="4807"/>
      <c r="AM10" s="4807"/>
      <c r="AN10" s="4807"/>
      <c r="AO10" s="4807"/>
      <c r="AP10" s="4807"/>
      <c r="AQ10" s="4803"/>
      <c r="AR10" s="4803"/>
      <c r="AS10" s="4803"/>
      <c r="AT10" s="4803"/>
      <c r="AU10" s="4804"/>
      <c r="AV10" s="4804"/>
    </row>
    <row r="11" spans="1:53" s="4792" customFormat="1" ht="15.75" customHeight="1" thickBot="1">
      <c r="A11" s="4808"/>
      <c r="B11" s="4781" t="s">
        <v>1721</v>
      </c>
      <c r="C11" s="4832">
        <v>412</v>
      </c>
      <c r="D11" s="4785" t="s">
        <v>1648</v>
      </c>
      <c r="E11" s="4782">
        <v>393</v>
      </c>
      <c r="F11" s="4785" t="s">
        <v>1800</v>
      </c>
      <c r="G11" s="4781"/>
      <c r="H11" s="4786"/>
      <c r="I11" s="4787"/>
      <c r="J11" s="4788"/>
      <c r="K11" s="4789"/>
      <c r="L11" s="4791"/>
      <c r="N11" s="4806"/>
      <c r="O11" s="4807"/>
      <c r="P11" s="4807"/>
      <c r="Q11" s="4807"/>
      <c r="R11" s="4807"/>
      <c r="S11" s="4807"/>
      <c r="T11" s="4807"/>
      <c r="U11" s="4807"/>
      <c r="V11" s="4807"/>
      <c r="W11" s="4807"/>
      <c r="X11" s="4807"/>
      <c r="Y11" s="4807"/>
      <c r="Z11" s="4807"/>
      <c r="AA11" s="4807"/>
      <c r="AB11" s="4807"/>
      <c r="AC11" s="4807"/>
      <c r="AD11" s="4807"/>
      <c r="AE11" s="4807"/>
      <c r="AF11" s="4807"/>
      <c r="AG11" s="4807"/>
      <c r="AH11" s="4807"/>
      <c r="AI11" s="4807"/>
      <c r="AJ11" s="4807"/>
      <c r="AK11" s="4807"/>
      <c r="AL11" s="4807"/>
      <c r="AM11" s="4807"/>
      <c r="AN11" s="4807"/>
      <c r="AO11" s="4807"/>
      <c r="AP11" s="4807"/>
      <c r="AQ11" s="4803"/>
      <c r="AR11" s="4803"/>
      <c r="AS11" s="4803"/>
      <c r="AT11" s="4803"/>
      <c r="AU11" s="4804"/>
      <c r="AV11" s="4804"/>
    </row>
    <row r="12" spans="1:53" s="2128" customFormat="1" ht="15.75" customHeight="1" thickTop="1" thickBot="1">
      <c r="A12" s="3431"/>
      <c r="B12" s="3460" t="s">
        <v>654</v>
      </c>
      <c r="C12" s="4717" t="s">
        <v>648</v>
      </c>
      <c r="D12" s="4718"/>
      <c r="E12" s="4717" t="s">
        <v>648</v>
      </c>
      <c r="F12" s="4718"/>
      <c r="G12" s="3460" t="s">
        <v>654</v>
      </c>
      <c r="H12" s="4717" t="s">
        <v>648</v>
      </c>
      <c r="I12" s="4719"/>
      <c r="J12" s="4720" t="s">
        <v>648</v>
      </c>
      <c r="K12" s="4719"/>
      <c r="L12" s="3427"/>
      <c r="N12" s="531" t="s">
        <v>655</v>
      </c>
      <c r="O12" s="2118" t="s">
        <v>531</v>
      </c>
      <c r="P12" s="2118" t="s">
        <v>103</v>
      </c>
      <c r="Q12" s="2118" t="s">
        <v>542</v>
      </c>
      <c r="R12" s="2118" t="s">
        <v>104</v>
      </c>
      <c r="S12" s="2118" t="s">
        <v>656</v>
      </c>
      <c r="T12" s="2119" t="s">
        <v>575</v>
      </c>
      <c r="U12" s="2119" t="s">
        <v>549</v>
      </c>
      <c r="V12" s="2119" t="s">
        <v>55</v>
      </c>
      <c r="W12" s="2119" t="s">
        <v>657</v>
      </c>
      <c r="X12" s="2119" t="s">
        <v>658</v>
      </c>
      <c r="Y12" s="2119" t="s">
        <v>659</v>
      </c>
      <c r="Z12" s="2119" t="s">
        <v>537</v>
      </c>
      <c r="AA12" s="2119" t="s">
        <v>660</v>
      </c>
      <c r="AB12" s="2119" t="s">
        <v>568</v>
      </c>
      <c r="AC12" s="2119" t="s">
        <v>533</v>
      </c>
      <c r="AD12" s="2119" t="s">
        <v>661</v>
      </c>
      <c r="AE12" s="2119" t="s">
        <v>662</v>
      </c>
      <c r="AF12" s="2119" t="s">
        <v>526</v>
      </c>
      <c r="AG12" s="2119" t="s">
        <v>2</v>
      </c>
      <c r="AH12" s="2119" t="s">
        <v>541</v>
      </c>
      <c r="AI12" s="2119" t="s">
        <v>663</v>
      </c>
      <c r="AJ12" s="2714" t="s">
        <v>56</v>
      </c>
      <c r="AK12" s="2714" t="s">
        <v>1206</v>
      </c>
      <c r="AL12" s="2119" t="s">
        <v>664</v>
      </c>
      <c r="AM12" s="2119" t="s">
        <v>576</v>
      </c>
      <c r="AN12" s="2119" t="s">
        <v>1087</v>
      </c>
      <c r="AO12" s="2119" t="s">
        <v>842</v>
      </c>
      <c r="AP12" s="2120" t="s">
        <v>520</v>
      </c>
      <c r="AQ12" s="2119" t="s">
        <v>846</v>
      </c>
      <c r="AR12" s="2121" t="s">
        <v>665</v>
      </c>
      <c r="AS12" s="2122" t="s">
        <v>651</v>
      </c>
      <c r="AT12" s="2123" t="s">
        <v>649</v>
      </c>
      <c r="AU12" s="2124" t="s">
        <v>520</v>
      </c>
      <c r="AV12" s="2125" t="s">
        <v>843</v>
      </c>
      <c r="AW12" s="2126" t="s">
        <v>650</v>
      </c>
      <c r="AX12" s="2272" t="s">
        <v>527</v>
      </c>
      <c r="AY12" s="2272" t="s">
        <v>1135</v>
      </c>
      <c r="AZ12" s="2272" t="s">
        <v>518</v>
      </c>
      <c r="BA12" s="3092" t="s">
        <v>1245</v>
      </c>
    </row>
    <row r="13" spans="1:53" s="2128" customFormat="1" ht="15.75" customHeight="1" thickBot="1">
      <c r="A13" s="3432"/>
      <c r="B13" s="4825" t="s">
        <v>565</v>
      </c>
      <c r="C13" s="4747">
        <v>220</v>
      </c>
      <c r="D13" s="4826" t="s">
        <v>1754</v>
      </c>
      <c r="E13" s="4829">
        <v>208</v>
      </c>
      <c r="F13" s="4747" t="s">
        <v>1667</v>
      </c>
      <c r="G13" s="4825" t="s">
        <v>537</v>
      </c>
      <c r="H13" s="4747">
        <v>222</v>
      </c>
      <c r="I13" s="4747" t="s">
        <v>1645</v>
      </c>
      <c r="J13" s="4972">
        <v>210</v>
      </c>
      <c r="K13" s="4747" t="s">
        <v>1667</v>
      </c>
      <c r="L13" s="3427"/>
      <c r="N13" s="2127" t="s">
        <v>666</v>
      </c>
      <c r="O13" s="4627">
        <v>235</v>
      </c>
      <c r="P13" s="4628">
        <v>237</v>
      </c>
      <c r="Q13" s="4628">
        <v>240</v>
      </c>
      <c r="R13" s="4628">
        <v>235</v>
      </c>
      <c r="S13" s="4628">
        <v>233</v>
      </c>
      <c r="T13" s="4628">
        <v>230</v>
      </c>
      <c r="U13" s="4628">
        <v>233</v>
      </c>
      <c r="V13" s="4628">
        <v>236</v>
      </c>
      <c r="W13" s="4628">
        <v>237</v>
      </c>
      <c r="X13" s="4628">
        <v>227</v>
      </c>
      <c r="Y13" s="4628">
        <v>222</v>
      </c>
      <c r="Z13" s="4628">
        <v>225</v>
      </c>
      <c r="AA13" s="4628">
        <v>227</v>
      </c>
      <c r="AB13" s="4628">
        <v>230</v>
      </c>
      <c r="AC13" s="4628">
        <v>229</v>
      </c>
      <c r="AD13" s="4628">
        <v>240</v>
      </c>
      <c r="AE13" s="4628">
        <v>228</v>
      </c>
      <c r="AF13" s="4628">
        <v>245</v>
      </c>
      <c r="AG13" s="4628">
        <v>229</v>
      </c>
      <c r="AH13" s="4628">
        <v>227</v>
      </c>
      <c r="AI13" s="4627">
        <v>226</v>
      </c>
      <c r="AJ13" s="4628">
        <v>241</v>
      </c>
      <c r="AK13" s="4628">
        <v>244</v>
      </c>
      <c r="AL13" s="4628">
        <v>233</v>
      </c>
      <c r="AM13" s="4628">
        <v>234</v>
      </c>
      <c r="AN13" s="4628">
        <v>238</v>
      </c>
      <c r="AO13" s="4628">
        <v>240</v>
      </c>
      <c r="AP13" s="4628">
        <v>228</v>
      </c>
      <c r="AQ13" s="4628">
        <v>242</v>
      </c>
      <c r="AR13" s="4628">
        <v>229</v>
      </c>
      <c r="AS13" s="4628">
        <v>399</v>
      </c>
      <c r="AT13" s="4628">
        <v>410</v>
      </c>
      <c r="AU13" s="4628">
        <v>392</v>
      </c>
      <c r="AV13" s="4628">
        <v>398</v>
      </c>
      <c r="AW13" s="4628">
        <v>397</v>
      </c>
      <c r="AX13" s="4628">
        <v>421</v>
      </c>
      <c r="AY13" s="4628">
        <v>423</v>
      </c>
      <c r="AZ13" s="4628">
        <v>225</v>
      </c>
      <c r="BA13" s="4628">
        <v>234</v>
      </c>
    </row>
    <row r="14" spans="1:53" s="2128" customFormat="1" ht="15.75" customHeight="1" thickBot="1">
      <c r="A14" s="3433"/>
      <c r="B14" s="4825" t="s">
        <v>664</v>
      </c>
      <c r="C14" s="4747">
        <v>235</v>
      </c>
      <c r="D14" s="4747" t="s">
        <v>1646</v>
      </c>
      <c r="E14" s="4747">
        <v>221</v>
      </c>
      <c r="F14" s="4747" t="s">
        <v>1689</v>
      </c>
      <c r="G14" s="4825" t="s">
        <v>551</v>
      </c>
      <c r="H14" s="4747">
        <v>237</v>
      </c>
      <c r="I14" s="4747" t="s">
        <v>1646</v>
      </c>
      <c r="J14" s="4747">
        <v>221</v>
      </c>
      <c r="K14" s="4747" t="s">
        <v>1677</v>
      </c>
      <c r="L14" s="3427"/>
      <c r="N14" s="2127" t="s">
        <v>667</v>
      </c>
      <c r="O14" s="4629">
        <v>4.1666666666666664E-2</v>
      </c>
      <c r="P14" s="4630">
        <v>0.33333333333333398</v>
      </c>
      <c r="Q14" s="4630">
        <v>0.20833333333333401</v>
      </c>
      <c r="R14" s="4630">
        <v>0.20833333333333401</v>
      </c>
      <c r="S14" s="4630">
        <v>0.20833333333333401</v>
      </c>
      <c r="T14" s="4630">
        <v>0.41666666666666702</v>
      </c>
      <c r="U14" s="4630">
        <v>0.375</v>
      </c>
      <c r="V14" s="4630">
        <v>0.75</v>
      </c>
      <c r="W14" s="4630">
        <v>0.375</v>
      </c>
      <c r="X14" s="4630">
        <v>0.20833333333333401</v>
      </c>
      <c r="Y14" s="4630">
        <v>0.25</v>
      </c>
      <c r="Z14" s="4630">
        <v>0.91666666666666696</v>
      </c>
      <c r="AA14" s="4630">
        <v>0.29166666666666702</v>
      </c>
      <c r="AB14" s="4630">
        <v>0.29166666666666702</v>
      </c>
      <c r="AC14" s="4630">
        <v>0.20833333333333401</v>
      </c>
      <c r="AD14" s="4630">
        <v>0.77083333333333337</v>
      </c>
      <c r="AE14" s="4630">
        <v>0.33333333333333398</v>
      </c>
      <c r="AF14" s="4630">
        <v>0.33333333333333398</v>
      </c>
      <c r="AG14" s="4630">
        <v>0.25</v>
      </c>
      <c r="AH14" s="4630">
        <v>0.20833333333333401</v>
      </c>
      <c r="AI14" s="4629">
        <v>0.20833333333333334</v>
      </c>
      <c r="AJ14" s="4630">
        <v>0.29166666666666702</v>
      </c>
      <c r="AK14" s="4630">
        <v>0.375</v>
      </c>
      <c r="AL14" s="4630">
        <v>0.625</v>
      </c>
      <c r="AM14" s="4630">
        <v>0.77083333333333337</v>
      </c>
      <c r="AN14" s="4630">
        <v>0.77083333333333337</v>
      </c>
      <c r="AO14" s="4630">
        <v>0.20833333333333401</v>
      </c>
      <c r="AP14" s="4630">
        <v>0.16666666666666699</v>
      </c>
      <c r="AQ14" s="4630">
        <v>0.25</v>
      </c>
      <c r="AR14" s="4630">
        <v>0.20833333333333401</v>
      </c>
      <c r="AS14" s="4630">
        <v>0.91666666666666696</v>
      </c>
      <c r="AT14" s="4630">
        <v>0.33333333333333398</v>
      </c>
      <c r="AU14" s="4630">
        <v>0.20833333333333401</v>
      </c>
      <c r="AV14" s="4630">
        <v>0.25</v>
      </c>
      <c r="AW14" s="4630">
        <v>0.20833333333333401</v>
      </c>
      <c r="AX14" s="4630">
        <v>0.375</v>
      </c>
      <c r="AY14" s="4630">
        <v>0.375</v>
      </c>
      <c r="AZ14" s="4630">
        <v>0.20833333333333401</v>
      </c>
      <c r="BA14" s="4630">
        <v>0.375</v>
      </c>
    </row>
    <row r="15" spans="1:53" s="2128" customFormat="1" ht="15.75" customHeight="1" thickBot="1">
      <c r="A15" s="3433"/>
      <c r="B15" s="4825" t="s">
        <v>660</v>
      </c>
      <c r="C15" s="4747">
        <v>223</v>
      </c>
      <c r="D15" s="4747" t="s">
        <v>1646</v>
      </c>
      <c r="E15" s="4829">
        <v>210</v>
      </c>
      <c r="F15" s="4747" t="s">
        <v>1667</v>
      </c>
      <c r="G15" s="4825" t="s">
        <v>103</v>
      </c>
      <c r="H15" s="4747">
        <v>237</v>
      </c>
      <c r="I15" s="4747" t="s">
        <v>1757</v>
      </c>
      <c r="J15" s="4747">
        <v>225</v>
      </c>
      <c r="K15" s="4747" t="s">
        <v>1667</v>
      </c>
      <c r="L15" s="3427"/>
      <c r="N15" s="532" t="s">
        <v>131</v>
      </c>
      <c r="O15" s="4631">
        <v>230</v>
      </c>
      <c r="P15" s="4632">
        <v>228</v>
      </c>
      <c r="Q15" s="4632">
        <v>227</v>
      </c>
      <c r="R15" s="4632">
        <v>229</v>
      </c>
      <c r="S15" s="4632">
        <v>227</v>
      </c>
      <c r="T15" s="4632">
        <v>221</v>
      </c>
      <c r="U15" s="4632">
        <v>225</v>
      </c>
      <c r="V15" s="4632">
        <v>226</v>
      </c>
      <c r="W15" s="4632">
        <v>226</v>
      </c>
      <c r="X15" s="4632">
        <v>214</v>
      </c>
      <c r="Y15" s="4632">
        <v>215</v>
      </c>
      <c r="Z15" s="4632">
        <v>213</v>
      </c>
      <c r="AA15" s="4632">
        <v>214</v>
      </c>
      <c r="AB15" s="4632">
        <v>215</v>
      </c>
      <c r="AC15" s="4632">
        <v>221</v>
      </c>
      <c r="AD15" s="4632">
        <v>229</v>
      </c>
      <c r="AE15" s="4632">
        <v>220</v>
      </c>
      <c r="AF15" s="4632">
        <v>240</v>
      </c>
      <c r="AG15" s="4632">
        <v>217</v>
      </c>
      <c r="AH15" s="4632">
        <v>214</v>
      </c>
      <c r="AI15" s="4631">
        <v>212</v>
      </c>
      <c r="AJ15" s="4632">
        <v>232</v>
      </c>
      <c r="AK15" s="4632">
        <v>237</v>
      </c>
      <c r="AL15" s="4632">
        <v>228</v>
      </c>
      <c r="AM15" s="4632">
        <v>222</v>
      </c>
      <c r="AN15" s="4632">
        <v>226</v>
      </c>
      <c r="AO15" s="4632">
        <v>235</v>
      </c>
      <c r="AP15" s="4632">
        <v>217</v>
      </c>
      <c r="AQ15" s="4632">
        <v>230</v>
      </c>
      <c r="AR15" s="4632">
        <v>215</v>
      </c>
      <c r="AS15" s="4632">
        <v>392</v>
      </c>
      <c r="AT15" s="4632">
        <v>403</v>
      </c>
      <c r="AU15" s="4632">
        <v>369</v>
      </c>
      <c r="AV15" s="4632">
        <v>376</v>
      </c>
      <c r="AW15" s="4632">
        <v>382</v>
      </c>
      <c r="AX15" s="4632">
        <v>399</v>
      </c>
      <c r="AY15" s="4632">
        <v>412</v>
      </c>
      <c r="AZ15" s="4632">
        <v>213</v>
      </c>
      <c r="BA15" s="4632">
        <v>223</v>
      </c>
    </row>
    <row r="16" spans="1:53" s="2128" customFormat="1" ht="15.75" customHeight="1">
      <c r="A16" s="4649"/>
      <c r="B16" s="4825" t="s">
        <v>542</v>
      </c>
      <c r="C16" s="4747">
        <v>238</v>
      </c>
      <c r="D16" s="4747" t="s">
        <v>1646</v>
      </c>
      <c r="E16" s="4747">
        <v>225</v>
      </c>
      <c r="F16" s="4747" t="s">
        <v>1667</v>
      </c>
      <c r="G16" s="4825" t="s">
        <v>1245</v>
      </c>
      <c r="H16" s="4747">
        <v>232</v>
      </c>
      <c r="I16" s="4747" t="s">
        <v>1757</v>
      </c>
      <c r="J16" s="4747">
        <v>220</v>
      </c>
      <c r="K16" s="4747" t="s">
        <v>1677</v>
      </c>
      <c r="L16" s="3427"/>
      <c r="N16" s="4653"/>
      <c r="O16" s="4654"/>
      <c r="P16" s="4655"/>
      <c r="Q16" s="4655"/>
      <c r="R16" s="4655"/>
      <c r="S16" s="4655"/>
      <c r="T16" s="4655"/>
      <c r="U16" s="4655"/>
      <c r="V16" s="4655"/>
      <c r="W16" s="4655"/>
      <c r="X16" s="4655"/>
      <c r="Y16" s="4655"/>
      <c r="Z16" s="4655"/>
      <c r="AA16" s="4655"/>
      <c r="AB16" s="4655"/>
      <c r="AC16" s="4655"/>
      <c r="AD16" s="4655"/>
      <c r="AE16" s="4655"/>
      <c r="AF16" s="4655"/>
      <c r="AG16" s="4655"/>
      <c r="AH16" s="4655"/>
      <c r="AI16" s="4654"/>
      <c r="AJ16" s="4655"/>
      <c r="AK16" s="4655"/>
      <c r="AL16" s="4655"/>
      <c r="AM16" s="4655"/>
      <c r="AN16" s="4655"/>
      <c r="AO16" s="4655"/>
      <c r="AP16" s="4655"/>
      <c r="AQ16" s="4655"/>
      <c r="AR16" s="4655"/>
      <c r="AS16" s="4655"/>
      <c r="AT16" s="4655"/>
      <c r="AU16" s="4655"/>
      <c r="AV16" s="4655"/>
      <c r="AW16" s="4655"/>
      <c r="AX16" s="4655"/>
      <c r="AY16" s="4655"/>
      <c r="AZ16" s="4655"/>
      <c r="BA16" s="4655"/>
    </row>
    <row r="17" spans="1:53" s="2128" customFormat="1" ht="15.75" customHeight="1" thickBot="1">
      <c r="A17" s="3433"/>
      <c r="B17" s="4825" t="s">
        <v>656</v>
      </c>
      <c r="C17" s="4747">
        <v>233</v>
      </c>
      <c r="D17" s="4747" t="s">
        <v>1757</v>
      </c>
      <c r="E17" s="4747">
        <v>226</v>
      </c>
      <c r="F17" s="4747" t="s">
        <v>1667</v>
      </c>
      <c r="G17" s="4825" t="s">
        <v>650</v>
      </c>
      <c r="H17" s="4747">
        <v>224</v>
      </c>
      <c r="I17" s="4747" t="s">
        <v>1646</v>
      </c>
      <c r="J17" s="4747">
        <v>211</v>
      </c>
      <c r="K17" s="4747" t="s">
        <v>1667</v>
      </c>
      <c r="L17" s="3427"/>
      <c r="N17" s="533" t="s">
        <v>667</v>
      </c>
      <c r="O17" s="4633">
        <v>0.29166666666666702</v>
      </c>
      <c r="P17" s="4634">
        <v>0.83333333333333304</v>
      </c>
      <c r="Q17" s="4634">
        <v>0.66666666666666696</v>
      </c>
      <c r="R17" s="4634">
        <v>0.66666666666666696</v>
      </c>
      <c r="S17" s="4634">
        <v>0.66666666666666696</v>
      </c>
      <c r="T17" s="4634">
        <v>0.83333333333333304</v>
      </c>
      <c r="U17" s="4634">
        <v>4.1666666666666997E-2</v>
      </c>
      <c r="V17" s="4634">
        <v>0.875</v>
      </c>
      <c r="W17" s="4634">
        <v>4.1666666666666997E-2</v>
      </c>
      <c r="X17" s="4634">
        <v>0.66666666666666696</v>
      </c>
      <c r="Y17" s="4634">
        <v>0.45833333333333398</v>
      </c>
      <c r="Z17" s="4634">
        <v>0.66666666666666696</v>
      </c>
      <c r="AA17" s="4634">
        <v>0.66666666666666696</v>
      </c>
      <c r="AB17" s="4634">
        <v>0.625</v>
      </c>
      <c r="AC17" s="4634">
        <v>0.45833333333333398</v>
      </c>
      <c r="AD17" s="4634">
        <v>0.375</v>
      </c>
      <c r="AE17" s="4634">
        <v>0.54166666666666696</v>
      </c>
      <c r="AF17" s="4634">
        <v>0.45833333333333398</v>
      </c>
      <c r="AG17" s="4634">
        <v>0.625</v>
      </c>
      <c r="AH17" s="4634">
        <v>0.625</v>
      </c>
      <c r="AI17" s="4633">
        <v>0.66666666666666663</v>
      </c>
      <c r="AJ17" s="4634" t="s">
        <v>24</v>
      </c>
      <c r="AK17" s="4634">
        <v>4.1666666666666997E-2</v>
      </c>
      <c r="AL17" s="4634">
        <v>0.5</v>
      </c>
      <c r="AM17" s="4634">
        <v>0.375</v>
      </c>
      <c r="AN17" s="4634">
        <v>0.5</v>
      </c>
      <c r="AO17" s="4634">
        <v>0.45833333333333398</v>
      </c>
      <c r="AP17" s="4634">
        <v>0.66666666666666696</v>
      </c>
      <c r="AQ17" s="4634">
        <v>0.70833333333333404</v>
      </c>
      <c r="AR17" s="4634">
        <v>0.66666666666666696</v>
      </c>
      <c r="AS17" s="4634">
        <v>0.625</v>
      </c>
      <c r="AT17" s="4634">
        <v>0.125</v>
      </c>
      <c r="AU17" s="4634">
        <v>0.66666666666666696</v>
      </c>
      <c r="AV17" s="4634">
        <v>0.66666666666666696</v>
      </c>
      <c r="AW17" s="4634">
        <v>0.66666666666666696</v>
      </c>
      <c r="AX17" s="4634" t="s">
        <v>24</v>
      </c>
      <c r="AY17" s="4634">
        <v>4.1666666666666997E-2</v>
      </c>
      <c r="AZ17" s="4634">
        <v>0.66666666666666696</v>
      </c>
      <c r="BA17" s="4634">
        <v>0.875</v>
      </c>
    </row>
    <row r="18" spans="1:53" s="2128" customFormat="1" ht="15.75" customHeight="1">
      <c r="A18" s="3433"/>
      <c r="B18" s="4825" t="s">
        <v>575</v>
      </c>
      <c r="C18" s="4747">
        <v>223</v>
      </c>
      <c r="D18" s="4747" t="s">
        <v>1762</v>
      </c>
      <c r="E18" s="4972">
        <v>209</v>
      </c>
      <c r="F18" s="4747" t="s">
        <v>1645</v>
      </c>
      <c r="G18" s="4825" t="s">
        <v>1670</v>
      </c>
      <c r="H18" s="4747">
        <v>220</v>
      </c>
      <c r="I18" s="4747" t="s">
        <v>1645</v>
      </c>
      <c r="J18" s="4827">
        <v>207</v>
      </c>
      <c r="K18" s="4747" t="s">
        <v>1667</v>
      </c>
      <c r="L18" s="3427"/>
    </row>
    <row r="19" spans="1:53" s="2128" customFormat="1" ht="15.75" customHeight="1">
      <c r="A19" s="3433"/>
      <c r="B19" s="4825" t="s">
        <v>1195</v>
      </c>
      <c r="C19" s="4747">
        <v>245</v>
      </c>
      <c r="D19" s="4747" t="s">
        <v>1762</v>
      </c>
      <c r="E19" s="4747">
        <v>238</v>
      </c>
      <c r="F19" s="4747" t="s">
        <v>1647</v>
      </c>
      <c r="G19" s="4825" t="s">
        <v>657</v>
      </c>
      <c r="H19" s="4747">
        <v>239</v>
      </c>
      <c r="I19" s="4747" t="s">
        <v>1757</v>
      </c>
      <c r="J19" s="4747">
        <v>226</v>
      </c>
      <c r="K19" s="4747" t="s">
        <v>1720</v>
      </c>
      <c r="L19" s="3434"/>
      <c r="M19" s="2131"/>
      <c r="N19" s="4707" t="s">
        <v>668</v>
      </c>
      <c r="O19" s="4708">
        <f>MAX(Q19:Q20)</f>
        <v>254</v>
      </c>
      <c r="Q19" s="4652">
        <f>MAX(C13:C31)</f>
        <v>248</v>
      </c>
      <c r="R19" s="4652">
        <f>MIN(E13:E31)</f>
        <v>208</v>
      </c>
    </row>
    <row r="20" spans="1:53" s="2128" customFormat="1" ht="15.75" customHeight="1">
      <c r="A20" s="3433"/>
      <c r="B20" s="4825" t="s">
        <v>651</v>
      </c>
      <c r="C20" s="4747">
        <v>233</v>
      </c>
      <c r="D20" s="4747" t="s">
        <v>1648</v>
      </c>
      <c r="E20" s="4747">
        <v>220</v>
      </c>
      <c r="F20" s="4747" t="s">
        <v>1667</v>
      </c>
      <c r="G20" s="4825" t="s">
        <v>541</v>
      </c>
      <c r="H20" s="4747">
        <v>222</v>
      </c>
      <c r="I20" s="4747" t="s">
        <v>1646</v>
      </c>
      <c r="J20" s="4747">
        <v>211</v>
      </c>
      <c r="K20" s="4828" t="s">
        <v>1667</v>
      </c>
      <c r="L20" s="3427"/>
      <c r="M20" s="2131"/>
      <c r="N20" s="4707" t="s">
        <v>669</v>
      </c>
      <c r="O20" s="4709">
        <f>MIN(R19:R20)</f>
        <v>207</v>
      </c>
      <c r="Q20" s="4652">
        <f>MAX(H13:H31)</f>
        <v>254</v>
      </c>
      <c r="R20" s="4652">
        <f>MIN(J13:J31)</f>
        <v>207</v>
      </c>
      <c r="V20" s="2128" t="s">
        <v>1238</v>
      </c>
      <c r="W20" s="3022" t="s">
        <v>12</v>
      </c>
      <c r="X20" s="2128" t="s">
        <v>1239</v>
      </c>
    </row>
    <row r="21" spans="1:53" s="2128" customFormat="1" ht="15.75" customHeight="1">
      <c r="A21" s="3433"/>
      <c r="B21" s="4825" t="s">
        <v>520</v>
      </c>
      <c r="C21" s="4747">
        <v>226</v>
      </c>
      <c r="D21" s="4747" t="s">
        <v>1646</v>
      </c>
      <c r="E21" s="4747">
        <v>213</v>
      </c>
      <c r="F21" s="4747" t="s">
        <v>1667</v>
      </c>
      <c r="G21" s="4825" t="s">
        <v>662</v>
      </c>
      <c r="H21" s="5333">
        <v>254</v>
      </c>
      <c r="I21" s="4747" t="s">
        <v>1698</v>
      </c>
      <c r="J21" s="4747">
        <v>216</v>
      </c>
      <c r="K21" s="4747" t="s">
        <v>1667</v>
      </c>
      <c r="L21" s="3427"/>
      <c r="N21" s="4710"/>
      <c r="O21" s="4710"/>
      <c r="V21" s="2128" t="s">
        <v>1235</v>
      </c>
      <c r="W21" s="3022">
        <v>147</v>
      </c>
      <c r="X21" s="2128" t="s">
        <v>1240</v>
      </c>
    </row>
    <row r="22" spans="1:53" s="2128" customFormat="1" ht="15.75" customHeight="1" thickBot="1">
      <c r="A22" s="3433"/>
      <c r="B22" s="4825" t="s">
        <v>1801</v>
      </c>
      <c r="C22" s="4747">
        <v>239</v>
      </c>
      <c r="D22" s="4747" t="s">
        <v>1646</v>
      </c>
      <c r="E22" s="4747">
        <v>230</v>
      </c>
      <c r="F22" s="4747" t="s">
        <v>1667</v>
      </c>
      <c r="G22" s="4825" t="s">
        <v>1707</v>
      </c>
      <c r="H22" s="4747"/>
      <c r="I22" s="4747"/>
      <c r="J22" s="4747"/>
      <c r="K22" s="4747"/>
      <c r="L22" s="3427"/>
      <c r="N22" s="4707" t="s">
        <v>670</v>
      </c>
      <c r="O22" s="4711">
        <f>MAX(Q22:Q23)</f>
        <v>142</v>
      </c>
      <c r="Q22" s="2132">
        <f>MAX(C33:C130)</f>
        <v>142</v>
      </c>
      <c r="R22" s="2132">
        <f>MIN(E33:E130)</f>
        <v>110</v>
      </c>
      <c r="V22" s="2128" t="s">
        <v>1236</v>
      </c>
      <c r="W22" s="3022">
        <v>32</v>
      </c>
      <c r="AL22" s="2131">
        <f>AM14</f>
        <v>0.77083333333333337</v>
      </c>
    </row>
    <row r="23" spans="1:53" s="2128" customFormat="1" ht="15.75" customHeight="1" thickBot="1">
      <c r="A23" s="3433"/>
      <c r="B23" s="4825" t="s">
        <v>1802</v>
      </c>
      <c r="C23" s="4747">
        <v>236</v>
      </c>
      <c r="D23" s="4747" t="s">
        <v>1648</v>
      </c>
      <c r="E23" s="4747">
        <v>223</v>
      </c>
      <c r="F23" s="4747" t="s">
        <v>1667</v>
      </c>
      <c r="G23" s="4825" t="s">
        <v>55</v>
      </c>
      <c r="H23" s="4747">
        <v>233</v>
      </c>
      <c r="I23" s="4747" t="s">
        <v>1757</v>
      </c>
      <c r="J23" s="4747">
        <v>222</v>
      </c>
      <c r="K23" s="4747" t="s">
        <v>1667</v>
      </c>
      <c r="L23" s="3427"/>
      <c r="N23" s="4707" t="s">
        <v>671</v>
      </c>
      <c r="O23" s="4711">
        <f>MIN(R22:R23)</f>
        <v>110</v>
      </c>
      <c r="Q23" s="2132">
        <f>MAX(H33:H130)</f>
        <v>141</v>
      </c>
      <c r="R23" s="2132">
        <f>MIN(J33:J130)</f>
        <v>112</v>
      </c>
      <c r="V23" s="2128" t="s">
        <v>1237</v>
      </c>
      <c r="W23" s="3022">
        <v>7</v>
      </c>
      <c r="AW23" s="2411">
        <v>403</v>
      </c>
    </row>
    <row r="24" spans="1:53" s="2128" customFormat="1" ht="15.75" customHeight="1" thickBot="1">
      <c r="A24" s="3433"/>
      <c r="B24" s="4825" t="s">
        <v>1684</v>
      </c>
      <c r="C24" s="4747">
        <v>228</v>
      </c>
      <c r="D24" s="4747" t="s">
        <v>1648</v>
      </c>
      <c r="E24" s="4747">
        <v>219</v>
      </c>
      <c r="F24" s="4828" t="s">
        <v>1645</v>
      </c>
      <c r="G24" s="4825" t="s">
        <v>1590</v>
      </c>
      <c r="H24" s="4747" t="s">
        <v>1636</v>
      </c>
      <c r="I24" s="4747" t="s">
        <v>1636</v>
      </c>
      <c r="J24" s="4747" t="s">
        <v>1636</v>
      </c>
      <c r="K24" s="4747" t="s">
        <v>1636</v>
      </c>
      <c r="L24" s="3427"/>
      <c r="AW24" s="2412">
        <v>0.25</v>
      </c>
    </row>
    <row r="25" spans="1:53" s="2128" customFormat="1" ht="15.75" customHeight="1" thickBot="1">
      <c r="A25" s="3433"/>
      <c r="B25" s="4825" t="s">
        <v>1686</v>
      </c>
      <c r="C25" s="4829">
        <v>248</v>
      </c>
      <c r="D25" s="4747" t="s">
        <v>1643</v>
      </c>
      <c r="E25" s="4747">
        <v>244</v>
      </c>
      <c r="F25" s="4747" t="s">
        <v>1647</v>
      </c>
      <c r="G25" s="4825" t="s">
        <v>658</v>
      </c>
      <c r="H25" s="4747">
        <v>224</v>
      </c>
      <c r="I25" s="4747" t="s">
        <v>1645</v>
      </c>
      <c r="J25" s="4747">
        <v>220</v>
      </c>
      <c r="K25" s="4747" t="s">
        <v>1654</v>
      </c>
      <c r="L25" s="3427"/>
      <c r="T25" s="2131"/>
      <c r="U25" s="2131"/>
      <c r="V25" s="2131"/>
      <c r="W25" s="2131"/>
      <c r="AW25" s="2413">
        <v>392</v>
      </c>
    </row>
    <row r="26" spans="1:53" s="2128" customFormat="1" ht="15.75" customHeight="1">
      <c r="A26" s="4649"/>
      <c r="B26" s="4825" t="s">
        <v>576</v>
      </c>
      <c r="C26" s="4747">
        <v>233</v>
      </c>
      <c r="D26" s="4747" t="s">
        <v>1754</v>
      </c>
      <c r="E26" s="4747">
        <v>220</v>
      </c>
      <c r="F26" s="4747" t="s">
        <v>1689</v>
      </c>
      <c r="G26" s="4825" t="s">
        <v>1683</v>
      </c>
      <c r="H26" s="4747">
        <v>236</v>
      </c>
      <c r="I26" s="4747" t="s">
        <v>1754</v>
      </c>
      <c r="J26" s="4747">
        <v>222</v>
      </c>
      <c r="K26" s="4747" t="s">
        <v>1759</v>
      </c>
      <c r="L26" s="3427"/>
      <c r="T26" s="2131"/>
      <c r="U26" s="2131"/>
      <c r="V26" s="2131"/>
      <c r="W26" s="2131"/>
      <c r="AW26" s="4650"/>
    </row>
    <row r="27" spans="1:53" s="2128" customFormat="1" ht="15.75" customHeight="1" thickBot="1">
      <c r="A27" s="3433"/>
      <c r="B27" s="4825" t="s">
        <v>1705</v>
      </c>
      <c r="C27" s="4747">
        <v>228</v>
      </c>
      <c r="D27" s="4747" t="s">
        <v>1754</v>
      </c>
      <c r="E27" s="4747">
        <v>215</v>
      </c>
      <c r="F27" s="4747" t="s">
        <v>1667</v>
      </c>
      <c r="G27" s="4825" t="s">
        <v>518</v>
      </c>
      <c r="H27" s="4747">
        <v>221</v>
      </c>
      <c r="I27" s="4747" t="s">
        <v>1645</v>
      </c>
      <c r="J27" s="4747">
        <v>209</v>
      </c>
      <c r="K27" s="4747" t="s">
        <v>1667</v>
      </c>
      <c r="L27" s="3427"/>
      <c r="N27" s="2128" t="s">
        <v>1807</v>
      </c>
      <c r="T27" s="3235"/>
      <c r="U27" s="2415"/>
      <c r="AW27" s="2414">
        <v>0.875</v>
      </c>
    </row>
    <row r="28" spans="1:53" s="2128" customFormat="1" ht="15.75" customHeight="1" thickTop="1">
      <c r="A28" s="4646"/>
      <c r="B28" s="4825" t="s">
        <v>526</v>
      </c>
      <c r="C28" s="4747">
        <v>243</v>
      </c>
      <c r="D28" s="4747" t="s">
        <v>1646</v>
      </c>
      <c r="E28" s="4747">
        <v>235</v>
      </c>
      <c r="F28" s="4747" t="s">
        <v>1660</v>
      </c>
      <c r="G28" s="4825" t="s">
        <v>2</v>
      </c>
      <c r="H28" s="4747">
        <v>223</v>
      </c>
      <c r="I28" s="4747" t="s">
        <v>1754</v>
      </c>
      <c r="J28" s="4747">
        <v>213</v>
      </c>
      <c r="K28" s="4747" t="s">
        <v>1667</v>
      </c>
      <c r="L28" s="3427"/>
      <c r="T28" s="3235"/>
      <c r="U28" s="4647"/>
      <c r="AW28" s="4648"/>
    </row>
    <row r="29" spans="1:53" s="2128" customFormat="1" ht="15.75" customHeight="1">
      <c r="A29" s="3435"/>
      <c r="B29" s="4825" t="s">
        <v>1713</v>
      </c>
      <c r="C29" s="4747" t="s">
        <v>1636</v>
      </c>
      <c r="D29" s="4747" t="s">
        <v>1636</v>
      </c>
      <c r="E29" s="4747" t="s">
        <v>1636</v>
      </c>
      <c r="F29" s="4747" t="s">
        <v>1636</v>
      </c>
      <c r="G29" s="4825" t="s">
        <v>1803</v>
      </c>
      <c r="H29" s="4829">
        <v>232</v>
      </c>
      <c r="I29" s="4747" t="s">
        <v>1757</v>
      </c>
      <c r="J29" s="4747">
        <v>226</v>
      </c>
      <c r="K29" s="4747" t="s">
        <v>1759</v>
      </c>
      <c r="L29" s="3427"/>
      <c r="O29" s="4712" t="s">
        <v>647</v>
      </c>
      <c r="P29" s="4747"/>
      <c r="Q29" s="4826"/>
      <c r="R29" s="4747"/>
      <c r="S29" s="4747"/>
      <c r="T29" s="3235"/>
      <c r="U29" s="2131"/>
      <c r="V29" s="2131"/>
      <c r="W29" s="2131"/>
      <c r="AC29" s="4747"/>
      <c r="AD29" s="4826"/>
      <c r="AE29" s="4747"/>
      <c r="AF29" s="4747"/>
    </row>
    <row r="30" spans="1:53" s="2128" customFormat="1" ht="15.75" customHeight="1">
      <c r="A30" s="3436"/>
      <c r="B30" s="4825" t="s">
        <v>1087</v>
      </c>
      <c r="C30" s="4747">
        <v>234</v>
      </c>
      <c r="D30" s="4747" t="s">
        <v>1646</v>
      </c>
      <c r="E30" s="4747">
        <v>219</v>
      </c>
      <c r="F30" s="4747" t="s">
        <v>1689</v>
      </c>
      <c r="G30" s="4825" t="s">
        <v>568</v>
      </c>
      <c r="H30" s="4747">
        <v>224</v>
      </c>
      <c r="I30" s="4747" t="s">
        <v>1646</v>
      </c>
      <c r="J30" s="4747">
        <v>210</v>
      </c>
      <c r="K30" s="4747" t="s">
        <v>1667</v>
      </c>
      <c r="L30" s="3427"/>
      <c r="O30" s="4781" t="s">
        <v>520</v>
      </c>
      <c r="P30" s="4747">
        <v>380</v>
      </c>
      <c r="Q30" s="4747" t="s">
        <v>1719</v>
      </c>
      <c r="R30" s="4747">
        <v>369</v>
      </c>
      <c r="S30" s="4747" t="s">
        <v>1667</v>
      </c>
      <c r="T30" s="3235"/>
      <c r="U30" s="2131"/>
      <c r="V30" s="2131"/>
      <c r="W30" s="2131"/>
      <c r="AC30" s="4747"/>
      <c r="AD30" s="4747"/>
      <c r="AE30" s="4747"/>
      <c r="AF30" s="4747"/>
    </row>
    <row r="31" spans="1:53" s="2128" customFormat="1" ht="15.75" customHeight="1" thickBot="1">
      <c r="A31" s="3436"/>
      <c r="B31" s="4825" t="s">
        <v>659</v>
      </c>
      <c r="C31" s="4747">
        <v>222</v>
      </c>
      <c r="D31" s="4747" t="s">
        <v>1645</v>
      </c>
      <c r="E31" s="4747">
        <v>211</v>
      </c>
      <c r="F31" s="4747" t="s">
        <v>1667</v>
      </c>
      <c r="G31" s="4809"/>
      <c r="H31" s="4810"/>
      <c r="I31" s="4811"/>
      <c r="J31" s="4810"/>
      <c r="K31" s="4812"/>
      <c r="L31" s="3427"/>
      <c r="O31" s="4781" t="s">
        <v>1801</v>
      </c>
      <c r="P31" s="4747">
        <v>407</v>
      </c>
      <c r="Q31" s="4747" t="s">
        <v>1755</v>
      </c>
      <c r="R31" s="4747">
        <v>397</v>
      </c>
      <c r="S31" s="4747" t="s">
        <v>1643</v>
      </c>
      <c r="T31" s="3486"/>
      <c r="U31" s="4651"/>
      <c r="V31" s="4651"/>
      <c r="W31" s="4651"/>
      <c r="X31" s="3244"/>
      <c r="Y31" s="3244"/>
      <c r="AC31" s="4747"/>
      <c r="AD31" s="4747"/>
      <c r="AE31" s="4747"/>
      <c r="AF31" s="4747"/>
    </row>
    <row r="32" spans="1:53" s="2128" customFormat="1" ht="15.75" customHeight="1" thickTop="1" thickBot="1">
      <c r="A32" s="3429"/>
      <c r="B32" s="3460" t="s">
        <v>672</v>
      </c>
      <c r="C32" s="4717" t="s">
        <v>648</v>
      </c>
      <c r="D32" s="4718"/>
      <c r="E32" s="4717" t="s">
        <v>648</v>
      </c>
      <c r="F32" s="4718"/>
      <c r="G32" s="3460" t="s">
        <v>673</v>
      </c>
      <c r="H32" s="4717" t="s">
        <v>648</v>
      </c>
      <c r="I32" s="4719"/>
      <c r="J32" s="4720" t="s">
        <v>648</v>
      </c>
      <c r="K32" s="4719"/>
      <c r="L32" s="3427"/>
      <c r="O32" s="4781" t="s">
        <v>1802</v>
      </c>
      <c r="P32" s="4747">
        <v>403</v>
      </c>
      <c r="Q32" s="4747" t="s">
        <v>1719</v>
      </c>
      <c r="R32" s="4747">
        <v>395</v>
      </c>
      <c r="S32" s="4747" t="s">
        <v>1643</v>
      </c>
      <c r="T32" s="3235"/>
      <c r="U32" s="3235"/>
      <c r="V32" s="3235"/>
      <c r="W32" s="3235"/>
      <c r="X32" s="3235"/>
      <c r="Y32" s="3235"/>
      <c r="Z32" s="3235"/>
      <c r="AC32" s="4747"/>
      <c r="AD32" s="4747"/>
      <c r="AE32" s="4747"/>
      <c r="AF32" s="4747"/>
    </row>
    <row r="33" spans="1:55" s="2128" customFormat="1" ht="15.75" customHeight="1">
      <c r="A33" s="3430"/>
      <c r="B33" s="4825" t="s">
        <v>1186</v>
      </c>
      <c r="C33" s="4747">
        <v>135</v>
      </c>
      <c r="D33" s="4826" t="s">
        <v>1648</v>
      </c>
      <c r="E33" s="4747">
        <v>128</v>
      </c>
      <c r="F33" s="4747" t="s">
        <v>1667</v>
      </c>
      <c r="G33" s="4825" t="s">
        <v>550</v>
      </c>
      <c r="H33" s="4747">
        <v>138</v>
      </c>
      <c r="I33" s="4826" t="s">
        <v>1645</v>
      </c>
      <c r="J33" s="4747">
        <v>128</v>
      </c>
      <c r="K33" s="4747" t="s">
        <v>1667</v>
      </c>
      <c r="L33" s="3427"/>
      <c r="O33" s="4781" t="s">
        <v>1721</v>
      </c>
      <c r="P33" s="4747">
        <v>408</v>
      </c>
      <c r="Q33" s="4747" t="s">
        <v>1759</v>
      </c>
      <c r="R33" s="4747">
        <v>395</v>
      </c>
      <c r="S33" s="4747" t="s">
        <v>1698</v>
      </c>
      <c r="T33" s="3235"/>
      <c r="U33" s="3235"/>
      <c r="V33" s="3235"/>
      <c r="W33" s="3235"/>
      <c r="X33" s="3235"/>
      <c r="Y33" s="3235"/>
      <c r="Z33" s="3235"/>
      <c r="AA33" s="3235"/>
      <c r="AB33" s="3235"/>
      <c r="AC33" s="4747"/>
      <c r="AD33" s="4747"/>
      <c r="AE33" s="4747"/>
      <c r="AF33" s="4747"/>
      <c r="AG33" s="3235"/>
      <c r="AH33" s="3235"/>
      <c r="AI33" s="3235"/>
      <c r="AJ33" s="3235"/>
      <c r="AK33" s="3235"/>
      <c r="AL33" s="3235"/>
      <c r="AM33" s="3235"/>
      <c r="AN33" s="3235"/>
      <c r="AO33" s="3235"/>
      <c r="AP33" s="3235"/>
      <c r="AQ33" s="3235"/>
      <c r="AR33" s="3235"/>
      <c r="AS33" s="3235"/>
      <c r="AT33" s="3235"/>
      <c r="AU33" s="3235"/>
      <c r="AV33" s="3235"/>
      <c r="AW33" s="3235"/>
      <c r="AX33" s="3235"/>
      <c r="AY33" s="3235"/>
      <c r="AZ33" s="3235"/>
      <c r="BA33" s="3235"/>
    </row>
    <row r="34" spans="1:55" s="2128" customFormat="1" ht="15.75" customHeight="1">
      <c r="A34" s="3521"/>
      <c r="B34" s="4825" t="s">
        <v>565</v>
      </c>
      <c r="C34" s="4747">
        <v>136</v>
      </c>
      <c r="D34" s="4826" t="s">
        <v>1659</v>
      </c>
      <c r="E34" s="4747">
        <v>128</v>
      </c>
      <c r="F34" s="4747" t="s">
        <v>1667</v>
      </c>
      <c r="G34" s="4825" t="s">
        <v>567</v>
      </c>
      <c r="H34" s="4747">
        <v>132</v>
      </c>
      <c r="I34" s="4826" t="s">
        <v>1755</v>
      </c>
      <c r="J34" s="4747">
        <v>113</v>
      </c>
      <c r="K34" s="4747" t="s">
        <v>1654</v>
      </c>
      <c r="L34" s="3427"/>
      <c r="M34" s="2133"/>
      <c r="N34"/>
      <c r="O34" s="4781" t="s">
        <v>650</v>
      </c>
      <c r="P34" s="4747">
        <v>387</v>
      </c>
      <c r="Q34" s="4747" t="s">
        <v>1646</v>
      </c>
      <c r="R34" s="4747">
        <v>377</v>
      </c>
      <c r="S34" s="4747" t="s">
        <v>1648</v>
      </c>
      <c r="T34" s="3235"/>
      <c r="U34" s="3235"/>
      <c r="V34" s="3235"/>
      <c r="W34" s="3235"/>
      <c r="X34" s="3235"/>
      <c r="Y34" s="3235"/>
      <c r="Z34" s="3235"/>
      <c r="AA34"/>
      <c r="AB34"/>
      <c r="AC34" s="4747"/>
      <c r="AD34" s="4747"/>
      <c r="AE34" s="4747"/>
      <c r="AF34" s="4747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</row>
    <row r="35" spans="1:55" s="2128" customFormat="1" ht="15.75" customHeight="1">
      <c r="A35" s="3521"/>
      <c r="B35" s="4825" t="s">
        <v>1241</v>
      </c>
      <c r="C35" s="4747">
        <v>135</v>
      </c>
      <c r="D35" s="4826" t="s">
        <v>1659</v>
      </c>
      <c r="E35" s="4747">
        <v>128</v>
      </c>
      <c r="F35" s="4747" t="s">
        <v>1759</v>
      </c>
      <c r="G35" s="4825" t="s">
        <v>522</v>
      </c>
      <c r="H35" s="4747">
        <v>132</v>
      </c>
      <c r="I35" s="4826" t="s">
        <v>1754</v>
      </c>
      <c r="J35" s="4747">
        <v>125</v>
      </c>
      <c r="K35" s="4747" t="s">
        <v>1667</v>
      </c>
      <c r="L35" s="3427"/>
      <c r="N35"/>
      <c r="O35" s="4781" t="s">
        <v>1135</v>
      </c>
      <c r="P35" s="4952">
        <v>415</v>
      </c>
      <c r="Q35" s="4952" t="s">
        <v>1762</v>
      </c>
      <c r="R35" s="4952">
        <v>409</v>
      </c>
      <c r="S35" s="4952" t="s">
        <v>1652</v>
      </c>
      <c r="T35" s="3235"/>
      <c r="U35" s="3235"/>
      <c r="V35" s="3235"/>
      <c r="W35" s="3235"/>
      <c r="X35" s="3235"/>
      <c r="Y35" s="3235"/>
      <c r="Z35" s="32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</row>
    <row r="36" spans="1:55" s="2128" customFormat="1" ht="15.75" customHeight="1">
      <c r="A36" s="3521"/>
      <c r="B36" s="4825" t="s">
        <v>1650</v>
      </c>
      <c r="C36" s="4747">
        <v>136</v>
      </c>
      <c r="D36" s="4826" t="s">
        <v>1797</v>
      </c>
      <c r="E36" s="4747">
        <v>126</v>
      </c>
      <c r="F36" s="4747" t="s">
        <v>1667</v>
      </c>
      <c r="G36" s="4825" t="s">
        <v>524</v>
      </c>
      <c r="H36" s="4747">
        <v>138</v>
      </c>
      <c r="I36" s="4826" t="s">
        <v>1643</v>
      </c>
      <c r="J36" s="4747">
        <v>133</v>
      </c>
      <c r="K36" s="4747" t="s">
        <v>1647</v>
      </c>
      <c r="L36" s="3427"/>
      <c r="N36"/>
      <c r="O36" s="5221" t="s">
        <v>1865</v>
      </c>
      <c r="P36" s="5222" t="s">
        <v>1636</v>
      </c>
      <c r="Q36" s="5223" t="s">
        <v>1636</v>
      </c>
      <c r="R36" s="5223" t="s">
        <v>1636</v>
      </c>
      <c r="S36" s="5223" t="s">
        <v>1636</v>
      </c>
      <c r="T36" s="3235"/>
      <c r="U36" s="3235"/>
      <c r="V36" s="3235"/>
      <c r="W36" s="3235"/>
      <c r="X36" s="3235"/>
      <c r="Y36" s="3235"/>
      <c r="Z36" s="3235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 s="3235"/>
      <c r="BB36" s="3235"/>
    </row>
    <row r="37" spans="1:55" s="2128" customFormat="1" ht="15.75" customHeight="1">
      <c r="A37" s="3521"/>
      <c r="B37" s="4825" t="s">
        <v>660</v>
      </c>
      <c r="C37" s="4747">
        <v>134</v>
      </c>
      <c r="D37" s="4826" t="s">
        <v>1645</v>
      </c>
      <c r="E37" s="4747">
        <v>126</v>
      </c>
      <c r="F37" s="4747" t="s">
        <v>1667</v>
      </c>
      <c r="G37" s="4825" t="s">
        <v>552</v>
      </c>
      <c r="H37" s="4747">
        <v>136</v>
      </c>
      <c r="I37" s="4826" t="s">
        <v>1645</v>
      </c>
      <c r="J37" s="4747">
        <v>128</v>
      </c>
      <c r="K37" s="4747" t="s">
        <v>1667</v>
      </c>
      <c r="L37" s="3427"/>
      <c r="M37" s="2133"/>
      <c r="N37"/>
      <c r="O37" s="4712" t="s">
        <v>654</v>
      </c>
      <c r="P37" s="4706"/>
      <c r="Q37" s="4713"/>
      <c r="R37" s="4713"/>
      <c r="S37" s="4713"/>
      <c r="T37" s="3235"/>
      <c r="U37" s="3235"/>
      <c r="V37" s="3235"/>
      <c r="W37" s="3235"/>
      <c r="X37" s="3235"/>
      <c r="Y37" s="3235"/>
      <c r="Z37" s="3235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 s="3486"/>
      <c r="BB37" s="3486"/>
    </row>
    <row r="38" spans="1:55" s="2128" customFormat="1" ht="15.75" customHeight="1">
      <c r="A38" s="3521"/>
      <c r="B38" s="4825" t="s">
        <v>496</v>
      </c>
      <c r="C38" s="4747">
        <v>132</v>
      </c>
      <c r="D38" s="4826" t="s">
        <v>1757</v>
      </c>
      <c r="E38" s="4747">
        <v>126</v>
      </c>
      <c r="F38" s="4747" t="s">
        <v>1720</v>
      </c>
      <c r="G38" s="4825" t="s">
        <v>1170</v>
      </c>
      <c r="H38" s="4747">
        <v>140</v>
      </c>
      <c r="I38" s="4826" t="s">
        <v>1646</v>
      </c>
      <c r="J38" s="4747">
        <v>130</v>
      </c>
      <c r="K38" s="4747" t="s">
        <v>1720</v>
      </c>
      <c r="L38" s="3427"/>
      <c r="O38" s="4825" t="s">
        <v>565</v>
      </c>
      <c r="P38" s="4747">
        <v>221</v>
      </c>
      <c r="Q38" s="4826" t="s">
        <v>1755</v>
      </c>
      <c r="R38" s="4747">
        <v>211</v>
      </c>
      <c r="S38" s="4747" t="s">
        <v>1667</v>
      </c>
      <c r="T38" s="3235"/>
      <c r="U38" s="3235"/>
      <c r="V38" s="3235"/>
      <c r="W38" s="3235"/>
      <c r="X38" s="3235"/>
      <c r="Y38" s="3235"/>
      <c r="Z38" s="3235"/>
      <c r="AA38" s="3243"/>
      <c r="AB38" s="3243"/>
      <c r="AC38" s="3243"/>
      <c r="AD38" s="3243"/>
      <c r="AE38" s="3243"/>
      <c r="AF38" s="3243"/>
      <c r="AG38" s="3243"/>
      <c r="AH38" s="3243"/>
      <c r="AI38" s="3243"/>
      <c r="AJ38" s="3243"/>
      <c r="AK38" s="3243"/>
      <c r="AL38" s="3243"/>
      <c r="AM38" s="3243"/>
      <c r="AN38" s="3243"/>
      <c r="AO38" s="3243"/>
      <c r="AP38" s="3243"/>
      <c r="AQ38" s="3243"/>
      <c r="AR38" s="3243"/>
      <c r="AS38" s="3243"/>
      <c r="AT38" s="3243"/>
      <c r="AU38" s="3243"/>
      <c r="AV38" s="3243"/>
      <c r="AW38" s="3243"/>
      <c r="AX38" s="3243"/>
      <c r="AY38" s="3243"/>
      <c r="AZ38" s="3243"/>
      <c r="BA38" s="3243"/>
      <c r="BB38" s="3243"/>
    </row>
    <row r="39" spans="1:55" s="2128" customFormat="1" ht="15.75" customHeight="1">
      <c r="A39" s="3521"/>
      <c r="B39" s="4825" t="s">
        <v>542</v>
      </c>
      <c r="C39" s="4747">
        <v>136</v>
      </c>
      <c r="D39" s="4826" t="s">
        <v>1659</v>
      </c>
      <c r="E39" s="4747">
        <v>135</v>
      </c>
      <c r="F39" s="4747" t="s">
        <v>1647</v>
      </c>
      <c r="G39" s="4825" t="s">
        <v>534</v>
      </c>
      <c r="H39" s="4747">
        <v>140</v>
      </c>
      <c r="I39" s="4826" t="s">
        <v>1648</v>
      </c>
      <c r="J39" s="4747">
        <v>126</v>
      </c>
      <c r="K39" s="4747" t="s">
        <v>1720</v>
      </c>
      <c r="L39" s="3427"/>
      <c r="N39" s="3124"/>
      <c r="O39" s="4825" t="s">
        <v>664</v>
      </c>
      <c r="P39" s="4747">
        <v>233</v>
      </c>
      <c r="Q39" s="4747" t="s">
        <v>1646</v>
      </c>
      <c r="R39" s="4747">
        <v>222</v>
      </c>
      <c r="S39" s="4747" t="s">
        <v>1648</v>
      </c>
      <c r="T39" s="3235"/>
      <c r="U39" s="3235"/>
      <c r="V39" s="3235"/>
      <c r="W39" s="3235"/>
      <c r="X39" s="3235"/>
      <c r="Y39" s="3235"/>
      <c r="Z39" s="3486"/>
      <c r="AA39" s="3487"/>
      <c r="AB39" s="3487"/>
      <c r="AC39" s="3487"/>
      <c r="AD39" s="3487"/>
      <c r="AE39" s="3487"/>
      <c r="AF39" s="3487"/>
      <c r="AG39" s="3487"/>
      <c r="AH39" s="3487"/>
      <c r="AI39" s="3487"/>
      <c r="AJ39" s="3487"/>
      <c r="AK39" s="3487"/>
      <c r="AL39" s="3487"/>
      <c r="AM39" s="3487"/>
      <c r="AN39" s="3487"/>
      <c r="AO39" s="3487"/>
      <c r="AP39" s="3487"/>
      <c r="AQ39" s="3487"/>
      <c r="AR39" s="3487"/>
      <c r="AS39" s="3487"/>
      <c r="AT39" s="3487"/>
      <c r="AU39" s="3487"/>
      <c r="AV39" s="3487"/>
      <c r="AW39" s="3487"/>
      <c r="AX39" s="3487"/>
      <c r="AY39" s="3487"/>
      <c r="AZ39" s="3487"/>
      <c r="BA39" s="3487"/>
      <c r="BB39" s="3487"/>
      <c r="BC39" s="3482"/>
    </row>
    <row r="40" spans="1:55" s="2128" customFormat="1" ht="15.75" customHeight="1">
      <c r="A40" s="3521"/>
      <c r="B40" s="4825" t="s">
        <v>528</v>
      </c>
      <c r="C40" s="4747">
        <v>137</v>
      </c>
      <c r="D40" s="4826" t="s">
        <v>1648</v>
      </c>
      <c r="E40" s="4747">
        <v>128</v>
      </c>
      <c r="F40" s="4747" t="s">
        <v>1689</v>
      </c>
      <c r="G40" s="4825" t="s">
        <v>1696</v>
      </c>
      <c r="H40" s="4747">
        <v>135</v>
      </c>
      <c r="I40" s="4826" t="s">
        <v>1648</v>
      </c>
      <c r="J40" s="4747">
        <v>127</v>
      </c>
      <c r="K40" s="4747" t="s">
        <v>1654</v>
      </c>
      <c r="L40" s="3427"/>
      <c r="M40" s="2133"/>
      <c r="N40" s="3125"/>
      <c r="O40" s="4825" t="s">
        <v>660</v>
      </c>
      <c r="P40" s="4747">
        <v>220</v>
      </c>
      <c r="Q40" s="4747" t="s">
        <v>1720</v>
      </c>
      <c r="R40" s="4747">
        <v>213</v>
      </c>
      <c r="S40" s="4747" t="s">
        <v>1660</v>
      </c>
      <c r="T40" s="3235"/>
      <c r="U40" s="3235"/>
      <c r="V40" s="3235"/>
      <c r="W40" s="3235"/>
      <c r="X40" s="3235"/>
      <c r="Y40" s="3235"/>
      <c r="Z40" s="3486"/>
      <c r="AA40" s="3483"/>
      <c r="AB40" s="3483"/>
      <c r="AC40" s="3483"/>
      <c r="AD40" s="3483"/>
      <c r="AE40" s="3483"/>
      <c r="AF40" s="3483"/>
      <c r="AG40" s="3483"/>
      <c r="AH40" s="3483"/>
      <c r="AI40" s="3483"/>
      <c r="AJ40" s="3483"/>
      <c r="AK40" s="3483"/>
      <c r="AL40" s="3483"/>
      <c r="AM40" s="3483"/>
      <c r="AN40" s="3483"/>
      <c r="AO40" s="3483"/>
      <c r="AP40" s="3483"/>
      <c r="AQ40" s="3483"/>
      <c r="AR40" s="3483"/>
      <c r="AS40" s="3483"/>
      <c r="AT40" s="3483"/>
      <c r="AU40" s="3483"/>
      <c r="AV40" s="3483"/>
      <c r="AW40" s="3483"/>
      <c r="AX40" s="3483"/>
      <c r="AY40" s="3483"/>
      <c r="AZ40" s="3483"/>
      <c r="BA40" s="3483"/>
      <c r="BB40" s="3483"/>
      <c r="BC40" s="3483"/>
    </row>
    <row r="41" spans="1:55" s="2128" customFormat="1" ht="15.75" customHeight="1">
      <c r="A41" s="3521"/>
      <c r="B41" s="4825" t="s">
        <v>566</v>
      </c>
      <c r="C41" s="4747">
        <v>137</v>
      </c>
      <c r="D41" s="4826" t="s">
        <v>1646</v>
      </c>
      <c r="E41" s="4747">
        <v>130</v>
      </c>
      <c r="F41" s="4747" t="s">
        <v>1719</v>
      </c>
      <c r="G41" s="4825" t="s">
        <v>1700</v>
      </c>
      <c r="H41" s="4747">
        <v>134</v>
      </c>
      <c r="I41" s="4826" t="s">
        <v>1646</v>
      </c>
      <c r="J41" s="4747">
        <v>129</v>
      </c>
      <c r="K41" s="4747" t="s">
        <v>1651</v>
      </c>
      <c r="L41" s="3427"/>
      <c r="N41" s="3124"/>
      <c r="O41" s="4825" t="s">
        <v>542</v>
      </c>
      <c r="P41" s="4747">
        <v>235</v>
      </c>
      <c r="Q41" s="4747" t="s">
        <v>1759</v>
      </c>
      <c r="R41" s="4747">
        <v>228</v>
      </c>
      <c r="S41" s="4747" t="s">
        <v>1648</v>
      </c>
      <c r="T41" s="3235"/>
      <c r="U41" s="3235"/>
      <c r="V41" s="3486"/>
      <c r="W41" s="3235"/>
      <c r="X41" s="3235"/>
      <c r="Y41" s="3235"/>
      <c r="Z41" s="3235"/>
      <c r="AA41" s="3481"/>
      <c r="AB41" s="3481"/>
      <c r="AC41" s="3481"/>
      <c r="AD41" s="3481"/>
      <c r="AE41" s="3481"/>
      <c r="AF41" s="3481"/>
      <c r="AG41" s="3481"/>
      <c r="AH41" s="3481"/>
      <c r="AI41" s="3481"/>
      <c r="AJ41" s="3481"/>
      <c r="AK41" s="3481"/>
      <c r="AL41" s="3481"/>
      <c r="AM41" s="3481"/>
      <c r="AN41" s="3481"/>
      <c r="AO41" s="3481"/>
      <c r="AP41" s="3481"/>
      <c r="AQ41" s="3481"/>
      <c r="AR41" s="3481"/>
      <c r="AS41" s="3481"/>
      <c r="AT41" s="3481"/>
      <c r="AU41" s="3481"/>
      <c r="AV41" s="3481"/>
      <c r="AW41" s="3481"/>
      <c r="AX41" s="3481"/>
      <c r="AY41" s="3481"/>
      <c r="AZ41" s="3481"/>
      <c r="BA41" s="3481"/>
      <c r="BB41" s="3481"/>
      <c r="BC41" s="3481"/>
    </row>
    <row r="42" spans="1:55" s="2128" customFormat="1" ht="15.75" customHeight="1">
      <c r="A42" s="3521"/>
      <c r="B42" s="4825" t="s">
        <v>1263</v>
      </c>
      <c r="C42" s="4747">
        <v>132</v>
      </c>
      <c r="D42" s="4826" t="s">
        <v>1648</v>
      </c>
      <c r="E42" s="4747">
        <v>123</v>
      </c>
      <c r="F42" s="4747" t="s">
        <v>1667</v>
      </c>
      <c r="G42" s="4825" t="s">
        <v>541</v>
      </c>
      <c r="H42" s="4747">
        <v>132</v>
      </c>
      <c r="I42" s="4826" t="s">
        <v>1654</v>
      </c>
      <c r="J42" s="4747">
        <v>125</v>
      </c>
      <c r="K42" s="4747" t="s">
        <v>1698</v>
      </c>
      <c r="L42" s="3427"/>
      <c r="N42" s="3125"/>
      <c r="O42" s="4825" t="s">
        <v>656</v>
      </c>
      <c r="P42" s="4747">
        <v>233</v>
      </c>
      <c r="Q42" s="4747" t="s">
        <v>1762</v>
      </c>
      <c r="R42" s="4747">
        <v>230</v>
      </c>
      <c r="S42" s="4747" t="s">
        <v>1667</v>
      </c>
      <c r="T42" s="3235"/>
      <c r="U42" s="3235"/>
      <c r="V42" s="3235"/>
      <c r="W42" s="3235"/>
      <c r="X42" s="3235"/>
      <c r="Y42" s="3235"/>
      <c r="Z42" s="3486"/>
      <c r="AA42" s="3484"/>
      <c r="AB42" s="3484"/>
      <c r="AC42" s="3484"/>
      <c r="AD42" s="3484"/>
      <c r="AE42" s="3484"/>
      <c r="AF42" s="3484"/>
      <c r="AG42" s="3484"/>
      <c r="AH42" s="3484"/>
      <c r="AI42" s="3484"/>
      <c r="AJ42" s="3484"/>
      <c r="AK42" s="3484"/>
      <c r="AL42" s="3484"/>
      <c r="AM42" s="3484"/>
      <c r="AN42" s="3484"/>
      <c r="AO42" s="3484"/>
      <c r="AP42" s="3484"/>
      <c r="AQ42" s="3484"/>
      <c r="AR42" s="3484"/>
      <c r="AS42" s="3484"/>
      <c r="AT42" s="3484"/>
      <c r="AU42" s="3484"/>
      <c r="AV42" s="3484"/>
      <c r="AW42" s="3484"/>
      <c r="AX42" s="3484"/>
      <c r="AY42" s="3484"/>
      <c r="AZ42" s="3484"/>
      <c r="BA42" s="3484"/>
      <c r="BB42" s="3484"/>
      <c r="BC42" s="3484"/>
    </row>
    <row r="43" spans="1:55" s="2128" customFormat="1" ht="15.75" customHeight="1">
      <c r="A43" s="3521"/>
      <c r="B43" s="4825" t="s">
        <v>544</v>
      </c>
      <c r="C43" s="4747">
        <v>132</v>
      </c>
      <c r="D43" s="4826" t="s">
        <v>1646</v>
      </c>
      <c r="E43" s="4747">
        <v>125</v>
      </c>
      <c r="F43" s="4747" t="s">
        <v>1660</v>
      </c>
      <c r="G43" s="4825" t="s">
        <v>845</v>
      </c>
      <c r="H43" s="4747">
        <v>135</v>
      </c>
      <c r="I43" s="4826" t="s">
        <v>1646</v>
      </c>
      <c r="J43" s="4829">
        <v>115</v>
      </c>
      <c r="K43" s="4747" t="s">
        <v>1645</v>
      </c>
      <c r="L43" s="3427"/>
      <c r="M43" s="2133"/>
      <c r="N43" s="2964"/>
      <c r="O43" s="4825" t="s">
        <v>575</v>
      </c>
      <c r="P43" s="4747">
        <v>223</v>
      </c>
      <c r="Q43" s="4747" t="s">
        <v>1657</v>
      </c>
      <c r="R43" s="4747">
        <v>216</v>
      </c>
      <c r="S43" s="4747" t="s">
        <v>1719</v>
      </c>
      <c r="T43" s="3235"/>
      <c r="U43" s="3235"/>
      <c r="V43" s="3235"/>
      <c r="W43" s="3235"/>
      <c r="X43" s="3235"/>
      <c r="Y43" s="3235"/>
      <c r="Z43" s="3235"/>
      <c r="AA43" s="2964"/>
      <c r="AB43" s="2964"/>
      <c r="AC43" s="2964"/>
      <c r="AD43" s="2964"/>
      <c r="AE43" s="2964"/>
      <c r="AF43" s="2964"/>
      <c r="AG43" s="2964"/>
      <c r="AH43" s="2964"/>
      <c r="AI43" s="2964"/>
      <c r="AJ43" s="2964"/>
      <c r="AK43" s="2964"/>
      <c r="AL43" s="2964"/>
      <c r="AM43" s="2964"/>
      <c r="AN43" s="2964"/>
      <c r="AO43" s="2964"/>
      <c r="AP43" s="2964"/>
      <c r="AQ43" s="2964"/>
      <c r="AR43" s="2964"/>
      <c r="AS43" s="2964"/>
      <c r="AT43" s="2964"/>
      <c r="AU43" s="2964"/>
      <c r="AV43" s="2964"/>
      <c r="AW43" s="2964"/>
      <c r="AX43" s="2964"/>
      <c r="AY43" s="2964"/>
      <c r="AZ43" s="2964"/>
    </row>
    <row r="44" spans="1:55" s="2128" customFormat="1" ht="15.75" customHeight="1">
      <c r="A44" s="3521"/>
      <c r="B44" s="4825" t="s">
        <v>575</v>
      </c>
      <c r="C44" s="4747">
        <v>136</v>
      </c>
      <c r="D44" s="4828" t="s">
        <v>1757</v>
      </c>
      <c r="E44" s="4747">
        <v>125</v>
      </c>
      <c r="F44" s="4828" t="s">
        <v>1645</v>
      </c>
      <c r="G44" s="4825" t="s">
        <v>529</v>
      </c>
      <c r="H44" s="4747">
        <v>131</v>
      </c>
      <c r="I44" s="4826" t="s">
        <v>1754</v>
      </c>
      <c r="J44" s="4747">
        <v>125</v>
      </c>
      <c r="K44" s="4828" t="s">
        <v>1667</v>
      </c>
      <c r="L44" s="3427"/>
      <c r="M44" s="3021"/>
      <c r="O44" s="4825" t="s">
        <v>1195</v>
      </c>
      <c r="P44" s="4747">
        <v>244</v>
      </c>
      <c r="Q44" s="4747" t="s">
        <v>1660</v>
      </c>
      <c r="R44" s="4747">
        <v>237</v>
      </c>
      <c r="S44" s="4747" t="s">
        <v>1651</v>
      </c>
      <c r="T44" s="3235"/>
      <c r="U44" s="3235"/>
      <c r="V44" s="3235"/>
      <c r="W44" s="3235"/>
      <c r="X44" s="3235"/>
      <c r="Y44" s="3235"/>
      <c r="Z44" s="3235"/>
    </row>
    <row r="45" spans="1:55" s="2128" customFormat="1" ht="15.75" customHeight="1">
      <c r="A45" s="3521"/>
      <c r="B45" s="4825" t="s">
        <v>1596</v>
      </c>
      <c r="C45" s="4747">
        <v>137</v>
      </c>
      <c r="D45" s="4826" t="s">
        <v>1762</v>
      </c>
      <c r="E45" s="4747">
        <v>127</v>
      </c>
      <c r="F45" s="4747" t="s">
        <v>1646</v>
      </c>
      <c r="G45" s="4825" t="s">
        <v>1703</v>
      </c>
      <c r="H45" s="4747">
        <v>133</v>
      </c>
      <c r="I45" s="4826" t="s">
        <v>1646</v>
      </c>
      <c r="J45" s="4747">
        <v>125</v>
      </c>
      <c r="K45" s="4747" t="s">
        <v>1667</v>
      </c>
      <c r="L45" s="3427"/>
      <c r="M45" s="3021"/>
      <c r="O45" s="4825" t="s">
        <v>651</v>
      </c>
      <c r="P45" s="4747">
        <v>231</v>
      </c>
      <c r="Q45" s="4747" t="s">
        <v>1762</v>
      </c>
      <c r="R45" s="4747">
        <v>26</v>
      </c>
      <c r="S45" s="4747" t="s">
        <v>1651</v>
      </c>
      <c r="T45" s="3235"/>
      <c r="U45" s="3235"/>
      <c r="V45" s="3235"/>
      <c r="W45" s="3235"/>
      <c r="X45" s="3235"/>
      <c r="Y45" s="3235"/>
      <c r="Z45" s="3235"/>
    </row>
    <row r="46" spans="1:55" s="2128" customFormat="1" ht="15.75" customHeight="1">
      <c r="A46" s="3521"/>
      <c r="B46" s="4825" t="s">
        <v>1195</v>
      </c>
      <c r="C46" s="4747">
        <v>138</v>
      </c>
      <c r="D46" s="4826" t="s">
        <v>1657</v>
      </c>
      <c r="E46" s="4747">
        <v>124</v>
      </c>
      <c r="F46" s="4747" t="s">
        <v>1646</v>
      </c>
      <c r="G46" s="4825" t="s">
        <v>554</v>
      </c>
      <c r="H46" s="4747">
        <v>131</v>
      </c>
      <c r="I46" s="4826" t="s">
        <v>1800</v>
      </c>
      <c r="J46" s="4747">
        <v>124</v>
      </c>
      <c r="K46" s="4747" t="s">
        <v>1667</v>
      </c>
      <c r="L46" s="3427"/>
      <c r="M46" s="3021"/>
      <c r="O46" s="4825" t="s">
        <v>520</v>
      </c>
      <c r="P46" s="4747">
        <v>225</v>
      </c>
      <c r="Q46" s="4747" t="s">
        <v>1759</v>
      </c>
      <c r="R46" s="4747">
        <v>215</v>
      </c>
      <c r="S46" s="4747" t="s">
        <v>1757</v>
      </c>
      <c r="T46" s="4662"/>
      <c r="U46" s="3235"/>
      <c r="V46" s="3235"/>
      <c r="W46" s="3235"/>
      <c r="X46" s="3235"/>
      <c r="Y46" s="3235"/>
      <c r="Z46" s="3235"/>
    </row>
    <row r="47" spans="1:55" s="2128" customFormat="1" ht="15.75" customHeight="1">
      <c r="A47" s="3521"/>
      <c r="B47" s="4825" t="s">
        <v>1833</v>
      </c>
      <c r="C47" s="4747">
        <v>139</v>
      </c>
      <c r="D47" s="4826" t="s">
        <v>1643</v>
      </c>
      <c r="E47" s="4747">
        <v>134</v>
      </c>
      <c r="F47" s="4747" t="s">
        <v>1647</v>
      </c>
      <c r="G47" s="4825" t="s">
        <v>1215</v>
      </c>
      <c r="H47" s="4747">
        <v>134</v>
      </c>
      <c r="I47" s="4826" t="s">
        <v>1757</v>
      </c>
      <c r="J47" s="4747">
        <v>121</v>
      </c>
      <c r="K47" s="4747" t="s">
        <v>1645</v>
      </c>
      <c r="L47" s="3427"/>
      <c r="M47" s="2133"/>
      <c r="O47" s="4825" t="s">
        <v>1801</v>
      </c>
      <c r="P47" s="4747">
        <v>239</v>
      </c>
      <c r="Q47" s="4747" t="s">
        <v>1755</v>
      </c>
      <c r="R47" s="4747">
        <v>230</v>
      </c>
      <c r="S47" s="4747" t="s">
        <v>1800</v>
      </c>
      <c r="T47" s="4662"/>
      <c r="U47" s="3235"/>
      <c r="V47" s="3235"/>
      <c r="W47" s="3235"/>
      <c r="X47" s="3235"/>
      <c r="Y47" s="3235"/>
      <c r="Z47" s="3235"/>
    </row>
    <row r="48" spans="1:55" s="2128" customFormat="1" ht="15.75" customHeight="1">
      <c r="A48" s="3521"/>
      <c r="B48" s="4825" t="s">
        <v>1664</v>
      </c>
      <c r="C48" s="5333">
        <v>142</v>
      </c>
      <c r="D48" s="4826" t="s">
        <v>1646</v>
      </c>
      <c r="E48" s="4747">
        <v>131</v>
      </c>
      <c r="F48" s="4747" t="s">
        <v>1720</v>
      </c>
      <c r="G48" s="4825" t="s">
        <v>1708</v>
      </c>
      <c r="H48" s="4747">
        <v>138</v>
      </c>
      <c r="I48" s="4826" t="s">
        <v>1646</v>
      </c>
      <c r="J48" s="4747">
        <v>130</v>
      </c>
      <c r="K48" s="4747" t="s">
        <v>1719</v>
      </c>
      <c r="L48" s="3427"/>
      <c r="O48" s="4825" t="s">
        <v>1802</v>
      </c>
      <c r="P48" s="4747">
        <v>234</v>
      </c>
      <c r="Q48" s="4747" t="s">
        <v>1762</v>
      </c>
      <c r="R48" s="4747">
        <v>226</v>
      </c>
      <c r="S48" s="4747" t="s">
        <v>1698</v>
      </c>
      <c r="T48" s="3235"/>
      <c r="U48" s="3235"/>
      <c r="V48" s="3235"/>
      <c r="W48" s="3235"/>
      <c r="X48" s="3235"/>
      <c r="Y48" s="3235"/>
      <c r="Z48" s="3235"/>
    </row>
    <row r="49" spans="1:26" s="2128" customFormat="1" ht="15.75" customHeight="1">
      <c r="A49" s="3521"/>
      <c r="B49" s="4825" t="s">
        <v>1665</v>
      </c>
      <c r="C49" s="4747">
        <v>135</v>
      </c>
      <c r="D49" s="4826" t="s">
        <v>1797</v>
      </c>
      <c r="E49" s="4747">
        <v>126</v>
      </c>
      <c r="F49" s="4747" t="s">
        <v>1689</v>
      </c>
      <c r="G49" s="4825" t="s">
        <v>1710</v>
      </c>
      <c r="H49" s="4747">
        <v>136</v>
      </c>
      <c r="I49" s="4826" t="s">
        <v>1645</v>
      </c>
      <c r="J49" s="4747">
        <v>130</v>
      </c>
      <c r="K49" s="4747" t="s">
        <v>1667</v>
      </c>
      <c r="L49" s="3427"/>
      <c r="O49" s="4825" t="s">
        <v>1684</v>
      </c>
      <c r="P49" s="4747">
        <v>229</v>
      </c>
      <c r="Q49" s="4747" t="s">
        <v>1762</v>
      </c>
      <c r="R49" s="4747">
        <v>223</v>
      </c>
      <c r="S49" s="4747" t="s">
        <v>1689</v>
      </c>
      <c r="T49" s="3235"/>
      <c r="U49" s="3235"/>
      <c r="V49" s="3235"/>
      <c r="W49" s="3235"/>
      <c r="X49" s="3235"/>
      <c r="Y49" s="3235"/>
      <c r="Z49" s="3235"/>
    </row>
    <row r="50" spans="1:26" s="2128" customFormat="1" ht="15.75" customHeight="1">
      <c r="A50" s="3521"/>
      <c r="B50" s="4825" t="s">
        <v>1668</v>
      </c>
      <c r="C50" s="4747">
        <v>132</v>
      </c>
      <c r="D50" s="4826" t="s">
        <v>1648</v>
      </c>
      <c r="E50" s="4747">
        <v>123</v>
      </c>
      <c r="F50" s="4747" t="s">
        <v>1667</v>
      </c>
      <c r="G50" s="4825" t="s">
        <v>530</v>
      </c>
      <c r="H50" s="4747">
        <v>137</v>
      </c>
      <c r="I50" s="4826" t="s">
        <v>1648</v>
      </c>
      <c r="J50" s="4747">
        <v>127</v>
      </c>
      <c r="K50" s="4747" t="s">
        <v>1677</v>
      </c>
      <c r="L50" s="3427"/>
      <c r="M50" s="2133"/>
      <c r="O50" s="4825" t="s">
        <v>1686</v>
      </c>
      <c r="P50" s="4747">
        <v>247</v>
      </c>
      <c r="Q50" s="4747" t="s">
        <v>1720</v>
      </c>
      <c r="R50" s="4747">
        <v>243</v>
      </c>
      <c r="S50" s="4747" t="s">
        <v>1647</v>
      </c>
      <c r="T50" s="3235"/>
      <c r="U50" s="3235"/>
      <c r="V50" s="3235"/>
      <c r="W50" s="3235"/>
      <c r="X50" s="3235"/>
      <c r="Y50" s="3235"/>
      <c r="Z50" s="3235"/>
    </row>
    <row r="51" spans="1:26" s="2128" customFormat="1" ht="15.75" customHeight="1">
      <c r="A51" s="3521"/>
      <c r="B51" s="4825" t="s">
        <v>1669</v>
      </c>
      <c r="C51" s="4747">
        <v>132</v>
      </c>
      <c r="D51" s="4826" t="s">
        <v>1754</v>
      </c>
      <c r="E51" s="4747">
        <v>125</v>
      </c>
      <c r="F51" s="4747" t="s">
        <v>1667</v>
      </c>
      <c r="G51" s="4825" t="s">
        <v>1234</v>
      </c>
      <c r="H51" s="4747">
        <v>132</v>
      </c>
      <c r="I51" s="4826" t="s">
        <v>1754</v>
      </c>
      <c r="J51" s="4747">
        <v>126</v>
      </c>
      <c r="K51" s="4747" t="s">
        <v>1667</v>
      </c>
      <c r="L51" s="3427"/>
      <c r="O51" s="4825" t="s">
        <v>576</v>
      </c>
      <c r="P51" s="4747">
        <v>230</v>
      </c>
      <c r="Q51" s="4747" t="s">
        <v>1646</v>
      </c>
      <c r="R51" s="4747">
        <v>222</v>
      </c>
      <c r="S51" s="4747" t="s">
        <v>1648</v>
      </c>
      <c r="T51" s="3235"/>
      <c r="U51" s="3235"/>
      <c r="V51" s="3235"/>
      <c r="W51" s="3235"/>
      <c r="X51" s="3235"/>
      <c r="Y51" s="3235"/>
      <c r="Z51" s="3235"/>
    </row>
    <row r="52" spans="1:26" s="2128" customFormat="1" ht="15.75" customHeight="1">
      <c r="A52" s="3521"/>
      <c r="B52" s="4825" t="s">
        <v>1671</v>
      </c>
      <c r="C52" s="4747">
        <v>133</v>
      </c>
      <c r="D52" s="4826" t="s">
        <v>1648</v>
      </c>
      <c r="E52" s="4747">
        <v>130</v>
      </c>
      <c r="F52" s="4747" t="s">
        <v>1689</v>
      </c>
      <c r="G52" s="4825" t="s">
        <v>1712</v>
      </c>
      <c r="H52" s="4747">
        <v>132</v>
      </c>
      <c r="I52" s="4826" t="s">
        <v>1754</v>
      </c>
      <c r="J52" s="4747">
        <v>125</v>
      </c>
      <c r="K52" s="4747" t="s">
        <v>1667</v>
      </c>
      <c r="L52" s="3427"/>
      <c r="O52" s="4825" t="s">
        <v>1705</v>
      </c>
      <c r="P52" s="4747">
        <v>227</v>
      </c>
      <c r="Q52" s="4747" t="s">
        <v>1646</v>
      </c>
      <c r="R52" s="4747">
        <v>220</v>
      </c>
      <c r="S52" s="4747" t="s">
        <v>1648</v>
      </c>
      <c r="T52" s="3235"/>
      <c r="U52" s="3235"/>
      <c r="V52" s="3235"/>
      <c r="W52" s="3235"/>
      <c r="X52" s="3235"/>
      <c r="Y52" s="3235"/>
      <c r="Z52" s="3235"/>
    </row>
    <row r="53" spans="1:26" s="2128" customFormat="1" ht="15.75" customHeight="1">
      <c r="A53" s="3521"/>
      <c r="B53" s="4825" t="s">
        <v>1674</v>
      </c>
      <c r="C53" s="4747">
        <v>136</v>
      </c>
      <c r="D53" s="4826" t="s">
        <v>1648</v>
      </c>
      <c r="E53" s="4747">
        <v>129</v>
      </c>
      <c r="F53" s="4747" t="s">
        <v>1698</v>
      </c>
      <c r="G53" s="4825" t="s">
        <v>106</v>
      </c>
      <c r="H53" s="4747">
        <v>131</v>
      </c>
      <c r="I53" s="4826" t="s">
        <v>1797</v>
      </c>
      <c r="J53" s="4747">
        <v>119</v>
      </c>
      <c r="K53" s="4747" t="s">
        <v>1647</v>
      </c>
      <c r="L53" s="3427"/>
      <c r="M53" s="2133"/>
      <c r="O53" s="4825" t="s">
        <v>526</v>
      </c>
      <c r="P53" s="4747">
        <v>242</v>
      </c>
      <c r="Q53" s="4747" t="s">
        <v>1755</v>
      </c>
      <c r="R53" s="4747">
        <v>236</v>
      </c>
      <c r="S53" s="4747" t="s">
        <v>1660</v>
      </c>
      <c r="T53" s="3235"/>
      <c r="U53" s="3235"/>
      <c r="V53" s="3235"/>
      <c r="W53" s="3235"/>
      <c r="X53" s="3235"/>
      <c r="Y53" s="3235"/>
      <c r="Z53" s="3235"/>
    </row>
    <row r="54" spans="1:26" s="2128" customFormat="1" ht="15.75" customHeight="1">
      <c r="A54" s="3521"/>
      <c r="B54" s="4825" t="s">
        <v>1675</v>
      </c>
      <c r="C54" s="4972">
        <v>131</v>
      </c>
      <c r="D54" s="4826" t="s">
        <v>1797</v>
      </c>
      <c r="E54" s="4747">
        <v>118</v>
      </c>
      <c r="F54" s="4747" t="s">
        <v>1647</v>
      </c>
      <c r="G54" s="4825" t="s">
        <v>1519</v>
      </c>
      <c r="H54" s="4747">
        <v>134</v>
      </c>
      <c r="I54" s="4826" t="s">
        <v>1648</v>
      </c>
      <c r="J54" s="4747">
        <v>126</v>
      </c>
      <c r="K54" s="4747" t="s">
        <v>1698</v>
      </c>
      <c r="L54" s="3427"/>
      <c r="O54" s="4825" t="s">
        <v>1713</v>
      </c>
      <c r="P54" s="4747" t="s">
        <v>1636</v>
      </c>
      <c r="Q54" s="4747" t="s">
        <v>1636</v>
      </c>
      <c r="R54" s="4747" t="s">
        <v>1636</v>
      </c>
      <c r="S54" s="4747" t="s">
        <v>1636</v>
      </c>
      <c r="T54" s="3235"/>
      <c r="U54" s="3235"/>
      <c r="V54" s="3235"/>
      <c r="W54" s="3235"/>
      <c r="X54" s="3235"/>
      <c r="Y54" s="3235"/>
      <c r="Z54" s="3235"/>
    </row>
    <row r="55" spans="1:26" s="2128" customFormat="1" ht="15.75" customHeight="1">
      <c r="A55" s="3521"/>
      <c r="B55" s="4825" t="s">
        <v>543</v>
      </c>
      <c r="C55" s="4747">
        <v>137</v>
      </c>
      <c r="D55" s="4826" t="s">
        <v>1797</v>
      </c>
      <c r="E55" s="4747">
        <v>128</v>
      </c>
      <c r="F55" s="4747" t="s">
        <v>1647</v>
      </c>
      <c r="G55" s="4825" t="s">
        <v>1204</v>
      </c>
      <c r="H55" s="4747">
        <v>138</v>
      </c>
      <c r="I55" s="4826" t="s">
        <v>1648</v>
      </c>
      <c r="J55" s="4747">
        <v>128</v>
      </c>
      <c r="K55" s="4747" t="s">
        <v>1698</v>
      </c>
      <c r="L55" s="3427"/>
      <c r="O55" s="4825" t="s">
        <v>1087</v>
      </c>
      <c r="P55" s="4747">
        <v>239</v>
      </c>
      <c r="Q55" s="4747" t="s">
        <v>1646</v>
      </c>
      <c r="R55" s="4747">
        <v>222</v>
      </c>
      <c r="S55" s="4747" t="s">
        <v>1648</v>
      </c>
      <c r="T55" s="3235"/>
      <c r="U55" s="3235"/>
      <c r="V55" s="3235"/>
      <c r="W55" s="3235"/>
      <c r="X55" s="3235"/>
      <c r="Y55" s="3235"/>
      <c r="Z55" s="3235"/>
    </row>
    <row r="56" spans="1:26" s="2128" customFormat="1" ht="15.75" customHeight="1">
      <c r="A56" s="3521"/>
      <c r="B56" s="4825" t="s">
        <v>1228</v>
      </c>
      <c r="C56" s="4747">
        <v>139</v>
      </c>
      <c r="D56" s="4826" t="s">
        <v>1757</v>
      </c>
      <c r="E56" s="4747">
        <v>134</v>
      </c>
      <c r="F56" s="4747" t="s">
        <v>1698</v>
      </c>
      <c r="G56" s="4825" t="s">
        <v>546</v>
      </c>
      <c r="H56" s="4747">
        <v>0</v>
      </c>
      <c r="I56" s="4826" t="s">
        <v>1647</v>
      </c>
      <c r="J56" s="4747" t="s">
        <v>1636</v>
      </c>
      <c r="K56" s="4747" t="s">
        <v>1636</v>
      </c>
      <c r="L56" s="3427"/>
      <c r="M56" s="2133"/>
      <c r="O56" s="4825" t="s">
        <v>659</v>
      </c>
      <c r="P56" s="4747">
        <v>220</v>
      </c>
      <c r="Q56" s="4747" t="s">
        <v>1720</v>
      </c>
      <c r="R56" s="4747">
        <v>213</v>
      </c>
      <c r="S56" s="4747" t="s">
        <v>1757</v>
      </c>
      <c r="T56" s="4672"/>
      <c r="U56" s="3235"/>
      <c r="V56" s="3235"/>
      <c r="W56" s="3235"/>
      <c r="X56" s="3235"/>
      <c r="Y56" s="3235"/>
      <c r="Z56" s="3235"/>
    </row>
    <row r="57" spans="1:26" s="2128" customFormat="1" ht="15.75" customHeight="1">
      <c r="A57" s="3521"/>
      <c r="B57" s="4825" t="s">
        <v>651</v>
      </c>
      <c r="C57" s="4747">
        <v>137</v>
      </c>
      <c r="D57" s="4826" t="s">
        <v>1648</v>
      </c>
      <c r="E57" s="4747">
        <v>132</v>
      </c>
      <c r="F57" s="4747" t="s">
        <v>1698</v>
      </c>
      <c r="G57" s="4825" t="s">
        <v>1714</v>
      </c>
      <c r="H57" s="4747">
        <v>137</v>
      </c>
      <c r="I57" s="4826" t="s">
        <v>1646</v>
      </c>
      <c r="J57" s="4747">
        <v>124</v>
      </c>
      <c r="K57" s="4747" t="s">
        <v>1755</v>
      </c>
      <c r="L57" s="3427"/>
      <c r="O57" s="4825" t="s">
        <v>537</v>
      </c>
      <c r="P57" s="4747">
        <v>218</v>
      </c>
      <c r="Q57" s="4747" t="s">
        <v>1720</v>
      </c>
      <c r="R57" s="4747">
        <v>208</v>
      </c>
      <c r="S57" s="4747" t="s">
        <v>1648</v>
      </c>
      <c r="T57" s="4662"/>
      <c r="U57" s="3235"/>
      <c r="V57" s="3235"/>
      <c r="W57" s="3235"/>
      <c r="X57" s="3235"/>
      <c r="Y57" s="3235"/>
      <c r="Z57" s="3235"/>
    </row>
    <row r="58" spans="1:26" s="2128" customFormat="1" ht="15.75" customHeight="1">
      <c r="A58" s="3521"/>
      <c r="B58" s="4825" t="s">
        <v>1678</v>
      </c>
      <c r="C58" s="4747">
        <v>137</v>
      </c>
      <c r="D58" s="4826" t="s">
        <v>1643</v>
      </c>
      <c r="E58" s="4747">
        <v>133</v>
      </c>
      <c r="F58" s="4747" t="s">
        <v>1689</v>
      </c>
      <c r="G58" s="4825" t="s">
        <v>547</v>
      </c>
      <c r="H58" s="4747">
        <v>134</v>
      </c>
      <c r="I58" s="4826" t="s">
        <v>1648</v>
      </c>
      <c r="J58" s="4747">
        <v>129</v>
      </c>
      <c r="K58" s="4747" t="s">
        <v>1698</v>
      </c>
      <c r="L58" s="3427"/>
      <c r="O58" s="4825" t="s">
        <v>551</v>
      </c>
      <c r="P58" s="4747">
        <v>232</v>
      </c>
      <c r="Q58" s="4747" t="s">
        <v>1646</v>
      </c>
      <c r="R58" s="4747">
        <v>224</v>
      </c>
      <c r="S58" s="4747" t="s">
        <v>1676</v>
      </c>
      <c r="T58" s="3235"/>
      <c r="U58" s="3235"/>
      <c r="V58" s="3235"/>
      <c r="W58" s="3235"/>
      <c r="X58" s="3235"/>
      <c r="Y58" s="3235"/>
      <c r="Z58" s="3235"/>
    </row>
    <row r="59" spans="1:26" s="2128" customFormat="1" ht="15.75" customHeight="1">
      <c r="A59" s="3521"/>
      <c r="B59" s="4825" t="s">
        <v>520</v>
      </c>
      <c r="C59" s="4747">
        <v>125</v>
      </c>
      <c r="D59" s="4826" t="s">
        <v>1643</v>
      </c>
      <c r="E59" s="4747">
        <v>121</v>
      </c>
      <c r="F59" s="4747" t="s">
        <v>1677</v>
      </c>
      <c r="G59" s="4825" t="s">
        <v>1214</v>
      </c>
      <c r="H59" s="4747">
        <v>137</v>
      </c>
      <c r="I59" s="4826" t="s">
        <v>1645</v>
      </c>
      <c r="J59" s="4747">
        <v>127</v>
      </c>
      <c r="K59" s="4747" t="s">
        <v>1660</v>
      </c>
      <c r="L59" s="3427"/>
      <c r="M59" s="2133"/>
      <c r="O59" s="4825" t="s">
        <v>103</v>
      </c>
      <c r="P59" s="4747">
        <v>235</v>
      </c>
      <c r="Q59" s="4747" t="s">
        <v>1762</v>
      </c>
      <c r="R59" s="4747">
        <v>228</v>
      </c>
      <c r="S59" s="4747" t="s">
        <v>1677</v>
      </c>
      <c r="T59" s="3235"/>
      <c r="U59" s="3235"/>
      <c r="V59" s="3235"/>
      <c r="W59" s="3235"/>
      <c r="X59" s="3235"/>
      <c r="Y59" s="3235"/>
      <c r="Z59" s="3235"/>
    </row>
    <row r="60" spans="1:26" s="2128" customFormat="1" ht="15.75" customHeight="1">
      <c r="A60" s="3521"/>
      <c r="B60" s="4825" t="s">
        <v>1682</v>
      </c>
      <c r="C60" s="4747">
        <v>137</v>
      </c>
      <c r="D60" s="4826" t="s">
        <v>1757</v>
      </c>
      <c r="E60" s="4747">
        <v>130</v>
      </c>
      <c r="F60" s="4747" t="s">
        <v>1677</v>
      </c>
      <c r="G60" s="4825" t="s">
        <v>1716</v>
      </c>
      <c r="H60" s="4747">
        <v>129</v>
      </c>
      <c r="I60" s="4826" t="s">
        <v>1657</v>
      </c>
      <c r="J60" s="4747">
        <v>118</v>
      </c>
      <c r="K60" s="4747" t="s">
        <v>1647</v>
      </c>
      <c r="L60" s="3427"/>
      <c r="O60" s="4825" t="s">
        <v>1245</v>
      </c>
      <c r="P60" s="4747">
        <v>229</v>
      </c>
      <c r="Q60" s="4747" t="s">
        <v>1643</v>
      </c>
      <c r="R60" s="4747">
        <v>218</v>
      </c>
      <c r="S60" s="4747" t="s">
        <v>1720</v>
      </c>
      <c r="T60" s="3235"/>
      <c r="U60" s="3235"/>
      <c r="V60" s="3235"/>
      <c r="W60" s="3235"/>
      <c r="X60" s="3235"/>
      <c r="Y60" s="3235"/>
      <c r="Z60" s="3235"/>
    </row>
    <row r="61" spans="1:26" s="2128" customFormat="1" ht="15.75" customHeight="1">
      <c r="A61" s="3521"/>
      <c r="B61" s="4825" t="s">
        <v>1684</v>
      </c>
      <c r="C61" s="4747">
        <v>136</v>
      </c>
      <c r="D61" s="4826" t="s">
        <v>1643</v>
      </c>
      <c r="E61" s="4747">
        <v>130</v>
      </c>
      <c r="F61" s="4747" t="s">
        <v>1654</v>
      </c>
      <c r="G61" s="4825" t="s">
        <v>1717</v>
      </c>
      <c r="H61" s="4747">
        <v>132</v>
      </c>
      <c r="I61" s="4826" t="s">
        <v>1648</v>
      </c>
      <c r="J61" s="4747">
        <v>123</v>
      </c>
      <c r="K61" s="4747" t="s">
        <v>1667</v>
      </c>
      <c r="L61" s="3427"/>
      <c r="O61" s="4825" t="s">
        <v>650</v>
      </c>
      <c r="P61" s="4747">
        <v>223</v>
      </c>
      <c r="Q61" s="4747" t="s">
        <v>1646</v>
      </c>
      <c r="R61" s="4747">
        <v>215</v>
      </c>
      <c r="S61" s="4747" t="s">
        <v>1667</v>
      </c>
      <c r="T61" s="3235"/>
      <c r="U61" s="3235"/>
      <c r="V61" s="3235"/>
      <c r="W61" s="3235"/>
      <c r="X61" s="3235"/>
      <c r="Y61" s="3235"/>
      <c r="Z61" s="3235"/>
    </row>
    <row r="62" spans="1:26" s="2128" customFormat="1" ht="15.75" customHeight="1">
      <c r="A62" s="3521"/>
      <c r="B62" s="4825" t="s">
        <v>1836</v>
      </c>
      <c r="C62" s="4747">
        <v>137</v>
      </c>
      <c r="D62" s="4826" t="s">
        <v>1648</v>
      </c>
      <c r="E62" s="4747">
        <v>131</v>
      </c>
      <c r="F62" s="4747" t="s">
        <v>1645</v>
      </c>
      <c r="G62" s="4825" t="s">
        <v>1718</v>
      </c>
      <c r="H62" s="4747">
        <v>133</v>
      </c>
      <c r="I62" s="4826" t="s">
        <v>1757</v>
      </c>
      <c r="J62" s="4972">
        <v>123</v>
      </c>
      <c r="K62" s="4747" t="s">
        <v>1645</v>
      </c>
      <c r="L62" s="3427"/>
      <c r="M62" s="2133"/>
      <c r="O62" s="4825" t="s">
        <v>1670</v>
      </c>
      <c r="P62" s="4747">
        <v>219</v>
      </c>
      <c r="Q62" s="4747" t="s">
        <v>1755</v>
      </c>
      <c r="R62" s="4747">
        <v>208</v>
      </c>
      <c r="S62" s="4747" t="s">
        <v>1657</v>
      </c>
      <c r="T62" s="3235"/>
      <c r="U62" s="3235"/>
      <c r="V62" s="3235"/>
      <c r="W62" s="3235"/>
      <c r="X62" s="3235"/>
      <c r="Y62" s="3235"/>
      <c r="Z62" s="3235"/>
    </row>
    <row r="63" spans="1:26" s="2128" customFormat="1" ht="15.75" customHeight="1">
      <c r="A63" s="3521"/>
      <c r="B63" s="4825" t="s">
        <v>1688</v>
      </c>
      <c r="C63" s="4747">
        <v>133</v>
      </c>
      <c r="D63" s="4826" t="s">
        <v>1797</v>
      </c>
      <c r="E63" s="4747">
        <v>129</v>
      </c>
      <c r="F63" s="4747" t="s">
        <v>1667</v>
      </c>
      <c r="G63" s="4825" t="s">
        <v>578</v>
      </c>
      <c r="H63" s="4747">
        <v>140</v>
      </c>
      <c r="I63" s="4826" t="s">
        <v>1797</v>
      </c>
      <c r="J63" s="4747">
        <v>130</v>
      </c>
      <c r="K63" s="4747" t="s">
        <v>1720</v>
      </c>
      <c r="L63" s="3427"/>
      <c r="O63" s="4825" t="s">
        <v>657</v>
      </c>
      <c r="P63" s="4747">
        <v>234</v>
      </c>
      <c r="Q63" s="4747" t="s">
        <v>1643</v>
      </c>
      <c r="R63" s="4747">
        <v>224</v>
      </c>
      <c r="S63" s="4747" t="s">
        <v>1720</v>
      </c>
      <c r="T63" s="3235"/>
      <c r="U63" s="3235"/>
      <c r="V63" s="3235"/>
      <c r="W63" s="3235"/>
      <c r="X63" s="3235"/>
      <c r="Y63" s="3235"/>
      <c r="Z63" s="3235"/>
    </row>
    <row r="64" spans="1:26" s="2128" customFormat="1" ht="17.25" customHeight="1">
      <c r="A64" s="3521"/>
      <c r="B64" s="4825" t="s">
        <v>1690</v>
      </c>
      <c r="C64" s="4747">
        <v>134</v>
      </c>
      <c r="D64" s="4826" t="s">
        <v>1754</v>
      </c>
      <c r="E64" s="4747">
        <v>126</v>
      </c>
      <c r="F64" s="4747" t="s">
        <v>1667</v>
      </c>
      <c r="G64" s="4825" t="s">
        <v>557</v>
      </c>
      <c r="H64" s="4747">
        <v>136</v>
      </c>
      <c r="I64" s="4826" t="s">
        <v>1757</v>
      </c>
      <c r="J64" s="4747">
        <v>130</v>
      </c>
      <c r="K64" s="4747" t="s">
        <v>1698</v>
      </c>
      <c r="L64" s="3427"/>
      <c r="O64" s="4825" t="s">
        <v>541</v>
      </c>
      <c r="P64" s="4747">
        <v>223</v>
      </c>
      <c r="Q64" s="4747" t="s">
        <v>1755</v>
      </c>
      <c r="R64" s="4747">
        <v>214</v>
      </c>
      <c r="S64" s="4747" t="s">
        <v>1648</v>
      </c>
      <c r="T64" s="3235"/>
      <c r="U64" s="3235"/>
      <c r="V64" s="3235"/>
      <c r="W64" s="3235"/>
      <c r="X64" s="3235"/>
      <c r="Y64" s="3235"/>
      <c r="Z64" s="3235"/>
    </row>
    <row r="65" spans="1:26" s="2128" customFormat="1" ht="15.75" customHeight="1">
      <c r="A65" s="3521"/>
      <c r="B65" s="4825" t="s">
        <v>535</v>
      </c>
      <c r="C65" s="4747">
        <v>135</v>
      </c>
      <c r="D65" s="4826" t="s">
        <v>1797</v>
      </c>
      <c r="E65" s="4747">
        <v>130</v>
      </c>
      <c r="F65" s="4747" t="s">
        <v>1719</v>
      </c>
      <c r="G65" s="4825" t="s">
        <v>574</v>
      </c>
      <c r="H65" s="4747">
        <v>131</v>
      </c>
      <c r="I65" s="4826" t="s">
        <v>1643</v>
      </c>
      <c r="J65" s="4747">
        <v>120</v>
      </c>
      <c r="K65" s="4747" t="s">
        <v>1645</v>
      </c>
      <c r="L65" s="3427"/>
      <c r="M65" s="2133"/>
      <c r="O65" s="4825" t="s">
        <v>662</v>
      </c>
      <c r="P65" s="4747">
        <v>225</v>
      </c>
      <c r="Q65" s="4747" t="s">
        <v>1647</v>
      </c>
      <c r="R65" s="4747">
        <v>220</v>
      </c>
      <c r="S65" s="4747" t="s">
        <v>1657</v>
      </c>
      <c r="T65" s="3235"/>
      <c r="U65" s="3235"/>
      <c r="V65" s="3235"/>
      <c r="W65" s="3235"/>
      <c r="X65" s="3235"/>
      <c r="Y65" s="3235"/>
      <c r="Z65" s="3235"/>
    </row>
    <row r="66" spans="1:26" s="2128" customFormat="1" ht="15.75" customHeight="1">
      <c r="A66" s="3521"/>
      <c r="B66" s="4825" t="s">
        <v>563</v>
      </c>
      <c r="C66" s="4747">
        <v>140</v>
      </c>
      <c r="D66" s="4826" t="s">
        <v>1646</v>
      </c>
      <c r="E66" s="4747">
        <v>132</v>
      </c>
      <c r="F66" s="4747" t="s">
        <v>1677</v>
      </c>
      <c r="G66" s="4825" t="s">
        <v>1649</v>
      </c>
      <c r="H66" s="4747">
        <v>135</v>
      </c>
      <c r="I66" s="4826" t="s">
        <v>1762</v>
      </c>
      <c r="J66" s="4829">
        <v>112</v>
      </c>
      <c r="K66" s="4747" t="s">
        <v>1645</v>
      </c>
      <c r="L66" s="3427"/>
      <c r="O66" s="4825" t="s">
        <v>1707</v>
      </c>
      <c r="P66" s="4747" t="s">
        <v>1636</v>
      </c>
      <c r="Q66" s="4747" t="s">
        <v>1636</v>
      </c>
      <c r="R66" s="4747" t="s">
        <v>1636</v>
      </c>
      <c r="S66" s="4747" t="s">
        <v>1636</v>
      </c>
      <c r="T66" s="3235"/>
      <c r="U66" s="3235"/>
      <c r="V66" s="3235"/>
      <c r="W66" s="3235"/>
      <c r="X66" s="3235"/>
      <c r="Y66" s="3235"/>
      <c r="Z66" s="3235"/>
    </row>
    <row r="67" spans="1:26" s="2128" customFormat="1" ht="15.75" customHeight="1">
      <c r="A67" s="3521"/>
      <c r="B67" s="4825" t="s">
        <v>1693</v>
      </c>
      <c r="C67" s="4747">
        <v>131</v>
      </c>
      <c r="D67" s="4826" t="s">
        <v>1647</v>
      </c>
      <c r="E67" s="4747">
        <v>127</v>
      </c>
      <c r="F67" s="4747" t="s">
        <v>1698</v>
      </c>
      <c r="G67" s="4825" t="s">
        <v>540</v>
      </c>
      <c r="H67" s="4747">
        <v>137</v>
      </c>
      <c r="I67" s="4826" t="s">
        <v>1643</v>
      </c>
      <c r="J67" s="4747">
        <v>131</v>
      </c>
      <c r="K67" s="4747" t="s">
        <v>1646</v>
      </c>
      <c r="L67" s="3427"/>
      <c r="O67" s="4825" t="s">
        <v>55</v>
      </c>
      <c r="P67" s="4747">
        <v>234</v>
      </c>
      <c r="Q67" s="4747" t="s">
        <v>1762</v>
      </c>
      <c r="R67" s="4747">
        <v>225</v>
      </c>
      <c r="S67" s="4747" t="s">
        <v>1720</v>
      </c>
      <c r="T67" s="3235"/>
      <c r="U67" s="3235"/>
      <c r="V67" s="3235"/>
      <c r="W67" s="3235"/>
      <c r="X67" s="3235"/>
      <c r="Y67" s="3235"/>
      <c r="Z67" s="3235"/>
    </row>
    <row r="68" spans="1:26" s="2128" customFormat="1" ht="15.75" customHeight="1">
      <c r="A68" s="3521"/>
      <c r="B68" s="4825" t="s">
        <v>1695</v>
      </c>
      <c r="C68" s="4747">
        <v>132</v>
      </c>
      <c r="D68" s="4826" t="s">
        <v>1754</v>
      </c>
      <c r="E68" s="4747">
        <v>123</v>
      </c>
      <c r="F68" s="4747" t="s">
        <v>1667</v>
      </c>
      <c r="G68" s="4825" t="s">
        <v>1135</v>
      </c>
      <c r="H68" s="4747">
        <v>139</v>
      </c>
      <c r="I68" s="4826" t="s">
        <v>1648</v>
      </c>
      <c r="J68" s="4747">
        <v>134</v>
      </c>
      <c r="K68" s="4747" t="s">
        <v>1646</v>
      </c>
      <c r="L68" s="3427"/>
      <c r="M68" s="2133"/>
      <c r="O68" s="4825" t="s">
        <v>1590</v>
      </c>
      <c r="P68" s="4747" t="s">
        <v>1636</v>
      </c>
      <c r="Q68" s="4747" t="s">
        <v>1636</v>
      </c>
      <c r="R68" s="4747" t="s">
        <v>1636</v>
      </c>
      <c r="S68" s="4747" t="s">
        <v>1636</v>
      </c>
      <c r="T68" s="3235"/>
      <c r="U68" s="3235"/>
      <c r="V68" s="3235"/>
      <c r="W68" s="3235"/>
      <c r="X68" s="3235"/>
      <c r="Y68" s="3235"/>
      <c r="Z68" s="3235"/>
    </row>
    <row r="69" spans="1:26" s="2128" customFormat="1" ht="15.75" customHeight="1">
      <c r="A69" s="3521"/>
      <c r="B69" s="4825" t="s">
        <v>1699</v>
      </c>
      <c r="C69" s="4747">
        <v>134</v>
      </c>
      <c r="D69" s="4826" t="s">
        <v>1797</v>
      </c>
      <c r="E69" s="4747">
        <v>126</v>
      </c>
      <c r="F69" s="4747" t="s">
        <v>1759</v>
      </c>
      <c r="G69" s="4825" t="s">
        <v>1109</v>
      </c>
      <c r="H69" s="4747">
        <v>135</v>
      </c>
      <c r="I69" s="4826" t="s">
        <v>1754</v>
      </c>
      <c r="J69" s="4747">
        <v>125</v>
      </c>
      <c r="K69" s="4747" t="s">
        <v>1689</v>
      </c>
      <c r="L69" s="3427"/>
      <c r="M69" s="1028"/>
      <c r="O69" s="4825" t="s">
        <v>658</v>
      </c>
      <c r="P69" s="4747">
        <v>225</v>
      </c>
      <c r="Q69" s="4747" t="s">
        <v>1652</v>
      </c>
      <c r="R69" s="4747">
        <v>212</v>
      </c>
      <c r="S69" s="4747" t="s">
        <v>1757</v>
      </c>
      <c r="T69" s="3235"/>
      <c r="U69" s="3235"/>
      <c r="V69" s="3235"/>
      <c r="W69" s="3235"/>
      <c r="X69" s="3235"/>
      <c r="Y69" s="3235"/>
      <c r="Z69" s="3235"/>
    </row>
    <row r="70" spans="1:26" s="2128" customFormat="1" ht="15.75" customHeight="1">
      <c r="A70" s="3521"/>
      <c r="B70" s="4825" t="s">
        <v>1701</v>
      </c>
      <c r="C70" s="4747">
        <v>132</v>
      </c>
      <c r="D70" s="4826" t="s">
        <v>1689</v>
      </c>
      <c r="E70" s="4747">
        <v>129</v>
      </c>
      <c r="F70" s="4747" t="s">
        <v>1719</v>
      </c>
      <c r="G70" s="4825" t="s">
        <v>1891</v>
      </c>
      <c r="H70" s="4747">
        <v>138</v>
      </c>
      <c r="I70" s="4826" t="s">
        <v>1645</v>
      </c>
      <c r="J70" s="4747">
        <v>128</v>
      </c>
      <c r="K70" s="4747" t="s">
        <v>1667</v>
      </c>
      <c r="L70" s="3427"/>
      <c r="O70" s="4825" t="s">
        <v>1683</v>
      </c>
      <c r="P70" s="4747">
        <v>233</v>
      </c>
      <c r="Q70" s="4747" t="s">
        <v>1654</v>
      </c>
      <c r="R70" s="4747">
        <v>224</v>
      </c>
      <c r="S70" s="4747" t="s">
        <v>1757</v>
      </c>
      <c r="T70" s="3235"/>
      <c r="U70" s="3235"/>
      <c r="V70" s="3235"/>
      <c r="W70" s="3235"/>
      <c r="X70" s="3235"/>
      <c r="Y70" s="3235"/>
      <c r="Z70" s="3235"/>
    </row>
    <row r="71" spans="1:26" s="2128" customFormat="1" ht="15.75" customHeight="1">
      <c r="A71" s="3521"/>
      <c r="B71" s="4825" t="s">
        <v>539</v>
      </c>
      <c r="C71" s="4747">
        <v>133</v>
      </c>
      <c r="D71" s="4826" t="s">
        <v>1659</v>
      </c>
      <c r="E71" s="4747">
        <v>128</v>
      </c>
      <c r="F71" s="4747" t="s">
        <v>1676</v>
      </c>
      <c r="G71" s="4825" t="s">
        <v>1266</v>
      </c>
      <c r="H71" s="4747">
        <v>133</v>
      </c>
      <c r="I71" s="4826" t="s">
        <v>1646</v>
      </c>
      <c r="J71" s="4747">
        <v>123</v>
      </c>
      <c r="K71" s="4747" t="s">
        <v>1667</v>
      </c>
      <c r="L71" s="3427"/>
      <c r="M71" s="2133"/>
      <c r="O71" s="4825" t="s">
        <v>518</v>
      </c>
      <c r="P71" s="4747">
        <v>218</v>
      </c>
      <c r="Q71" s="4747" t="s">
        <v>1759</v>
      </c>
      <c r="R71" s="4747">
        <v>211</v>
      </c>
      <c r="S71" s="4747" t="s">
        <v>1667</v>
      </c>
      <c r="T71" s="3235"/>
      <c r="U71" s="3235"/>
      <c r="V71" s="3235"/>
      <c r="W71" s="3235"/>
      <c r="X71" s="3235"/>
      <c r="Y71" s="3235"/>
      <c r="Z71" s="3235"/>
    </row>
    <row r="72" spans="1:26" s="2128" customFormat="1" ht="15.75" customHeight="1">
      <c r="A72" s="3521"/>
      <c r="B72" s="4825" t="s">
        <v>536</v>
      </c>
      <c r="C72" s="4747">
        <v>136</v>
      </c>
      <c r="D72" s="4826" t="s">
        <v>1648</v>
      </c>
      <c r="E72" s="4747">
        <v>127</v>
      </c>
      <c r="F72" s="4747" t="s">
        <v>1758</v>
      </c>
      <c r="G72" s="4825" t="s">
        <v>571</v>
      </c>
      <c r="H72" s="4747">
        <v>134</v>
      </c>
      <c r="I72" s="4826" t="s">
        <v>1647</v>
      </c>
      <c r="J72" s="4747">
        <v>115</v>
      </c>
      <c r="K72" s="4747" t="s">
        <v>1654</v>
      </c>
      <c r="L72" s="3427"/>
      <c r="O72" s="4825" t="s">
        <v>2</v>
      </c>
      <c r="P72" s="4747">
        <v>224</v>
      </c>
      <c r="Q72" s="4747" t="s">
        <v>1755</v>
      </c>
      <c r="R72" s="4747">
        <v>214</v>
      </c>
      <c r="S72" s="4747" t="s">
        <v>1648</v>
      </c>
      <c r="T72" s="3235"/>
      <c r="U72" s="3235"/>
      <c r="V72" s="3235"/>
      <c r="W72" s="3235"/>
      <c r="X72" s="3235"/>
      <c r="Y72" s="3235"/>
      <c r="Z72" s="3235"/>
    </row>
    <row r="73" spans="1:26" s="2128" customFormat="1" ht="15.75" customHeight="1">
      <c r="A73" s="3521"/>
      <c r="B73" s="4825" t="s">
        <v>1702</v>
      </c>
      <c r="C73" s="4747">
        <v>131</v>
      </c>
      <c r="D73" s="4826" t="s">
        <v>1646</v>
      </c>
      <c r="E73" s="4827">
        <v>110</v>
      </c>
      <c r="F73" s="4747" t="s">
        <v>1654</v>
      </c>
      <c r="G73" s="4825" t="s">
        <v>1656</v>
      </c>
      <c r="H73" s="4747">
        <v>132</v>
      </c>
      <c r="I73" s="4826" t="s">
        <v>1659</v>
      </c>
      <c r="J73" s="4747">
        <v>126</v>
      </c>
      <c r="K73" s="4828" t="s">
        <v>1667</v>
      </c>
      <c r="L73" s="3427"/>
      <c r="O73" s="4825" t="s">
        <v>1803</v>
      </c>
      <c r="P73" s="4747">
        <v>236</v>
      </c>
      <c r="Q73" s="4747" t="s">
        <v>1660</v>
      </c>
      <c r="R73" s="4747">
        <v>229</v>
      </c>
      <c r="S73" s="4747" t="s">
        <v>1652</v>
      </c>
      <c r="T73" s="3235"/>
      <c r="U73" s="3235"/>
      <c r="V73" s="3235"/>
      <c r="W73" s="3235"/>
      <c r="X73" s="3235"/>
      <c r="Y73" s="3235"/>
      <c r="Z73" s="3235"/>
    </row>
    <row r="74" spans="1:26" s="2128" customFormat="1" ht="15.75" customHeight="1">
      <c r="A74" s="3521"/>
      <c r="B74" s="4825" t="s">
        <v>1705</v>
      </c>
      <c r="C74" s="4747">
        <v>135</v>
      </c>
      <c r="D74" s="4826" t="s">
        <v>1754</v>
      </c>
      <c r="E74" s="4747">
        <v>129</v>
      </c>
      <c r="F74" s="4747" t="s">
        <v>1719</v>
      </c>
      <c r="G74" s="4825" t="s">
        <v>1242</v>
      </c>
      <c r="H74" s="4747">
        <v>136</v>
      </c>
      <c r="I74" s="4826" t="s">
        <v>1757</v>
      </c>
      <c r="J74" s="4747">
        <v>127</v>
      </c>
      <c r="K74" s="4747" t="s">
        <v>1719</v>
      </c>
      <c r="L74" s="3427"/>
      <c r="M74" s="2133"/>
      <c r="O74" s="4825" t="s">
        <v>568</v>
      </c>
      <c r="P74" s="4747">
        <v>220</v>
      </c>
      <c r="Q74" s="4747" t="s">
        <v>1758</v>
      </c>
      <c r="R74" s="4747">
        <v>210</v>
      </c>
      <c r="S74" s="4747" t="s">
        <v>1648</v>
      </c>
      <c r="T74" s="3235"/>
      <c r="U74" s="3235"/>
      <c r="V74" s="3235"/>
      <c r="W74" s="3235"/>
      <c r="X74" s="3235"/>
      <c r="Y74" s="3235"/>
      <c r="Z74" s="3235"/>
    </row>
    <row r="75" spans="1:26" s="2128" customFormat="1" ht="15.75" customHeight="1">
      <c r="A75" s="3521"/>
      <c r="B75" s="4825" t="s">
        <v>1706</v>
      </c>
      <c r="C75" s="4747">
        <v>135</v>
      </c>
      <c r="D75" s="4826" t="s">
        <v>1754</v>
      </c>
      <c r="E75" s="4747">
        <v>124</v>
      </c>
      <c r="F75" s="4747" t="s">
        <v>1648</v>
      </c>
      <c r="G75" s="4825" t="s">
        <v>1143</v>
      </c>
      <c r="H75" s="4747">
        <v>136</v>
      </c>
      <c r="I75" s="4826" t="s">
        <v>1754</v>
      </c>
      <c r="J75" s="4747">
        <v>128</v>
      </c>
      <c r="K75" s="4747" t="s">
        <v>1651</v>
      </c>
      <c r="L75" s="3427"/>
      <c r="P75" s="5"/>
      <c r="Q75" s="3235"/>
      <c r="R75" s="3235"/>
      <c r="S75" s="3235"/>
      <c r="T75" s="3235"/>
      <c r="U75" s="3235"/>
      <c r="V75" s="3235"/>
      <c r="W75" s="3235"/>
      <c r="X75" s="3235"/>
      <c r="Y75" s="3235"/>
      <c r="Z75" s="3235"/>
    </row>
    <row r="76" spans="1:26" s="2128" customFormat="1" ht="15.75" customHeight="1">
      <c r="A76" s="3521"/>
      <c r="B76" s="4825" t="s">
        <v>545</v>
      </c>
      <c r="C76" s="4747">
        <v>135</v>
      </c>
      <c r="D76" s="4826" t="s">
        <v>1754</v>
      </c>
      <c r="E76" s="4747">
        <v>125</v>
      </c>
      <c r="F76" s="4747" t="s">
        <v>1647</v>
      </c>
      <c r="G76" s="4825" t="s">
        <v>55</v>
      </c>
      <c r="H76" s="4747">
        <v>133</v>
      </c>
      <c r="I76" s="4826" t="s">
        <v>1757</v>
      </c>
      <c r="J76" s="4747">
        <v>127</v>
      </c>
      <c r="K76" s="4747" t="s">
        <v>1667</v>
      </c>
      <c r="L76" s="3427"/>
      <c r="Q76" s="3235"/>
      <c r="R76" s="3235"/>
      <c r="S76" s="3235"/>
      <c r="T76" s="3235"/>
      <c r="U76" s="3235"/>
      <c r="V76" s="3235"/>
      <c r="W76" s="3235"/>
      <c r="X76" s="3235"/>
      <c r="Y76" s="3235"/>
      <c r="Z76" s="3235"/>
    </row>
    <row r="77" spans="1:26" s="2128" customFormat="1" ht="15.75" customHeight="1">
      <c r="A77" s="3521"/>
      <c r="B77" s="4825" t="s">
        <v>10</v>
      </c>
      <c r="C77" s="4747">
        <v>137</v>
      </c>
      <c r="D77" s="4826" t="s">
        <v>1645</v>
      </c>
      <c r="E77" s="4747">
        <v>129</v>
      </c>
      <c r="F77" s="4747" t="s">
        <v>1667</v>
      </c>
      <c r="G77" s="4825" t="s">
        <v>1834</v>
      </c>
      <c r="H77" s="4747">
        <v>132</v>
      </c>
      <c r="I77" s="4826" t="s">
        <v>1643</v>
      </c>
      <c r="J77" s="4747">
        <v>127</v>
      </c>
      <c r="K77" s="4747" t="s">
        <v>1667</v>
      </c>
      <c r="L77" s="3427"/>
      <c r="M77" s="2133"/>
      <c r="Q77" s="3235"/>
      <c r="R77" s="3235"/>
      <c r="S77" s="3235"/>
      <c r="T77" s="3235"/>
      <c r="U77" s="3235"/>
      <c r="V77" s="3235"/>
      <c r="W77" s="3235"/>
      <c r="X77" s="3235"/>
      <c r="Y77" s="3235"/>
      <c r="Z77" s="3235"/>
    </row>
    <row r="78" spans="1:26" s="2128" customFormat="1" ht="15.75" customHeight="1">
      <c r="A78" s="3521"/>
      <c r="B78" s="4825" t="s">
        <v>840</v>
      </c>
      <c r="C78" s="4747">
        <v>129</v>
      </c>
      <c r="D78" s="4826" t="s">
        <v>1648</v>
      </c>
      <c r="E78" s="4747">
        <v>122</v>
      </c>
      <c r="F78" s="4747" t="s">
        <v>1667</v>
      </c>
      <c r="G78" s="4825" t="s">
        <v>836</v>
      </c>
      <c r="H78" s="4747">
        <v>133</v>
      </c>
      <c r="I78" s="4826" t="s">
        <v>1648</v>
      </c>
      <c r="J78" s="4747">
        <v>124</v>
      </c>
      <c r="K78" s="4747" t="s">
        <v>1719</v>
      </c>
      <c r="L78" s="3427"/>
      <c r="Q78" s="3235"/>
      <c r="R78" s="3235"/>
      <c r="S78" s="3235"/>
      <c r="T78" s="3235"/>
      <c r="U78" s="3235"/>
      <c r="V78" s="3235"/>
      <c r="W78" s="3235"/>
      <c r="X78" s="3235"/>
      <c r="Y78" s="3235"/>
      <c r="Z78" s="3235"/>
    </row>
    <row r="79" spans="1:26" s="2128" customFormat="1" ht="15.75" customHeight="1">
      <c r="A79" s="3521"/>
      <c r="B79" s="4825" t="s">
        <v>548</v>
      </c>
      <c r="C79" s="4747">
        <v>131.5</v>
      </c>
      <c r="D79" s="4826" t="s">
        <v>1645</v>
      </c>
      <c r="E79" s="4747">
        <v>124.3</v>
      </c>
      <c r="F79" s="4747" t="s">
        <v>1667</v>
      </c>
      <c r="G79" s="4825" t="s">
        <v>1590</v>
      </c>
      <c r="H79" s="4747">
        <v>138</v>
      </c>
      <c r="I79" s="4826" t="s">
        <v>1646</v>
      </c>
      <c r="J79" s="4747">
        <v>129</v>
      </c>
      <c r="K79" s="4747" t="s">
        <v>1667</v>
      </c>
      <c r="L79" s="3427"/>
      <c r="O79" s="4663"/>
      <c r="P79" s="4664"/>
      <c r="Q79" s="4665"/>
      <c r="R79" s="4665"/>
      <c r="S79" s="4665"/>
      <c r="T79" s="4662"/>
      <c r="U79" s="3235"/>
      <c r="V79" s="3235"/>
      <c r="W79" s="3235"/>
      <c r="X79" s="3235"/>
      <c r="Y79" s="3235"/>
      <c r="Z79" s="3235"/>
    </row>
    <row r="80" spans="1:26" s="2128" customFormat="1" ht="15.75" customHeight="1">
      <c r="A80" s="3521"/>
      <c r="B80" s="4825" t="s">
        <v>559</v>
      </c>
      <c r="C80" s="4972">
        <v>136</v>
      </c>
      <c r="D80" s="4826" t="s">
        <v>1646</v>
      </c>
      <c r="E80" s="4747">
        <v>128</v>
      </c>
      <c r="F80" s="4747" t="s">
        <v>1720</v>
      </c>
      <c r="G80" s="4825" t="s">
        <v>658</v>
      </c>
      <c r="H80" s="4829">
        <v>136</v>
      </c>
      <c r="I80" s="4826" t="s">
        <v>1645</v>
      </c>
      <c r="J80" s="4747">
        <v>127</v>
      </c>
      <c r="K80" s="4828" t="s">
        <v>1667</v>
      </c>
      <c r="L80" s="3427"/>
      <c r="M80" s="2133"/>
      <c r="O80" s="4666"/>
      <c r="P80" s="4667"/>
      <c r="Q80" s="4667"/>
      <c r="R80" s="4667"/>
      <c r="S80" s="4667"/>
      <c r="T80" s="4662"/>
      <c r="U80" s="3235"/>
      <c r="V80" s="3235"/>
      <c r="W80" s="3235"/>
      <c r="X80" s="3235"/>
      <c r="Y80" s="3235"/>
      <c r="Z80" s="3235"/>
    </row>
    <row r="81" spans="1:26" s="2128" customFormat="1" ht="15.75" customHeight="1">
      <c r="A81" s="3521"/>
      <c r="B81" s="4825" t="s">
        <v>521</v>
      </c>
      <c r="C81" s="4747">
        <v>136</v>
      </c>
      <c r="D81" s="4826" t="s">
        <v>1757</v>
      </c>
      <c r="E81" s="4747">
        <v>128</v>
      </c>
      <c r="F81" s="4828" t="s">
        <v>1698</v>
      </c>
      <c r="G81" s="4825" t="s">
        <v>857</v>
      </c>
      <c r="H81" s="4747">
        <v>138</v>
      </c>
      <c r="I81" s="4826" t="s">
        <v>1646</v>
      </c>
      <c r="J81" s="4747">
        <v>131</v>
      </c>
      <c r="K81" s="4747" t="s">
        <v>1719</v>
      </c>
      <c r="L81" s="3427"/>
      <c r="O81" s="4666"/>
      <c r="P81" s="4667"/>
      <c r="Q81" s="4667"/>
      <c r="R81" s="4667"/>
      <c r="S81" s="4667"/>
      <c r="T81" s="4662"/>
      <c r="U81" s="3235"/>
      <c r="V81" s="3235"/>
      <c r="W81" s="3235"/>
      <c r="X81" s="3235"/>
      <c r="Y81" s="3235"/>
      <c r="Z81" s="3235"/>
    </row>
    <row r="82" spans="1:26" s="2128" customFormat="1" ht="15.75" customHeight="1">
      <c r="A82" s="3521"/>
      <c r="B82" s="4825" t="s">
        <v>1169</v>
      </c>
      <c r="C82" s="4747">
        <v>136</v>
      </c>
      <c r="D82" s="4826" t="s">
        <v>1645</v>
      </c>
      <c r="E82" s="4747">
        <v>126</v>
      </c>
      <c r="F82" s="4747" t="s">
        <v>1667</v>
      </c>
      <c r="G82" s="4825" t="s">
        <v>6</v>
      </c>
      <c r="H82" s="4747">
        <v>132</v>
      </c>
      <c r="I82" s="4826" t="s">
        <v>1757</v>
      </c>
      <c r="J82" s="4747">
        <v>117</v>
      </c>
      <c r="K82" s="4747" t="s">
        <v>1645</v>
      </c>
      <c r="L82" s="3427"/>
      <c r="O82" s="4666"/>
      <c r="P82" s="4667"/>
      <c r="Q82" s="4667"/>
      <c r="R82" s="4667"/>
      <c r="S82" s="4667"/>
      <c r="T82" s="4662"/>
      <c r="U82" s="3235"/>
      <c r="V82" s="3235"/>
      <c r="W82" s="3235"/>
      <c r="X82" s="3235"/>
      <c r="Y82" s="3235"/>
      <c r="Z82" s="3235"/>
    </row>
    <row r="83" spans="1:26" s="2128" customFormat="1" ht="15.75" customHeight="1">
      <c r="A83" s="3521"/>
      <c r="B83" s="4825" t="s">
        <v>526</v>
      </c>
      <c r="C83" s="4747">
        <v>138</v>
      </c>
      <c r="D83" s="4826" t="s">
        <v>1754</v>
      </c>
      <c r="E83" s="4747">
        <v>134</v>
      </c>
      <c r="F83" s="4747" t="s">
        <v>1677</v>
      </c>
      <c r="G83" s="4825" t="s">
        <v>1666</v>
      </c>
      <c r="H83" s="4747">
        <v>138</v>
      </c>
      <c r="I83" s="4826" t="s">
        <v>1646</v>
      </c>
      <c r="J83" s="4747">
        <v>131</v>
      </c>
      <c r="K83" s="4747" t="s">
        <v>1667</v>
      </c>
      <c r="L83" s="3427"/>
      <c r="M83" s="2133"/>
      <c r="O83" s="4668"/>
      <c r="P83" s="4669"/>
      <c r="Q83" s="4669"/>
      <c r="R83" s="4669"/>
      <c r="S83" s="4669"/>
      <c r="T83" s="4662"/>
      <c r="U83" s="3235"/>
      <c r="V83" s="3235"/>
      <c r="W83" s="3235"/>
      <c r="X83" s="3235"/>
      <c r="Y83" s="3235"/>
      <c r="Z83" s="3235"/>
    </row>
    <row r="84" spans="1:26" s="2128" customFormat="1" ht="15.75" customHeight="1" thickBot="1">
      <c r="A84" s="3521"/>
      <c r="B84" s="4825" t="s">
        <v>538</v>
      </c>
      <c r="C84" s="4747">
        <v>136</v>
      </c>
      <c r="D84" s="4826" t="s">
        <v>1754</v>
      </c>
      <c r="E84" s="4747">
        <v>127</v>
      </c>
      <c r="F84" s="4747" t="s">
        <v>1677</v>
      </c>
      <c r="G84" s="4825" t="s">
        <v>569</v>
      </c>
      <c r="H84" s="4747">
        <v>133</v>
      </c>
      <c r="I84" s="4826" t="s">
        <v>1647</v>
      </c>
      <c r="J84" s="4747">
        <v>120</v>
      </c>
      <c r="K84" s="4747" t="s">
        <v>1645</v>
      </c>
      <c r="L84" s="3427"/>
      <c r="O84" s="4670"/>
      <c r="P84" s="4671"/>
      <c r="Q84" s="4671"/>
      <c r="R84" s="4671"/>
      <c r="S84" s="4671"/>
      <c r="T84" s="4662"/>
      <c r="U84" s="3235"/>
      <c r="V84" s="3235"/>
      <c r="W84" s="3235"/>
      <c r="X84" s="3235"/>
      <c r="Y84" s="3235"/>
      <c r="Z84" s="3235"/>
    </row>
    <row r="85" spans="1:26" s="2128" customFormat="1" ht="15.75" customHeight="1" thickTop="1">
      <c r="A85" s="3521"/>
      <c r="B85" s="4825" t="s">
        <v>1713</v>
      </c>
      <c r="C85" s="4747">
        <v>138</v>
      </c>
      <c r="D85" s="4826" t="s">
        <v>1676</v>
      </c>
      <c r="E85" s="4747">
        <v>135</v>
      </c>
      <c r="F85" s="4747" t="s">
        <v>1647</v>
      </c>
      <c r="G85" s="4825" t="s">
        <v>532</v>
      </c>
      <c r="H85" s="4747">
        <v>137</v>
      </c>
      <c r="I85" s="4826" t="s">
        <v>1648</v>
      </c>
      <c r="J85" s="4747">
        <v>128</v>
      </c>
      <c r="K85" s="4747" t="s">
        <v>1720</v>
      </c>
      <c r="L85" s="3427"/>
      <c r="P85" s="5"/>
      <c r="Q85" s="3235"/>
      <c r="R85" s="3235"/>
      <c r="S85" s="3235"/>
      <c r="T85" s="3235"/>
      <c r="U85" s="3235"/>
      <c r="V85" s="3235"/>
      <c r="W85" s="3235"/>
      <c r="X85" s="3235"/>
      <c r="Y85" s="3235"/>
      <c r="Z85" s="3235"/>
    </row>
    <row r="86" spans="1:26" s="2128" customFormat="1" ht="15.75" customHeight="1">
      <c r="A86" s="3521"/>
      <c r="B86" s="4825" t="s">
        <v>1171</v>
      </c>
      <c r="C86" s="4747">
        <v>139</v>
      </c>
      <c r="D86" s="4826" t="s">
        <v>1648</v>
      </c>
      <c r="E86" s="4747">
        <v>131</v>
      </c>
      <c r="F86" s="4747" t="s">
        <v>1677</v>
      </c>
      <c r="G86" s="4825" t="s">
        <v>1673</v>
      </c>
      <c r="H86" s="4747">
        <v>135</v>
      </c>
      <c r="I86" s="4826" t="s">
        <v>1754</v>
      </c>
      <c r="J86" s="4747">
        <v>128</v>
      </c>
      <c r="K86" s="4747" t="s">
        <v>1667</v>
      </c>
      <c r="L86" s="3427"/>
      <c r="M86" s="2133"/>
      <c r="P86" s="3125"/>
      <c r="Q86" s="3235"/>
      <c r="R86" s="3486"/>
      <c r="S86" s="3486"/>
      <c r="T86" s="3486"/>
      <c r="U86" s="3486"/>
      <c r="V86" s="3486"/>
      <c r="W86" s="3486"/>
      <c r="X86" s="3486"/>
      <c r="Y86" s="3235"/>
      <c r="Z86" s="3235"/>
    </row>
    <row r="87" spans="1:26" s="2128" customFormat="1" ht="15.75" customHeight="1">
      <c r="A87" s="3521"/>
      <c r="B87" s="4825" t="s">
        <v>1715</v>
      </c>
      <c r="C87" s="4747">
        <v>137</v>
      </c>
      <c r="D87" s="4826" t="s">
        <v>1643</v>
      </c>
      <c r="E87" s="4747">
        <v>131</v>
      </c>
      <c r="F87" s="4747" t="s">
        <v>1720</v>
      </c>
      <c r="G87" s="4825" t="s">
        <v>562</v>
      </c>
      <c r="H87" s="4829">
        <v>133</v>
      </c>
      <c r="I87" s="4826" t="s">
        <v>1754</v>
      </c>
      <c r="J87" s="4747">
        <v>125</v>
      </c>
      <c r="K87" s="4747" t="s">
        <v>1660</v>
      </c>
      <c r="L87" s="3427"/>
      <c r="Q87" s="3235"/>
      <c r="R87" s="3235"/>
      <c r="S87" s="3235"/>
      <c r="T87" s="3235"/>
      <c r="U87" s="3235"/>
      <c r="V87" s="3235"/>
      <c r="W87" s="3235"/>
      <c r="X87" s="3235"/>
      <c r="Y87" s="3235"/>
      <c r="Z87" s="3235"/>
    </row>
    <row r="88" spans="1:26" s="2128" customFormat="1" ht="15.75" customHeight="1">
      <c r="A88" s="3521"/>
      <c r="B88" s="4825" t="s">
        <v>527</v>
      </c>
      <c r="C88" s="4747">
        <v>140</v>
      </c>
      <c r="D88" s="4826" t="s">
        <v>1757</v>
      </c>
      <c r="E88" s="4747">
        <v>133</v>
      </c>
      <c r="F88" s="4747" t="s">
        <v>1720</v>
      </c>
      <c r="G88" s="4825" t="s">
        <v>560</v>
      </c>
      <c r="H88" s="4972">
        <v>140</v>
      </c>
      <c r="I88" s="4826" t="s">
        <v>1647</v>
      </c>
      <c r="J88" s="4747">
        <v>135</v>
      </c>
      <c r="K88" s="4747" t="s">
        <v>1759</v>
      </c>
      <c r="L88" s="3427"/>
      <c r="P88" s="5"/>
      <c r="Q88" s="3235"/>
      <c r="R88" s="3235"/>
      <c r="S88" s="3235"/>
      <c r="T88" s="3235"/>
      <c r="U88" s="3235"/>
      <c r="V88" s="3235"/>
      <c r="W88" s="3235"/>
      <c r="X88" s="3235"/>
      <c r="Y88" s="3235"/>
      <c r="Z88" s="3235"/>
    </row>
    <row r="89" spans="1:26" s="2128" customFormat="1" ht="15.75" customHeight="1">
      <c r="A89" s="3521"/>
      <c r="B89" s="4825" t="s">
        <v>1721</v>
      </c>
      <c r="C89" s="4747">
        <v>141</v>
      </c>
      <c r="D89" s="4826" t="s">
        <v>1648</v>
      </c>
      <c r="E89" s="4747">
        <v>133</v>
      </c>
      <c r="F89" s="4747" t="s">
        <v>1800</v>
      </c>
      <c r="G89" s="4825" t="s">
        <v>523</v>
      </c>
      <c r="H89" s="4747">
        <v>135</v>
      </c>
      <c r="I89" s="4826" t="s">
        <v>1757</v>
      </c>
      <c r="J89" s="4747">
        <v>131</v>
      </c>
      <c r="K89" s="4747" t="s">
        <v>1800</v>
      </c>
      <c r="L89" s="3427"/>
      <c r="M89" s="2133"/>
      <c r="P89" s="5"/>
      <c r="Q89" s="3235"/>
      <c r="R89" s="3235"/>
      <c r="S89" s="3235"/>
      <c r="T89" s="3235"/>
      <c r="U89" s="3235"/>
      <c r="V89" s="3235"/>
      <c r="W89" s="3235"/>
      <c r="X89" s="3235"/>
      <c r="Y89" s="3235"/>
      <c r="Z89" s="3235"/>
    </row>
    <row r="90" spans="1:26" s="2128" customFormat="1" ht="15.75" customHeight="1">
      <c r="A90" s="3521"/>
      <c r="B90" s="4825" t="s">
        <v>556</v>
      </c>
      <c r="C90" s="4747">
        <v>136</v>
      </c>
      <c r="D90" s="4826" t="s">
        <v>1645</v>
      </c>
      <c r="E90" s="4747">
        <v>127</v>
      </c>
      <c r="F90" s="4747" t="s">
        <v>1667</v>
      </c>
      <c r="G90" s="4825" t="s">
        <v>573</v>
      </c>
      <c r="H90" s="4747">
        <v>141</v>
      </c>
      <c r="I90" s="4826" t="s">
        <v>1646</v>
      </c>
      <c r="J90" s="4747">
        <v>130</v>
      </c>
      <c r="K90" s="4747" t="s">
        <v>1759</v>
      </c>
      <c r="L90" s="3427"/>
      <c r="Q90" s="3235"/>
      <c r="R90" s="3235"/>
      <c r="S90" s="3235"/>
      <c r="T90" s="3235"/>
      <c r="U90" s="3235"/>
      <c r="V90" s="3235"/>
      <c r="W90" s="3235"/>
      <c r="X90" s="3235"/>
      <c r="Y90" s="3235"/>
      <c r="Z90" s="3235"/>
    </row>
    <row r="91" spans="1:26" s="2128" customFormat="1" ht="15.75" customHeight="1">
      <c r="A91" s="3521"/>
      <c r="B91" s="4825" t="s">
        <v>555</v>
      </c>
      <c r="C91" s="4747">
        <v>140</v>
      </c>
      <c r="D91" s="4826" t="s">
        <v>1646</v>
      </c>
      <c r="E91" s="4747">
        <v>129</v>
      </c>
      <c r="F91" s="4747" t="s">
        <v>1667</v>
      </c>
      <c r="G91" s="4825" t="s">
        <v>1680</v>
      </c>
      <c r="H91" s="4747">
        <v>136</v>
      </c>
      <c r="I91" s="4826" t="s">
        <v>1762</v>
      </c>
      <c r="J91" s="4829">
        <v>130</v>
      </c>
      <c r="K91" s="4747" t="s">
        <v>1647</v>
      </c>
      <c r="L91" s="3427"/>
      <c r="P91" s="5"/>
      <c r="Q91" s="3235"/>
      <c r="R91" s="3235"/>
      <c r="S91" s="3235"/>
      <c r="T91" s="3235"/>
      <c r="U91" s="3235"/>
      <c r="V91" s="3235"/>
      <c r="W91" s="3235"/>
      <c r="X91" s="3235"/>
      <c r="Y91" s="3235"/>
      <c r="Z91" s="3235"/>
    </row>
    <row r="92" spans="1:26" s="2128" customFormat="1" ht="15.75" customHeight="1">
      <c r="A92" s="3521"/>
      <c r="B92" s="4825" t="s">
        <v>659</v>
      </c>
      <c r="C92" s="4747">
        <v>132</v>
      </c>
      <c r="D92" s="4826" t="s">
        <v>1659</v>
      </c>
      <c r="E92" s="4747">
        <v>126</v>
      </c>
      <c r="F92" s="4747" t="s">
        <v>1667</v>
      </c>
      <c r="G92" s="4825" t="s">
        <v>519</v>
      </c>
      <c r="H92" s="4747">
        <v>135</v>
      </c>
      <c r="I92" s="4826" t="s">
        <v>1797</v>
      </c>
      <c r="J92" s="4747">
        <v>118</v>
      </c>
      <c r="K92" s="4747" t="s">
        <v>1647</v>
      </c>
      <c r="L92" s="3427"/>
      <c r="M92" s="2133"/>
      <c r="P92" s="5"/>
      <c r="Q92" s="3235"/>
      <c r="R92" s="3235"/>
      <c r="S92" s="3235"/>
      <c r="T92" s="3235"/>
      <c r="U92" s="3235"/>
      <c r="V92" s="3235"/>
      <c r="W92" s="3235"/>
      <c r="X92" s="3235"/>
      <c r="Y92" s="3235"/>
      <c r="Z92" s="3235"/>
    </row>
    <row r="93" spans="1:26" s="2128" customFormat="1" ht="15.75" customHeight="1">
      <c r="A93" s="3521"/>
      <c r="B93" s="4825" t="s">
        <v>1644</v>
      </c>
      <c r="C93" s="4747">
        <v>132</v>
      </c>
      <c r="D93" s="4826" t="s">
        <v>1646</v>
      </c>
      <c r="E93" s="4747">
        <v>125</v>
      </c>
      <c r="F93" s="4747" t="s">
        <v>1657</v>
      </c>
      <c r="G93" s="4825" t="s">
        <v>1683</v>
      </c>
      <c r="H93" s="4747">
        <v>140</v>
      </c>
      <c r="I93" s="4826" t="s">
        <v>1754</v>
      </c>
      <c r="J93" s="4747">
        <v>129</v>
      </c>
      <c r="K93" s="4747" t="s">
        <v>1720</v>
      </c>
      <c r="L93" s="3437"/>
      <c r="P93" s="5"/>
      <c r="Q93" s="3235"/>
      <c r="R93" s="3235"/>
      <c r="S93" s="3235"/>
      <c r="T93" s="3235"/>
      <c r="U93" s="3235"/>
      <c r="V93" s="3235"/>
      <c r="W93" s="3235"/>
      <c r="X93" s="3235"/>
      <c r="Y93" s="3235"/>
      <c r="Z93" s="3235"/>
    </row>
    <row r="94" spans="1:26" s="2128" customFormat="1" ht="15.75" customHeight="1">
      <c r="A94" s="3521"/>
      <c r="B94" s="4825" t="s">
        <v>537</v>
      </c>
      <c r="C94" s="4747">
        <v>140</v>
      </c>
      <c r="D94" s="4826" t="s">
        <v>1645</v>
      </c>
      <c r="E94" s="4747">
        <v>129</v>
      </c>
      <c r="F94" s="4747" t="s">
        <v>1657</v>
      </c>
      <c r="G94" s="4825" t="s">
        <v>1835</v>
      </c>
      <c r="H94" s="4747">
        <v>139</v>
      </c>
      <c r="I94" s="4826" t="s">
        <v>1754</v>
      </c>
      <c r="J94" s="4747">
        <v>131</v>
      </c>
      <c r="K94" s="4747" t="s">
        <v>1759</v>
      </c>
      <c r="L94" s="3427"/>
      <c r="P94" s="5"/>
      <c r="Q94" s="3235"/>
      <c r="R94" s="3235"/>
      <c r="S94" s="3235"/>
      <c r="T94" s="3235"/>
      <c r="U94" s="3235"/>
      <c r="V94" s="3235"/>
      <c r="W94" s="3235"/>
      <c r="X94" s="3235"/>
      <c r="Y94" s="3235"/>
      <c r="Z94" s="3235"/>
    </row>
    <row r="95" spans="1:26" s="2128" customFormat="1" ht="15.75" customHeight="1">
      <c r="A95" s="3521"/>
      <c r="B95" s="4825" t="s">
        <v>551</v>
      </c>
      <c r="C95" s="4747">
        <v>138</v>
      </c>
      <c r="D95" s="4826" t="s">
        <v>1646</v>
      </c>
      <c r="E95" s="4747">
        <v>129</v>
      </c>
      <c r="F95" s="4747" t="s">
        <v>1759</v>
      </c>
      <c r="G95" s="4825" t="s">
        <v>525</v>
      </c>
      <c r="H95" s="4747">
        <v>138</v>
      </c>
      <c r="I95" s="4826" t="s">
        <v>1645</v>
      </c>
      <c r="J95" s="4747">
        <v>125</v>
      </c>
      <c r="K95" s="4747" t="s">
        <v>1657</v>
      </c>
      <c r="L95" s="3427"/>
      <c r="M95" s="2133"/>
      <c r="Q95" s="3235"/>
      <c r="R95" s="3235"/>
      <c r="S95" s="3235"/>
      <c r="T95" s="3235"/>
      <c r="U95" s="3235"/>
      <c r="V95" s="3235"/>
      <c r="W95" s="3235"/>
      <c r="X95" s="3235"/>
      <c r="Y95" s="3235"/>
      <c r="Z95" s="3235"/>
    </row>
    <row r="96" spans="1:26" s="2128" customFormat="1" ht="15.75" customHeight="1">
      <c r="A96" s="3521"/>
      <c r="B96" s="4825" t="s">
        <v>103</v>
      </c>
      <c r="C96" s="4747">
        <v>138</v>
      </c>
      <c r="D96" s="4826" t="s">
        <v>1648</v>
      </c>
      <c r="E96" s="4747">
        <v>132</v>
      </c>
      <c r="F96" s="4747" t="s">
        <v>1800</v>
      </c>
      <c r="G96" s="4825" t="s">
        <v>1687</v>
      </c>
      <c r="H96" s="4747"/>
      <c r="I96" s="4826"/>
      <c r="J96" s="4747"/>
      <c r="K96" s="4747"/>
      <c r="L96" s="3427"/>
      <c r="P96" s="5"/>
      <c r="Q96" s="3235"/>
      <c r="R96" s="3235"/>
      <c r="S96" s="3235"/>
      <c r="T96" s="3235"/>
      <c r="U96" s="3235"/>
      <c r="V96" s="3235"/>
      <c r="W96" s="3235"/>
      <c r="X96" s="3235"/>
      <c r="Y96" s="3235"/>
      <c r="Z96" s="3235"/>
    </row>
    <row r="97" spans="1:26" s="2128" customFormat="1" ht="15.75" customHeight="1">
      <c r="A97" s="3521"/>
      <c r="B97" s="4825" t="s">
        <v>1653</v>
      </c>
      <c r="C97" s="4747">
        <v>132</v>
      </c>
      <c r="D97" s="4826" t="s">
        <v>1762</v>
      </c>
      <c r="E97" s="4747">
        <v>113</v>
      </c>
      <c r="F97" s="4747" t="s">
        <v>1645</v>
      </c>
      <c r="G97" s="4825" t="s">
        <v>518</v>
      </c>
      <c r="H97" s="4747">
        <v>135</v>
      </c>
      <c r="I97" s="4826" t="s">
        <v>1646</v>
      </c>
      <c r="J97" s="4747">
        <v>123</v>
      </c>
      <c r="K97" s="4747" t="s">
        <v>1667</v>
      </c>
      <c r="L97" s="3427"/>
      <c r="P97" s="5"/>
      <c r="Q97" s="3235"/>
      <c r="R97" s="3235"/>
      <c r="S97" s="3235"/>
      <c r="T97" s="3235"/>
      <c r="U97" s="3235"/>
      <c r="V97" s="3235"/>
      <c r="W97" s="3235"/>
      <c r="X97" s="3235"/>
      <c r="Y97" s="3235"/>
      <c r="Z97" s="3235"/>
    </row>
    <row r="98" spans="1:26" s="2128" customFormat="1" ht="15.75" customHeight="1">
      <c r="A98" s="3521"/>
      <c r="B98" s="4825" t="s">
        <v>127</v>
      </c>
      <c r="C98" s="4747">
        <v>137</v>
      </c>
      <c r="D98" s="4828" t="s">
        <v>1797</v>
      </c>
      <c r="E98" s="4747">
        <v>120</v>
      </c>
      <c r="F98" s="4747" t="s">
        <v>1647</v>
      </c>
      <c r="G98" s="4825" t="s">
        <v>1837</v>
      </c>
      <c r="H98" s="4747">
        <v>135</v>
      </c>
      <c r="I98" s="4826" t="s">
        <v>1754</v>
      </c>
      <c r="J98" s="4747">
        <v>126</v>
      </c>
      <c r="K98" s="4747" t="s">
        <v>1667</v>
      </c>
      <c r="L98" s="3427"/>
      <c r="M98" s="2133"/>
      <c r="Q98" s="3235"/>
      <c r="R98" s="3235"/>
      <c r="S98" s="3235"/>
      <c r="T98" s="3235"/>
      <c r="U98" s="3235"/>
      <c r="V98" s="3235"/>
      <c r="W98" s="3235"/>
      <c r="X98" s="3235"/>
      <c r="Y98" s="3235"/>
      <c r="Z98" s="3235"/>
    </row>
    <row r="99" spans="1:26" s="2128" customFormat="1" ht="15.75" customHeight="1">
      <c r="A99" s="3521"/>
      <c r="B99" s="4825" t="s">
        <v>1655</v>
      </c>
      <c r="C99" s="4747">
        <v>136</v>
      </c>
      <c r="D99" s="4826" t="s">
        <v>1648</v>
      </c>
      <c r="E99" s="4747">
        <v>129</v>
      </c>
      <c r="F99" s="4747" t="s">
        <v>1689</v>
      </c>
      <c r="G99" s="4825" t="s">
        <v>2</v>
      </c>
      <c r="H99" s="4747">
        <v>131</v>
      </c>
      <c r="I99" s="4826" t="s">
        <v>1659</v>
      </c>
      <c r="J99" s="4747">
        <v>125</v>
      </c>
      <c r="K99" s="4747" t="s">
        <v>1667</v>
      </c>
      <c r="L99" s="3427"/>
      <c r="P99" s="5"/>
      <c r="Q99" s="3235"/>
      <c r="R99" s="3235"/>
      <c r="S99" s="3235"/>
      <c r="T99" s="3235"/>
      <c r="U99" s="3235"/>
      <c r="V99" s="3235"/>
      <c r="W99" s="3235"/>
      <c r="X99" s="3235"/>
      <c r="Y99" s="3235"/>
      <c r="Z99" s="3235"/>
    </row>
    <row r="100" spans="1:26" s="2128" customFormat="1" ht="15.75" customHeight="1">
      <c r="A100" s="3521"/>
      <c r="B100" s="4825" t="s">
        <v>1245</v>
      </c>
      <c r="C100" s="4747">
        <v>141</v>
      </c>
      <c r="D100" s="4826" t="s">
        <v>1757</v>
      </c>
      <c r="E100" s="4747">
        <v>133</v>
      </c>
      <c r="F100" s="4747" t="s">
        <v>1689</v>
      </c>
      <c r="G100" s="4825" t="s">
        <v>1691</v>
      </c>
      <c r="H100" s="4747">
        <v>136</v>
      </c>
      <c r="I100" s="4826" t="s">
        <v>1757</v>
      </c>
      <c r="J100" s="4747">
        <v>131</v>
      </c>
      <c r="K100" s="4747" t="s">
        <v>1645</v>
      </c>
      <c r="L100" s="3427"/>
      <c r="Q100" s="3235"/>
      <c r="R100" s="3235"/>
      <c r="S100" s="3235"/>
      <c r="T100" s="3235"/>
      <c r="U100" s="3235"/>
      <c r="V100" s="3235"/>
      <c r="W100" s="3235"/>
      <c r="X100" s="3235"/>
      <c r="Y100" s="3235"/>
      <c r="Z100" s="3235"/>
    </row>
    <row r="101" spans="1:26" s="2128" customFormat="1" ht="15.75" customHeight="1">
      <c r="A101" s="3522"/>
      <c r="B101" s="4825" t="s">
        <v>1838</v>
      </c>
      <c r="C101" s="4747">
        <v>141</v>
      </c>
      <c r="D101" s="4826" t="s">
        <v>1648</v>
      </c>
      <c r="E101" s="4747">
        <v>133</v>
      </c>
      <c r="F101" s="4747" t="s">
        <v>1720</v>
      </c>
      <c r="G101" s="4825" t="s">
        <v>839</v>
      </c>
      <c r="H101" s="4747">
        <v>132</v>
      </c>
      <c r="I101" s="4826" t="s">
        <v>1643</v>
      </c>
      <c r="J101" s="4747">
        <v>123</v>
      </c>
      <c r="K101" s="4747" t="s">
        <v>1759</v>
      </c>
      <c r="L101" s="3427"/>
      <c r="M101" s="2133"/>
      <c r="Q101" s="3235"/>
      <c r="R101" s="3235"/>
      <c r="S101" s="3235"/>
      <c r="T101" s="3235"/>
      <c r="U101" s="3235"/>
      <c r="V101" s="3235"/>
      <c r="W101" s="3235"/>
      <c r="X101" s="3235"/>
      <c r="Y101" s="3235"/>
      <c r="Z101" s="3235"/>
    </row>
    <row r="102" spans="1:26" s="2128" customFormat="1" ht="15.75" customHeight="1">
      <c r="A102" s="3438"/>
      <c r="B102" s="4825" t="s">
        <v>1658</v>
      </c>
      <c r="C102" s="4829">
        <v>142</v>
      </c>
      <c r="D102" s="5163" t="s">
        <v>1762</v>
      </c>
      <c r="E102" s="4829">
        <v>134</v>
      </c>
      <c r="F102" s="4747" t="s">
        <v>1667</v>
      </c>
      <c r="G102" s="4825" t="s">
        <v>1692</v>
      </c>
      <c r="H102" s="4747">
        <v>136</v>
      </c>
      <c r="I102" s="4826" t="s">
        <v>1676</v>
      </c>
      <c r="J102" s="4747">
        <v>134</v>
      </c>
      <c r="K102" s="4747" t="s">
        <v>1720</v>
      </c>
      <c r="L102" s="3427"/>
      <c r="P102" s="5"/>
      <c r="Q102" s="3235"/>
      <c r="R102" s="3235"/>
      <c r="S102" s="3235"/>
      <c r="T102" s="3235"/>
      <c r="U102" s="3235"/>
      <c r="V102" s="3235"/>
      <c r="W102" s="3235"/>
      <c r="X102" s="3235"/>
      <c r="Y102" s="3235"/>
      <c r="Z102" s="3235"/>
    </row>
    <row r="103" spans="1:26" s="2128" customFormat="1" ht="15.75" customHeight="1">
      <c r="A103" s="3438"/>
      <c r="B103" s="4825" t="s">
        <v>564</v>
      </c>
      <c r="C103" s="4829">
        <v>134</v>
      </c>
      <c r="D103" s="5163" t="s">
        <v>1757</v>
      </c>
      <c r="E103" s="4829">
        <v>125</v>
      </c>
      <c r="F103" s="4747" t="s">
        <v>1677</v>
      </c>
      <c r="G103" s="4825" t="s">
        <v>1694</v>
      </c>
      <c r="H103" s="4747">
        <v>138</v>
      </c>
      <c r="I103" s="4826" t="s">
        <v>1646</v>
      </c>
      <c r="J103" s="4747">
        <v>127</v>
      </c>
      <c r="K103" s="4747" t="s">
        <v>1660</v>
      </c>
      <c r="L103" s="3427"/>
      <c r="Q103" s="3235"/>
      <c r="R103" s="3235"/>
      <c r="S103" s="3235"/>
      <c r="T103" s="3235"/>
      <c r="U103" s="3235"/>
      <c r="V103" s="3235"/>
      <c r="W103" s="3235"/>
      <c r="X103" s="3235"/>
      <c r="Y103" s="3235"/>
      <c r="Z103" s="3235"/>
    </row>
    <row r="104" spans="1:26" ht="14.45" customHeight="1">
      <c r="A104" s="3358"/>
      <c r="B104" s="4825" t="s">
        <v>1661</v>
      </c>
      <c r="C104" s="4829">
        <v>140</v>
      </c>
      <c r="D104" s="5163" t="s">
        <v>1646</v>
      </c>
      <c r="E104" s="4829">
        <v>130</v>
      </c>
      <c r="F104" s="4747" t="s">
        <v>1648</v>
      </c>
      <c r="G104" s="4825" t="s">
        <v>1697</v>
      </c>
      <c r="H104" s="4747">
        <v>139</v>
      </c>
      <c r="I104" s="4826" t="s">
        <v>1797</v>
      </c>
      <c r="J104" s="4747">
        <v>132</v>
      </c>
      <c r="K104" s="4747" t="s">
        <v>1720</v>
      </c>
      <c r="L104" s="3425"/>
      <c r="M104" s="2133"/>
      <c r="P104" s="2128"/>
      <c r="Q104" s="3235"/>
      <c r="R104" s="3235"/>
      <c r="S104" s="3235"/>
      <c r="T104" s="3235"/>
      <c r="U104" s="3235"/>
      <c r="V104" s="3235"/>
      <c r="W104" s="3235"/>
      <c r="X104" s="3235"/>
      <c r="Y104" s="3235"/>
      <c r="Z104" s="3235"/>
    </row>
    <row r="105" spans="1:26" ht="15.75">
      <c r="A105" s="3358"/>
      <c r="B105" s="4825" t="s">
        <v>570</v>
      </c>
      <c r="C105" s="4829">
        <v>137</v>
      </c>
      <c r="D105" s="5163" t="s">
        <v>1646</v>
      </c>
      <c r="E105" s="4829">
        <v>120</v>
      </c>
      <c r="F105" s="4747" t="s">
        <v>1667</v>
      </c>
      <c r="G105" s="4825" t="s">
        <v>818</v>
      </c>
      <c r="H105" s="4747">
        <v>131</v>
      </c>
      <c r="I105" s="4826" t="s">
        <v>1648</v>
      </c>
      <c r="J105" s="4747">
        <v>128</v>
      </c>
      <c r="K105" s="4747" t="s">
        <v>1698</v>
      </c>
      <c r="L105" s="3425"/>
      <c r="M105" s="2128"/>
      <c r="Q105" s="3235"/>
      <c r="R105" s="3235"/>
      <c r="S105" s="3235"/>
      <c r="T105" s="3235"/>
      <c r="U105" s="3235"/>
      <c r="V105" s="3235"/>
      <c r="W105" s="3235"/>
      <c r="X105" s="3235"/>
      <c r="Y105" s="3235"/>
      <c r="Z105" s="3235"/>
    </row>
    <row r="106" spans="1:26" ht="15.75">
      <c r="A106" s="3358"/>
      <c r="B106" s="4825" t="s">
        <v>1300</v>
      </c>
      <c r="C106" s="4829">
        <v>134</v>
      </c>
      <c r="D106" s="5163" t="s">
        <v>1762</v>
      </c>
      <c r="E106" s="4829">
        <v>128</v>
      </c>
      <c r="F106" s="4747" t="s">
        <v>1689</v>
      </c>
      <c r="G106" s="4825" t="s">
        <v>4</v>
      </c>
      <c r="H106" s="4747">
        <v>134</v>
      </c>
      <c r="I106" s="4826" t="s">
        <v>1652</v>
      </c>
      <c r="J106" s="4747">
        <v>132</v>
      </c>
      <c r="K106" s="4747" t="s">
        <v>1651</v>
      </c>
      <c r="L106" s="3351"/>
      <c r="M106" s="2128"/>
      <c r="P106" s="2128"/>
      <c r="Q106" s="3235"/>
      <c r="R106" s="3235"/>
      <c r="S106" s="3235"/>
      <c r="T106" s="3235"/>
      <c r="U106" s="3235"/>
      <c r="V106" s="3235"/>
      <c r="W106" s="3235"/>
      <c r="X106" s="3235"/>
      <c r="Y106" s="3235"/>
      <c r="Z106" s="3235"/>
    </row>
    <row r="107" spans="1:26" ht="15.75">
      <c r="A107" s="3358"/>
      <c r="B107" s="4825" t="s">
        <v>650</v>
      </c>
      <c r="C107" s="4829">
        <v>138</v>
      </c>
      <c r="D107" s="5163" t="s">
        <v>1646</v>
      </c>
      <c r="E107" s="4829">
        <v>128</v>
      </c>
      <c r="F107" s="4747" t="s">
        <v>1659</v>
      </c>
      <c r="G107" s="4825" t="s">
        <v>577</v>
      </c>
      <c r="H107" s="4747">
        <v>135</v>
      </c>
      <c r="I107" s="4826" t="s">
        <v>1657</v>
      </c>
      <c r="J107" s="4747">
        <v>127</v>
      </c>
      <c r="K107" s="4747" t="s">
        <v>1757</v>
      </c>
      <c r="L107" s="3351"/>
      <c r="M107" s="2133"/>
      <c r="Q107" s="3235"/>
      <c r="R107" s="3235"/>
      <c r="S107" s="3235"/>
      <c r="T107" s="3235"/>
      <c r="U107" s="3235"/>
      <c r="V107" s="3235"/>
      <c r="W107" s="3235"/>
      <c r="X107" s="3235"/>
      <c r="Y107" s="3235"/>
      <c r="Z107" s="3235"/>
    </row>
    <row r="108" spans="1:26" ht="15.75">
      <c r="A108" s="3358"/>
      <c r="B108" s="4825" t="s">
        <v>1662</v>
      </c>
      <c r="C108" s="4747">
        <v>132</v>
      </c>
      <c r="D108" s="4826" t="s">
        <v>1754</v>
      </c>
      <c r="E108" s="4747">
        <v>126</v>
      </c>
      <c r="F108" s="4747" t="s">
        <v>1667</v>
      </c>
      <c r="G108" s="4825" t="s">
        <v>572</v>
      </c>
      <c r="H108" s="4747">
        <v>134</v>
      </c>
      <c r="I108" s="4826" t="s">
        <v>1647</v>
      </c>
      <c r="J108" s="4747">
        <v>114</v>
      </c>
      <c r="K108" s="4747" t="s">
        <v>1645</v>
      </c>
      <c r="L108" s="3351"/>
      <c r="N108" s="3129"/>
      <c r="Q108" s="3235"/>
      <c r="R108" s="3235"/>
      <c r="S108" s="3235"/>
      <c r="T108" s="3235"/>
      <c r="U108" s="3235"/>
      <c r="V108" s="3235"/>
      <c r="W108" s="3235"/>
      <c r="X108" s="3235"/>
      <c r="Y108" s="3235"/>
      <c r="Z108" s="3235"/>
    </row>
    <row r="109" spans="1:26" ht="18" customHeight="1">
      <c r="A109" s="3351"/>
      <c r="B109" s="4825" t="s">
        <v>1663</v>
      </c>
      <c r="C109" s="4747">
        <v>140</v>
      </c>
      <c r="D109" s="4826" t="s">
        <v>1754</v>
      </c>
      <c r="E109" s="4747">
        <v>130</v>
      </c>
      <c r="F109" s="4747" t="s">
        <v>1759</v>
      </c>
      <c r="G109" s="4825" t="s">
        <v>1704</v>
      </c>
      <c r="H109" s="4747">
        <v>141</v>
      </c>
      <c r="I109" s="4826" t="s">
        <v>1646</v>
      </c>
      <c r="J109" s="4747">
        <v>130</v>
      </c>
      <c r="K109" s="4747" t="s">
        <v>1689</v>
      </c>
      <c r="L109" s="3351"/>
      <c r="M109" s="3128"/>
      <c r="N109" s="3130"/>
      <c r="P109" s="2128"/>
      <c r="Q109" s="3235"/>
      <c r="R109" s="3235"/>
      <c r="S109" s="3235"/>
      <c r="T109" s="3235"/>
      <c r="U109" s="3235"/>
      <c r="V109" s="3235"/>
      <c r="W109" s="3235"/>
      <c r="X109" s="3235"/>
      <c r="Y109" s="3235"/>
      <c r="Z109" s="3235"/>
    </row>
    <row r="110" spans="1:26" ht="15.75">
      <c r="A110" s="3351"/>
      <c r="B110" s="4825" t="s">
        <v>561</v>
      </c>
      <c r="C110" s="4747">
        <v>137</v>
      </c>
      <c r="D110" s="4826" t="s">
        <v>1646</v>
      </c>
      <c r="E110" s="4747">
        <v>127</v>
      </c>
      <c r="F110" s="4747" t="s">
        <v>1667</v>
      </c>
      <c r="G110" s="4825" t="s">
        <v>568</v>
      </c>
      <c r="H110" s="4747">
        <v>132</v>
      </c>
      <c r="I110" s="4826" t="s">
        <v>1646</v>
      </c>
      <c r="J110" s="4747">
        <v>126</v>
      </c>
      <c r="K110" s="4747" t="s">
        <v>1667</v>
      </c>
      <c r="L110" s="3351"/>
      <c r="P110" s="2128"/>
      <c r="Q110" s="3235"/>
      <c r="R110" s="3235"/>
      <c r="S110" s="3235"/>
      <c r="T110" s="3235"/>
      <c r="U110" s="3235"/>
      <c r="V110" s="3235"/>
      <c r="W110" s="3235"/>
      <c r="X110" s="3235"/>
      <c r="Y110" s="3235"/>
      <c r="Z110" s="3235"/>
    </row>
    <row r="111" spans="1:26" ht="15.75">
      <c r="A111" s="3351"/>
      <c r="B111" s="4825" t="s">
        <v>1</v>
      </c>
      <c r="C111" s="4747">
        <v>136</v>
      </c>
      <c r="D111" s="4826" t="s">
        <v>1652</v>
      </c>
      <c r="E111" s="4747">
        <v>132</v>
      </c>
      <c r="F111" s="4747" t="s">
        <v>1659</v>
      </c>
      <c r="G111" s="4825" t="s">
        <v>1208</v>
      </c>
      <c r="H111" s="4747">
        <v>136</v>
      </c>
      <c r="I111" s="4826" t="s">
        <v>1651</v>
      </c>
      <c r="J111" s="4747">
        <v>128</v>
      </c>
      <c r="K111" s="4747" t="s">
        <v>1667</v>
      </c>
      <c r="L111" s="3358"/>
      <c r="Q111" s="3235"/>
      <c r="R111" s="3235"/>
      <c r="S111" s="3235"/>
      <c r="T111" s="3235"/>
      <c r="U111" s="3235"/>
      <c r="V111" s="3235"/>
      <c r="W111" s="3235"/>
      <c r="X111" s="3235"/>
      <c r="Y111" s="3235"/>
      <c r="Z111" s="3235"/>
    </row>
    <row r="112" spans="1:26" ht="15.75">
      <c r="B112" s="4825" t="s">
        <v>1229</v>
      </c>
      <c r="C112" s="4747">
        <v>132</v>
      </c>
      <c r="D112" s="4826" t="s">
        <v>1677</v>
      </c>
      <c r="E112" s="4747">
        <v>123</v>
      </c>
      <c r="F112" s="4747" t="s">
        <v>1657</v>
      </c>
      <c r="G112" s="4825" t="s">
        <v>558</v>
      </c>
      <c r="H112" s="4747">
        <v>132</v>
      </c>
      <c r="I112" s="4826" t="s">
        <v>1754</v>
      </c>
      <c r="J112" s="4747">
        <v>125</v>
      </c>
      <c r="K112" s="4747" t="s">
        <v>1667</v>
      </c>
      <c r="L112" s="345"/>
      <c r="P112" s="2128"/>
      <c r="Q112" s="3235"/>
      <c r="R112" s="3235"/>
      <c r="S112" s="3235"/>
      <c r="T112" s="3235"/>
      <c r="U112" s="3235"/>
      <c r="V112" s="3235"/>
      <c r="W112" s="3235"/>
      <c r="X112" s="3235"/>
      <c r="Y112" s="3235"/>
      <c r="Z112" s="3235"/>
    </row>
    <row r="113" spans="2:26" ht="15.75">
      <c r="B113" s="4825" t="s">
        <v>1670</v>
      </c>
      <c r="C113" s="4747">
        <v>137</v>
      </c>
      <c r="D113" s="4826" t="s">
        <v>1645</v>
      </c>
      <c r="E113" s="4747">
        <v>127</v>
      </c>
      <c r="F113" s="4747" t="s">
        <v>1667</v>
      </c>
      <c r="G113" s="4825" t="s">
        <v>1709</v>
      </c>
      <c r="H113" s="4747">
        <v>131</v>
      </c>
      <c r="I113" s="4826" t="s">
        <v>1652</v>
      </c>
      <c r="J113" s="4747">
        <v>124</v>
      </c>
      <c r="K113" s="4747" t="s">
        <v>1667</v>
      </c>
      <c r="L113" s="345"/>
      <c r="Q113" s="3235"/>
      <c r="R113" s="3235"/>
      <c r="S113" s="3235"/>
      <c r="T113" s="3235"/>
      <c r="U113" s="3235"/>
      <c r="V113" s="3235"/>
      <c r="W113" s="3235"/>
      <c r="X113" s="3235"/>
      <c r="Y113" s="3235"/>
      <c r="Z113" s="3235"/>
    </row>
    <row r="114" spans="2:26" ht="15.75">
      <c r="B114" s="4825" t="s">
        <v>1672</v>
      </c>
      <c r="C114" s="4747">
        <v>138</v>
      </c>
      <c r="D114" s="4826" t="s">
        <v>1754</v>
      </c>
      <c r="E114" s="4747">
        <v>130</v>
      </c>
      <c r="F114" s="4747" t="s">
        <v>1667</v>
      </c>
      <c r="G114" s="4825" t="s">
        <v>1711</v>
      </c>
      <c r="H114" s="4747">
        <v>136</v>
      </c>
      <c r="I114" s="4826" t="s">
        <v>1754</v>
      </c>
      <c r="J114" s="4747">
        <v>128</v>
      </c>
      <c r="K114" s="4747" t="s">
        <v>1667</v>
      </c>
      <c r="L114" s="345"/>
      <c r="P114" s="3490"/>
      <c r="Q114" s="3235"/>
      <c r="R114" s="3490"/>
      <c r="S114" s="3490"/>
      <c r="T114" s="3490"/>
      <c r="U114" s="3490"/>
      <c r="V114" s="3490"/>
      <c r="W114" s="3490"/>
      <c r="X114" s="3490"/>
      <c r="Y114" s="2092"/>
    </row>
    <row r="115" spans="2:26" ht="15.75">
      <c r="B115" s="4825" t="s">
        <v>5</v>
      </c>
      <c r="C115" s="4747">
        <v>138</v>
      </c>
      <c r="D115" s="4826" t="s">
        <v>1648</v>
      </c>
      <c r="E115" s="4747">
        <v>132</v>
      </c>
      <c r="F115" s="4747" t="s">
        <v>1800</v>
      </c>
      <c r="G115" s="4825"/>
      <c r="H115" s="4747"/>
      <c r="I115" s="4826"/>
      <c r="J115" s="4747"/>
      <c r="K115" s="4747"/>
      <c r="L115" s="345"/>
      <c r="Q115" s="3235"/>
      <c r="R115" s="2092"/>
      <c r="S115" s="2092"/>
      <c r="T115" s="2092"/>
      <c r="U115" s="2092"/>
      <c r="V115" s="2092"/>
      <c r="W115" s="2092"/>
      <c r="X115" s="2092"/>
      <c r="Y115" s="2092"/>
    </row>
    <row r="116" spans="2:26" ht="15.75">
      <c r="B116" s="4825" t="s">
        <v>657</v>
      </c>
      <c r="C116" s="4747">
        <v>140</v>
      </c>
      <c r="D116" s="4826" t="s">
        <v>1757</v>
      </c>
      <c r="E116" s="4747">
        <v>131</v>
      </c>
      <c r="F116" s="4747" t="s">
        <v>1720</v>
      </c>
      <c r="G116" s="4825"/>
      <c r="H116" s="4747"/>
      <c r="I116" s="4826"/>
      <c r="J116" s="4747"/>
      <c r="K116" s="4747"/>
      <c r="Q116" s="3235"/>
      <c r="R116" s="2092"/>
      <c r="S116" s="2092"/>
      <c r="T116" s="2092"/>
      <c r="U116" s="2092"/>
      <c r="V116" s="2092"/>
      <c r="W116" s="2092"/>
      <c r="X116" s="2092"/>
      <c r="Y116" s="2092"/>
    </row>
    <row r="117" spans="2:26" ht="15.75">
      <c r="B117" s="4825" t="s">
        <v>553</v>
      </c>
      <c r="C117" s="4747">
        <v>139</v>
      </c>
      <c r="D117" s="4826" t="s">
        <v>1646</v>
      </c>
      <c r="E117" s="4747">
        <v>128</v>
      </c>
      <c r="F117" s="4747" t="s">
        <v>1667</v>
      </c>
      <c r="G117" s="4825"/>
      <c r="H117" s="4747"/>
      <c r="I117" s="4826"/>
      <c r="J117" s="4747"/>
      <c r="K117" s="4747"/>
      <c r="P117" s="2128"/>
      <c r="Q117" s="3235"/>
      <c r="R117" s="3244"/>
      <c r="S117" s="3244"/>
      <c r="T117" s="3244"/>
      <c r="U117" s="3244"/>
      <c r="V117" s="3244"/>
      <c r="W117" s="3244"/>
      <c r="X117" s="3244"/>
      <c r="Y117" s="2092"/>
    </row>
    <row r="118" spans="2:26" ht="15.75">
      <c r="B118" s="4825" t="s">
        <v>1244</v>
      </c>
      <c r="C118" s="4747">
        <v>132</v>
      </c>
      <c r="D118" s="4826" t="s">
        <v>1797</v>
      </c>
      <c r="E118" s="4747">
        <v>126</v>
      </c>
      <c r="F118" s="4747" t="s">
        <v>1647</v>
      </c>
      <c r="G118" s="4825"/>
      <c r="H118" s="4747"/>
      <c r="I118" s="4826"/>
      <c r="J118" s="4747"/>
      <c r="K118" s="4747"/>
      <c r="P118" s="2128"/>
      <c r="Q118" s="3235"/>
      <c r="R118" s="3244"/>
      <c r="S118" s="3244"/>
      <c r="T118" s="3244"/>
      <c r="U118" s="3244"/>
      <c r="V118" s="3244"/>
      <c r="W118" s="3244"/>
      <c r="X118" s="3244"/>
      <c r="Y118" s="2092"/>
    </row>
    <row r="119" spans="2:26" ht="15.75">
      <c r="B119" s="4825" t="s">
        <v>674</v>
      </c>
      <c r="C119" s="4747">
        <v>140</v>
      </c>
      <c r="D119" s="4826" t="s">
        <v>1652</v>
      </c>
      <c r="E119" s="4747">
        <v>126</v>
      </c>
      <c r="F119" s="4828" t="s">
        <v>1689</v>
      </c>
      <c r="G119" s="4825"/>
      <c r="H119" s="4747"/>
      <c r="I119" s="4826"/>
      <c r="J119" s="4747"/>
      <c r="K119" s="4747"/>
      <c r="Q119" s="3235"/>
      <c r="R119" s="2092"/>
      <c r="S119" s="2092"/>
      <c r="T119" s="2092"/>
      <c r="U119" s="2092"/>
      <c r="V119" s="2092"/>
      <c r="W119" s="2092"/>
      <c r="X119" s="2092"/>
      <c r="Y119" s="2092"/>
    </row>
    <row r="120" spans="2:26" ht="15.75">
      <c r="B120" s="4825" t="s">
        <v>1679</v>
      </c>
      <c r="C120" s="4747">
        <v>139</v>
      </c>
      <c r="D120" s="4826" t="s">
        <v>1646</v>
      </c>
      <c r="E120" s="4747">
        <v>130</v>
      </c>
      <c r="F120" s="4747" t="s">
        <v>1720</v>
      </c>
      <c r="G120" s="4825"/>
      <c r="H120" s="4747"/>
      <c r="I120" s="4826"/>
      <c r="J120" s="4747"/>
      <c r="K120" s="4747"/>
      <c r="P120" s="2128"/>
      <c r="Q120" s="3235"/>
      <c r="R120" s="3244"/>
      <c r="S120" s="3244"/>
      <c r="T120" s="3244"/>
      <c r="U120" s="3244"/>
      <c r="V120" s="3244"/>
      <c r="W120" s="3244"/>
      <c r="X120" s="3244"/>
      <c r="Y120" s="2092"/>
    </row>
    <row r="121" spans="2:26" ht="15.75">
      <c r="B121" s="4825" t="s">
        <v>1681</v>
      </c>
      <c r="C121" s="4747">
        <v>136</v>
      </c>
      <c r="D121" s="4826" t="s">
        <v>1648</v>
      </c>
      <c r="E121" s="4747">
        <v>134</v>
      </c>
      <c r="F121" s="4747" t="s">
        <v>1698</v>
      </c>
      <c r="G121" s="4825"/>
      <c r="H121" s="4747"/>
      <c r="I121" s="4826"/>
      <c r="J121" s="4747"/>
      <c r="K121" s="4747"/>
      <c r="P121" s="2128"/>
      <c r="Q121" s="3235"/>
      <c r="R121" s="3244"/>
      <c r="S121" s="3244"/>
      <c r="T121" s="3244"/>
      <c r="U121" s="3244"/>
      <c r="V121" s="3244"/>
      <c r="W121" s="3244"/>
      <c r="X121" s="3244"/>
      <c r="Y121" s="2092"/>
    </row>
    <row r="122" spans="2:26" ht="15.75">
      <c r="B122" s="4825" t="s">
        <v>1074</v>
      </c>
      <c r="C122" s="4747">
        <v>131</v>
      </c>
      <c r="D122" s="4826" t="s">
        <v>1762</v>
      </c>
      <c r="E122" s="4747">
        <v>114</v>
      </c>
      <c r="F122" s="4747" t="s">
        <v>1645</v>
      </c>
      <c r="G122" s="4825"/>
      <c r="H122" s="4747"/>
      <c r="I122" s="4826"/>
      <c r="J122" s="4747"/>
      <c r="K122" s="4747"/>
      <c r="Q122" s="3235"/>
      <c r="R122" s="2092"/>
      <c r="S122" s="2092"/>
      <c r="T122" s="2092"/>
      <c r="U122" s="2092"/>
      <c r="V122" s="2092"/>
      <c r="W122" s="2092"/>
      <c r="X122" s="2092"/>
      <c r="Y122" s="2092"/>
    </row>
    <row r="123" spans="2:26" ht="15.75">
      <c r="B123" s="4825" t="s">
        <v>1685</v>
      </c>
      <c r="C123" s="4747">
        <v>139</v>
      </c>
      <c r="D123" s="4826" t="s">
        <v>1757</v>
      </c>
      <c r="E123" s="4747">
        <v>132</v>
      </c>
      <c r="F123" s="4747" t="s">
        <v>1677</v>
      </c>
      <c r="G123" s="4825"/>
      <c r="H123" s="4747"/>
      <c r="I123" s="4826"/>
      <c r="J123" s="4747"/>
      <c r="K123" s="4747"/>
      <c r="P123" s="2128"/>
      <c r="Q123" s="3235"/>
      <c r="R123" s="3244"/>
      <c r="S123" s="3244"/>
      <c r="T123" s="3244"/>
      <c r="U123" s="3244"/>
      <c r="V123" s="3244"/>
      <c r="W123" s="3244"/>
      <c r="X123" s="3244"/>
      <c r="Y123" s="2092"/>
    </row>
    <row r="124" spans="2:26" ht="18">
      <c r="B124" s="4748"/>
      <c r="C124" s="4749"/>
      <c r="D124" s="4749"/>
      <c r="E124" s="4749"/>
      <c r="F124" s="4749"/>
      <c r="G124" s="4748"/>
      <c r="H124" s="4749"/>
      <c r="I124" s="4749"/>
      <c r="J124" s="4749"/>
      <c r="K124" s="4749"/>
      <c r="P124" s="2128"/>
      <c r="Q124" s="3235"/>
      <c r="R124" s="3244"/>
      <c r="S124" s="3244"/>
      <c r="T124" s="3244"/>
      <c r="U124" s="3244"/>
      <c r="V124" s="3244"/>
      <c r="W124" s="3244"/>
      <c r="X124" s="3244"/>
      <c r="Y124" s="2092"/>
    </row>
    <row r="125" spans="2:26" ht="18">
      <c r="B125" s="3452"/>
      <c r="C125" s="4750"/>
      <c r="D125" s="4750"/>
      <c r="E125" s="4750"/>
      <c r="F125" s="4750"/>
      <c r="G125" s="3452"/>
      <c r="H125" s="4750"/>
      <c r="I125" s="4750"/>
      <c r="J125" s="4750"/>
      <c r="K125" s="4750"/>
      <c r="Q125" s="3235"/>
      <c r="R125" s="2092"/>
      <c r="S125" s="2092"/>
      <c r="T125" s="2092"/>
      <c r="U125" s="2092"/>
      <c r="V125" s="2092"/>
      <c r="W125" s="2092"/>
      <c r="X125" s="2092"/>
      <c r="Y125" s="2092"/>
    </row>
    <row r="126" spans="2:26">
      <c r="Q126" s="3235"/>
      <c r="R126" s="2092"/>
      <c r="S126" s="2092"/>
      <c r="T126" s="2092"/>
      <c r="U126" s="2092"/>
      <c r="V126" s="2092"/>
      <c r="W126" s="2092"/>
      <c r="X126" s="2092"/>
      <c r="Y126" s="2092"/>
    </row>
    <row r="127" spans="2:26">
      <c r="Q127" s="3235"/>
      <c r="R127" s="2092"/>
      <c r="S127" s="2092"/>
      <c r="T127" s="2092"/>
      <c r="U127" s="2092"/>
      <c r="V127" s="2092"/>
      <c r="W127" s="2092"/>
      <c r="X127" s="2092"/>
      <c r="Y127" s="2092"/>
    </row>
    <row r="128" spans="2:26" ht="18">
      <c r="B128" s="3452"/>
      <c r="C128" s="4750"/>
      <c r="D128" s="4750"/>
      <c r="E128" s="4750"/>
      <c r="F128" s="4750"/>
      <c r="G128" s="3452"/>
      <c r="H128" s="4750"/>
      <c r="I128" s="4750"/>
      <c r="J128" s="4750"/>
      <c r="K128" s="4750"/>
      <c r="Q128" s="3235"/>
      <c r="R128" s="2092"/>
      <c r="S128" s="2092"/>
      <c r="T128" s="2092"/>
      <c r="U128" s="2092"/>
      <c r="V128" s="2092"/>
      <c r="W128" s="2092"/>
      <c r="X128" s="2092"/>
      <c r="Y128" s="2092"/>
    </row>
    <row r="129" spans="2:25" ht="18">
      <c r="B129" s="3452"/>
      <c r="C129" s="4750"/>
      <c r="D129" s="4750"/>
      <c r="E129" s="4750"/>
      <c r="F129" s="4750"/>
      <c r="G129" s="3452"/>
      <c r="H129" s="4750"/>
      <c r="I129" s="4750"/>
      <c r="J129" s="4750"/>
      <c r="K129" s="4750"/>
      <c r="P129" s="2128"/>
      <c r="Q129" s="3235"/>
      <c r="R129" s="3244"/>
      <c r="S129" s="3244"/>
      <c r="T129" s="3244"/>
      <c r="U129" s="3244"/>
      <c r="V129" s="3244"/>
      <c r="W129" s="3244"/>
      <c r="X129" s="3244"/>
      <c r="Y129" s="2092"/>
    </row>
    <row r="130" spans="2:25" ht="18">
      <c r="B130" s="3452"/>
      <c r="C130" s="4750"/>
      <c r="D130" s="4750"/>
      <c r="E130" s="4750"/>
      <c r="F130" s="4750"/>
      <c r="G130" s="3452"/>
      <c r="H130" s="4750"/>
      <c r="I130" s="4750"/>
      <c r="J130" s="4750"/>
      <c r="K130" s="4750"/>
      <c r="P130" s="3235"/>
      <c r="Q130" s="3235"/>
      <c r="R130" s="3235"/>
      <c r="S130" s="3235"/>
      <c r="T130" s="3235"/>
      <c r="U130" s="3235"/>
      <c r="V130" s="3235"/>
      <c r="W130" s="3235"/>
      <c r="X130" s="3235"/>
      <c r="Y130" s="2092"/>
    </row>
    <row r="131" spans="2:25" ht="18">
      <c r="B131" s="3451" t="s">
        <v>675</v>
      </c>
      <c r="C131" s="3452"/>
      <c r="D131" s="3452"/>
      <c r="E131" s="3452"/>
      <c r="F131" s="3452"/>
      <c r="G131" s="3452"/>
      <c r="H131" s="3453" t="s">
        <v>432</v>
      </c>
      <c r="I131" s="3454"/>
      <c r="J131" s="95"/>
      <c r="K131" s="95"/>
      <c r="P131" s="2128"/>
      <c r="Q131" s="3235"/>
      <c r="R131" s="3244"/>
      <c r="S131" s="3244"/>
      <c r="T131" s="3244"/>
      <c r="U131" s="3244"/>
      <c r="V131" s="3244"/>
      <c r="W131" s="3244"/>
      <c r="X131" s="3244"/>
      <c r="Y131" s="2092"/>
    </row>
    <row r="132" spans="2:25" ht="18">
      <c r="B132" s="3454" t="s">
        <v>377</v>
      </c>
      <c r="C132" s="95"/>
      <c r="D132" s="3455"/>
      <c r="E132" s="95"/>
      <c r="F132" s="95"/>
      <c r="G132" s="95"/>
      <c r="H132" s="3454" t="s">
        <v>377</v>
      </c>
      <c r="I132" s="95"/>
      <c r="J132" s="95"/>
      <c r="K132" s="3456" t="s">
        <v>1265</v>
      </c>
      <c r="Q132" s="3235"/>
      <c r="R132" s="2092"/>
      <c r="S132" s="2092"/>
      <c r="T132" s="2092"/>
      <c r="U132" s="2092"/>
      <c r="V132" s="2092"/>
      <c r="W132" s="2092"/>
      <c r="X132" s="2092"/>
      <c r="Y132" s="2092"/>
    </row>
    <row r="133" spans="2:25">
      <c r="P133" s="2128"/>
      <c r="Q133" s="3235"/>
      <c r="R133" s="3244"/>
      <c r="S133" s="3244"/>
      <c r="T133" s="3244"/>
      <c r="U133" s="3244"/>
      <c r="V133" s="3244"/>
      <c r="W133" s="3244"/>
      <c r="X133" s="3244"/>
      <c r="Y133" s="2092"/>
    </row>
    <row r="134" spans="2:25">
      <c r="P134" s="3487"/>
      <c r="Q134" s="3235"/>
      <c r="R134" s="3487"/>
      <c r="S134" s="3487"/>
      <c r="T134" s="3487"/>
      <c r="U134" s="3487"/>
      <c r="V134" s="3487"/>
      <c r="W134" s="3487"/>
      <c r="X134" s="3487"/>
      <c r="Y134" s="2092"/>
    </row>
    <row r="135" spans="2:25">
      <c r="Q135" s="3235"/>
      <c r="R135" s="2092"/>
      <c r="S135" s="2092"/>
      <c r="T135" s="2092"/>
      <c r="U135" s="2092"/>
      <c r="V135" s="2092"/>
      <c r="W135" s="2092"/>
      <c r="X135" s="2092"/>
      <c r="Y135" s="2092"/>
    </row>
    <row r="136" spans="2:25">
      <c r="P136" s="2128"/>
      <c r="Q136" s="3235"/>
      <c r="R136" s="3244"/>
      <c r="S136" s="3244"/>
      <c r="T136" s="3244"/>
      <c r="U136" s="3244"/>
      <c r="V136" s="3244"/>
      <c r="W136" s="3244"/>
      <c r="X136" s="3244"/>
      <c r="Y136" s="2092"/>
    </row>
    <row r="137" spans="2:25">
      <c r="P137" s="2128"/>
      <c r="Q137" s="3235"/>
      <c r="R137" s="3244"/>
      <c r="S137" s="3244"/>
      <c r="T137" s="3244"/>
      <c r="U137" s="3244"/>
      <c r="V137" s="3244"/>
      <c r="W137" s="3244"/>
      <c r="X137" s="3244"/>
      <c r="Y137" s="2092"/>
    </row>
    <row r="138" spans="2:25">
      <c r="P138" s="2128"/>
      <c r="Q138" s="3235"/>
      <c r="R138" s="3244"/>
      <c r="S138" s="3244"/>
      <c r="T138" s="3244"/>
      <c r="U138" s="3244"/>
      <c r="V138" s="3244"/>
      <c r="W138" s="3244"/>
      <c r="X138" s="3244"/>
      <c r="Y138" s="2092"/>
    </row>
    <row r="139" spans="2:25">
      <c r="Q139" s="3235"/>
      <c r="R139" s="2092"/>
      <c r="S139" s="2092"/>
      <c r="T139" s="2092"/>
      <c r="U139" s="2092"/>
      <c r="V139" s="2092"/>
      <c r="W139" s="2092"/>
      <c r="X139" s="2092"/>
      <c r="Y139" s="2092"/>
    </row>
    <row r="140" spans="2:25">
      <c r="Q140" s="3235"/>
      <c r="R140" s="2092"/>
      <c r="S140" s="2092"/>
      <c r="T140" s="2092"/>
      <c r="U140" s="2092"/>
      <c r="V140" s="2092"/>
      <c r="W140" s="2092"/>
      <c r="X140" s="2092"/>
      <c r="Y140" s="2092"/>
    </row>
    <row r="141" spans="2:25">
      <c r="Q141" s="3235"/>
      <c r="R141" s="2092"/>
      <c r="S141" s="2092"/>
      <c r="T141" s="2092"/>
      <c r="U141" s="2092"/>
      <c r="V141" s="2092"/>
      <c r="W141" s="2092"/>
      <c r="X141" s="2092"/>
      <c r="Y141" s="2092"/>
    </row>
    <row r="142" spans="2:25">
      <c r="P142" s="2128"/>
      <c r="Q142" s="3235"/>
      <c r="R142" s="3244"/>
      <c r="S142" s="3244"/>
      <c r="T142" s="3244"/>
      <c r="U142" s="3244"/>
      <c r="V142" s="3244"/>
      <c r="W142" s="3244"/>
      <c r="X142" s="3244"/>
      <c r="Y142" s="2092"/>
    </row>
    <row r="143" spans="2:25">
      <c r="Q143" s="3235"/>
      <c r="R143" s="2092"/>
      <c r="S143" s="2092"/>
      <c r="T143" s="2092"/>
      <c r="U143" s="2092"/>
      <c r="V143" s="2092"/>
      <c r="W143" s="2092"/>
      <c r="X143" s="2092"/>
      <c r="Y143" s="2092"/>
    </row>
    <row r="144" spans="2:25">
      <c r="Q144" s="3235"/>
      <c r="R144" s="2092"/>
      <c r="S144" s="2092"/>
      <c r="T144" s="2092"/>
      <c r="U144" s="2092"/>
      <c r="V144" s="2092"/>
      <c r="W144" s="2092"/>
      <c r="X144" s="2092"/>
      <c r="Y144" s="2092"/>
    </row>
    <row r="145" spans="16:25">
      <c r="Q145" s="3235"/>
      <c r="R145" s="2092"/>
      <c r="S145" s="2092"/>
      <c r="T145" s="2092"/>
      <c r="U145" s="2092"/>
      <c r="V145" s="2092"/>
      <c r="W145" s="2092"/>
      <c r="X145" s="2092"/>
      <c r="Y145" s="2092"/>
    </row>
    <row r="146" spans="16:25">
      <c r="Q146" s="3235"/>
      <c r="R146" s="2092"/>
      <c r="S146" s="2092"/>
      <c r="T146" s="2092"/>
      <c r="U146" s="2092"/>
      <c r="V146" s="2092"/>
      <c r="W146" s="2092"/>
      <c r="X146" s="2092"/>
      <c r="Y146" s="2092"/>
    </row>
    <row r="147" spans="16:25">
      <c r="Q147" s="3235"/>
      <c r="R147" s="2092"/>
      <c r="S147" s="2092"/>
      <c r="T147" s="2092"/>
      <c r="U147" s="2092"/>
      <c r="V147" s="2092"/>
      <c r="W147" s="2092"/>
      <c r="X147" s="2092"/>
      <c r="Y147" s="2092"/>
    </row>
    <row r="148" spans="16:25">
      <c r="P148" s="2128"/>
      <c r="Q148" s="3235"/>
      <c r="R148" s="3244"/>
      <c r="S148" s="3244"/>
      <c r="T148" s="3244"/>
      <c r="U148" s="3244"/>
      <c r="V148" s="3244"/>
      <c r="W148" s="3244"/>
      <c r="X148" s="3244"/>
      <c r="Y148" s="2092"/>
    </row>
    <row r="149" spans="16:25">
      <c r="Q149" s="3235"/>
      <c r="R149" s="2092"/>
      <c r="S149" s="2092"/>
      <c r="T149" s="2092"/>
      <c r="U149" s="2092"/>
      <c r="V149" s="2092"/>
      <c r="W149" s="2092"/>
      <c r="X149" s="2092"/>
      <c r="Y149" s="2092"/>
    </row>
    <row r="150" spans="16:25">
      <c r="P150" s="3490"/>
      <c r="Q150" s="3235"/>
      <c r="R150" s="3490"/>
      <c r="S150" s="3490"/>
      <c r="T150" s="3490"/>
      <c r="U150" s="3490"/>
      <c r="V150" s="3490"/>
      <c r="W150" s="3490"/>
      <c r="X150" s="3490"/>
      <c r="Y150" s="2092"/>
    </row>
    <row r="151" spans="16:25">
      <c r="Q151" s="3235"/>
      <c r="R151" s="2092"/>
      <c r="S151" s="2092"/>
      <c r="T151" s="2092"/>
      <c r="U151" s="2092"/>
      <c r="V151" s="2092"/>
      <c r="W151" s="2092"/>
      <c r="X151" s="2092"/>
      <c r="Y151" s="2092"/>
    </row>
    <row r="152" spans="16:25">
      <c r="P152" s="2128"/>
      <c r="Q152" s="3235"/>
      <c r="R152" s="3244"/>
      <c r="S152" s="3244"/>
      <c r="T152" s="3244"/>
      <c r="U152" s="3244"/>
      <c r="V152" s="3244"/>
      <c r="W152" s="3244"/>
      <c r="X152" s="3244"/>
      <c r="Y152" s="2092"/>
    </row>
    <row r="153" spans="16:25">
      <c r="Q153" s="3235"/>
      <c r="R153" s="2092"/>
      <c r="S153" s="2092"/>
      <c r="T153" s="2092"/>
      <c r="U153" s="2092"/>
      <c r="V153" s="2092"/>
      <c r="W153" s="2092"/>
      <c r="X153" s="2092"/>
      <c r="Y153" s="2092"/>
    </row>
    <row r="154" spans="16:25">
      <c r="Q154" s="3235"/>
      <c r="R154" s="2092"/>
      <c r="S154" s="2092"/>
      <c r="T154" s="2092"/>
      <c r="U154" s="2092"/>
      <c r="V154" s="2092"/>
      <c r="W154" s="2092"/>
      <c r="X154" s="2092"/>
      <c r="Y154" s="2092"/>
    </row>
    <row r="155" spans="16:25">
      <c r="Q155" s="3235"/>
      <c r="R155" s="2092"/>
      <c r="S155" s="2092"/>
      <c r="T155" s="2092"/>
      <c r="U155" s="2092"/>
      <c r="V155" s="2092"/>
      <c r="W155" s="2092"/>
      <c r="X155" s="2092"/>
      <c r="Y155" s="2092"/>
    </row>
    <row r="156" spans="16:25">
      <c r="Q156" s="3235"/>
      <c r="R156" s="2092"/>
      <c r="S156" s="2092"/>
      <c r="T156" s="2092"/>
      <c r="U156" s="2092"/>
      <c r="V156" s="2092"/>
      <c r="W156" s="2092"/>
      <c r="X156" s="2092"/>
      <c r="Y156" s="2092"/>
    </row>
    <row r="157" spans="16:25">
      <c r="Q157" s="3235"/>
      <c r="R157" s="2092"/>
      <c r="S157" s="2092"/>
      <c r="T157" s="2092"/>
      <c r="U157" s="2092"/>
      <c r="V157" s="2092"/>
      <c r="W157" s="2092"/>
      <c r="X157" s="2092"/>
      <c r="Y157" s="2092"/>
    </row>
    <row r="158" spans="16:25">
      <c r="Q158" s="3235"/>
      <c r="R158" s="2092"/>
      <c r="S158" s="2092"/>
      <c r="T158" s="2092"/>
      <c r="U158" s="2092"/>
      <c r="V158" s="2092"/>
      <c r="W158" s="2092"/>
      <c r="X158" s="2092"/>
      <c r="Y158" s="2092"/>
    </row>
    <row r="159" spans="16:25">
      <c r="Q159" s="3235"/>
      <c r="R159" s="2092"/>
      <c r="S159" s="2092"/>
      <c r="T159" s="2092"/>
      <c r="U159" s="2092"/>
      <c r="V159" s="2092"/>
      <c r="W159" s="2092"/>
      <c r="X159" s="2092"/>
      <c r="Y159" s="2092"/>
    </row>
    <row r="160" spans="16:25">
      <c r="Q160" s="3235"/>
      <c r="R160" s="2092"/>
      <c r="S160" s="2092"/>
      <c r="T160" s="2092"/>
      <c r="U160" s="2092"/>
      <c r="V160" s="2092"/>
      <c r="W160" s="2092"/>
      <c r="X160" s="2092"/>
      <c r="Y160" s="2092"/>
    </row>
    <row r="161" spans="16:25">
      <c r="Q161" s="3235"/>
      <c r="R161" s="2092"/>
      <c r="S161" s="2092"/>
      <c r="T161" s="2092"/>
      <c r="U161" s="2092"/>
      <c r="V161" s="2092"/>
      <c r="W161" s="2092"/>
      <c r="X161" s="2092"/>
      <c r="Y161" s="2092"/>
    </row>
    <row r="162" spans="16:25">
      <c r="P162" s="2128"/>
      <c r="Q162" s="3235"/>
      <c r="R162" s="3244"/>
      <c r="S162" s="3244"/>
      <c r="T162" s="3244"/>
      <c r="U162" s="3244"/>
      <c r="V162" s="3244"/>
      <c r="W162" s="3244"/>
      <c r="X162" s="3244"/>
      <c r="Y162" s="2092"/>
    </row>
    <row r="163" spans="16:25">
      <c r="P163" s="2128"/>
      <c r="Q163" s="3235"/>
      <c r="R163" s="3244"/>
      <c r="S163" s="3244"/>
      <c r="T163" s="3244"/>
      <c r="U163" s="3244"/>
      <c r="V163" s="3244"/>
      <c r="W163" s="3244"/>
      <c r="X163" s="3244"/>
      <c r="Y163" s="2092"/>
    </row>
    <row r="164" spans="16:25">
      <c r="Q164" s="3235"/>
      <c r="R164" s="2092"/>
      <c r="S164" s="2092"/>
      <c r="T164" s="2092"/>
      <c r="U164" s="2092"/>
      <c r="V164" s="2092"/>
      <c r="W164" s="2092"/>
      <c r="X164" s="2092"/>
      <c r="Y164" s="2092"/>
    </row>
    <row r="165" spans="16:25">
      <c r="Q165" s="3235"/>
      <c r="R165" s="2092"/>
      <c r="S165" s="2092"/>
      <c r="T165" s="2092"/>
      <c r="U165" s="2092"/>
      <c r="V165" s="2092"/>
      <c r="W165" s="2092"/>
      <c r="X165" s="2092"/>
      <c r="Y165" s="2092"/>
    </row>
    <row r="166" spans="16:25">
      <c r="P166" s="2128"/>
      <c r="Q166" s="3235"/>
      <c r="R166" s="3244"/>
      <c r="S166" s="3244"/>
      <c r="T166" s="3244"/>
      <c r="U166" s="3244"/>
      <c r="V166" s="3244"/>
      <c r="W166" s="3244"/>
      <c r="X166" s="3244"/>
      <c r="Y166" s="2092"/>
    </row>
    <row r="167" spans="16:25">
      <c r="Q167" s="3235"/>
      <c r="R167" s="2092"/>
      <c r="S167" s="2092"/>
      <c r="T167" s="2092"/>
      <c r="U167" s="2092"/>
      <c r="V167" s="2092"/>
      <c r="W167" s="2092"/>
      <c r="X167" s="2092"/>
      <c r="Y167" s="2092"/>
    </row>
    <row r="168" spans="16:25">
      <c r="Q168" s="3235"/>
      <c r="R168" s="2092"/>
      <c r="S168" s="2092"/>
      <c r="T168" s="2092"/>
      <c r="U168" s="2092"/>
      <c r="V168" s="2092"/>
      <c r="W168" s="2092"/>
      <c r="X168" s="2092"/>
      <c r="Y168" s="2092"/>
    </row>
    <row r="169" spans="16:25">
      <c r="P169" s="2128"/>
      <c r="Q169" s="3235"/>
      <c r="R169" s="3244"/>
      <c r="S169" s="3244"/>
      <c r="T169" s="3244"/>
      <c r="U169" s="3244"/>
      <c r="V169" s="3244"/>
      <c r="W169" s="3244"/>
      <c r="X169" s="3244"/>
      <c r="Y169" s="2092"/>
    </row>
    <row r="170" spans="16:25">
      <c r="Q170" s="3235"/>
      <c r="R170" s="2092"/>
      <c r="S170" s="2092"/>
      <c r="T170" s="2092"/>
      <c r="U170" s="2092"/>
      <c r="V170" s="2092"/>
      <c r="W170" s="2092"/>
      <c r="X170" s="2092"/>
      <c r="Y170" s="2092"/>
    </row>
    <row r="171" spans="16:25">
      <c r="P171" s="2964"/>
      <c r="Q171" s="3235"/>
      <c r="R171" s="3235"/>
      <c r="S171" s="3235"/>
      <c r="T171" s="3235"/>
      <c r="U171" s="3235"/>
      <c r="V171" s="3235"/>
      <c r="W171" s="3235"/>
      <c r="X171" s="3235"/>
      <c r="Y171" s="2092"/>
    </row>
    <row r="172" spans="16:25" ht="15.75">
      <c r="P172" s="3125"/>
      <c r="Q172" s="3235"/>
      <c r="R172" s="3487"/>
      <c r="S172" s="3487"/>
      <c r="T172" s="3487"/>
      <c r="U172" s="3487"/>
      <c r="V172" s="3487"/>
      <c r="W172" s="3487"/>
      <c r="X172" s="3487"/>
      <c r="Y172" s="2092"/>
    </row>
    <row r="173" spans="16:25">
      <c r="P173" s="2128"/>
      <c r="Q173" s="3235"/>
      <c r="R173" s="3244"/>
      <c r="S173" s="3244"/>
      <c r="T173" s="3244"/>
      <c r="U173" s="3244"/>
      <c r="V173" s="3244"/>
      <c r="W173" s="3244"/>
      <c r="X173" s="3244"/>
      <c r="Y173" s="2092"/>
    </row>
    <row r="174" spans="16:25">
      <c r="Q174" s="3235"/>
      <c r="R174" s="2092"/>
      <c r="S174" s="2092"/>
      <c r="T174" s="2092"/>
      <c r="U174" s="2092"/>
      <c r="V174" s="2092"/>
      <c r="W174" s="2092"/>
      <c r="X174" s="2092"/>
      <c r="Y174" s="2092"/>
    </row>
    <row r="175" spans="16:25">
      <c r="P175" s="3490"/>
      <c r="Q175" s="3235"/>
      <c r="R175" s="3490"/>
      <c r="S175" s="3490"/>
      <c r="T175" s="3490"/>
      <c r="U175" s="3490"/>
      <c r="V175" s="3490"/>
      <c r="W175" s="3490"/>
      <c r="X175" s="3490"/>
      <c r="Y175" s="2092"/>
    </row>
    <row r="176" spans="16:25" ht="15.75">
      <c r="P176" s="3124"/>
      <c r="Q176" s="3235"/>
      <c r="R176" s="3243"/>
      <c r="S176" s="3243"/>
      <c r="T176" s="3243"/>
      <c r="U176" s="3243"/>
      <c r="V176" s="3243"/>
      <c r="W176" s="3243"/>
      <c r="X176" s="3243"/>
      <c r="Y176" s="2092"/>
    </row>
    <row r="177" spans="16:25">
      <c r="P177" s="2128"/>
      <c r="Q177" s="3235"/>
      <c r="R177" s="3244"/>
      <c r="S177" s="3244"/>
      <c r="T177" s="3244"/>
      <c r="U177" s="3244"/>
      <c r="V177" s="3244"/>
      <c r="W177" s="3244"/>
      <c r="X177" s="3244"/>
      <c r="Y177" s="2092"/>
    </row>
    <row r="178" spans="16:25">
      <c r="P178" s="2128" t="s">
        <v>372</v>
      </c>
      <c r="Q178" s="3235"/>
      <c r="R178" s="3244"/>
      <c r="S178" s="3244"/>
      <c r="T178" s="3244"/>
      <c r="U178" s="3244"/>
      <c r="V178" s="3244"/>
      <c r="W178" s="3244"/>
      <c r="X178" s="3244"/>
      <c r="Y178" s="2092"/>
    </row>
    <row r="179" spans="16:25">
      <c r="P179" s="2128"/>
      <c r="Q179" s="3235"/>
      <c r="R179" s="3244"/>
      <c r="S179" s="3244"/>
      <c r="T179" s="3244"/>
      <c r="U179" s="3244"/>
      <c r="V179" s="3244"/>
      <c r="W179" s="3244"/>
      <c r="X179" s="3244"/>
      <c r="Y179" s="2092"/>
    </row>
    <row r="180" spans="16:25">
      <c r="P180" s="2128"/>
      <c r="Q180" s="3235"/>
      <c r="R180" s="3244"/>
      <c r="S180" s="3244"/>
      <c r="T180" s="3244"/>
      <c r="U180" s="3244"/>
      <c r="V180" s="3244"/>
      <c r="W180" s="3244"/>
      <c r="X180" s="3244"/>
      <c r="Y180" s="2092"/>
    </row>
    <row r="181" spans="16:25">
      <c r="Q181" s="3235"/>
      <c r="R181" s="2092"/>
      <c r="S181" s="2092"/>
      <c r="T181" s="2092"/>
      <c r="U181" s="2092"/>
      <c r="V181" s="2092"/>
      <c r="W181" s="2092"/>
      <c r="X181" s="2092"/>
      <c r="Y181" s="2092"/>
    </row>
    <row r="182" spans="16:25">
      <c r="Q182" s="3235"/>
      <c r="R182" s="2092"/>
      <c r="S182" s="2092"/>
      <c r="T182" s="2092"/>
      <c r="U182" s="2092"/>
      <c r="V182" s="2092"/>
      <c r="W182" s="2092"/>
      <c r="X182" s="2092"/>
      <c r="Y182" s="2092"/>
    </row>
    <row r="183" spans="16:25">
      <c r="P183" s="2128"/>
      <c r="Q183" s="3235"/>
      <c r="R183" s="3244"/>
      <c r="S183" s="3244"/>
      <c r="T183" s="3244"/>
      <c r="U183" s="3244"/>
      <c r="V183" s="3244"/>
      <c r="W183" s="3244"/>
      <c r="X183" s="3244"/>
      <c r="Y183" s="2092"/>
    </row>
    <row r="184" spans="16:25">
      <c r="P184" s="2128"/>
      <c r="Q184" s="3235"/>
      <c r="R184" s="3244"/>
      <c r="S184" s="3244"/>
      <c r="T184" s="3244"/>
      <c r="U184" s="3244"/>
      <c r="V184" s="3244"/>
      <c r="W184" s="3244"/>
      <c r="X184" s="3244"/>
      <c r="Y184" s="2092"/>
    </row>
    <row r="185" spans="16:25">
      <c r="P185" s="2128"/>
      <c r="Q185" s="3235"/>
      <c r="R185" s="3244"/>
      <c r="S185" s="3244"/>
      <c r="T185" s="3244"/>
      <c r="U185" s="3244"/>
      <c r="V185" s="3244"/>
      <c r="W185" s="3244"/>
      <c r="X185" s="3244"/>
      <c r="Y185" s="2092"/>
    </row>
    <row r="186" spans="16:25">
      <c r="P186" s="2128"/>
      <c r="Q186" s="3235"/>
      <c r="R186" s="3244"/>
      <c r="S186" s="3244"/>
      <c r="T186" s="3244"/>
      <c r="U186" s="3244"/>
      <c r="V186" s="3244"/>
      <c r="W186" s="3244"/>
      <c r="X186" s="3244"/>
      <c r="Y186" s="2092"/>
    </row>
    <row r="187" spans="16:25">
      <c r="P187" s="2128"/>
      <c r="Q187" s="3235"/>
      <c r="R187" s="3244"/>
      <c r="S187" s="3244"/>
      <c r="T187" s="3244"/>
      <c r="U187" s="3244"/>
      <c r="V187" s="3244"/>
      <c r="W187" s="3244"/>
      <c r="X187" s="3244"/>
      <c r="Y187" s="2092"/>
    </row>
  </sheetData>
  <sortState xmlns:xlrd2="http://schemas.microsoft.com/office/spreadsheetml/2017/richdata2" ref="W29:W35">
    <sortCondition ref="W29:W35"/>
  </sortState>
  <customSheetViews>
    <customSheetView guid="{751D391F-C74F-4B53-B5B5-25E01AC12EA4}" scale="85" showPageBreaks="1" printArea="1">
      <selection sqref="A1:L108"/>
      <colBreaks count="1" manualBreakCount="1">
        <brk id="11" max="1048575" man="1"/>
      </colBreaks>
      <pageMargins left="0.88" right="0" top="0.17" bottom="0" header="0.17" footer="0.16"/>
      <pageSetup scale="40" orientation="portrait" horizontalDpi="4294967295" verticalDpi="4294967295" r:id="rId1"/>
    </customSheetView>
    <customSheetView guid="{5A803268-F6C5-4035-B3E1-A94CB9AA8994}" showPageBreaks="1" printArea="1" topLeftCell="A2">
      <selection activeCell="A2" sqref="A2:J88"/>
      <pageMargins left="0.78" right="0.35" top="0.16" bottom="0.16" header="0.16" footer="0.16"/>
      <pageSetup scale="59" orientation="portrait" r:id="rId2"/>
    </customSheetView>
    <customSheetView guid="{917057C8-5E5F-4164-B84C-85103677A2E5}">
      <selection sqref="A1:L97"/>
      <pageMargins left="0.78" right="0.35" top="0.16" bottom="0.16" header="0.16" footer="0.16"/>
      <pageSetup scale="55" orientation="portrait" r:id="rId3"/>
    </customSheetView>
    <customSheetView guid="{4593F3EE-0998-4E0E-994A-E02D6BAF3A4B}" showPageBreaks="1" printArea="1" topLeftCell="A4">
      <selection activeCell="N12" sqref="N12:AS15"/>
      <pageMargins left="0.78" right="0.35" top="0.16" bottom="0.16" header="0.16" footer="0.16"/>
      <pageSetup scale="56" orientation="portrait" r:id="rId4"/>
    </customSheetView>
    <customSheetView guid="{23F4DC00-BC97-4745-AA5C-F05D469CB1EF}" showPageBreaks="1" printArea="1" topLeftCell="A2">
      <selection activeCell="A2" sqref="A2:J88"/>
      <pageMargins left="0.78" right="0.35" top="0.16" bottom="0.16" header="0.16" footer="0.16"/>
      <pageSetup scale="59" orientation="portrait" r:id="rId5"/>
    </customSheetView>
    <customSheetView guid="{B91C2E87-5EDA-40AE-AC27-0E2C17E803CE}" showPageBreaks="1" printArea="1">
      <selection sqref="A1:L97"/>
      <pageMargins left="1.03" right="0.1" top="0.16" bottom="0.16" header="0.16" footer="0.16"/>
      <pageSetup scale="52" orientation="portrait" r:id="rId6"/>
    </customSheetView>
    <customSheetView guid="{7C71EF2A-5ADA-494C-8F58-DDA71753DD90}" scale="120" showPageBreaks="1" printArea="1" topLeftCell="A31">
      <selection activeCell="Z1" sqref="Z1:Z1048576"/>
      <colBreaks count="1" manualBreakCount="1">
        <brk id="11" max="1048575" man="1"/>
      </colBreaks>
      <pageMargins left="1.23" right="0.72" top="0.16" bottom="0.16" header="0.16" footer="0.16"/>
      <pageSetup scale="49" orientation="portrait" horizontalDpi="4294967295" verticalDpi="4294967295" r:id="rId7"/>
    </customSheetView>
    <customSheetView guid="{4DB6C640-CE65-4513-9E5A-F6CDD1F4B8AF}" scale="85" showPageBreaks="1" topLeftCell="A10">
      <selection activeCell="A16" sqref="A16:XFD16"/>
      <colBreaks count="1" manualBreakCount="1">
        <brk id="11" max="1048575" man="1"/>
      </colBreaks>
      <pageMargins left="0.88" right="0.17" top="0.17" bottom="0.16" header="0.17" footer="0.16"/>
      <pageSetup scale="46" orientation="portrait" horizontalDpi="4294967295" verticalDpi="4294967295" r:id="rId8"/>
    </customSheetView>
    <customSheetView guid="{D1D1E152-95AB-45D3-AC07-4EC0834D3E0C}" scale="80">
      <selection activeCell="E42" sqref="E42"/>
      <colBreaks count="1" manualBreakCount="1">
        <brk id="11" max="1048575" man="1"/>
      </colBreaks>
      <pageMargins left="0.88" right="0" top="0.17" bottom="0" header="0.17" footer="0.16"/>
      <pageSetup scale="42" orientation="portrait" horizontalDpi="4294967295" verticalDpi="4294967295" r:id="rId9"/>
    </customSheetView>
    <customSheetView guid="{C3348F62-02F2-4500-9BF2-19F2DEA57A8D}" scale="85" showPageBreaks="1" printArea="1">
      <selection sqref="A1:L108"/>
      <rowBreaks count="1" manualBreakCount="1">
        <brk id="70" max="16383" man="1"/>
      </rowBreaks>
      <colBreaks count="1" manualBreakCount="1">
        <brk id="11" max="1048575" man="1"/>
      </colBreaks>
      <pageMargins left="0.88" right="0" top="0.17" bottom="0" header="0.17" footer="0.16"/>
      <pageSetup paperSize="9" scale="47" orientation="landscape" r:id="rId10"/>
    </customSheetView>
  </customSheetViews>
  <mergeCells count="2">
    <mergeCell ref="O9:AP9"/>
    <mergeCell ref="AR9:AT9"/>
  </mergeCells>
  <pageMargins left="0.88" right="0" top="0.17" bottom="0" header="0.17" footer="0.16"/>
  <pageSetup paperSize="9" scale="47" orientation="landscape" r:id="rId11"/>
  <rowBreaks count="1" manualBreakCount="1">
    <brk id="70" max="16383" man="1"/>
  </rowBreaks>
  <colBreaks count="1" manualBreakCount="1">
    <brk id="11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2">
    <tabColor rgb="FFFF0000"/>
  </sheetPr>
  <dimension ref="A1:JP106"/>
  <sheetViews>
    <sheetView zoomScale="130" zoomScaleNormal="115" workbookViewId="0">
      <pane xSplit="1" ySplit="4" topLeftCell="B19" activePane="bottomRight" state="frozen"/>
      <selection pane="topRight" activeCell="B1" sqref="B1"/>
      <selection pane="bottomLeft" activeCell="A5" sqref="A5"/>
      <selection pane="bottomRight" activeCell="E31" sqref="E31"/>
    </sheetView>
  </sheetViews>
  <sheetFormatPr defaultColWidth="9.140625" defaultRowHeight="33"/>
  <cols>
    <col min="1" max="1" width="39" style="138" customWidth="1"/>
    <col min="2" max="2" width="19" style="138" customWidth="1"/>
    <col min="3" max="3" width="17.140625" style="138" customWidth="1"/>
    <col min="4" max="4" width="18.5703125" style="138" customWidth="1"/>
    <col min="5" max="5" width="20" style="138" customWidth="1"/>
    <col min="6" max="6" width="17.42578125" style="138" customWidth="1"/>
    <col min="7" max="7" width="17.140625" style="138" customWidth="1"/>
    <col min="8" max="8" width="17.7109375" style="138" customWidth="1"/>
    <col min="9" max="9" width="17.85546875" style="138" customWidth="1"/>
    <col min="10" max="10" width="19.7109375" style="138" customWidth="1"/>
    <col min="11" max="11" width="14.140625" style="138" customWidth="1"/>
    <col min="12" max="12" width="17.42578125" style="138" customWidth="1"/>
    <col min="13" max="13" width="19.42578125" style="138" customWidth="1"/>
    <col min="14" max="14" width="19.7109375" style="138" customWidth="1"/>
    <col min="15" max="15" width="20.42578125" style="138" customWidth="1"/>
    <col min="16" max="16" width="19.7109375" style="138" customWidth="1"/>
    <col min="17" max="17" width="17.42578125" style="138" customWidth="1"/>
    <col min="18" max="18" width="20.140625" style="138" customWidth="1"/>
    <col min="19" max="19" width="17" style="138" customWidth="1"/>
    <col min="20" max="20" width="20.140625" style="138" customWidth="1"/>
    <col min="21" max="22" width="19.140625" style="138" customWidth="1"/>
    <col min="23" max="23" width="19.85546875" style="138" customWidth="1"/>
    <col min="24" max="24" width="19.140625" style="138" customWidth="1"/>
    <col min="25" max="25" width="18.42578125" style="138" customWidth="1"/>
    <col min="26" max="26" width="18.7109375" style="138" customWidth="1"/>
    <col min="27" max="27" width="16.7109375" style="138" customWidth="1"/>
    <col min="28" max="28" width="18.28515625" style="138" customWidth="1"/>
    <col min="29" max="29" width="18.5703125" style="138" customWidth="1"/>
    <col min="30" max="30" width="18.140625" style="138" customWidth="1"/>
    <col min="31" max="31" width="14.140625" style="138" customWidth="1"/>
    <col min="32" max="32" width="14.7109375" style="138" customWidth="1"/>
    <col min="33" max="34" width="13.7109375" style="138" customWidth="1"/>
    <col min="35" max="35" width="15.85546875" style="138" customWidth="1"/>
    <col min="36" max="36" width="20.28515625" style="138" customWidth="1"/>
    <col min="37" max="37" width="9.28515625" style="138" customWidth="1"/>
    <col min="38" max="38" width="16.28515625" style="138" customWidth="1"/>
    <col min="39" max="39" width="15.5703125" style="138" customWidth="1"/>
    <col min="40" max="40" width="14.42578125" style="138" customWidth="1"/>
    <col min="41" max="41" width="11.5703125" style="138" customWidth="1"/>
    <col min="42" max="42" width="17" style="138" customWidth="1"/>
    <col min="43" max="43" width="18.42578125" style="138" customWidth="1"/>
    <col min="44" max="44" width="20.28515625" style="138" customWidth="1"/>
    <col min="45" max="45" width="18.140625" style="138" customWidth="1"/>
    <col min="46" max="46" width="21.7109375" style="138" customWidth="1"/>
    <col min="47" max="47" width="17.42578125" style="138" customWidth="1"/>
    <col min="48" max="48" width="18.140625" style="138" customWidth="1"/>
    <col min="49" max="49" width="23.5703125" style="138" bestFit="1" customWidth="1"/>
    <col min="50" max="50" width="17.42578125" style="138" customWidth="1"/>
    <col min="51" max="51" width="19" style="138" customWidth="1"/>
    <col min="52" max="52" width="20.140625" style="138" customWidth="1"/>
    <col min="53" max="53" width="17" style="138" customWidth="1"/>
    <col min="54" max="54" width="16" style="138" customWidth="1"/>
    <col min="55" max="55" width="18.85546875" style="138" customWidth="1"/>
    <col min="56" max="56" width="18.42578125" style="138" customWidth="1"/>
    <col min="57" max="57" width="16.7109375" style="138" customWidth="1"/>
    <col min="58" max="58" width="19.28515625" style="138" customWidth="1"/>
    <col min="59" max="59" width="16.85546875" style="138" customWidth="1"/>
    <col min="60" max="60" width="17.85546875" style="138" customWidth="1"/>
    <col min="61" max="61" width="20.5703125" style="138" customWidth="1"/>
    <col min="62" max="62" width="21.5703125" style="138" customWidth="1"/>
    <col min="63" max="63" width="18" style="138" customWidth="1"/>
    <col min="64" max="64" width="17.7109375" style="138" customWidth="1"/>
    <col min="65" max="65" width="16.5703125" style="138" customWidth="1"/>
    <col min="66" max="66" width="15" style="138" customWidth="1"/>
    <col min="67" max="67" width="14.28515625" style="138" customWidth="1"/>
    <col min="68" max="68" width="18.5703125" style="138" customWidth="1"/>
    <col min="69" max="70" width="21.7109375" style="138" bestFit="1" customWidth="1"/>
    <col min="71" max="71" width="15.85546875" style="138" customWidth="1"/>
    <col min="72" max="72" width="15.42578125" style="138" customWidth="1"/>
    <col min="73" max="73" width="16" style="138" customWidth="1"/>
    <col min="74" max="74" width="14.42578125" style="138" customWidth="1"/>
    <col min="75" max="75" width="18.7109375" style="138" customWidth="1"/>
    <col min="76" max="76" width="16.85546875" style="138" customWidth="1"/>
    <col min="77" max="77" width="23.5703125" style="138" bestFit="1" customWidth="1"/>
    <col min="78" max="78" width="15.7109375" style="138" customWidth="1"/>
    <col min="79" max="79" width="14.7109375" style="138" customWidth="1"/>
    <col min="80" max="80" width="17.140625" style="138" customWidth="1"/>
    <col min="81" max="81" width="16.85546875" style="138" customWidth="1"/>
    <col min="82" max="82" width="17.7109375" style="138" customWidth="1"/>
    <col min="83" max="83" width="16.7109375" style="138" customWidth="1"/>
    <col min="84" max="84" width="17.42578125" style="138" customWidth="1"/>
    <col min="85" max="85" width="18" style="138" customWidth="1"/>
    <col min="86" max="86" width="17.85546875" style="138" customWidth="1"/>
    <col min="87" max="87" width="17.7109375" style="138" customWidth="1"/>
    <col min="88" max="88" width="17.140625" style="138" customWidth="1"/>
    <col min="89" max="89" width="17.28515625" style="138" customWidth="1"/>
    <col min="90" max="90" width="14.140625" style="138" customWidth="1"/>
    <col min="91" max="91" width="19.140625" style="138" bestFit="1" customWidth="1"/>
    <col min="92" max="92" width="14.140625" style="138" customWidth="1"/>
    <col min="93" max="93" width="18.85546875" style="138" customWidth="1"/>
    <col min="94" max="94" width="18" style="138" customWidth="1"/>
    <col min="95" max="95" width="16" style="138" customWidth="1"/>
    <col min="96" max="96" width="17.140625" style="138" customWidth="1"/>
    <col min="97" max="98" width="16" style="138" customWidth="1"/>
    <col min="99" max="99" width="17.28515625" style="138" customWidth="1"/>
    <col min="100" max="100" width="16" style="138" customWidth="1"/>
    <col min="101" max="101" width="17.42578125" style="138" customWidth="1"/>
    <col min="102" max="115" width="16" style="138" customWidth="1"/>
    <col min="116" max="124" width="18" style="138" customWidth="1"/>
    <col min="125" max="128" width="21.140625" style="138" customWidth="1"/>
    <col min="129" max="129" width="17.7109375" style="138" customWidth="1"/>
    <col min="130" max="130" width="22.28515625" style="138" customWidth="1"/>
    <col min="131" max="131" width="17.7109375" style="138" customWidth="1"/>
    <col min="132" max="132" width="20.42578125" style="138" customWidth="1"/>
    <col min="133" max="133" width="19.42578125" style="138" customWidth="1"/>
    <col min="134" max="134" width="16.7109375" style="138" customWidth="1"/>
    <col min="135" max="135" width="18.7109375" style="126" customWidth="1"/>
    <col min="136" max="136" width="10" style="138" customWidth="1"/>
    <col min="137" max="137" width="15.85546875" style="138" customWidth="1"/>
    <col min="138" max="138" width="17" style="138" customWidth="1"/>
    <col min="139" max="139" width="16.85546875" style="138" customWidth="1"/>
    <col min="140" max="140" width="17.140625" style="138" customWidth="1"/>
    <col min="141" max="141" width="18.28515625" style="138" customWidth="1"/>
    <col min="142" max="142" width="14.42578125" style="138" customWidth="1"/>
    <col min="143" max="143" width="19.7109375" style="138" customWidth="1"/>
    <col min="144" max="144" width="16.5703125" style="138" customWidth="1"/>
    <col min="145" max="145" width="15.5703125" style="138" customWidth="1"/>
    <col min="146" max="146" width="14.42578125" style="138" customWidth="1"/>
    <col min="147" max="147" width="21.7109375" style="138" bestFit="1" customWidth="1"/>
    <col min="148" max="148" width="17.7109375" style="138" customWidth="1"/>
    <col min="149" max="149" width="22.7109375" style="138" customWidth="1"/>
    <col min="150" max="150" width="18.7109375" style="138" customWidth="1"/>
    <col min="151" max="151" width="17.5703125" style="138" customWidth="1"/>
    <col min="152" max="152" width="18.5703125" style="138" customWidth="1"/>
    <col min="153" max="153" width="20.5703125" style="138" customWidth="1"/>
    <col min="154" max="154" width="18.85546875" style="138" customWidth="1"/>
    <col min="155" max="155" width="14.7109375" style="138" customWidth="1"/>
    <col min="156" max="156" width="14.5703125" style="138" customWidth="1"/>
    <col min="157" max="157" width="16.140625" style="138" customWidth="1"/>
    <col min="158" max="158" width="15.7109375" style="138" customWidth="1"/>
    <col min="159" max="159" width="18.42578125" style="138" customWidth="1"/>
    <col min="160" max="160" width="20.140625" style="138" customWidth="1"/>
    <col min="161" max="161" width="17.42578125" style="138" customWidth="1"/>
    <col min="162" max="185" width="18.42578125" style="138" customWidth="1"/>
    <col min="186" max="186" width="19.5703125" style="138" customWidth="1"/>
    <col min="187" max="189" width="18.42578125" style="138" customWidth="1"/>
    <col min="190" max="190" width="21.42578125" style="138" customWidth="1"/>
    <col min="191" max="191" width="19.140625" style="138" customWidth="1"/>
    <col min="192" max="192" width="19.42578125" style="138" customWidth="1"/>
    <col min="193" max="193" width="17.5703125" style="138" customWidth="1"/>
    <col min="194" max="194" width="16.5703125" style="138" customWidth="1"/>
    <col min="195" max="195" width="16.28515625" style="138" customWidth="1"/>
    <col min="196" max="196" width="19.5703125" style="138" customWidth="1"/>
    <col min="197" max="197" width="19.7109375" style="138" customWidth="1"/>
    <col min="198" max="198" width="14.85546875" style="138" customWidth="1"/>
    <col min="199" max="199" width="17.5703125" style="138" customWidth="1"/>
    <col min="200" max="200" width="19.42578125" style="138" customWidth="1"/>
    <col min="201" max="201" width="19" style="138" customWidth="1"/>
    <col min="202" max="202" width="17.140625" style="138" customWidth="1"/>
    <col min="203" max="203" width="22.140625" style="138" customWidth="1"/>
    <col min="204" max="204" width="14.85546875" style="138" customWidth="1"/>
    <col min="205" max="205" width="18.140625" style="138" customWidth="1"/>
    <col min="206" max="16384" width="9.140625" style="138"/>
  </cols>
  <sheetData>
    <row r="1" spans="1:276" ht="9" customHeight="1" thickBot="1"/>
    <row r="2" spans="1:276" ht="18.75" customHeight="1" thickBot="1">
      <c r="A2" s="546">
        <v>43318</v>
      </c>
    </row>
    <row r="3" spans="1:276" s="95" customFormat="1" ht="57" customHeight="1" thickBot="1">
      <c r="A3" s="536" t="s">
        <v>266</v>
      </c>
      <c r="B3" s="181" t="s">
        <v>884</v>
      </c>
      <c r="C3" s="181" t="s">
        <v>1230</v>
      </c>
      <c r="D3" s="181" t="s">
        <v>886</v>
      </c>
      <c r="E3" s="181" t="s">
        <v>887</v>
      </c>
      <c r="F3" s="181" t="s">
        <v>888</v>
      </c>
      <c r="G3" s="181" t="s">
        <v>889</v>
      </c>
      <c r="H3" s="181" t="s">
        <v>890</v>
      </c>
      <c r="I3" s="181" t="s">
        <v>156</v>
      </c>
      <c r="J3" s="181" t="s">
        <v>891</v>
      </c>
      <c r="K3" s="181" t="s">
        <v>1017</v>
      </c>
      <c r="L3" s="181" t="s">
        <v>1019</v>
      </c>
      <c r="M3" s="181" t="s">
        <v>892</v>
      </c>
      <c r="N3" s="181" t="s">
        <v>116</v>
      </c>
      <c r="O3" s="181" t="s">
        <v>893</v>
      </c>
      <c r="P3" s="181" t="s">
        <v>894</v>
      </c>
      <c r="Q3" s="181" t="s">
        <v>895</v>
      </c>
      <c r="R3" s="181" t="s">
        <v>896</v>
      </c>
      <c r="S3" s="181" t="s">
        <v>897</v>
      </c>
      <c r="T3" s="181" t="s">
        <v>898</v>
      </c>
      <c r="U3" s="181" t="s">
        <v>899</v>
      </c>
      <c r="V3" s="181" t="s">
        <v>905</v>
      </c>
      <c r="W3" s="181" t="s">
        <v>900</v>
      </c>
      <c r="X3" s="181" t="s">
        <v>904</v>
      </c>
      <c r="Y3" s="181" t="s">
        <v>901</v>
      </c>
      <c r="Z3" s="181" t="s">
        <v>158</v>
      </c>
      <c r="AA3" s="181" t="s">
        <v>903</v>
      </c>
      <c r="AB3" s="181" t="s">
        <v>1021</v>
      </c>
      <c r="AC3" s="181" t="s">
        <v>902</v>
      </c>
      <c r="AD3" s="181" t="s">
        <v>906</v>
      </c>
      <c r="AE3" s="181" t="s">
        <v>907</v>
      </c>
      <c r="AF3" s="181" t="s">
        <v>259</v>
      </c>
      <c r="AG3" s="181" t="s">
        <v>260</v>
      </c>
      <c r="AH3" s="181" t="s">
        <v>1022</v>
      </c>
      <c r="AI3" s="181" t="s">
        <v>1023</v>
      </c>
      <c r="AJ3" s="181" t="s">
        <v>908</v>
      </c>
      <c r="AK3" s="181" t="s">
        <v>1020</v>
      </c>
      <c r="AL3" s="181" t="s">
        <v>910</v>
      </c>
      <c r="AM3" s="181" t="s">
        <v>911</v>
      </c>
      <c r="AN3" s="181" t="s">
        <v>912</v>
      </c>
      <c r="AO3" s="181" t="s">
        <v>913</v>
      </c>
      <c r="AP3" s="181" t="s">
        <v>914</v>
      </c>
      <c r="AQ3" s="181" t="s">
        <v>915</v>
      </c>
      <c r="AR3" s="181" t="s">
        <v>916</v>
      </c>
      <c r="AS3" s="181" t="s">
        <v>917</v>
      </c>
      <c r="AT3" s="181" t="s">
        <v>918</v>
      </c>
      <c r="AU3" s="181" t="s">
        <v>1017</v>
      </c>
      <c r="AV3" s="181" t="s">
        <v>1190</v>
      </c>
      <c r="AW3" s="181" t="s">
        <v>919</v>
      </c>
      <c r="AX3" s="181" t="s">
        <v>920</v>
      </c>
      <c r="AY3" s="181" t="s">
        <v>921</v>
      </c>
      <c r="AZ3" s="181" t="s">
        <v>922</v>
      </c>
      <c r="BA3" s="181" t="s">
        <v>923</v>
      </c>
      <c r="BB3" s="181" t="s">
        <v>924</v>
      </c>
      <c r="BC3" s="181" t="s">
        <v>160</v>
      </c>
      <c r="BD3" s="181" t="s">
        <v>925</v>
      </c>
      <c r="BE3" s="181" t="s">
        <v>926</v>
      </c>
      <c r="BF3" s="181" t="s">
        <v>927</v>
      </c>
      <c r="BG3" s="181" t="s">
        <v>928</v>
      </c>
      <c r="BH3" s="181" t="s">
        <v>929</v>
      </c>
      <c r="BI3" s="181" t="s">
        <v>930</v>
      </c>
      <c r="BJ3" s="181" t="s">
        <v>931</v>
      </c>
      <c r="BK3" s="181" t="s">
        <v>932</v>
      </c>
      <c r="BL3" s="181" t="s">
        <v>933</v>
      </c>
      <c r="BM3" s="181" t="s">
        <v>934</v>
      </c>
      <c r="BN3" s="181" t="s">
        <v>935</v>
      </c>
      <c r="BO3" s="181" t="s">
        <v>936</v>
      </c>
      <c r="BP3" s="181" t="s">
        <v>684</v>
      </c>
      <c r="BQ3" s="181" t="s">
        <v>937</v>
      </c>
      <c r="BR3" s="1429" t="s">
        <v>938</v>
      </c>
      <c r="BS3" s="181" t="s">
        <v>939</v>
      </c>
      <c r="BT3" s="181" t="s">
        <v>940</v>
      </c>
      <c r="BU3" s="181" t="s">
        <v>941</v>
      </c>
      <c r="BV3" s="181" t="s">
        <v>942</v>
      </c>
      <c r="BW3" s="181" t="s">
        <v>943</v>
      </c>
      <c r="BX3" s="181" t="s">
        <v>944</v>
      </c>
      <c r="BY3" s="181" t="s">
        <v>1026</v>
      </c>
      <c r="BZ3" s="181" t="s">
        <v>945</v>
      </c>
      <c r="CA3" s="181" t="s">
        <v>946</v>
      </c>
      <c r="CB3" s="181" t="s">
        <v>947</v>
      </c>
      <c r="CC3" s="181" t="s">
        <v>948</v>
      </c>
      <c r="CD3" s="181" t="s">
        <v>949</v>
      </c>
      <c r="CE3" s="181" t="s">
        <v>950</v>
      </c>
      <c r="CF3" s="1429" t="s">
        <v>951</v>
      </c>
      <c r="CG3" s="181" t="s">
        <v>952</v>
      </c>
      <c r="CH3" s="181" t="s">
        <v>953</v>
      </c>
      <c r="CI3" s="181" t="s">
        <v>954</v>
      </c>
      <c r="CJ3" s="181" t="s">
        <v>955</v>
      </c>
      <c r="CK3" s="181" t="s">
        <v>1161</v>
      </c>
      <c r="CL3" s="181" t="s">
        <v>957</v>
      </c>
      <c r="CM3" s="181" t="s">
        <v>958</v>
      </c>
      <c r="CN3" s="181" t="s">
        <v>959</v>
      </c>
      <c r="CO3" s="181" t="s">
        <v>960</v>
      </c>
      <c r="CP3" s="181" t="s">
        <v>961</v>
      </c>
      <c r="CQ3" s="181" t="s">
        <v>962</v>
      </c>
      <c r="CR3" s="181" t="s">
        <v>963</v>
      </c>
      <c r="CS3" s="181" t="s">
        <v>964</v>
      </c>
      <c r="CT3" s="181" t="s">
        <v>965</v>
      </c>
      <c r="CU3" s="181" t="s">
        <v>966</v>
      </c>
      <c r="CV3" s="181" t="s">
        <v>1027</v>
      </c>
      <c r="CW3" s="181" t="s">
        <v>967</v>
      </c>
      <c r="CX3" s="181" t="s">
        <v>968</v>
      </c>
      <c r="CY3" s="181" t="s">
        <v>969</v>
      </c>
      <c r="CZ3" s="181" t="s">
        <v>970</v>
      </c>
      <c r="DA3" s="181" t="s">
        <v>971</v>
      </c>
      <c r="DB3" s="181" t="s">
        <v>972</v>
      </c>
      <c r="DC3" s="181" t="s">
        <v>1083</v>
      </c>
      <c r="DD3" s="181" t="s">
        <v>973</v>
      </c>
      <c r="DE3" s="181" t="s">
        <v>974</v>
      </c>
      <c r="DF3" s="181" t="s">
        <v>975</v>
      </c>
      <c r="DG3" s="181" t="s">
        <v>976</v>
      </c>
      <c r="DH3" s="181" t="s">
        <v>977</v>
      </c>
      <c r="DI3" s="181" t="s">
        <v>1067</v>
      </c>
      <c r="DJ3" s="181" t="s">
        <v>1075</v>
      </c>
      <c r="DK3" s="181" t="s">
        <v>1105</v>
      </c>
      <c r="DL3" s="181" t="s">
        <v>1110</v>
      </c>
      <c r="DM3" s="181" t="s">
        <v>1165</v>
      </c>
      <c r="DN3" s="181" t="s">
        <v>1166</v>
      </c>
      <c r="DO3" s="181" t="s">
        <v>1168</v>
      </c>
      <c r="DP3" s="181" t="s">
        <v>1188</v>
      </c>
      <c r="DQ3" s="181" t="s">
        <v>1187</v>
      </c>
      <c r="DR3" s="181" t="s">
        <v>1182</v>
      </c>
      <c r="DS3" s="181" t="s">
        <v>1192</v>
      </c>
      <c r="DT3" s="181" t="s">
        <v>1209</v>
      </c>
      <c r="DU3" s="181" t="s">
        <v>1211</v>
      </c>
      <c r="DV3" s="181" t="s">
        <v>1328</v>
      </c>
      <c r="DW3" s="181" t="s">
        <v>1329</v>
      </c>
      <c r="DX3" s="181" t="s">
        <v>1808</v>
      </c>
      <c r="DY3" s="537" t="s">
        <v>815</v>
      </c>
      <c r="DZ3" s="181" t="s">
        <v>265</v>
      </c>
      <c r="EA3" s="181" t="s">
        <v>1163</v>
      </c>
      <c r="EB3" s="181" t="s">
        <v>1113</v>
      </c>
      <c r="EC3" s="181" t="s">
        <v>978</v>
      </c>
      <c r="ED3" s="181" t="s">
        <v>979</v>
      </c>
      <c r="EE3" s="181" t="s">
        <v>980</v>
      </c>
      <c r="EF3" s="181" t="s">
        <v>264</v>
      </c>
      <c r="EG3" s="181" t="s">
        <v>856</v>
      </c>
      <c r="EH3" s="181" t="s">
        <v>981</v>
      </c>
      <c r="EI3" s="181" t="s">
        <v>982</v>
      </c>
      <c r="EJ3" s="181" t="s">
        <v>984</v>
      </c>
      <c r="EK3" s="181" t="s">
        <v>983</v>
      </c>
      <c r="EL3" s="181" t="s">
        <v>987</v>
      </c>
      <c r="EM3" s="181" t="s">
        <v>985</v>
      </c>
      <c r="EN3" s="181" t="s">
        <v>986</v>
      </c>
      <c r="EO3" s="181" t="s">
        <v>988</v>
      </c>
      <c r="EP3" s="181" t="s">
        <v>989</v>
      </c>
      <c r="EQ3" s="181" t="s">
        <v>990</v>
      </c>
      <c r="ER3" s="181" t="s">
        <v>991</v>
      </c>
      <c r="ES3" s="181" t="s">
        <v>992</v>
      </c>
      <c r="ET3" s="181" t="s">
        <v>1029</v>
      </c>
      <c r="EU3" s="181" t="s">
        <v>993</v>
      </c>
      <c r="EV3" s="181" t="s">
        <v>994</v>
      </c>
      <c r="EW3" s="181" t="s">
        <v>995</v>
      </c>
      <c r="EX3" s="181" t="s">
        <v>996</v>
      </c>
      <c r="EY3" s="181" t="s">
        <v>997</v>
      </c>
      <c r="EZ3" s="181" t="s">
        <v>998</v>
      </c>
      <c r="FA3" s="181" t="s">
        <v>999</v>
      </c>
      <c r="FB3" s="181" t="s">
        <v>1000</v>
      </c>
      <c r="FC3" s="181" t="s">
        <v>1001</v>
      </c>
      <c r="FD3" s="181" t="s">
        <v>1002</v>
      </c>
      <c r="FE3" s="181" t="s">
        <v>1003</v>
      </c>
      <c r="FF3" s="537" t="s">
        <v>1004</v>
      </c>
      <c r="FG3" s="537" t="s">
        <v>1005</v>
      </c>
      <c r="FH3" s="537" t="s">
        <v>1006</v>
      </c>
      <c r="FI3" s="537" t="s">
        <v>1007</v>
      </c>
      <c r="FJ3" s="537" t="s">
        <v>1008</v>
      </c>
      <c r="FK3" s="537" t="s">
        <v>1009</v>
      </c>
      <c r="FL3" s="537" t="s">
        <v>1010</v>
      </c>
      <c r="FM3" s="537" t="s">
        <v>1011</v>
      </c>
      <c r="FN3" s="537" t="s">
        <v>1012</v>
      </c>
      <c r="FO3" s="537" t="s">
        <v>1036</v>
      </c>
      <c r="FP3" s="537" t="s">
        <v>1013</v>
      </c>
      <c r="FQ3" s="537" t="s">
        <v>1014</v>
      </c>
      <c r="FR3" s="537" t="s">
        <v>1088</v>
      </c>
      <c r="FS3" s="537" t="s">
        <v>1015</v>
      </c>
      <c r="FT3" s="537" t="s">
        <v>1016</v>
      </c>
      <c r="FU3" s="537" t="s">
        <v>1033</v>
      </c>
      <c r="FV3" s="537" t="s">
        <v>1039</v>
      </c>
      <c r="FW3" s="537" t="s">
        <v>1085</v>
      </c>
      <c r="FX3" s="537" t="s">
        <v>1117</v>
      </c>
      <c r="FY3" s="537" t="s">
        <v>1176</v>
      </c>
      <c r="FZ3" s="537" t="s">
        <v>1177</v>
      </c>
      <c r="GA3" s="537" t="s">
        <v>1185</v>
      </c>
      <c r="GB3" s="3010" t="s">
        <v>1232</v>
      </c>
      <c r="GC3" s="3010" t="s">
        <v>1334</v>
      </c>
      <c r="GD3" s="3010" t="s">
        <v>1341</v>
      </c>
      <c r="GE3" s="3010" t="s">
        <v>1829</v>
      </c>
      <c r="GF3" s="3010" t="s">
        <v>1827</v>
      </c>
      <c r="GG3" s="537" t="s">
        <v>814</v>
      </c>
      <c r="GH3" s="990" t="s">
        <v>498</v>
      </c>
      <c r="GI3" s="990" t="s">
        <v>697</v>
      </c>
      <c r="GJ3" s="979" t="s">
        <v>696</v>
      </c>
      <c r="GK3" s="991" t="s">
        <v>693</v>
      </c>
      <c r="GL3" s="988" t="s">
        <v>130</v>
      </c>
      <c r="GM3" s="991" t="s">
        <v>694</v>
      </c>
      <c r="GN3" s="989" t="s">
        <v>1330</v>
      </c>
      <c r="GO3" s="989" t="s">
        <v>1332</v>
      </c>
      <c r="GP3" s="989" t="s">
        <v>45</v>
      </c>
      <c r="GQ3" s="989" t="s">
        <v>109</v>
      </c>
      <c r="GR3" s="989" t="s">
        <v>1331</v>
      </c>
      <c r="GS3" s="989" t="s">
        <v>1333</v>
      </c>
      <c r="GT3" s="989" t="s">
        <v>129</v>
      </c>
      <c r="GU3" s="989" t="s">
        <v>174</v>
      </c>
      <c r="GV3" s="988" t="s">
        <v>26</v>
      </c>
      <c r="GW3" s="979" t="s">
        <v>773</v>
      </c>
    </row>
    <row r="4" spans="1:276" s="822" customFormat="1" ht="3.75" customHeight="1" thickBot="1">
      <c r="A4" s="812"/>
      <c r="B4" s="845"/>
      <c r="C4" s="845"/>
      <c r="D4" s="845"/>
      <c r="E4" s="845"/>
      <c r="F4" s="846"/>
      <c r="G4" s="846"/>
      <c r="H4" s="845"/>
      <c r="I4" s="845"/>
      <c r="J4" s="845"/>
      <c r="K4" s="845"/>
      <c r="L4" s="845"/>
      <c r="M4" s="845"/>
      <c r="N4" s="845"/>
      <c r="O4" s="845"/>
      <c r="P4" s="845"/>
      <c r="Q4" s="845"/>
      <c r="R4" s="845"/>
      <c r="S4" s="845"/>
      <c r="T4" s="845"/>
      <c r="U4" s="845"/>
      <c r="V4" s="846"/>
      <c r="W4" s="845"/>
      <c r="X4" s="845"/>
      <c r="Y4" s="845"/>
      <c r="Z4" s="845"/>
      <c r="AA4" s="845"/>
      <c r="AB4" s="845"/>
      <c r="AC4" s="845"/>
      <c r="AD4" s="845"/>
      <c r="AE4" s="845"/>
      <c r="AF4" s="845"/>
      <c r="AG4" s="845"/>
      <c r="AH4" s="845"/>
      <c r="AI4" s="845"/>
      <c r="AJ4" s="845"/>
      <c r="AK4" s="845"/>
      <c r="AL4" s="845"/>
      <c r="AM4" s="845"/>
      <c r="AN4" s="845"/>
      <c r="AO4" s="845"/>
      <c r="AP4" s="845"/>
      <c r="AQ4" s="845"/>
      <c r="AR4" s="845"/>
      <c r="AS4" s="845"/>
      <c r="AT4" s="845"/>
      <c r="AU4" s="845"/>
      <c r="AV4" s="845"/>
      <c r="AW4" s="845"/>
      <c r="AX4" s="845"/>
      <c r="AY4" s="845"/>
      <c r="AZ4" s="845"/>
      <c r="BA4" s="845"/>
      <c r="BB4" s="845"/>
      <c r="BC4" s="845"/>
      <c r="BD4" s="845"/>
      <c r="BE4" s="845"/>
      <c r="BF4" s="845"/>
      <c r="BG4" s="845"/>
      <c r="BH4" s="845"/>
      <c r="BI4" s="845"/>
      <c r="BJ4" s="845"/>
      <c r="BK4" s="845"/>
      <c r="BL4" s="845"/>
      <c r="BM4" s="845"/>
      <c r="BN4" s="845"/>
      <c r="BO4" s="846"/>
      <c r="BP4" s="846"/>
      <c r="BQ4" s="846"/>
      <c r="BR4" s="845"/>
      <c r="BS4" s="846"/>
      <c r="BT4" s="846"/>
      <c r="BU4" s="846"/>
      <c r="BV4" s="846"/>
      <c r="BW4" s="846"/>
      <c r="BX4" s="846"/>
      <c r="BY4" s="846"/>
      <c r="BZ4" s="846"/>
      <c r="CA4" s="846"/>
      <c r="CB4" s="846"/>
      <c r="CC4" s="846"/>
      <c r="CD4" s="846"/>
      <c r="CE4" s="2879"/>
      <c r="CF4" s="846"/>
      <c r="CG4" s="846"/>
      <c r="CH4" s="846"/>
      <c r="CI4" s="846"/>
      <c r="CJ4" s="846"/>
      <c r="CK4" s="846"/>
      <c r="CL4" s="846"/>
      <c r="CM4" s="846"/>
      <c r="CN4" s="846"/>
      <c r="CO4" s="846"/>
      <c r="CP4" s="846"/>
      <c r="CQ4" s="846"/>
      <c r="CR4" s="846"/>
      <c r="CS4" s="846"/>
      <c r="CT4" s="846"/>
      <c r="CU4" s="846"/>
      <c r="CV4" s="846"/>
      <c r="CW4" s="846"/>
      <c r="CX4" s="846"/>
      <c r="CY4" s="846"/>
      <c r="CZ4" s="846"/>
      <c r="DA4" s="846"/>
      <c r="DB4" s="846"/>
      <c r="DC4" s="846"/>
      <c r="DD4" s="846"/>
      <c r="DE4" s="846"/>
      <c r="DF4" s="846"/>
      <c r="DG4" s="846"/>
      <c r="DH4" s="846"/>
      <c r="DI4" s="846"/>
      <c r="DJ4" s="846"/>
      <c r="DK4" s="846"/>
      <c r="DL4" s="846"/>
      <c r="DM4" s="846"/>
      <c r="DN4" s="846"/>
      <c r="DO4" s="846"/>
      <c r="DP4" s="846"/>
      <c r="DQ4" s="846"/>
      <c r="DR4" s="846"/>
      <c r="DS4" s="846"/>
      <c r="DT4" s="846"/>
      <c r="DU4" s="846"/>
      <c r="DV4" s="846"/>
      <c r="DW4" s="846"/>
      <c r="DX4" s="846"/>
      <c r="DY4" s="846"/>
      <c r="DZ4" s="845"/>
      <c r="EA4" s="845"/>
      <c r="EB4" s="845"/>
      <c r="EC4" s="845"/>
      <c r="ED4" s="845"/>
      <c r="EE4" s="845"/>
      <c r="EF4" s="845"/>
      <c r="EG4" s="845"/>
      <c r="EH4" s="845"/>
      <c r="EI4" s="845"/>
      <c r="EJ4" s="845"/>
      <c r="EK4" s="845"/>
      <c r="EL4" s="845"/>
      <c r="EM4" s="845"/>
      <c r="EN4" s="845"/>
      <c r="EO4" s="845"/>
      <c r="EP4" s="845"/>
      <c r="EQ4" s="845"/>
      <c r="ER4" s="845"/>
      <c r="ES4" s="845"/>
      <c r="ET4" s="845"/>
      <c r="EU4" s="845"/>
      <c r="EV4" s="845"/>
      <c r="EW4" s="845"/>
      <c r="EX4" s="845"/>
      <c r="EY4" s="845"/>
      <c r="EZ4" s="845"/>
      <c r="FA4" s="845"/>
      <c r="FB4" s="845"/>
      <c r="FC4" s="845"/>
      <c r="FD4" s="845"/>
      <c r="FE4" s="845"/>
      <c r="FF4" s="845"/>
      <c r="FG4" s="845"/>
      <c r="FH4" s="845"/>
      <c r="FI4" s="845"/>
      <c r="FJ4" s="845"/>
      <c r="FK4" s="845"/>
      <c r="FL4" s="845"/>
      <c r="FM4" s="845"/>
      <c r="FN4" s="845"/>
      <c r="FO4" s="845"/>
      <c r="FP4" s="845"/>
      <c r="FQ4" s="845"/>
      <c r="FR4" s="845"/>
      <c r="FS4" s="845"/>
      <c r="FT4" s="845"/>
      <c r="FU4" s="845"/>
      <c r="FV4" s="845"/>
      <c r="FW4" s="845"/>
      <c r="FX4" s="845"/>
      <c r="FY4" s="845"/>
      <c r="FZ4" s="845"/>
      <c r="GA4" s="845"/>
      <c r="GB4" s="845"/>
      <c r="GC4" s="845"/>
      <c r="GD4" s="845"/>
      <c r="GE4" s="845"/>
      <c r="GF4" s="845"/>
      <c r="GG4" s="845"/>
      <c r="GH4" s="845"/>
      <c r="GI4" s="847"/>
      <c r="GJ4" s="847"/>
      <c r="GK4" s="848"/>
      <c r="GL4" s="849"/>
      <c r="GM4" s="849"/>
      <c r="GN4" s="849"/>
      <c r="GO4" s="849"/>
      <c r="GP4" s="849"/>
      <c r="GQ4" s="849"/>
      <c r="GR4" s="849"/>
      <c r="GS4" s="849"/>
      <c r="GT4" s="870"/>
      <c r="GU4" s="870"/>
    </row>
    <row r="5" spans="1:276" ht="23.25" customHeight="1" thickBot="1">
      <c r="A5" s="540">
        <v>4.1666666666666602E-2</v>
      </c>
      <c r="B5" s="1724">
        <v>0</v>
      </c>
      <c r="C5" s="1725">
        <v>0</v>
      </c>
      <c r="D5" s="1725">
        <v>0</v>
      </c>
      <c r="E5" s="1725">
        <v>180</v>
      </c>
      <c r="F5" s="1734">
        <v>0</v>
      </c>
      <c r="G5" s="1734">
        <v>93</v>
      </c>
      <c r="H5" s="1725">
        <v>0</v>
      </c>
      <c r="I5" s="1725">
        <v>402</v>
      </c>
      <c r="J5" s="1725">
        <v>331</v>
      </c>
      <c r="K5" s="687"/>
      <c r="L5" s="687">
        <v>0</v>
      </c>
      <c r="M5" s="1725">
        <v>225</v>
      </c>
      <c r="N5" s="1725">
        <v>0</v>
      </c>
      <c r="O5" s="1725">
        <v>7</v>
      </c>
      <c r="P5" s="1725">
        <v>0</v>
      </c>
      <c r="Q5" s="1725">
        <v>30</v>
      </c>
      <c r="R5" s="1725">
        <v>0</v>
      </c>
      <c r="S5" s="687">
        <v>0</v>
      </c>
      <c r="T5" s="687">
        <v>0</v>
      </c>
      <c r="U5" s="1725">
        <v>8</v>
      </c>
      <c r="V5" s="1734">
        <v>8</v>
      </c>
      <c r="W5" s="1725">
        <v>50</v>
      </c>
      <c r="X5" s="1725">
        <v>0</v>
      </c>
      <c r="Y5" s="1725">
        <v>0</v>
      </c>
      <c r="Z5" s="687">
        <v>0</v>
      </c>
      <c r="AA5" s="1725">
        <v>0</v>
      </c>
      <c r="AB5" s="1725">
        <v>35</v>
      </c>
      <c r="AC5" s="1725">
        <v>55</v>
      </c>
      <c r="AD5" s="1725">
        <v>17</v>
      </c>
      <c r="AE5" s="1725">
        <v>19</v>
      </c>
      <c r="AF5" s="1725">
        <v>25</v>
      </c>
      <c r="AG5" s="1725">
        <v>27</v>
      </c>
      <c r="AH5" s="1725">
        <v>25</v>
      </c>
      <c r="AI5" s="1725">
        <v>33</v>
      </c>
      <c r="AJ5" s="1725">
        <v>50</v>
      </c>
      <c r="AK5" s="687">
        <v>0</v>
      </c>
      <c r="AL5" s="687">
        <v>78</v>
      </c>
      <c r="AM5" s="1725">
        <v>35</v>
      </c>
      <c r="AN5" s="1725">
        <v>100</v>
      </c>
      <c r="AO5" s="1725">
        <v>0</v>
      </c>
      <c r="AP5" s="1725">
        <v>0</v>
      </c>
      <c r="AQ5" s="1725">
        <v>0</v>
      </c>
      <c r="AR5" s="687">
        <v>0</v>
      </c>
      <c r="AS5" s="1725">
        <v>0</v>
      </c>
      <c r="AT5" s="687">
        <v>0</v>
      </c>
      <c r="AU5" s="687"/>
      <c r="AV5" s="1725">
        <v>0</v>
      </c>
      <c r="AW5" s="1725">
        <v>26</v>
      </c>
      <c r="AX5" s="1725">
        <v>51</v>
      </c>
      <c r="AY5" s="1725">
        <v>56</v>
      </c>
      <c r="AZ5" s="1725">
        <v>11</v>
      </c>
      <c r="BA5" s="1725">
        <v>25</v>
      </c>
      <c r="BB5" s="1725">
        <v>15</v>
      </c>
      <c r="BC5" s="1725">
        <v>38</v>
      </c>
      <c r="BD5" s="1725">
        <v>0</v>
      </c>
      <c r="BE5" s="687">
        <v>0</v>
      </c>
      <c r="BF5" s="687">
        <v>0</v>
      </c>
      <c r="BG5" s="1725">
        <v>345</v>
      </c>
      <c r="BH5" s="1725">
        <v>330</v>
      </c>
      <c r="BI5" s="1725">
        <v>171</v>
      </c>
      <c r="BJ5" s="1725">
        <v>8</v>
      </c>
      <c r="BK5" s="1725">
        <v>135</v>
      </c>
      <c r="BL5" s="687">
        <v>37</v>
      </c>
      <c r="BM5" s="1725">
        <v>55</v>
      </c>
      <c r="BN5" s="687">
        <v>0</v>
      </c>
      <c r="BO5" s="1734">
        <v>51</v>
      </c>
      <c r="BP5" s="688">
        <v>0</v>
      </c>
      <c r="BQ5" s="1734">
        <v>41</v>
      </c>
      <c r="BR5" s="1725">
        <v>8</v>
      </c>
      <c r="BS5" s="1734">
        <v>22</v>
      </c>
      <c r="BT5" s="1734">
        <v>10</v>
      </c>
      <c r="BU5" s="1734">
        <v>33</v>
      </c>
      <c r="BV5" s="1734">
        <v>20</v>
      </c>
      <c r="BW5" s="1744">
        <v>172</v>
      </c>
      <c r="BX5" s="1734">
        <v>101</v>
      </c>
      <c r="BY5" s="1734">
        <v>0</v>
      </c>
      <c r="BZ5" s="1734">
        <v>0</v>
      </c>
      <c r="CA5" s="1754">
        <v>0</v>
      </c>
      <c r="CB5" s="1734">
        <v>44</v>
      </c>
      <c r="CC5" s="1734">
        <v>41</v>
      </c>
      <c r="CD5" s="1734">
        <v>53</v>
      </c>
      <c r="CE5" s="1734">
        <v>48</v>
      </c>
      <c r="CF5" s="1734">
        <v>110</v>
      </c>
      <c r="CG5" s="1734">
        <v>0</v>
      </c>
      <c r="CH5" s="1734">
        <v>62</v>
      </c>
      <c r="CI5" s="1734">
        <v>81</v>
      </c>
      <c r="CJ5" s="1734">
        <v>0</v>
      </c>
      <c r="CK5" s="1734">
        <v>222</v>
      </c>
      <c r="CL5" s="1734">
        <v>0</v>
      </c>
      <c r="CM5" s="1734">
        <v>32</v>
      </c>
      <c r="CN5" s="1734">
        <v>10</v>
      </c>
      <c r="CO5" s="1734">
        <v>320</v>
      </c>
      <c r="CP5" s="1734">
        <v>8</v>
      </c>
      <c r="CQ5" s="1734">
        <v>0</v>
      </c>
      <c r="CR5" s="688">
        <v>0</v>
      </c>
      <c r="CS5" s="1734">
        <v>225</v>
      </c>
      <c r="CT5" s="1734">
        <v>0</v>
      </c>
      <c r="CU5" s="688">
        <v>0</v>
      </c>
      <c r="CV5" s="1734">
        <v>48</v>
      </c>
      <c r="CW5" s="688">
        <v>0</v>
      </c>
      <c r="CX5" s="1734">
        <v>136</v>
      </c>
      <c r="CY5" s="1750">
        <v>0</v>
      </c>
      <c r="CZ5" s="1734">
        <v>30</v>
      </c>
      <c r="DA5" s="1734">
        <v>42</v>
      </c>
      <c r="DB5" s="1734">
        <v>132</v>
      </c>
      <c r="DC5" s="1734">
        <v>402</v>
      </c>
      <c r="DD5" s="1734">
        <v>49</v>
      </c>
      <c r="DE5" s="1734">
        <v>88</v>
      </c>
      <c r="DF5" s="1734">
        <v>87</v>
      </c>
      <c r="DG5" s="1734">
        <v>0</v>
      </c>
      <c r="DH5" s="1734">
        <v>16</v>
      </c>
      <c r="DI5" s="1734">
        <v>36</v>
      </c>
      <c r="DJ5" s="1734">
        <v>55</v>
      </c>
      <c r="DK5" s="1734">
        <v>17</v>
      </c>
      <c r="DL5" s="1734">
        <v>45</v>
      </c>
      <c r="DM5" s="1734">
        <v>65</v>
      </c>
      <c r="DN5" s="1734">
        <v>0</v>
      </c>
      <c r="DO5" s="1734">
        <v>17</v>
      </c>
      <c r="DP5" s="1734">
        <v>0</v>
      </c>
      <c r="DQ5" s="1734">
        <v>162</v>
      </c>
      <c r="DR5" s="1734">
        <v>108</v>
      </c>
      <c r="DS5" s="1734">
        <v>0</v>
      </c>
      <c r="DT5" s="1734">
        <v>35</v>
      </c>
      <c r="DU5" s="1734">
        <v>0</v>
      </c>
      <c r="DV5" s="1734">
        <v>74</v>
      </c>
      <c r="DW5" s="1734">
        <v>55</v>
      </c>
      <c r="DX5" s="1734">
        <v>0</v>
      </c>
      <c r="DY5" s="688"/>
      <c r="DZ5" s="1759">
        <v>914</v>
      </c>
      <c r="EA5" s="1763">
        <v>0</v>
      </c>
      <c r="EB5" s="1763">
        <v>160</v>
      </c>
      <c r="EC5" s="1763">
        <v>0</v>
      </c>
      <c r="ED5" s="1763">
        <v>16</v>
      </c>
      <c r="EE5" s="831">
        <v>216</v>
      </c>
      <c r="EF5" s="831">
        <v>0</v>
      </c>
      <c r="EG5" s="831">
        <v>0</v>
      </c>
      <c r="EH5" s="1763">
        <v>22</v>
      </c>
      <c r="EI5" s="1763">
        <v>60</v>
      </c>
      <c r="EJ5" s="1763">
        <v>8</v>
      </c>
      <c r="EK5" s="1763">
        <v>87</v>
      </c>
      <c r="EL5" s="1763">
        <v>32</v>
      </c>
      <c r="EM5" s="1763">
        <v>32</v>
      </c>
      <c r="EN5" s="1763">
        <v>0</v>
      </c>
      <c r="EO5" s="1763">
        <v>0</v>
      </c>
      <c r="EP5" s="1763">
        <v>0</v>
      </c>
      <c r="EQ5" s="1763">
        <v>24</v>
      </c>
      <c r="ER5" s="831">
        <v>40</v>
      </c>
      <c r="ES5" s="1763">
        <v>80</v>
      </c>
      <c r="ET5" s="1763">
        <v>0</v>
      </c>
      <c r="EU5" s="1763">
        <v>42</v>
      </c>
      <c r="EV5" s="1763">
        <v>24</v>
      </c>
      <c r="EW5" s="1763">
        <v>8</v>
      </c>
      <c r="EX5" s="1763">
        <v>33</v>
      </c>
      <c r="EY5" s="1763">
        <v>22</v>
      </c>
      <c r="EZ5" s="1763">
        <v>0</v>
      </c>
      <c r="FA5" s="1763">
        <v>11</v>
      </c>
      <c r="FB5" s="1763">
        <v>0</v>
      </c>
      <c r="FC5" s="1763">
        <v>0</v>
      </c>
      <c r="FD5" s="1763">
        <v>200</v>
      </c>
      <c r="FE5" s="1763">
        <v>0</v>
      </c>
      <c r="FF5" s="1763">
        <v>0</v>
      </c>
      <c r="FG5" s="1770">
        <v>177</v>
      </c>
      <c r="FH5" s="1770">
        <v>0</v>
      </c>
      <c r="FI5" s="1770">
        <v>0</v>
      </c>
      <c r="FJ5" s="1770">
        <v>215</v>
      </c>
      <c r="FK5" s="1770">
        <v>0</v>
      </c>
      <c r="FL5" s="1770">
        <v>0</v>
      </c>
      <c r="FM5" s="1770">
        <v>148</v>
      </c>
      <c r="FN5" s="1770">
        <v>0</v>
      </c>
      <c r="FO5" s="1770">
        <v>286</v>
      </c>
      <c r="FP5" s="1770">
        <v>0</v>
      </c>
      <c r="FQ5" s="857">
        <v>0</v>
      </c>
      <c r="FR5" s="1770">
        <v>50</v>
      </c>
      <c r="FS5" s="1770">
        <v>105</v>
      </c>
      <c r="FT5" s="1770">
        <v>56</v>
      </c>
      <c r="FU5" s="1770">
        <v>0</v>
      </c>
      <c r="FV5" s="1770">
        <v>0</v>
      </c>
      <c r="FW5" s="1770">
        <v>95</v>
      </c>
      <c r="FX5" s="1770">
        <v>1070</v>
      </c>
      <c r="FY5" s="1770">
        <v>215</v>
      </c>
      <c r="FZ5" s="1770">
        <v>0</v>
      </c>
      <c r="GA5" s="1770">
        <v>0</v>
      </c>
      <c r="GB5" s="1770">
        <v>0</v>
      </c>
      <c r="GC5" s="1770">
        <v>0</v>
      </c>
      <c r="GD5" s="1770">
        <v>34</v>
      </c>
      <c r="GE5" s="1770">
        <v>0</v>
      </c>
      <c r="GF5" s="1770">
        <v>0</v>
      </c>
      <c r="GG5" s="857"/>
      <c r="GH5" s="841">
        <v>6549</v>
      </c>
      <c r="GI5" s="862">
        <v>4482</v>
      </c>
      <c r="GJ5" s="850">
        <v>11031</v>
      </c>
      <c r="GK5" s="851">
        <v>3392</v>
      </c>
      <c r="GL5" s="582">
        <v>914</v>
      </c>
      <c r="GM5" s="582">
        <v>2010</v>
      </c>
      <c r="GN5" s="1304">
        <v>0</v>
      </c>
      <c r="GO5" s="583">
        <v>2278</v>
      </c>
      <c r="GP5" s="583">
        <v>1270</v>
      </c>
      <c r="GQ5" s="583">
        <v>113</v>
      </c>
      <c r="GR5" s="583">
        <v>431</v>
      </c>
      <c r="GS5" s="583">
        <v>666</v>
      </c>
      <c r="GT5" s="583">
        <v>172</v>
      </c>
      <c r="GU5" s="4975">
        <v>0</v>
      </c>
      <c r="GV5" s="5334">
        <v>1538.1086749999995</v>
      </c>
      <c r="GW5" s="4637">
        <v>93.4</v>
      </c>
      <c r="GX5" s="12"/>
      <c r="HG5" s="134"/>
      <c r="HH5" s="134"/>
      <c r="IY5" s="134"/>
      <c r="IZ5" s="134"/>
    </row>
    <row r="6" spans="1:276" ht="23.25" customHeight="1" thickBot="1">
      <c r="A6" s="541">
        <v>8.3333333333333301E-2</v>
      </c>
      <c r="B6" s="1726">
        <v>0</v>
      </c>
      <c r="C6" s="1727">
        <v>0</v>
      </c>
      <c r="D6" s="1727">
        <v>0</v>
      </c>
      <c r="E6" s="1727">
        <v>180</v>
      </c>
      <c r="F6" s="1735">
        <v>0</v>
      </c>
      <c r="G6" s="1735">
        <v>93</v>
      </c>
      <c r="H6" s="1727">
        <v>0</v>
      </c>
      <c r="I6" s="1727">
        <v>403</v>
      </c>
      <c r="J6" s="1727">
        <v>331</v>
      </c>
      <c r="K6" s="689"/>
      <c r="L6" s="689">
        <v>0</v>
      </c>
      <c r="M6" s="1727">
        <v>225</v>
      </c>
      <c r="N6" s="1727">
        <v>0</v>
      </c>
      <c r="O6" s="1727">
        <v>8</v>
      </c>
      <c r="P6" s="1727">
        <v>0</v>
      </c>
      <c r="Q6" s="1727">
        <v>30</v>
      </c>
      <c r="R6" s="1727">
        <v>0</v>
      </c>
      <c r="S6" s="689">
        <v>0</v>
      </c>
      <c r="T6" s="689">
        <v>0</v>
      </c>
      <c r="U6" s="1727">
        <v>8</v>
      </c>
      <c r="V6" s="1735">
        <v>8</v>
      </c>
      <c r="W6" s="1727">
        <v>50</v>
      </c>
      <c r="X6" s="1727">
        <v>0</v>
      </c>
      <c r="Y6" s="1727">
        <v>0</v>
      </c>
      <c r="Z6" s="689">
        <v>0</v>
      </c>
      <c r="AA6" s="1727">
        <v>0</v>
      </c>
      <c r="AB6" s="1727">
        <v>35</v>
      </c>
      <c r="AC6" s="1727">
        <v>55</v>
      </c>
      <c r="AD6" s="1727">
        <v>17</v>
      </c>
      <c r="AE6" s="1727">
        <v>19</v>
      </c>
      <c r="AF6" s="1727">
        <v>25</v>
      </c>
      <c r="AG6" s="1727">
        <v>20</v>
      </c>
      <c r="AH6" s="1727">
        <v>0</v>
      </c>
      <c r="AI6" s="1727">
        <v>17</v>
      </c>
      <c r="AJ6" s="1727">
        <v>50</v>
      </c>
      <c r="AK6" s="689">
        <v>0</v>
      </c>
      <c r="AL6" s="689">
        <v>78</v>
      </c>
      <c r="AM6" s="1727">
        <v>35</v>
      </c>
      <c r="AN6" s="1727">
        <v>100</v>
      </c>
      <c r="AO6" s="1727">
        <v>0</v>
      </c>
      <c r="AP6" s="1727">
        <v>7</v>
      </c>
      <c r="AQ6" s="1727">
        <v>0</v>
      </c>
      <c r="AR6" s="689">
        <v>0</v>
      </c>
      <c r="AS6" s="1727">
        <v>0</v>
      </c>
      <c r="AT6" s="689">
        <v>0</v>
      </c>
      <c r="AU6" s="689"/>
      <c r="AV6" s="1727">
        <v>0</v>
      </c>
      <c r="AW6" s="1727">
        <v>26</v>
      </c>
      <c r="AX6" s="1727">
        <v>51</v>
      </c>
      <c r="AY6" s="1727">
        <v>56</v>
      </c>
      <c r="AZ6" s="1727">
        <v>11</v>
      </c>
      <c r="BA6" s="1727">
        <v>25</v>
      </c>
      <c r="BB6" s="1727">
        <v>15</v>
      </c>
      <c r="BC6" s="1727">
        <v>38</v>
      </c>
      <c r="BD6" s="1727">
        <v>0</v>
      </c>
      <c r="BE6" s="689">
        <v>0</v>
      </c>
      <c r="BF6" s="689">
        <v>0</v>
      </c>
      <c r="BG6" s="1727">
        <v>305</v>
      </c>
      <c r="BH6" s="1727">
        <v>290</v>
      </c>
      <c r="BI6" s="1727">
        <v>184</v>
      </c>
      <c r="BJ6" s="1727">
        <v>8</v>
      </c>
      <c r="BK6" s="1727">
        <v>135</v>
      </c>
      <c r="BL6" s="689">
        <v>37</v>
      </c>
      <c r="BM6" s="1727">
        <v>40</v>
      </c>
      <c r="BN6" s="689">
        <v>0</v>
      </c>
      <c r="BO6" s="1735">
        <v>51</v>
      </c>
      <c r="BP6" s="690">
        <v>0</v>
      </c>
      <c r="BQ6" s="1735">
        <v>41</v>
      </c>
      <c r="BR6" s="1727">
        <v>8</v>
      </c>
      <c r="BS6" s="1735">
        <v>22</v>
      </c>
      <c r="BT6" s="1735">
        <v>10</v>
      </c>
      <c r="BU6" s="1735">
        <v>33</v>
      </c>
      <c r="BV6" s="1735">
        <v>20</v>
      </c>
      <c r="BW6" s="1745">
        <v>172</v>
      </c>
      <c r="BX6" s="1735">
        <v>101</v>
      </c>
      <c r="BY6" s="1735">
        <v>0</v>
      </c>
      <c r="BZ6" s="1735">
        <v>20</v>
      </c>
      <c r="CA6" s="1755">
        <v>0</v>
      </c>
      <c r="CB6" s="1735">
        <v>44</v>
      </c>
      <c r="CC6" s="1735">
        <v>41</v>
      </c>
      <c r="CD6" s="1735">
        <v>53</v>
      </c>
      <c r="CE6" s="1735">
        <v>49</v>
      </c>
      <c r="CF6" s="1735">
        <v>110</v>
      </c>
      <c r="CG6" s="1735">
        <v>0</v>
      </c>
      <c r="CH6" s="1735">
        <v>62</v>
      </c>
      <c r="CI6" s="1735">
        <v>81</v>
      </c>
      <c r="CJ6" s="1735">
        <v>0</v>
      </c>
      <c r="CK6" s="1735">
        <v>220</v>
      </c>
      <c r="CL6" s="1735">
        <v>0</v>
      </c>
      <c r="CM6" s="1735">
        <v>31</v>
      </c>
      <c r="CN6" s="1735">
        <v>10</v>
      </c>
      <c r="CO6" s="1735">
        <v>320</v>
      </c>
      <c r="CP6" s="1735">
        <v>8</v>
      </c>
      <c r="CQ6" s="1735">
        <v>0</v>
      </c>
      <c r="CR6" s="690">
        <v>0</v>
      </c>
      <c r="CS6" s="1735">
        <v>200</v>
      </c>
      <c r="CT6" s="1735">
        <v>0</v>
      </c>
      <c r="CU6" s="690">
        <v>0</v>
      </c>
      <c r="CV6" s="1735">
        <v>48</v>
      </c>
      <c r="CW6" s="690">
        <v>0</v>
      </c>
      <c r="CX6" s="1735">
        <v>99</v>
      </c>
      <c r="CY6" s="1751">
        <v>0</v>
      </c>
      <c r="CZ6" s="1735">
        <v>20</v>
      </c>
      <c r="DA6" s="1735">
        <v>34</v>
      </c>
      <c r="DB6" s="1735">
        <v>128</v>
      </c>
      <c r="DC6" s="1735">
        <v>402</v>
      </c>
      <c r="DD6" s="1735">
        <v>49</v>
      </c>
      <c r="DE6" s="1735">
        <v>88</v>
      </c>
      <c r="DF6" s="1735">
        <v>87</v>
      </c>
      <c r="DG6" s="1735">
        <v>0</v>
      </c>
      <c r="DH6" s="1735">
        <v>16</v>
      </c>
      <c r="DI6" s="1838">
        <v>36</v>
      </c>
      <c r="DJ6" s="1850">
        <v>55</v>
      </c>
      <c r="DK6" s="2099">
        <v>17</v>
      </c>
      <c r="DL6" s="2168">
        <v>36</v>
      </c>
      <c r="DM6" s="2168">
        <v>20</v>
      </c>
      <c r="DN6" s="2426">
        <v>0</v>
      </c>
      <c r="DO6" s="2489">
        <v>17</v>
      </c>
      <c r="DP6" s="2578">
        <v>0</v>
      </c>
      <c r="DQ6" s="2594">
        <v>162</v>
      </c>
      <c r="DR6" s="2638">
        <v>108</v>
      </c>
      <c r="DS6" s="2658">
        <v>0</v>
      </c>
      <c r="DT6" s="2658">
        <v>35</v>
      </c>
      <c r="DU6" s="2730">
        <v>0</v>
      </c>
      <c r="DV6" s="2578">
        <v>75</v>
      </c>
      <c r="DW6" s="2578">
        <v>55</v>
      </c>
      <c r="DX6" s="4673">
        <v>0</v>
      </c>
      <c r="DY6" s="690"/>
      <c r="DZ6" s="1760">
        <v>914</v>
      </c>
      <c r="EA6" s="1764">
        <v>0</v>
      </c>
      <c r="EB6" s="1764">
        <v>160</v>
      </c>
      <c r="EC6" s="1764">
        <v>0</v>
      </c>
      <c r="ED6" s="1764">
        <v>16</v>
      </c>
      <c r="EE6" s="827">
        <v>223</v>
      </c>
      <c r="EF6" s="827">
        <v>0</v>
      </c>
      <c r="EG6" s="827">
        <v>0</v>
      </c>
      <c r="EH6" s="1764">
        <v>17</v>
      </c>
      <c r="EI6" s="1764">
        <v>57</v>
      </c>
      <c r="EJ6" s="1764">
        <v>8</v>
      </c>
      <c r="EK6" s="1764">
        <v>86</v>
      </c>
      <c r="EL6" s="1764">
        <v>30</v>
      </c>
      <c r="EM6" s="1764">
        <v>32</v>
      </c>
      <c r="EN6" s="1764">
        <v>0</v>
      </c>
      <c r="EO6" s="1764">
        <v>0</v>
      </c>
      <c r="EP6" s="1764">
        <v>0</v>
      </c>
      <c r="EQ6" s="1764">
        <v>24</v>
      </c>
      <c r="ER6" s="827">
        <v>40</v>
      </c>
      <c r="ES6" s="1764">
        <v>80</v>
      </c>
      <c r="ET6" s="1764">
        <v>0</v>
      </c>
      <c r="EU6" s="1764">
        <v>42</v>
      </c>
      <c r="EV6" s="1764">
        <v>24</v>
      </c>
      <c r="EW6" s="1764">
        <v>8</v>
      </c>
      <c r="EX6" s="1764">
        <v>33</v>
      </c>
      <c r="EY6" s="1764">
        <v>22</v>
      </c>
      <c r="EZ6" s="1764">
        <v>0</v>
      </c>
      <c r="FA6" s="1764">
        <v>11</v>
      </c>
      <c r="FB6" s="1764">
        <v>0</v>
      </c>
      <c r="FC6" s="1764">
        <v>0</v>
      </c>
      <c r="FD6" s="1764">
        <v>200</v>
      </c>
      <c r="FE6" s="1764">
        <v>0</v>
      </c>
      <c r="FF6" s="1764">
        <v>0</v>
      </c>
      <c r="FG6" s="1771">
        <v>178</v>
      </c>
      <c r="FH6" s="1771">
        <v>0</v>
      </c>
      <c r="FI6" s="1771">
        <v>0</v>
      </c>
      <c r="FJ6" s="1771">
        <v>214</v>
      </c>
      <c r="FK6" s="1771">
        <v>0</v>
      </c>
      <c r="FL6" s="1771">
        <v>0</v>
      </c>
      <c r="FM6" s="1771">
        <v>148</v>
      </c>
      <c r="FN6" s="1771">
        <v>0</v>
      </c>
      <c r="FO6" s="1771">
        <v>290</v>
      </c>
      <c r="FP6" s="1771">
        <v>0</v>
      </c>
      <c r="FQ6" s="1544">
        <v>0</v>
      </c>
      <c r="FR6" s="1771">
        <v>50</v>
      </c>
      <c r="FS6" s="1771">
        <v>105</v>
      </c>
      <c r="FT6" s="1771">
        <v>56</v>
      </c>
      <c r="FU6" s="1771">
        <v>0</v>
      </c>
      <c r="FV6" s="1783">
        <v>0</v>
      </c>
      <c r="FW6" s="1907">
        <v>55</v>
      </c>
      <c r="FX6" s="1907">
        <v>1090</v>
      </c>
      <c r="FY6" s="2581">
        <v>221</v>
      </c>
      <c r="FZ6" s="2581">
        <v>0</v>
      </c>
      <c r="GA6" s="2620">
        <v>0</v>
      </c>
      <c r="GB6" s="3011">
        <v>0</v>
      </c>
      <c r="GC6" s="3131">
        <v>0</v>
      </c>
      <c r="GD6" s="3175">
        <v>34</v>
      </c>
      <c r="GE6" s="4724">
        <v>0</v>
      </c>
      <c r="GF6" s="4724">
        <v>0</v>
      </c>
      <c r="GG6" s="858"/>
      <c r="GH6" s="841">
        <v>6309</v>
      </c>
      <c r="GI6" s="862">
        <v>4468</v>
      </c>
      <c r="GJ6" s="850">
        <v>10777</v>
      </c>
      <c r="GK6" s="851">
        <v>3296</v>
      </c>
      <c r="GL6" s="582">
        <v>914</v>
      </c>
      <c r="GM6" s="582">
        <v>2003</v>
      </c>
      <c r="GN6" s="583">
        <v>0</v>
      </c>
      <c r="GO6" s="583">
        <v>2109</v>
      </c>
      <c r="GP6" s="583">
        <v>1290</v>
      </c>
      <c r="GQ6" s="583">
        <v>113</v>
      </c>
      <c r="GR6" s="583">
        <v>437</v>
      </c>
      <c r="GS6" s="583">
        <v>657</v>
      </c>
      <c r="GT6" s="583">
        <v>172</v>
      </c>
      <c r="GU6" s="4975">
        <v>0</v>
      </c>
      <c r="GV6" s="5335">
        <v>1680.0312249999988</v>
      </c>
      <c r="GW6" s="4637">
        <v>93.43</v>
      </c>
      <c r="GX6" s="12"/>
      <c r="HG6" s="134"/>
      <c r="HH6" s="134"/>
      <c r="IY6" s="134"/>
      <c r="IZ6" s="134"/>
    </row>
    <row r="7" spans="1:276" ht="21" customHeight="1" thickBot="1">
      <c r="A7" s="541">
        <v>0.125</v>
      </c>
      <c r="B7" s="1726">
        <v>0</v>
      </c>
      <c r="C7" s="1727">
        <v>0</v>
      </c>
      <c r="D7" s="1727">
        <v>0</v>
      </c>
      <c r="E7" s="1727">
        <v>180</v>
      </c>
      <c r="F7" s="1735">
        <v>0</v>
      </c>
      <c r="G7" s="1735">
        <v>93</v>
      </c>
      <c r="H7" s="1727">
        <v>0</v>
      </c>
      <c r="I7" s="1727">
        <v>406</v>
      </c>
      <c r="J7" s="1727">
        <v>327</v>
      </c>
      <c r="K7" s="689"/>
      <c r="L7" s="689">
        <v>0</v>
      </c>
      <c r="M7" s="1727">
        <v>225</v>
      </c>
      <c r="N7" s="1727">
        <v>0</v>
      </c>
      <c r="O7" s="1727">
        <v>7</v>
      </c>
      <c r="P7" s="1727">
        <v>0</v>
      </c>
      <c r="Q7" s="1727">
        <v>30</v>
      </c>
      <c r="R7" s="1727">
        <v>0</v>
      </c>
      <c r="S7" s="689">
        <v>0</v>
      </c>
      <c r="T7" s="689">
        <v>0</v>
      </c>
      <c r="U7" s="1727">
        <v>8</v>
      </c>
      <c r="V7" s="1735">
        <v>8</v>
      </c>
      <c r="W7" s="1727">
        <v>50</v>
      </c>
      <c r="X7" s="1727">
        <v>0</v>
      </c>
      <c r="Y7" s="1727">
        <v>0</v>
      </c>
      <c r="Z7" s="689">
        <v>0</v>
      </c>
      <c r="AA7" s="1727">
        <v>0</v>
      </c>
      <c r="AB7" s="1727">
        <v>35</v>
      </c>
      <c r="AC7" s="1727">
        <v>55</v>
      </c>
      <c r="AD7" s="1727">
        <v>17</v>
      </c>
      <c r="AE7" s="1727">
        <v>19</v>
      </c>
      <c r="AF7" s="1727">
        <v>25</v>
      </c>
      <c r="AG7" s="1727">
        <v>25</v>
      </c>
      <c r="AH7" s="1727">
        <v>0</v>
      </c>
      <c r="AI7" s="1727">
        <v>17</v>
      </c>
      <c r="AJ7" s="1727">
        <v>50</v>
      </c>
      <c r="AK7" s="689">
        <v>0</v>
      </c>
      <c r="AL7" s="689">
        <v>78</v>
      </c>
      <c r="AM7" s="1727">
        <v>35</v>
      </c>
      <c r="AN7" s="1727">
        <v>100</v>
      </c>
      <c r="AO7" s="1727">
        <v>0</v>
      </c>
      <c r="AP7" s="1727">
        <v>16</v>
      </c>
      <c r="AQ7" s="1727">
        <v>0</v>
      </c>
      <c r="AR7" s="689">
        <v>0</v>
      </c>
      <c r="AS7" s="1727">
        <v>0</v>
      </c>
      <c r="AT7" s="689">
        <v>0</v>
      </c>
      <c r="AU7" s="689"/>
      <c r="AV7" s="1727">
        <v>0</v>
      </c>
      <c r="AW7" s="1727">
        <v>26</v>
      </c>
      <c r="AX7" s="1727">
        <v>51</v>
      </c>
      <c r="AY7" s="1727">
        <v>56</v>
      </c>
      <c r="AZ7" s="1727">
        <v>11</v>
      </c>
      <c r="BA7" s="1727">
        <v>25</v>
      </c>
      <c r="BB7" s="1727">
        <v>15</v>
      </c>
      <c r="BC7" s="1727">
        <v>37</v>
      </c>
      <c r="BD7" s="1727">
        <v>0</v>
      </c>
      <c r="BE7" s="689">
        <v>0</v>
      </c>
      <c r="BF7" s="689">
        <v>0</v>
      </c>
      <c r="BG7" s="1727">
        <v>340</v>
      </c>
      <c r="BH7" s="1727">
        <v>320</v>
      </c>
      <c r="BI7" s="1727">
        <v>182</v>
      </c>
      <c r="BJ7" s="1727">
        <v>8</v>
      </c>
      <c r="BK7" s="1727">
        <v>141</v>
      </c>
      <c r="BL7" s="689">
        <v>37</v>
      </c>
      <c r="BM7" s="1727">
        <v>40</v>
      </c>
      <c r="BN7" s="689">
        <v>0</v>
      </c>
      <c r="BO7" s="1735">
        <v>51</v>
      </c>
      <c r="BP7" s="690">
        <v>0</v>
      </c>
      <c r="BQ7" s="1735">
        <v>41</v>
      </c>
      <c r="BR7" s="1727">
        <v>8</v>
      </c>
      <c r="BS7" s="1735">
        <v>22</v>
      </c>
      <c r="BT7" s="1735">
        <v>10</v>
      </c>
      <c r="BU7" s="1735">
        <v>33</v>
      </c>
      <c r="BV7" s="1735">
        <v>20</v>
      </c>
      <c r="BW7" s="1745">
        <v>170</v>
      </c>
      <c r="BX7" s="1735">
        <v>102</v>
      </c>
      <c r="BY7" s="1735">
        <v>0</v>
      </c>
      <c r="BZ7" s="1735">
        <v>20</v>
      </c>
      <c r="CA7" s="1755">
        <v>0</v>
      </c>
      <c r="CB7" s="1735">
        <v>43</v>
      </c>
      <c r="CC7" s="1735">
        <v>41</v>
      </c>
      <c r="CD7" s="1735">
        <v>53</v>
      </c>
      <c r="CE7" s="1735">
        <v>49</v>
      </c>
      <c r="CF7" s="1735">
        <v>110</v>
      </c>
      <c r="CG7" s="1735">
        <v>0</v>
      </c>
      <c r="CH7" s="1735">
        <v>60</v>
      </c>
      <c r="CI7" s="1735">
        <v>10</v>
      </c>
      <c r="CJ7" s="1735">
        <v>0</v>
      </c>
      <c r="CK7" s="1735">
        <v>220</v>
      </c>
      <c r="CL7" s="1735">
        <v>0</v>
      </c>
      <c r="CM7" s="1735">
        <v>30</v>
      </c>
      <c r="CN7" s="1735">
        <v>10</v>
      </c>
      <c r="CO7" s="1735">
        <v>320</v>
      </c>
      <c r="CP7" s="1735">
        <v>8</v>
      </c>
      <c r="CQ7" s="1735">
        <v>0</v>
      </c>
      <c r="CR7" s="690">
        <v>0</v>
      </c>
      <c r="CS7" s="1735">
        <v>200</v>
      </c>
      <c r="CT7" s="1735">
        <v>0</v>
      </c>
      <c r="CU7" s="690">
        <v>0</v>
      </c>
      <c r="CV7" s="1735">
        <v>48</v>
      </c>
      <c r="CW7" s="690">
        <v>0</v>
      </c>
      <c r="CX7" s="1735">
        <v>99</v>
      </c>
      <c r="CY7" s="1751">
        <v>0</v>
      </c>
      <c r="CZ7" s="1735">
        <v>21</v>
      </c>
      <c r="DA7" s="1735">
        <v>34</v>
      </c>
      <c r="DB7" s="1735">
        <v>137</v>
      </c>
      <c r="DC7" s="1735">
        <v>402</v>
      </c>
      <c r="DD7" s="1735">
        <v>49</v>
      </c>
      <c r="DE7" s="1735">
        <v>88</v>
      </c>
      <c r="DF7" s="1735">
        <v>87</v>
      </c>
      <c r="DG7" s="1735">
        <v>0</v>
      </c>
      <c r="DH7" s="1735">
        <v>16</v>
      </c>
      <c r="DI7" s="1838">
        <v>36</v>
      </c>
      <c r="DJ7" s="1850">
        <v>55</v>
      </c>
      <c r="DK7" s="2099">
        <v>17</v>
      </c>
      <c r="DL7" s="2168">
        <v>36</v>
      </c>
      <c r="DM7" s="2168">
        <v>20</v>
      </c>
      <c r="DN7" s="2426">
        <v>0</v>
      </c>
      <c r="DO7" s="2489">
        <v>0</v>
      </c>
      <c r="DP7" s="2578">
        <v>0</v>
      </c>
      <c r="DQ7" s="2594">
        <v>162</v>
      </c>
      <c r="DR7" s="2638">
        <v>108</v>
      </c>
      <c r="DS7" s="2658">
        <v>0</v>
      </c>
      <c r="DT7" s="2658">
        <v>35</v>
      </c>
      <c r="DU7" s="2730">
        <v>0</v>
      </c>
      <c r="DV7" s="2578">
        <v>75</v>
      </c>
      <c r="DW7" s="2578">
        <v>55</v>
      </c>
      <c r="DX7" s="4673">
        <v>0</v>
      </c>
      <c r="DY7" s="690"/>
      <c r="DZ7" s="1760">
        <v>913</v>
      </c>
      <c r="EA7" s="1764">
        <v>0</v>
      </c>
      <c r="EB7" s="1764">
        <v>160</v>
      </c>
      <c r="EC7" s="1764">
        <v>0</v>
      </c>
      <c r="ED7" s="1764">
        <v>16</v>
      </c>
      <c r="EE7" s="827">
        <v>226</v>
      </c>
      <c r="EF7" s="827">
        <v>0</v>
      </c>
      <c r="EG7" s="827">
        <v>0</v>
      </c>
      <c r="EH7" s="1764">
        <v>17</v>
      </c>
      <c r="EI7" s="1764">
        <v>57</v>
      </c>
      <c r="EJ7" s="1764">
        <v>8</v>
      </c>
      <c r="EK7" s="1764">
        <v>87</v>
      </c>
      <c r="EL7" s="1764">
        <v>30</v>
      </c>
      <c r="EM7" s="1764">
        <v>32</v>
      </c>
      <c r="EN7" s="1764">
        <v>0</v>
      </c>
      <c r="EO7" s="1764">
        <v>0</v>
      </c>
      <c r="EP7" s="1764">
        <v>0</v>
      </c>
      <c r="EQ7" s="1764">
        <v>24</v>
      </c>
      <c r="ER7" s="827">
        <v>40</v>
      </c>
      <c r="ES7" s="1764">
        <v>80</v>
      </c>
      <c r="ET7" s="1764">
        <v>0</v>
      </c>
      <c r="EU7" s="1764">
        <v>42</v>
      </c>
      <c r="EV7" s="1764">
        <v>24</v>
      </c>
      <c r="EW7" s="1764">
        <v>8</v>
      </c>
      <c r="EX7" s="1764">
        <v>33</v>
      </c>
      <c r="EY7" s="1764">
        <v>22</v>
      </c>
      <c r="EZ7" s="1764">
        <v>0</v>
      </c>
      <c r="FA7" s="1764">
        <v>8</v>
      </c>
      <c r="FB7" s="1764">
        <v>0</v>
      </c>
      <c r="FC7" s="1764">
        <v>0</v>
      </c>
      <c r="FD7" s="1764">
        <v>200</v>
      </c>
      <c r="FE7" s="1764">
        <v>0</v>
      </c>
      <c r="FF7" s="1764">
        <v>0</v>
      </c>
      <c r="FG7" s="1771">
        <v>177</v>
      </c>
      <c r="FH7" s="1771">
        <v>0</v>
      </c>
      <c r="FI7" s="1771">
        <v>0</v>
      </c>
      <c r="FJ7" s="1771">
        <v>215</v>
      </c>
      <c r="FK7" s="1771">
        <v>0</v>
      </c>
      <c r="FL7" s="1771">
        <v>0</v>
      </c>
      <c r="FM7" s="1771">
        <v>148</v>
      </c>
      <c r="FN7" s="1771">
        <v>0</v>
      </c>
      <c r="FO7" s="1771">
        <v>302</v>
      </c>
      <c r="FP7" s="1771">
        <v>0</v>
      </c>
      <c r="FQ7" s="1544">
        <v>0</v>
      </c>
      <c r="FR7" s="1771">
        <v>50</v>
      </c>
      <c r="FS7" s="1771">
        <v>105</v>
      </c>
      <c r="FT7" s="1771">
        <v>56</v>
      </c>
      <c r="FU7" s="1771">
        <v>0</v>
      </c>
      <c r="FV7" s="1783">
        <v>0</v>
      </c>
      <c r="FW7" s="1907">
        <v>55</v>
      </c>
      <c r="FX7" s="1907">
        <v>1080</v>
      </c>
      <c r="FY7" s="2581">
        <v>220</v>
      </c>
      <c r="FZ7" s="2581">
        <v>0</v>
      </c>
      <c r="GA7" s="2620">
        <v>0</v>
      </c>
      <c r="GB7" s="3011">
        <v>0</v>
      </c>
      <c r="GC7" s="3131">
        <v>0</v>
      </c>
      <c r="GD7" s="3175">
        <v>34</v>
      </c>
      <c r="GE7" s="4724">
        <v>0</v>
      </c>
      <c r="GF7" s="4724">
        <v>0</v>
      </c>
      <c r="GG7" s="858"/>
      <c r="GH7" s="841">
        <v>6306</v>
      </c>
      <c r="GI7" s="862">
        <v>4469</v>
      </c>
      <c r="GJ7" s="850">
        <v>10775</v>
      </c>
      <c r="GK7" s="851">
        <v>3368</v>
      </c>
      <c r="GL7" s="582">
        <v>913</v>
      </c>
      <c r="GM7" s="582">
        <v>1937</v>
      </c>
      <c r="GN7" s="583">
        <v>0</v>
      </c>
      <c r="GO7" s="583">
        <v>2110</v>
      </c>
      <c r="GP7" s="583">
        <v>1280</v>
      </c>
      <c r="GQ7" s="583">
        <v>113</v>
      </c>
      <c r="GR7" s="583">
        <v>441</v>
      </c>
      <c r="GS7" s="583">
        <v>658</v>
      </c>
      <c r="GT7" s="583">
        <v>170</v>
      </c>
      <c r="GU7" s="4975">
        <v>0</v>
      </c>
      <c r="GV7" s="5335">
        <v>1589.7168750000001</v>
      </c>
      <c r="GW7" s="4637">
        <v>93.45</v>
      </c>
      <c r="GX7" s="12"/>
      <c r="HG7" s="134"/>
      <c r="HH7" s="134"/>
      <c r="IY7" s="134"/>
      <c r="IZ7" s="134"/>
    </row>
    <row r="8" spans="1:276" ht="23.25" customHeight="1" thickBot="1">
      <c r="A8" s="541">
        <v>0.16666666666666699</v>
      </c>
      <c r="B8" s="1726">
        <v>0</v>
      </c>
      <c r="C8" s="1727">
        <v>0</v>
      </c>
      <c r="D8" s="1727">
        <v>0</v>
      </c>
      <c r="E8" s="1727">
        <v>180</v>
      </c>
      <c r="F8" s="1735">
        <v>0</v>
      </c>
      <c r="G8" s="1735">
        <v>93</v>
      </c>
      <c r="H8" s="1727">
        <v>0</v>
      </c>
      <c r="I8" s="1727">
        <v>405</v>
      </c>
      <c r="J8" s="1727">
        <v>326</v>
      </c>
      <c r="K8" s="689"/>
      <c r="L8" s="689">
        <v>0</v>
      </c>
      <c r="M8" s="1727">
        <v>225</v>
      </c>
      <c r="N8" s="1727">
        <v>0</v>
      </c>
      <c r="O8" s="1727">
        <v>8</v>
      </c>
      <c r="P8" s="1727">
        <v>0</v>
      </c>
      <c r="Q8" s="1727">
        <v>30</v>
      </c>
      <c r="R8" s="1727">
        <v>0</v>
      </c>
      <c r="S8" s="689">
        <v>0</v>
      </c>
      <c r="T8" s="689">
        <v>0</v>
      </c>
      <c r="U8" s="1727">
        <v>8</v>
      </c>
      <c r="V8" s="1735">
        <v>8</v>
      </c>
      <c r="W8" s="1727">
        <v>50</v>
      </c>
      <c r="X8" s="1727">
        <v>0</v>
      </c>
      <c r="Y8" s="1727">
        <v>0</v>
      </c>
      <c r="Z8" s="689">
        <v>0</v>
      </c>
      <c r="AA8" s="1727">
        <v>0</v>
      </c>
      <c r="AB8" s="1727">
        <v>35</v>
      </c>
      <c r="AC8" s="1727">
        <v>55</v>
      </c>
      <c r="AD8" s="1727">
        <v>17</v>
      </c>
      <c r="AE8" s="1727">
        <v>19</v>
      </c>
      <c r="AF8" s="1727">
        <v>25</v>
      </c>
      <c r="AG8" s="1727">
        <v>20</v>
      </c>
      <c r="AH8" s="1727">
        <v>8</v>
      </c>
      <c r="AI8" s="1727">
        <v>17</v>
      </c>
      <c r="AJ8" s="1727">
        <v>51</v>
      </c>
      <c r="AK8" s="689">
        <v>0</v>
      </c>
      <c r="AL8" s="689">
        <v>78</v>
      </c>
      <c r="AM8" s="1727">
        <v>35</v>
      </c>
      <c r="AN8" s="1727">
        <v>100</v>
      </c>
      <c r="AO8" s="1727">
        <v>0</v>
      </c>
      <c r="AP8" s="1727">
        <v>16</v>
      </c>
      <c r="AQ8" s="1727">
        <v>0</v>
      </c>
      <c r="AR8" s="689">
        <v>0</v>
      </c>
      <c r="AS8" s="1727">
        <v>0</v>
      </c>
      <c r="AT8" s="689">
        <v>0</v>
      </c>
      <c r="AU8" s="689"/>
      <c r="AV8" s="1727">
        <v>0</v>
      </c>
      <c r="AW8" s="1727">
        <v>26</v>
      </c>
      <c r="AX8" s="1727">
        <v>17</v>
      </c>
      <c r="AY8" s="1727">
        <v>56</v>
      </c>
      <c r="AZ8" s="1727">
        <v>11</v>
      </c>
      <c r="BA8" s="1727">
        <v>25</v>
      </c>
      <c r="BB8" s="1727">
        <v>15</v>
      </c>
      <c r="BC8" s="1727">
        <v>38</v>
      </c>
      <c r="BD8" s="1727">
        <v>0</v>
      </c>
      <c r="BE8" s="689">
        <v>0</v>
      </c>
      <c r="BF8" s="689">
        <v>0</v>
      </c>
      <c r="BG8" s="1727">
        <v>335</v>
      </c>
      <c r="BH8" s="1727">
        <v>320</v>
      </c>
      <c r="BI8" s="1727">
        <v>179</v>
      </c>
      <c r="BJ8" s="1727">
        <v>8</v>
      </c>
      <c r="BK8" s="1727">
        <v>142</v>
      </c>
      <c r="BL8" s="689">
        <v>37</v>
      </c>
      <c r="BM8" s="1727">
        <v>40</v>
      </c>
      <c r="BN8" s="689">
        <v>0</v>
      </c>
      <c r="BO8" s="1735">
        <v>51</v>
      </c>
      <c r="BP8" s="690">
        <v>0</v>
      </c>
      <c r="BQ8" s="1735">
        <v>41</v>
      </c>
      <c r="BR8" s="1727">
        <v>8</v>
      </c>
      <c r="BS8" s="1735">
        <v>22</v>
      </c>
      <c r="BT8" s="1735">
        <v>10</v>
      </c>
      <c r="BU8" s="1735">
        <v>33</v>
      </c>
      <c r="BV8" s="1735">
        <v>20</v>
      </c>
      <c r="BW8" s="1745">
        <v>168</v>
      </c>
      <c r="BX8" s="1735">
        <v>102</v>
      </c>
      <c r="BY8" s="1735">
        <v>0</v>
      </c>
      <c r="BZ8" s="1735">
        <v>20</v>
      </c>
      <c r="CA8" s="1755">
        <v>0</v>
      </c>
      <c r="CB8" s="1735">
        <v>43</v>
      </c>
      <c r="CC8" s="1735">
        <v>41</v>
      </c>
      <c r="CD8" s="1735">
        <v>42</v>
      </c>
      <c r="CE8" s="1735">
        <v>30</v>
      </c>
      <c r="CF8" s="1735">
        <v>110</v>
      </c>
      <c r="CG8" s="1735">
        <v>0</v>
      </c>
      <c r="CH8" s="1735">
        <v>61</v>
      </c>
      <c r="CI8" s="1735">
        <v>10</v>
      </c>
      <c r="CJ8" s="1735">
        <v>0</v>
      </c>
      <c r="CK8" s="1735">
        <v>220</v>
      </c>
      <c r="CL8" s="1735">
        <v>0</v>
      </c>
      <c r="CM8" s="1735">
        <v>32</v>
      </c>
      <c r="CN8" s="1735">
        <v>10</v>
      </c>
      <c r="CO8" s="1735">
        <v>330</v>
      </c>
      <c r="CP8" s="1735">
        <v>8</v>
      </c>
      <c r="CQ8" s="1735">
        <v>0</v>
      </c>
      <c r="CR8" s="690">
        <v>0</v>
      </c>
      <c r="CS8" s="1735">
        <v>195</v>
      </c>
      <c r="CT8" s="1735">
        <v>0</v>
      </c>
      <c r="CU8" s="690">
        <v>0</v>
      </c>
      <c r="CV8" s="1735">
        <v>48</v>
      </c>
      <c r="CW8" s="690">
        <v>0</v>
      </c>
      <c r="CX8" s="1735">
        <v>99</v>
      </c>
      <c r="CY8" s="1751">
        <v>0</v>
      </c>
      <c r="CZ8" s="1735">
        <v>21</v>
      </c>
      <c r="DA8" s="1735">
        <v>34</v>
      </c>
      <c r="DB8" s="1735">
        <v>137</v>
      </c>
      <c r="DC8" s="1735">
        <v>401</v>
      </c>
      <c r="DD8" s="1735">
        <v>49</v>
      </c>
      <c r="DE8" s="1735">
        <v>88</v>
      </c>
      <c r="DF8" s="1735">
        <v>81</v>
      </c>
      <c r="DG8" s="1735">
        <v>0</v>
      </c>
      <c r="DH8" s="1735">
        <v>16</v>
      </c>
      <c r="DI8" s="1838">
        <v>36</v>
      </c>
      <c r="DJ8" s="1850">
        <v>55</v>
      </c>
      <c r="DK8" s="2099">
        <v>17</v>
      </c>
      <c r="DL8" s="2168">
        <v>36</v>
      </c>
      <c r="DM8" s="2168">
        <v>20</v>
      </c>
      <c r="DN8" s="2426">
        <v>0</v>
      </c>
      <c r="DO8" s="2489">
        <v>0</v>
      </c>
      <c r="DP8" s="2578">
        <v>0</v>
      </c>
      <c r="DQ8" s="2594">
        <v>162</v>
      </c>
      <c r="DR8" s="2638">
        <v>108</v>
      </c>
      <c r="DS8" s="2658">
        <v>0</v>
      </c>
      <c r="DT8" s="2658">
        <v>35</v>
      </c>
      <c r="DU8" s="2730">
        <v>0</v>
      </c>
      <c r="DV8" s="2578">
        <v>74</v>
      </c>
      <c r="DW8" s="2578">
        <v>55</v>
      </c>
      <c r="DX8" s="4673">
        <v>0</v>
      </c>
      <c r="DY8" s="690"/>
      <c r="DZ8" s="1760">
        <v>913</v>
      </c>
      <c r="EA8" s="1764">
        <v>0</v>
      </c>
      <c r="EB8" s="1764">
        <v>165</v>
      </c>
      <c r="EC8" s="1764">
        <v>0</v>
      </c>
      <c r="ED8" s="1764">
        <v>16</v>
      </c>
      <c r="EE8" s="827">
        <v>226</v>
      </c>
      <c r="EF8" s="827">
        <v>0</v>
      </c>
      <c r="EG8" s="827">
        <v>0</v>
      </c>
      <c r="EH8" s="1764">
        <v>17</v>
      </c>
      <c r="EI8" s="1764">
        <v>57</v>
      </c>
      <c r="EJ8" s="1764">
        <v>8</v>
      </c>
      <c r="EK8" s="1764">
        <v>87</v>
      </c>
      <c r="EL8" s="1764">
        <v>27</v>
      </c>
      <c r="EM8" s="1764">
        <v>32</v>
      </c>
      <c r="EN8" s="1764">
        <v>0</v>
      </c>
      <c r="EO8" s="1764">
        <v>0</v>
      </c>
      <c r="EP8" s="1764">
        <v>0</v>
      </c>
      <c r="EQ8" s="1764">
        <v>24</v>
      </c>
      <c r="ER8" s="827">
        <v>40</v>
      </c>
      <c r="ES8" s="1764">
        <v>80</v>
      </c>
      <c r="ET8" s="1764">
        <v>0</v>
      </c>
      <c r="EU8" s="1764">
        <v>42</v>
      </c>
      <c r="EV8" s="1764">
        <v>24</v>
      </c>
      <c r="EW8" s="1764">
        <v>8</v>
      </c>
      <c r="EX8" s="1764">
        <v>33</v>
      </c>
      <c r="EY8" s="1764">
        <v>22</v>
      </c>
      <c r="EZ8" s="1764">
        <v>0</v>
      </c>
      <c r="FA8" s="1764">
        <v>8</v>
      </c>
      <c r="FB8" s="1764">
        <v>0</v>
      </c>
      <c r="FC8" s="1764">
        <v>0</v>
      </c>
      <c r="FD8" s="1764">
        <v>200</v>
      </c>
      <c r="FE8" s="1764">
        <v>0</v>
      </c>
      <c r="FF8" s="1764">
        <v>0</v>
      </c>
      <c r="FG8" s="1771">
        <v>178</v>
      </c>
      <c r="FH8" s="1771">
        <v>0</v>
      </c>
      <c r="FI8" s="1771">
        <v>0</v>
      </c>
      <c r="FJ8" s="1771">
        <v>215</v>
      </c>
      <c r="FK8" s="1771">
        <v>0</v>
      </c>
      <c r="FL8" s="1771">
        <v>0</v>
      </c>
      <c r="FM8" s="1771">
        <v>149</v>
      </c>
      <c r="FN8" s="1771">
        <v>0</v>
      </c>
      <c r="FO8" s="1771">
        <v>306</v>
      </c>
      <c r="FP8" s="1771">
        <v>0</v>
      </c>
      <c r="FQ8" s="1544">
        <v>0</v>
      </c>
      <c r="FR8" s="1771">
        <v>50</v>
      </c>
      <c r="FS8" s="1771">
        <v>105</v>
      </c>
      <c r="FT8" s="1771">
        <v>56</v>
      </c>
      <c r="FU8" s="1771">
        <v>0</v>
      </c>
      <c r="FV8" s="1783">
        <v>0</v>
      </c>
      <c r="FW8" s="1907">
        <v>55</v>
      </c>
      <c r="FX8" s="1907">
        <v>1080</v>
      </c>
      <c r="FY8" s="2581">
        <v>221</v>
      </c>
      <c r="FZ8" s="2581">
        <v>0</v>
      </c>
      <c r="GA8" s="2620">
        <v>0</v>
      </c>
      <c r="GB8" s="3011">
        <v>0</v>
      </c>
      <c r="GC8" s="3131">
        <v>0</v>
      </c>
      <c r="GD8" s="3175">
        <v>34</v>
      </c>
      <c r="GE8" s="4724">
        <v>0</v>
      </c>
      <c r="GF8" s="4724">
        <v>0</v>
      </c>
      <c r="GG8" s="858"/>
      <c r="GH8" s="841">
        <v>6237</v>
      </c>
      <c r="GI8" s="862">
        <v>4478</v>
      </c>
      <c r="GJ8" s="850">
        <v>10715</v>
      </c>
      <c r="GK8" s="851">
        <v>3370</v>
      </c>
      <c r="GL8" s="582">
        <v>913</v>
      </c>
      <c r="GM8" s="582">
        <v>1921</v>
      </c>
      <c r="GN8" s="583">
        <v>0</v>
      </c>
      <c r="GO8" s="583">
        <v>2100</v>
      </c>
      <c r="GP8" s="583">
        <v>1280</v>
      </c>
      <c r="GQ8" s="583">
        <v>113</v>
      </c>
      <c r="GR8" s="583">
        <v>441</v>
      </c>
      <c r="GS8" s="583">
        <v>624</v>
      </c>
      <c r="GT8" s="583">
        <v>168</v>
      </c>
      <c r="GU8" s="4975">
        <v>0</v>
      </c>
      <c r="GV8" s="5335">
        <v>1552.8538749999989</v>
      </c>
      <c r="GW8" s="4637">
        <v>93.48</v>
      </c>
      <c r="GX8" s="12"/>
      <c r="HG8" s="134"/>
      <c r="HH8" s="134"/>
      <c r="IY8" s="134"/>
      <c r="IZ8" s="134"/>
    </row>
    <row r="9" spans="1:276" ht="22.5" customHeight="1" thickBot="1">
      <c r="A9" s="542">
        <v>0.20833333333333401</v>
      </c>
      <c r="B9" s="1726">
        <v>0</v>
      </c>
      <c r="C9" s="1727">
        <v>0</v>
      </c>
      <c r="D9" s="1727">
        <v>0</v>
      </c>
      <c r="E9" s="1727">
        <v>180</v>
      </c>
      <c r="F9" s="1735">
        <v>0</v>
      </c>
      <c r="G9" s="1735">
        <v>92</v>
      </c>
      <c r="H9" s="1727">
        <v>0</v>
      </c>
      <c r="I9" s="1727">
        <v>407</v>
      </c>
      <c r="J9" s="1727">
        <v>327</v>
      </c>
      <c r="K9" s="689"/>
      <c r="L9" s="689">
        <v>0</v>
      </c>
      <c r="M9" s="1727">
        <v>225</v>
      </c>
      <c r="N9" s="1727">
        <v>0</v>
      </c>
      <c r="O9" s="1727">
        <v>7</v>
      </c>
      <c r="P9" s="1727">
        <v>0</v>
      </c>
      <c r="Q9" s="1727">
        <v>30</v>
      </c>
      <c r="R9" s="1727">
        <v>0</v>
      </c>
      <c r="S9" s="689">
        <v>0</v>
      </c>
      <c r="T9" s="689">
        <v>0</v>
      </c>
      <c r="U9" s="1727">
        <v>8</v>
      </c>
      <c r="V9" s="1735">
        <v>8</v>
      </c>
      <c r="W9" s="1727">
        <v>50</v>
      </c>
      <c r="X9" s="1727">
        <v>0</v>
      </c>
      <c r="Y9" s="1727">
        <v>0</v>
      </c>
      <c r="Z9" s="689">
        <v>0</v>
      </c>
      <c r="AA9" s="1727">
        <v>0</v>
      </c>
      <c r="AB9" s="1727">
        <v>35</v>
      </c>
      <c r="AC9" s="1727">
        <v>55</v>
      </c>
      <c r="AD9" s="1727">
        <v>17</v>
      </c>
      <c r="AE9" s="1727">
        <v>19</v>
      </c>
      <c r="AF9" s="1727">
        <v>25</v>
      </c>
      <c r="AG9" s="1727">
        <v>25</v>
      </c>
      <c r="AH9" s="1727">
        <v>25</v>
      </c>
      <c r="AI9" s="1727">
        <v>33</v>
      </c>
      <c r="AJ9" s="1727">
        <v>51</v>
      </c>
      <c r="AK9" s="689">
        <v>0</v>
      </c>
      <c r="AL9" s="689">
        <v>79</v>
      </c>
      <c r="AM9" s="1727">
        <v>35</v>
      </c>
      <c r="AN9" s="1727">
        <v>100</v>
      </c>
      <c r="AO9" s="1727">
        <v>0</v>
      </c>
      <c r="AP9" s="1727">
        <v>16</v>
      </c>
      <c r="AQ9" s="1727">
        <v>0</v>
      </c>
      <c r="AR9" s="689">
        <v>0</v>
      </c>
      <c r="AS9" s="1727">
        <v>0</v>
      </c>
      <c r="AT9" s="689">
        <v>0</v>
      </c>
      <c r="AU9" s="689"/>
      <c r="AV9" s="1727">
        <v>0</v>
      </c>
      <c r="AW9" s="1727">
        <v>26</v>
      </c>
      <c r="AX9" s="1727">
        <v>17</v>
      </c>
      <c r="AY9" s="1727">
        <v>56</v>
      </c>
      <c r="AZ9" s="1727">
        <v>11</v>
      </c>
      <c r="BA9" s="1727">
        <v>25</v>
      </c>
      <c r="BB9" s="1727">
        <v>15</v>
      </c>
      <c r="BC9" s="1727">
        <v>38</v>
      </c>
      <c r="BD9" s="1727">
        <v>0</v>
      </c>
      <c r="BE9" s="689">
        <v>0</v>
      </c>
      <c r="BF9" s="689">
        <v>0</v>
      </c>
      <c r="BG9" s="1727">
        <v>345</v>
      </c>
      <c r="BH9" s="1727">
        <v>330</v>
      </c>
      <c r="BI9" s="1727">
        <v>189</v>
      </c>
      <c r="BJ9" s="1727">
        <v>8</v>
      </c>
      <c r="BK9" s="1727">
        <v>142</v>
      </c>
      <c r="BL9" s="689">
        <v>37</v>
      </c>
      <c r="BM9" s="1727">
        <v>40</v>
      </c>
      <c r="BN9" s="689">
        <v>0</v>
      </c>
      <c r="BO9" s="1735">
        <v>51</v>
      </c>
      <c r="BP9" s="690">
        <v>0</v>
      </c>
      <c r="BQ9" s="1735">
        <v>41</v>
      </c>
      <c r="BR9" s="1727">
        <v>8</v>
      </c>
      <c r="BS9" s="1735">
        <v>22</v>
      </c>
      <c r="BT9" s="1735">
        <v>10</v>
      </c>
      <c r="BU9" s="1735">
        <v>33</v>
      </c>
      <c r="BV9" s="1735">
        <v>20</v>
      </c>
      <c r="BW9" s="1745">
        <v>164</v>
      </c>
      <c r="BX9" s="1735">
        <v>102</v>
      </c>
      <c r="BY9" s="1735">
        <v>0</v>
      </c>
      <c r="BZ9" s="1735">
        <v>22</v>
      </c>
      <c r="CA9" s="1755">
        <v>0</v>
      </c>
      <c r="CB9" s="1735">
        <v>43</v>
      </c>
      <c r="CC9" s="1735">
        <v>41</v>
      </c>
      <c r="CD9" s="1735">
        <v>42</v>
      </c>
      <c r="CE9" s="1735">
        <v>30</v>
      </c>
      <c r="CF9" s="1735">
        <v>110</v>
      </c>
      <c r="CG9" s="1735">
        <v>0</v>
      </c>
      <c r="CH9" s="1735">
        <v>60</v>
      </c>
      <c r="CI9" s="1735">
        <v>10</v>
      </c>
      <c r="CJ9" s="1735">
        <v>0</v>
      </c>
      <c r="CK9" s="1735">
        <v>220</v>
      </c>
      <c r="CL9" s="1735">
        <v>0</v>
      </c>
      <c r="CM9" s="1735">
        <v>31</v>
      </c>
      <c r="CN9" s="1735">
        <v>10</v>
      </c>
      <c r="CO9" s="1735">
        <v>310</v>
      </c>
      <c r="CP9" s="1735">
        <v>8</v>
      </c>
      <c r="CQ9" s="1735">
        <v>0</v>
      </c>
      <c r="CR9" s="690">
        <v>0</v>
      </c>
      <c r="CS9" s="1735">
        <v>198</v>
      </c>
      <c r="CT9" s="1735">
        <v>0</v>
      </c>
      <c r="CU9" s="690">
        <v>0</v>
      </c>
      <c r="CV9" s="1735">
        <v>48</v>
      </c>
      <c r="CW9" s="690">
        <v>0</v>
      </c>
      <c r="CX9" s="1735">
        <v>99</v>
      </c>
      <c r="CY9" s="1751">
        <v>0</v>
      </c>
      <c r="CZ9" s="1735">
        <v>21</v>
      </c>
      <c r="DA9" s="1735">
        <v>34</v>
      </c>
      <c r="DB9" s="1735">
        <v>132</v>
      </c>
      <c r="DC9" s="1735">
        <v>402</v>
      </c>
      <c r="DD9" s="1735">
        <v>49</v>
      </c>
      <c r="DE9" s="1735">
        <v>88</v>
      </c>
      <c r="DF9" s="1735">
        <v>87</v>
      </c>
      <c r="DG9" s="1735">
        <v>0</v>
      </c>
      <c r="DH9" s="1735">
        <v>16</v>
      </c>
      <c r="DI9" s="1838">
        <v>36</v>
      </c>
      <c r="DJ9" s="1850">
        <v>55</v>
      </c>
      <c r="DK9" s="2099">
        <v>17</v>
      </c>
      <c r="DL9" s="2168">
        <v>36</v>
      </c>
      <c r="DM9" s="2168">
        <v>20</v>
      </c>
      <c r="DN9" s="2426">
        <v>0</v>
      </c>
      <c r="DO9" s="2489">
        <v>0</v>
      </c>
      <c r="DP9" s="2578">
        <v>0</v>
      </c>
      <c r="DQ9" s="2594">
        <v>162</v>
      </c>
      <c r="DR9" s="2638">
        <v>108</v>
      </c>
      <c r="DS9" s="2658">
        <v>0</v>
      </c>
      <c r="DT9" s="2658">
        <v>35</v>
      </c>
      <c r="DU9" s="2730">
        <v>0</v>
      </c>
      <c r="DV9" s="2578">
        <v>75</v>
      </c>
      <c r="DW9" s="2578">
        <v>55</v>
      </c>
      <c r="DX9" s="4673">
        <v>0</v>
      </c>
      <c r="DY9" s="690"/>
      <c r="DZ9" s="1760">
        <v>914</v>
      </c>
      <c r="EA9" s="1764">
        <v>0</v>
      </c>
      <c r="EB9" s="1764">
        <v>165</v>
      </c>
      <c r="EC9" s="1764">
        <v>0</v>
      </c>
      <c r="ED9" s="1764">
        <v>16</v>
      </c>
      <c r="EE9" s="827">
        <v>226</v>
      </c>
      <c r="EF9" s="827">
        <v>0</v>
      </c>
      <c r="EG9" s="827">
        <v>0</v>
      </c>
      <c r="EH9" s="1764">
        <v>17</v>
      </c>
      <c r="EI9" s="1764">
        <v>57</v>
      </c>
      <c r="EJ9" s="1764">
        <v>0</v>
      </c>
      <c r="EK9" s="1764">
        <v>85</v>
      </c>
      <c r="EL9" s="1764">
        <v>27</v>
      </c>
      <c r="EM9" s="1764">
        <v>32</v>
      </c>
      <c r="EN9" s="1764">
        <v>0</v>
      </c>
      <c r="EO9" s="1764">
        <v>0</v>
      </c>
      <c r="EP9" s="1764">
        <v>0</v>
      </c>
      <c r="EQ9" s="1764">
        <v>24</v>
      </c>
      <c r="ER9" s="827">
        <v>40</v>
      </c>
      <c r="ES9" s="1764">
        <v>80</v>
      </c>
      <c r="ET9" s="1764">
        <v>0</v>
      </c>
      <c r="EU9" s="1764">
        <v>42</v>
      </c>
      <c r="EV9" s="1764">
        <v>24</v>
      </c>
      <c r="EW9" s="1764">
        <v>8</v>
      </c>
      <c r="EX9" s="1764">
        <v>33</v>
      </c>
      <c r="EY9" s="1764">
        <v>22</v>
      </c>
      <c r="EZ9" s="1764">
        <v>0</v>
      </c>
      <c r="FA9" s="1764">
        <v>8</v>
      </c>
      <c r="FB9" s="1764">
        <v>0</v>
      </c>
      <c r="FC9" s="1764">
        <v>0</v>
      </c>
      <c r="FD9" s="1764">
        <v>200</v>
      </c>
      <c r="FE9" s="1764">
        <v>0</v>
      </c>
      <c r="FF9" s="1764">
        <v>0</v>
      </c>
      <c r="FG9" s="1771">
        <v>178</v>
      </c>
      <c r="FH9" s="1771">
        <v>0</v>
      </c>
      <c r="FI9" s="1771">
        <v>0</v>
      </c>
      <c r="FJ9" s="1771">
        <v>215</v>
      </c>
      <c r="FK9" s="1771">
        <v>0</v>
      </c>
      <c r="FL9" s="1771">
        <v>0</v>
      </c>
      <c r="FM9" s="1771">
        <v>151</v>
      </c>
      <c r="FN9" s="1771">
        <v>0</v>
      </c>
      <c r="FO9" s="1771">
        <v>307</v>
      </c>
      <c r="FP9" s="1771">
        <v>0</v>
      </c>
      <c r="FQ9" s="1544">
        <v>0</v>
      </c>
      <c r="FR9" s="1771">
        <v>50</v>
      </c>
      <c r="FS9" s="1771">
        <v>105</v>
      </c>
      <c r="FT9" s="1771">
        <v>56</v>
      </c>
      <c r="FU9" s="1771">
        <v>0</v>
      </c>
      <c r="FV9" s="1783">
        <v>0</v>
      </c>
      <c r="FW9" s="1907">
        <v>55</v>
      </c>
      <c r="FX9" s="1907">
        <v>1070</v>
      </c>
      <c r="FY9" s="2581">
        <v>216</v>
      </c>
      <c r="FZ9" s="2581">
        <v>0</v>
      </c>
      <c r="GA9" s="2620">
        <v>0</v>
      </c>
      <c r="GB9" s="3011">
        <v>0</v>
      </c>
      <c r="GC9" s="3131">
        <v>0</v>
      </c>
      <c r="GD9" s="3175">
        <v>34</v>
      </c>
      <c r="GE9" s="4724">
        <v>0</v>
      </c>
      <c r="GF9" s="4724">
        <v>0</v>
      </c>
      <c r="GG9" s="858"/>
      <c r="GH9" s="841">
        <v>6289</v>
      </c>
      <c r="GI9" s="862">
        <v>4457</v>
      </c>
      <c r="GJ9" s="850">
        <v>10746</v>
      </c>
      <c r="GK9" s="851">
        <v>3442</v>
      </c>
      <c r="GL9" s="582">
        <v>914</v>
      </c>
      <c r="GM9" s="582">
        <v>1896</v>
      </c>
      <c r="GN9" s="583">
        <v>0</v>
      </c>
      <c r="GO9" s="583">
        <v>2096</v>
      </c>
      <c r="GP9" s="583">
        <v>1270</v>
      </c>
      <c r="GQ9" s="583">
        <v>114</v>
      </c>
      <c r="GR9" s="583">
        <v>441</v>
      </c>
      <c r="GS9" s="583">
        <v>624</v>
      </c>
      <c r="GT9" s="583">
        <v>164</v>
      </c>
      <c r="GU9" s="4975">
        <v>0</v>
      </c>
      <c r="GV9" s="5335">
        <v>1247.8125500000006</v>
      </c>
      <c r="GW9" s="4637">
        <v>93.51</v>
      </c>
      <c r="GX9" s="12"/>
      <c r="HG9" s="134"/>
      <c r="HH9" s="134"/>
      <c r="IY9" s="134"/>
      <c r="IZ9" s="134"/>
    </row>
    <row r="10" spans="1:276" ht="21.75" customHeight="1" thickBot="1">
      <c r="A10" s="542">
        <v>0.25</v>
      </c>
      <c r="B10" s="1726">
        <v>0</v>
      </c>
      <c r="C10" s="1727">
        <v>0</v>
      </c>
      <c r="D10" s="1727">
        <v>0</v>
      </c>
      <c r="E10" s="1727">
        <v>180</v>
      </c>
      <c r="F10" s="1735">
        <v>0</v>
      </c>
      <c r="G10" s="1735">
        <v>90</v>
      </c>
      <c r="H10" s="1727">
        <v>0</v>
      </c>
      <c r="I10" s="1727">
        <v>404</v>
      </c>
      <c r="J10" s="1727">
        <v>327</v>
      </c>
      <c r="K10" s="689"/>
      <c r="L10" s="689">
        <v>0</v>
      </c>
      <c r="M10" s="1727">
        <v>225</v>
      </c>
      <c r="N10" s="1727">
        <v>0</v>
      </c>
      <c r="O10" s="1727">
        <v>7</v>
      </c>
      <c r="P10" s="1727">
        <v>0</v>
      </c>
      <c r="Q10" s="1727">
        <v>30</v>
      </c>
      <c r="R10" s="1727">
        <v>0</v>
      </c>
      <c r="S10" s="689">
        <v>0</v>
      </c>
      <c r="T10" s="689">
        <v>0</v>
      </c>
      <c r="U10" s="1727">
        <v>8</v>
      </c>
      <c r="V10" s="1735">
        <v>8</v>
      </c>
      <c r="W10" s="1727">
        <v>50</v>
      </c>
      <c r="X10" s="1727">
        <v>0</v>
      </c>
      <c r="Y10" s="1727">
        <v>0</v>
      </c>
      <c r="Z10" s="689">
        <v>0</v>
      </c>
      <c r="AA10" s="1727">
        <v>0</v>
      </c>
      <c r="AB10" s="1727">
        <v>35</v>
      </c>
      <c r="AC10" s="1727">
        <v>55</v>
      </c>
      <c r="AD10" s="1727">
        <v>17</v>
      </c>
      <c r="AE10" s="1727">
        <v>19</v>
      </c>
      <c r="AF10" s="1727">
        <v>25</v>
      </c>
      <c r="AG10" s="1727">
        <v>25</v>
      </c>
      <c r="AH10" s="1727">
        <v>25</v>
      </c>
      <c r="AI10" s="1727">
        <v>33</v>
      </c>
      <c r="AJ10" s="1727">
        <v>51</v>
      </c>
      <c r="AK10" s="689">
        <v>0</v>
      </c>
      <c r="AL10" s="689">
        <v>79</v>
      </c>
      <c r="AM10" s="1727">
        <v>35</v>
      </c>
      <c r="AN10" s="1727">
        <v>100</v>
      </c>
      <c r="AO10" s="1727">
        <v>0</v>
      </c>
      <c r="AP10" s="1727">
        <v>16</v>
      </c>
      <c r="AQ10" s="1727">
        <v>0</v>
      </c>
      <c r="AR10" s="689">
        <v>0</v>
      </c>
      <c r="AS10" s="1727">
        <v>0</v>
      </c>
      <c r="AT10" s="689">
        <v>0</v>
      </c>
      <c r="AU10" s="689"/>
      <c r="AV10" s="1727">
        <v>0</v>
      </c>
      <c r="AW10" s="1727">
        <v>26</v>
      </c>
      <c r="AX10" s="1727">
        <v>17</v>
      </c>
      <c r="AY10" s="1727">
        <v>56</v>
      </c>
      <c r="AZ10" s="1727">
        <v>11</v>
      </c>
      <c r="BA10" s="1727">
        <v>25</v>
      </c>
      <c r="BB10" s="1727">
        <v>15</v>
      </c>
      <c r="BC10" s="1727">
        <v>38</v>
      </c>
      <c r="BD10" s="1727">
        <v>0</v>
      </c>
      <c r="BE10" s="689">
        <v>0</v>
      </c>
      <c r="BF10" s="689">
        <v>0</v>
      </c>
      <c r="BG10" s="1727">
        <v>315</v>
      </c>
      <c r="BH10" s="1727">
        <v>290</v>
      </c>
      <c r="BI10" s="1727">
        <v>188</v>
      </c>
      <c r="BJ10" s="1727">
        <v>8</v>
      </c>
      <c r="BK10" s="1727">
        <v>142</v>
      </c>
      <c r="BL10" s="689">
        <v>35</v>
      </c>
      <c r="BM10" s="1727">
        <v>40</v>
      </c>
      <c r="BN10" s="689">
        <v>0</v>
      </c>
      <c r="BO10" s="1735">
        <v>51</v>
      </c>
      <c r="BP10" s="690">
        <v>0</v>
      </c>
      <c r="BQ10" s="1735">
        <v>41</v>
      </c>
      <c r="BR10" s="1727">
        <v>8</v>
      </c>
      <c r="BS10" s="1735">
        <v>22</v>
      </c>
      <c r="BT10" s="1735">
        <v>10</v>
      </c>
      <c r="BU10" s="1735">
        <v>33</v>
      </c>
      <c r="BV10" s="1735">
        <v>20</v>
      </c>
      <c r="BW10" s="1745">
        <v>150</v>
      </c>
      <c r="BX10" s="1735">
        <v>101</v>
      </c>
      <c r="BY10" s="1735">
        <v>0</v>
      </c>
      <c r="BZ10" s="1735">
        <v>22</v>
      </c>
      <c r="CA10" s="1755">
        <v>0</v>
      </c>
      <c r="CB10" s="1735">
        <v>43</v>
      </c>
      <c r="CC10" s="1735">
        <v>41</v>
      </c>
      <c r="CD10" s="1735">
        <v>42</v>
      </c>
      <c r="CE10" s="1735">
        <v>30</v>
      </c>
      <c r="CF10" s="1735">
        <v>110</v>
      </c>
      <c r="CG10" s="1735">
        <v>0</v>
      </c>
      <c r="CH10" s="1735">
        <v>60</v>
      </c>
      <c r="CI10" s="1735">
        <v>10</v>
      </c>
      <c r="CJ10" s="1735">
        <v>0</v>
      </c>
      <c r="CK10" s="1735">
        <v>220</v>
      </c>
      <c r="CL10" s="1735">
        <v>0</v>
      </c>
      <c r="CM10" s="1735">
        <v>31</v>
      </c>
      <c r="CN10" s="1735">
        <v>10</v>
      </c>
      <c r="CO10" s="1735">
        <v>320</v>
      </c>
      <c r="CP10" s="1735">
        <v>8</v>
      </c>
      <c r="CQ10" s="1735">
        <v>0</v>
      </c>
      <c r="CR10" s="690">
        <v>0</v>
      </c>
      <c r="CS10" s="1735">
        <v>195</v>
      </c>
      <c r="CT10" s="1735">
        <v>0</v>
      </c>
      <c r="CU10" s="690">
        <v>0</v>
      </c>
      <c r="CV10" s="1735">
        <v>48</v>
      </c>
      <c r="CW10" s="690">
        <v>0</v>
      </c>
      <c r="CX10" s="1735">
        <v>99</v>
      </c>
      <c r="CY10" s="1751">
        <v>1</v>
      </c>
      <c r="CZ10" s="1735">
        <v>21</v>
      </c>
      <c r="DA10" s="1735">
        <v>34</v>
      </c>
      <c r="DB10" s="1735">
        <v>132</v>
      </c>
      <c r="DC10" s="1735">
        <v>400</v>
      </c>
      <c r="DD10" s="1735">
        <v>49</v>
      </c>
      <c r="DE10" s="1735">
        <v>88</v>
      </c>
      <c r="DF10" s="1735">
        <v>80</v>
      </c>
      <c r="DG10" s="1735">
        <v>0</v>
      </c>
      <c r="DH10" s="1735">
        <v>16</v>
      </c>
      <c r="DI10" s="1838">
        <v>36</v>
      </c>
      <c r="DJ10" s="1850">
        <v>54</v>
      </c>
      <c r="DK10" s="2099">
        <v>17</v>
      </c>
      <c r="DL10" s="2168">
        <v>36</v>
      </c>
      <c r="DM10" s="2168">
        <v>20</v>
      </c>
      <c r="DN10" s="2426">
        <v>0</v>
      </c>
      <c r="DO10" s="2489">
        <v>5</v>
      </c>
      <c r="DP10" s="2578">
        <v>4</v>
      </c>
      <c r="DQ10" s="2594">
        <v>66</v>
      </c>
      <c r="DR10" s="2638">
        <v>108</v>
      </c>
      <c r="DS10" s="2658">
        <v>0</v>
      </c>
      <c r="DT10" s="2658">
        <v>35</v>
      </c>
      <c r="DU10" s="2730">
        <v>1</v>
      </c>
      <c r="DV10" s="2578">
        <v>75</v>
      </c>
      <c r="DW10" s="2578">
        <v>44</v>
      </c>
      <c r="DX10" s="4673">
        <v>0</v>
      </c>
      <c r="DY10" s="690"/>
      <c r="DZ10" s="1760">
        <v>914</v>
      </c>
      <c r="EA10" s="1764">
        <v>0</v>
      </c>
      <c r="EB10" s="1764">
        <v>160</v>
      </c>
      <c r="EC10" s="1764">
        <v>0</v>
      </c>
      <c r="ED10" s="1764">
        <v>16</v>
      </c>
      <c r="EE10" s="827">
        <v>226</v>
      </c>
      <c r="EF10" s="827">
        <v>0</v>
      </c>
      <c r="EG10" s="827">
        <v>0</v>
      </c>
      <c r="EH10" s="1764">
        <v>0</v>
      </c>
      <c r="EI10" s="1764">
        <v>0</v>
      </c>
      <c r="EJ10" s="1764">
        <v>0</v>
      </c>
      <c r="EK10" s="1764">
        <v>85</v>
      </c>
      <c r="EL10" s="1764">
        <v>24</v>
      </c>
      <c r="EM10" s="1764">
        <v>32</v>
      </c>
      <c r="EN10" s="1764">
        <v>0</v>
      </c>
      <c r="EO10" s="1764">
        <v>0</v>
      </c>
      <c r="EP10" s="1764">
        <v>0</v>
      </c>
      <c r="EQ10" s="1764">
        <v>24</v>
      </c>
      <c r="ER10" s="827">
        <v>0</v>
      </c>
      <c r="ES10" s="1764">
        <v>72</v>
      </c>
      <c r="ET10" s="1764">
        <v>0</v>
      </c>
      <c r="EU10" s="1764">
        <v>42</v>
      </c>
      <c r="EV10" s="1764">
        <v>24</v>
      </c>
      <c r="EW10" s="1764">
        <v>8</v>
      </c>
      <c r="EX10" s="1764">
        <v>33</v>
      </c>
      <c r="EY10" s="1764">
        <v>22</v>
      </c>
      <c r="EZ10" s="1764">
        <v>0</v>
      </c>
      <c r="FA10" s="1764">
        <v>11</v>
      </c>
      <c r="FB10" s="1764">
        <v>0</v>
      </c>
      <c r="FC10" s="1764">
        <v>0</v>
      </c>
      <c r="FD10" s="1764">
        <v>200</v>
      </c>
      <c r="FE10" s="1764">
        <v>0</v>
      </c>
      <c r="FF10" s="1764">
        <v>0</v>
      </c>
      <c r="FG10" s="1771">
        <v>177</v>
      </c>
      <c r="FH10" s="1771">
        <v>0</v>
      </c>
      <c r="FI10" s="1771">
        <v>0</v>
      </c>
      <c r="FJ10" s="1771">
        <v>213</v>
      </c>
      <c r="FK10" s="1771">
        <v>0</v>
      </c>
      <c r="FL10" s="1771">
        <v>0</v>
      </c>
      <c r="FM10" s="1771">
        <v>151</v>
      </c>
      <c r="FN10" s="1771">
        <v>0</v>
      </c>
      <c r="FO10" s="1771">
        <v>324</v>
      </c>
      <c r="FP10" s="1771">
        <v>0</v>
      </c>
      <c r="FQ10" s="1544">
        <v>0</v>
      </c>
      <c r="FR10" s="1771">
        <v>50</v>
      </c>
      <c r="FS10" s="1771">
        <v>105</v>
      </c>
      <c r="FT10" s="1771">
        <v>56</v>
      </c>
      <c r="FU10" s="1771">
        <v>0</v>
      </c>
      <c r="FV10" s="1783">
        <v>0</v>
      </c>
      <c r="FW10" s="1907">
        <v>55</v>
      </c>
      <c r="FX10" s="1907">
        <v>1040</v>
      </c>
      <c r="FY10" s="2581">
        <v>220</v>
      </c>
      <c r="FZ10" s="2581">
        <v>0</v>
      </c>
      <c r="GA10" s="2620">
        <v>0</v>
      </c>
      <c r="GB10" s="3011">
        <v>0</v>
      </c>
      <c r="GC10" s="3131">
        <v>5</v>
      </c>
      <c r="GD10" s="3175">
        <v>34</v>
      </c>
      <c r="GE10" s="4724">
        <v>0</v>
      </c>
      <c r="GF10" s="4724">
        <v>0</v>
      </c>
      <c r="GG10" s="858"/>
      <c r="GH10" s="841">
        <v>6097</v>
      </c>
      <c r="GI10" s="862">
        <v>4323</v>
      </c>
      <c r="GJ10" s="850">
        <v>10420</v>
      </c>
      <c r="GK10" s="851">
        <v>3360</v>
      </c>
      <c r="GL10" s="582">
        <v>914</v>
      </c>
      <c r="GM10" s="582">
        <v>1922</v>
      </c>
      <c r="GN10" s="583">
        <v>0</v>
      </c>
      <c r="GO10" s="583">
        <v>1983</v>
      </c>
      <c r="GP10" s="583">
        <v>1240</v>
      </c>
      <c r="GQ10" s="583">
        <v>114</v>
      </c>
      <c r="GR10" s="583">
        <v>439</v>
      </c>
      <c r="GS10" s="583">
        <v>500</v>
      </c>
      <c r="GT10" s="583">
        <v>150</v>
      </c>
      <c r="GU10" s="4975">
        <v>11</v>
      </c>
      <c r="GV10" s="5335">
        <v>1087.4585000000006</v>
      </c>
      <c r="GW10" s="4637">
        <v>93.54</v>
      </c>
      <c r="GX10" s="12"/>
      <c r="HG10" s="134"/>
      <c r="HH10" s="134"/>
      <c r="IA10" s="134"/>
      <c r="IB10" s="134"/>
      <c r="IY10" s="134"/>
      <c r="IZ10" s="134"/>
    </row>
    <row r="11" spans="1:276" ht="20.25" customHeight="1" thickBot="1">
      <c r="A11" s="542">
        <v>0.29166666666666669</v>
      </c>
      <c r="B11" s="1726">
        <v>0</v>
      </c>
      <c r="C11" s="1727">
        <v>0</v>
      </c>
      <c r="D11" s="1727">
        <v>0</v>
      </c>
      <c r="E11" s="1727">
        <v>180</v>
      </c>
      <c r="F11" s="1735">
        <v>0</v>
      </c>
      <c r="G11" s="1735">
        <v>90</v>
      </c>
      <c r="H11" s="1727">
        <v>0</v>
      </c>
      <c r="I11" s="1727">
        <v>405</v>
      </c>
      <c r="J11" s="1727">
        <v>325</v>
      </c>
      <c r="K11" s="689"/>
      <c r="L11" s="689">
        <v>0</v>
      </c>
      <c r="M11" s="1727">
        <v>225</v>
      </c>
      <c r="N11" s="1727">
        <v>0</v>
      </c>
      <c r="O11" s="1727">
        <v>8</v>
      </c>
      <c r="P11" s="1727">
        <v>0</v>
      </c>
      <c r="Q11" s="1727">
        <v>30</v>
      </c>
      <c r="R11" s="1727">
        <v>0</v>
      </c>
      <c r="S11" s="689">
        <v>0</v>
      </c>
      <c r="T11" s="689">
        <v>0</v>
      </c>
      <c r="U11" s="1727">
        <v>8</v>
      </c>
      <c r="V11" s="1735">
        <v>8</v>
      </c>
      <c r="W11" s="1727">
        <v>50</v>
      </c>
      <c r="X11" s="1727">
        <v>0</v>
      </c>
      <c r="Y11" s="1727">
        <v>0</v>
      </c>
      <c r="Z11" s="689">
        <v>0</v>
      </c>
      <c r="AA11" s="1727">
        <v>0</v>
      </c>
      <c r="AB11" s="1727">
        <v>35</v>
      </c>
      <c r="AC11" s="1727">
        <v>55</v>
      </c>
      <c r="AD11" s="1727">
        <v>17</v>
      </c>
      <c r="AE11" s="1727">
        <v>19</v>
      </c>
      <c r="AF11" s="1727">
        <v>25</v>
      </c>
      <c r="AG11" s="1727">
        <v>17</v>
      </c>
      <c r="AH11" s="1727">
        <v>25</v>
      </c>
      <c r="AI11" s="1727">
        <v>33</v>
      </c>
      <c r="AJ11" s="1727">
        <v>51</v>
      </c>
      <c r="AK11" s="689">
        <v>0</v>
      </c>
      <c r="AL11" s="689">
        <v>77</v>
      </c>
      <c r="AM11" s="1727">
        <v>35</v>
      </c>
      <c r="AN11" s="1727">
        <v>100</v>
      </c>
      <c r="AO11" s="1727">
        <v>0</v>
      </c>
      <c r="AP11" s="1727">
        <v>16</v>
      </c>
      <c r="AQ11" s="1727">
        <v>0</v>
      </c>
      <c r="AR11" s="689">
        <v>0</v>
      </c>
      <c r="AS11" s="1727">
        <v>0</v>
      </c>
      <c r="AT11" s="689">
        <v>0</v>
      </c>
      <c r="AU11" s="689"/>
      <c r="AV11" s="1727">
        <v>0</v>
      </c>
      <c r="AW11" s="1727">
        <v>26</v>
      </c>
      <c r="AX11" s="1727">
        <v>17</v>
      </c>
      <c r="AY11" s="1727">
        <v>56</v>
      </c>
      <c r="AZ11" s="1727">
        <v>11</v>
      </c>
      <c r="BA11" s="1727">
        <v>25</v>
      </c>
      <c r="BB11" s="1727">
        <v>15</v>
      </c>
      <c r="BC11" s="1727">
        <v>38</v>
      </c>
      <c r="BD11" s="1727">
        <v>0</v>
      </c>
      <c r="BE11" s="689">
        <v>0</v>
      </c>
      <c r="BF11" s="689">
        <v>0</v>
      </c>
      <c r="BG11" s="1727">
        <v>350</v>
      </c>
      <c r="BH11" s="1727">
        <v>335</v>
      </c>
      <c r="BI11" s="1727">
        <v>183</v>
      </c>
      <c r="BJ11" s="1727">
        <v>8</v>
      </c>
      <c r="BK11" s="1727">
        <v>142</v>
      </c>
      <c r="BL11" s="689">
        <v>35</v>
      </c>
      <c r="BM11" s="1727">
        <v>40</v>
      </c>
      <c r="BN11" s="689">
        <v>0</v>
      </c>
      <c r="BO11" s="1735">
        <v>51</v>
      </c>
      <c r="BP11" s="690">
        <v>0</v>
      </c>
      <c r="BQ11" s="1735">
        <v>24</v>
      </c>
      <c r="BR11" s="1727">
        <v>8</v>
      </c>
      <c r="BS11" s="1735">
        <v>22</v>
      </c>
      <c r="BT11" s="1735">
        <v>10</v>
      </c>
      <c r="BU11" s="1735">
        <v>33</v>
      </c>
      <c r="BV11" s="1735">
        <v>20</v>
      </c>
      <c r="BW11" s="1745">
        <v>140</v>
      </c>
      <c r="BX11" s="1735">
        <v>102</v>
      </c>
      <c r="BY11" s="1735">
        <v>0</v>
      </c>
      <c r="BZ11" s="1735">
        <v>20</v>
      </c>
      <c r="CA11" s="1755">
        <v>0</v>
      </c>
      <c r="CB11" s="1735">
        <v>43</v>
      </c>
      <c r="CC11" s="1735">
        <v>41</v>
      </c>
      <c r="CD11" s="1735">
        <v>42</v>
      </c>
      <c r="CE11" s="1735">
        <v>30</v>
      </c>
      <c r="CF11" s="1735">
        <v>110</v>
      </c>
      <c r="CG11" s="1735">
        <v>0</v>
      </c>
      <c r="CH11" s="1735">
        <v>60</v>
      </c>
      <c r="CI11" s="1735">
        <v>10</v>
      </c>
      <c r="CJ11" s="1735">
        <v>0</v>
      </c>
      <c r="CK11" s="1735">
        <v>220</v>
      </c>
      <c r="CL11" s="1735">
        <v>0</v>
      </c>
      <c r="CM11" s="1735">
        <v>31</v>
      </c>
      <c r="CN11" s="1735">
        <v>10</v>
      </c>
      <c r="CO11" s="1735">
        <v>320</v>
      </c>
      <c r="CP11" s="1735">
        <v>8</v>
      </c>
      <c r="CQ11" s="1735">
        <v>0</v>
      </c>
      <c r="CR11" s="690">
        <v>0</v>
      </c>
      <c r="CS11" s="1735">
        <v>195</v>
      </c>
      <c r="CT11" s="1735">
        <v>0</v>
      </c>
      <c r="CU11" s="690">
        <v>0</v>
      </c>
      <c r="CV11" s="1735">
        <v>48</v>
      </c>
      <c r="CW11" s="690">
        <v>0</v>
      </c>
      <c r="CX11" s="1735">
        <v>99</v>
      </c>
      <c r="CY11" s="1751">
        <v>3</v>
      </c>
      <c r="CZ11" s="1735">
        <v>21</v>
      </c>
      <c r="DA11" s="1735">
        <v>34</v>
      </c>
      <c r="DB11" s="1735">
        <v>128</v>
      </c>
      <c r="DC11" s="1735">
        <v>390</v>
      </c>
      <c r="DD11" s="1735">
        <v>49</v>
      </c>
      <c r="DE11" s="1735">
        <v>88</v>
      </c>
      <c r="DF11" s="1735">
        <v>87</v>
      </c>
      <c r="DG11" s="1735">
        <v>1</v>
      </c>
      <c r="DH11" s="1735">
        <v>16</v>
      </c>
      <c r="DI11" s="1838">
        <v>36</v>
      </c>
      <c r="DJ11" s="1850">
        <v>54</v>
      </c>
      <c r="DK11" s="2099">
        <v>17</v>
      </c>
      <c r="DL11" s="2168">
        <v>37</v>
      </c>
      <c r="DM11" s="2168">
        <v>20</v>
      </c>
      <c r="DN11" s="2426">
        <v>0</v>
      </c>
      <c r="DO11" s="2489">
        <v>18</v>
      </c>
      <c r="DP11" s="2578">
        <v>15</v>
      </c>
      <c r="DQ11" s="2594">
        <v>54</v>
      </c>
      <c r="DR11" s="2638">
        <v>108</v>
      </c>
      <c r="DS11" s="2658">
        <v>0</v>
      </c>
      <c r="DT11" s="2658">
        <v>35</v>
      </c>
      <c r="DU11" s="2730">
        <v>8</v>
      </c>
      <c r="DV11" s="2578">
        <v>75</v>
      </c>
      <c r="DW11" s="2578">
        <v>55</v>
      </c>
      <c r="DX11" s="4673">
        <v>0</v>
      </c>
      <c r="DY11" s="690"/>
      <c r="DZ11" s="1760">
        <v>913</v>
      </c>
      <c r="EA11" s="1764">
        <v>0</v>
      </c>
      <c r="EB11" s="1764">
        <v>160</v>
      </c>
      <c r="EC11" s="1764">
        <v>0</v>
      </c>
      <c r="ED11" s="1764">
        <v>16</v>
      </c>
      <c r="EE11" s="827">
        <v>225</v>
      </c>
      <c r="EF11" s="827">
        <v>0</v>
      </c>
      <c r="EG11" s="827">
        <v>0</v>
      </c>
      <c r="EH11" s="1764">
        <v>0</v>
      </c>
      <c r="EI11" s="1764">
        <v>0</v>
      </c>
      <c r="EJ11" s="1764">
        <v>0</v>
      </c>
      <c r="EK11" s="1764">
        <v>87</v>
      </c>
      <c r="EL11" s="1764">
        <v>21</v>
      </c>
      <c r="EM11" s="1764">
        <v>32</v>
      </c>
      <c r="EN11" s="1764">
        <v>0</v>
      </c>
      <c r="EO11" s="1764">
        <v>0</v>
      </c>
      <c r="EP11" s="1764">
        <v>0</v>
      </c>
      <c r="EQ11" s="1764">
        <v>24</v>
      </c>
      <c r="ER11" s="827">
        <v>0</v>
      </c>
      <c r="ES11" s="1764">
        <v>72</v>
      </c>
      <c r="ET11" s="1764">
        <v>0</v>
      </c>
      <c r="EU11" s="1764">
        <v>42</v>
      </c>
      <c r="EV11" s="1764">
        <v>24</v>
      </c>
      <c r="EW11" s="1764">
        <v>8</v>
      </c>
      <c r="EX11" s="1764">
        <v>33</v>
      </c>
      <c r="EY11" s="1764">
        <v>22</v>
      </c>
      <c r="EZ11" s="1764">
        <v>0</v>
      </c>
      <c r="FA11" s="1764">
        <v>11</v>
      </c>
      <c r="FB11" s="1764">
        <v>0</v>
      </c>
      <c r="FC11" s="1764">
        <v>0</v>
      </c>
      <c r="FD11" s="1764">
        <v>200</v>
      </c>
      <c r="FE11" s="1764">
        <v>0</v>
      </c>
      <c r="FF11" s="1764">
        <v>0</v>
      </c>
      <c r="FG11" s="1771">
        <v>178</v>
      </c>
      <c r="FH11" s="1771">
        <v>0</v>
      </c>
      <c r="FI11" s="1771">
        <v>0</v>
      </c>
      <c r="FJ11" s="1771">
        <v>214</v>
      </c>
      <c r="FK11" s="1771">
        <v>0</v>
      </c>
      <c r="FL11" s="1771">
        <v>0</v>
      </c>
      <c r="FM11" s="1771">
        <v>148</v>
      </c>
      <c r="FN11" s="1771">
        <v>0</v>
      </c>
      <c r="FO11" s="1771">
        <v>313</v>
      </c>
      <c r="FP11" s="1771">
        <v>0</v>
      </c>
      <c r="FQ11" s="1544">
        <v>0</v>
      </c>
      <c r="FR11" s="1771">
        <v>50</v>
      </c>
      <c r="FS11" s="1771">
        <v>88</v>
      </c>
      <c r="FT11" s="1771">
        <v>56</v>
      </c>
      <c r="FU11" s="1771">
        <v>0</v>
      </c>
      <c r="FV11" s="1783">
        <v>1</v>
      </c>
      <c r="FW11" s="1907">
        <v>55</v>
      </c>
      <c r="FX11" s="1907">
        <v>1030</v>
      </c>
      <c r="FY11" s="2581">
        <v>218</v>
      </c>
      <c r="FZ11" s="2581">
        <v>0</v>
      </c>
      <c r="GA11" s="2620">
        <v>0</v>
      </c>
      <c r="GB11" s="3011">
        <v>0</v>
      </c>
      <c r="GC11" s="3131">
        <v>14</v>
      </c>
      <c r="GD11" s="3175">
        <v>34</v>
      </c>
      <c r="GE11" s="4724">
        <v>0</v>
      </c>
      <c r="GF11" s="4724">
        <v>0</v>
      </c>
      <c r="GG11" s="858"/>
      <c r="GH11" s="841">
        <v>6161</v>
      </c>
      <c r="GI11" s="862">
        <v>4289</v>
      </c>
      <c r="GJ11" s="850">
        <v>10450</v>
      </c>
      <c r="GK11" s="851">
        <v>3417</v>
      </c>
      <c r="GL11" s="582">
        <v>913</v>
      </c>
      <c r="GM11" s="582">
        <v>1904</v>
      </c>
      <c r="GN11" s="583">
        <v>0</v>
      </c>
      <c r="GO11" s="583">
        <v>1983</v>
      </c>
      <c r="GP11" s="583">
        <v>1230</v>
      </c>
      <c r="GQ11" s="583">
        <v>112</v>
      </c>
      <c r="GR11" s="583">
        <v>439</v>
      </c>
      <c r="GS11" s="583">
        <v>484</v>
      </c>
      <c r="GT11" s="583">
        <v>140</v>
      </c>
      <c r="GU11" s="4975">
        <v>42</v>
      </c>
      <c r="GV11" s="5335">
        <v>967.65374999999949</v>
      </c>
      <c r="GW11" s="4637">
        <v>93.57</v>
      </c>
      <c r="GX11" s="12"/>
      <c r="HG11" s="132"/>
      <c r="HH11" s="13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32"/>
      <c r="IB11" s="13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12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</row>
    <row r="12" spans="1:276" ht="20.25" customHeight="1" thickBot="1">
      <c r="A12" s="542">
        <v>0.33333333333333331</v>
      </c>
      <c r="B12" s="1726">
        <v>0</v>
      </c>
      <c r="C12" s="1727">
        <v>0</v>
      </c>
      <c r="D12" s="1727">
        <v>0</v>
      </c>
      <c r="E12" s="1727">
        <v>180</v>
      </c>
      <c r="F12" s="1735">
        <v>0</v>
      </c>
      <c r="G12" s="1735">
        <v>86</v>
      </c>
      <c r="H12" s="1727">
        <v>0</v>
      </c>
      <c r="I12" s="1727">
        <v>403</v>
      </c>
      <c r="J12" s="1727">
        <v>322</v>
      </c>
      <c r="K12" s="689"/>
      <c r="L12" s="689">
        <v>0</v>
      </c>
      <c r="M12" s="1727">
        <v>225</v>
      </c>
      <c r="N12" s="1727">
        <v>0</v>
      </c>
      <c r="O12" s="1727">
        <v>8</v>
      </c>
      <c r="P12" s="1727">
        <v>0</v>
      </c>
      <c r="Q12" s="1727">
        <v>30</v>
      </c>
      <c r="R12" s="1727">
        <v>0</v>
      </c>
      <c r="S12" s="689">
        <v>0</v>
      </c>
      <c r="T12" s="689">
        <v>0</v>
      </c>
      <c r="U12" s="1727">
        <v>8</v>
      </c>
      <c r="V12" s="1735">
        <v>8</v>
      </c>
      <c r="W12" s="1727">
        <v>50</v>
      </c>
      <c r="X12" s="1727">
        <v>0</v>
      </c>
      <c r="Y12" s="1727">
        <v>0</v>
      </c>
      <c r="Z12" s="689">
        <v>0</v>
      </c>
      <c r="AA12" s="1727">
        <v>0</v>
      </c>
      <c r="AB12" s="1727">
        <v>35</v>
      </c>
      <c r="AC12" s="1727">
        <v>55</v>
      </c>
      <c r="AD12" s="1727">
        <v>17</v>
      </c>
      <c r="AE12" s="1727">
        <v>19</v>
      </c>
      <c r="AF12" s="1727">
        <v>25</v>
      </c>
      <c r="AG12" s="1727">
        <v>17</v>
      </c>
      <c r="AH12" s="1727">
        <v>25</v>
      </c>
      <c r="AI12" s="1727">
        <v>33</v>
      </c>
      <c r="AJ12" s="1727">
        <v>51</v>
      </c>
      <c r="AK12" s="689">
        <v>0</v>
      </c>
      <c r="AL12" s="689">
        <v>79</v>
      </c>
      <c r="AM12" s="1727">
        <v>35</v>
      </c>
      <c r="AN12" s="1727">
        <v>100</v>
      </c>
      <c r="AO12" s="1727">
        <v>0</v>
      </c>
      <c r="AP12" s="1727">
        <v>16</v>
      </c>
      <c r="AQ12" s="1727">
        <v>0</v>
      </c>
      <c r="AR12" s="689">
        <v>0</v>
      </c>
      <c r="AS12" s="1727">
        <v>0</v>
      </c>
      <c r="AT12" s="689">
        <v>0</v>
      </c>
      <c r="AU12" s="689"/>
      <c r="AV12" s="1727">
        <v>0</v>
      </c>
      <c r="AW12" s="1727">
        <v>26</v>
      </c>
      <c r="AX12" s="1727">
        <v>17</v>
      </c>
      <c r="AY12" s="1727">
        <v>56</v>
      </c>
      <c r="AZ12" s="1727">
        <v>12</v>
      </c>
      <c r="BA12" s="1727">
        <v>25</v>
      </c>
      <c r="BB12" s="1727">
        <v>15</v>
      </c>
      <c r="BC12" s="1727">
        <v>12</v>
      </c>
      <c r="BD12" s="1727">
        <v>0</v>
      </c>
      <c r="BE12" s="689">
        <v>0</v>
      </c>
      <c r="BF12" s="689">
        <v>0</v>
      </c>
      <c r="BG12" s="1727">
        <v>290</v>
      </c>
      <c r="BH12" s="1727">
        <v>275</v>
      </c>
      <c r="BI12" s="1727">
        <v>178</v>
      </c>
      <c r="BJ12" s="1727">
        <v>8</v>
      </c>
      <c r="BK12" s="1727">
        <v>142</v>
      </c>
      <c r="BL12" s="689">
        <v>35</v>
      </c>
      <c r="BM12" s="1727">
        <v>40</v>
      </c>
      <c r="BN12" s="689">
        <v>0</v>
      </c>
      <c r="BO12" s="1735">
        <v>51</v>
      </c>
      <c r="BP12" s="690">
        <v>0</v>
      </c>
      <c r="BQ12" s="1735">
        <v>24</v>
      </c>
      <c r="BR12" s="1727">
        <v>10</v>
      </c>
      <c r="BS12" s="1735">
        <v>0</v>
      </c>
      <c r="BT12" s="1735">
        <v>10</v>
      </c>
      <c r="BU12" s="1735">
        <v>33</v>
      </c>
      <c r="BV12" s="1735">
        <v>20</v>
      </c>
      <c r="BW12" s="1745">
        <v>148</v>
      </c>
      <c r="BX12" s="1735">
        <v>96</v>
      </c>
      <c r="BY12" s="1735">
        <v>0</v>
      </c>
      <c r="BZ12" s="1735">
        <v>20</v>
      </c>
      <c r="CA12" s="1755">
        <v>1</v>
      </c>
      <c r="CB12" s="1735">
        <v>44</v>
      </c>
      <c r="CC12" s="1735">
        <v>41</v>
      </c>
      <c r="CD12" s="1735">
        <v>33</v>
      </c>
      <c r="CE12" s="1735">
        <v>30</v>
      </c>
      <c r="CF12" s="1735">
        <v>110</v>
      </c>
      <c r="CG12" s="1735">
        <v>0</v>
      </c>
      <c r="CH12" s="1735">
        <v>62</v>
      </c>
      <c r="CI12" s="1735">
        <v>10</v>
      </c>
      <c r="CJ12" s="1735">
        <v>0</v>
      </c>
      <c r="CK12" s="1735">
        <v>221</v>
      </c>
      <c r="CL12" s="1735">
        <v>0</v>
      </c>
      <c r="CM12" s="1735">
        <v>31</v>
      </c>
      <c r="CN12" s="1735">
        <v>10</v>
      </c>
      <c r="CO12" s="1735">
        <v>330</v>
      </c>
      <c r="CP12" s="1735">
        <v>8</v>
      </c>
      <c r="CQ12" s="1735">
        <v>0</v>
      </c>
      <c r="CR12" s="690">
        <v>0</v>
      </c>
      <c r="CS12" s="1735">
        <v>195</v>
      </c>
      <c r="CT12" s="1735">
        <v>0</v>
      </c>
      <c r="CU12" s="690">
        <v>0</v>
      </c>
      <c r="CV12" s="1735">
        <v>48</v>
      </c>
      <c r="CW12" s="690">
        <v>0</v>
      </c>
      <c r="CX12" s="1735">
        <v>99</v>
      </c>
      <c r="CY12" s="1751">
        <v>13</v>
      </c>
      <c r="CZ12" s="1735">
        <v>21</v>
      </c>
      <c r="DA12" s="1735">
        <v>34</v>
      </c>
      <c r="DB12" s="1735">
        <v>122</v>
      </c>
      <c r="DC12" s="1735">
        <v>400</v>
      </c>
      <c r="DD12" s="1735">
        <v>49</v>
      </c>
      <c r="DE12" s="1735">
        <v>88</v>
      </c>
      <c r="DF12" s="1735">
        <v>87</v>
      </c>
      <c r="DG12" s="1735">
        <v>3</v>
      </c>
      <c r="DH12" s="1735">
        <v>50</v>
      </c>
      <c r="DI12" s="1838">
        <v>36</v>
      </c>
      <c r="DJ12" s="1850">
        <v>55</v>
      </c>
      <c r="DK12" s="2099">
        <v>17</v>
      </c>
      <c r="DL12" s="2168">
        <v>38</v>
      </c>
      <c r="DM12" s="2168">
        <v>20</v>
      </c>
      <c r="DN12" s="2426">
        <v>0</v>
      </c>
      <c r="DO12" s="2489">
        <v>17</v>
      </c>
      <c r="DP12" s="2578">
        <v>23</v>
      </c>
      <c r="DQ12" s="2594">
        <v>54</v>
      </c>
      <c r="DR12" s="2638">
        <v>108</v>
      </c>
      <c r="DS12" s="2658">
        <v>0</v>
      </c>
      <c r="DT12" s="2658">
        <v>35</v>
      </c>
      <c r="DU12" s="2730">
        <v>16</v>
      </c>
      <c r="DV12" s="2578">
        <v>75</v>
      </c>
      <c r="DW12" s="2578">
        <v>55</v>
      </c>
      <c r="DX12" s="4673">
        <v>0</v>
      </c>
      <c r="DY12" s="690"/>
      <c r="DZ12" s="1760">
        <v>914</v>
      </c>
      <c r="EA12" s="1764">
        <v>0</v>
      </c>
      <c r="EB12" s="1764">
        <v>160</v>
      </c>
      <c r="EC12" s="1764">
        <v>0</v>
      </c>
      <c r="ED12" s="1764">
        <v>16</v>
      </c>
      <c r="EE12" s="827">
        <v>224</v>
      </c>
      <c r="EF12" s="827">
        <v>0</v>
      </c>
      <c r="EG12" s="827">
        <v>0</v>
      </c>
      <c r="EH12" s="1764">
        <v>0</v>
      </c>
      <c r="EI12" s="1764">
        <v>0</v>
      </c>
      <c r="EJ12" s="1764">
        <v>0</v>
      </c>
      <c r="EK12" s="1764">
        <v>86</v>
      </c>
      <c r="EL12" s="1764">
        <v>20</v>
      </c>
      <c r="EM12" s="1764">
        <v>16</v>
      </c>
      <c r="EN12" s="1764">
        <v>0</v>
      </c>
      <c r="EO12" s="1764">
        <v>0</v>
      </c>
      <c r="EP12" s="1764">
        <v>0</v>
      </c>
      <c r="EQ12" s="1764">
        <v>24</v>
      </c>
      <c r="ER12" s="827">
        <v>0</v>
      </c>
      <c r="ES12" s="1764">
        <v>72</v>
      </c>
      <c r="ET12" s="1764">
        <v>0</v>
      </c>
      <c r="EU12" s="1764">
        <v>42</v>
      </c>
      <c r="EV12" s="1764">
        <v>32</v>
      </c>
      <c r="EW12" s="1764">
        <v>8</v>
      </c>
      <c r="EX12" s="1764">
        <v>0</v>
      </c>
      <c r="EY12" s="1764">
        <v>20</v>
      </c>
      <c r="EZ12" s="1764">
        <v>0</v>
      </c>
      <c r="FA12" s="1764">
        <v>11</v>
      </c>
      <c r="FB12" s="1764">
        <v>0</v>
      </c>
      <c r="FC12" s="1764">
        <v>0</v>
      </c>
      <c r="FD12" s="1764">
        <v>200</v>
      </c>
      <c r="FE12" s="1764">
        <v>0</v>
      </c>
      <c r="FF12" s="1764">
        <v>0</v>
      </c>
      <c r="FG12" s="1771">
        <v>177</v>
      </c>
      <c r="FH12" s="1771">
        <v>0</v>
      </c>
      <c r="FI12" s="1771">
        <v>0</v>
      </c>
      <c r="FJ12" s="1771">
        <v>214</v>
      </c>
      <c r="FK12" s="1771">
        <v>0</v>
      </c>
      <c r="FL12" s="1771">
        <v>0</v>
      </c>
      <c r="FM12" s="1771">
        <v>148</v>
      </c>
      <c r="FN12" s="1771">
        <v>0</v>
      </c>
      <c r="FO12" s="1771">
        <v>305</v>
      </c>
      <c r="FP12" s="1771">
        <v>0</v>
      </c>
      <c r="FQ12" s="1544">
        <v>0</v>
      </c>
      <c r="FR12" s="1771">
        <v>50</v>
      </c>
      <c r="FS12" s="1771">
        <v>88</v>
      </c>
      <c r="FT12" s="1771">
        <v>56</v>
      </c>
      <c r="FU12" s="1771">
        <v>0</v>
      </c>
      <c r="FV12" s="1783">
        <v>2</v>
      </c>
      <c r="FW12" s="1907">
        <v>55</v>
      </c>
      <c r="FX12" s="1907">
        <v>980</v>
      </c>
      <c r="FY12" s="2581">
        <v>220</v>
      </c>
      <c r="FZ12" s="2581">
        <v>0</v>
      </c>
      <c r="GA12" s="2620">
        <v>0</v>
      </c>
      <c r="GB12" s="3011">
        <v>1</v>
      </c>
      <c r="GC12" s="3131">
        <v>56</v>
      </c>
      <c r="GD12" s="3175">
        <v>34</v>
      </c>
      <c r="GE12" s="4724">
        <v>0</v>
      </c>
      <c r="GF12" s="4724">
        <v>0</v>
      </c>
      <c r="GG12" s="858"/>
      <c r="GH12" s="841">
        <v>6059</v>
      </c>
      <c r="GI12" s="862">
        <v>4231</v>
      </c>
      <c r="GJ12" s="850">
        <v>10290</v>
      </c>
      <c r="GK12" s="851">
        <v>3274</v>
      </c>
      <c r="GL12" s="582">
        <v>914</v>
      </c>
      <c r="GM12" s="582">
        <v>1863</v>
      </c>
      <c r="GN12" s="583">
        <v>0</v>
      </c>
      <c r="GO12" s="583">
        <v>1999</v>
      </c>
      <c r="GP12" s="583">
        <v>1180</v>
      </c>
      <c r="GQ12" s="583">
        <v>114</v>
      </c>
      <c r="GR12" s="583">
        <v>438</v>
      </c>
      <c r="GS12" s="583">
        <v>459</v>
      </c>
      <c r="GT12" s="583">
        <v>148</v>
      </c>
      <c r="GU12" s="4975">
        <v>115</v>
      </c>
      <c r="GV12" s="5335">
        <v>1299.4207499999993</v>
      </c>
      <c r="GW12" s="3066">
        <v>93.6</v>
      </c>
      <c r="GX12" s="12"/>
      <c r="HG12" s="134"/>
      <c r="HH12" s="134"/>
      <c r="IA12" s="134"/>
      <c r="IB12" s="134"/>
    </row>
    <row r="13" spans="1:276" ht="19.5" customHeight="1" thickBot="1">
      <c r="A13" s="542">
        <v>0.375</v>
      </c>
      <c r="B13" s="1726">
        <v>0</v>
      </c>
      <c r="C13" s="1727">
        <v>0</v>
      </c>
      <c r="D13" s="1727">
        <v>0</v>
      </c>
      <c r="E13" s="1727">
        <v>180</v>
      </c>
      <c r="F13" s="1735">
        <v>0</v>
      </c>
      <c r="G13" s="1735">
        <v>86</v>
      </c>
      <c r="H13" s="1727">
        <v>0</v>
      </c>
      <c r="I13" s="1727">
        <v>402</v>
      </c>
      <c r="J13" s="1727">
        <v>321</v>
      </c>
      <c r="K13" s="689"/>
      <c r="L13" s="689">
        <v>0</v>
      </c>
      <c r="M13" s="1727">
        <v>225</v>
      </c>
      <c r="N13" s="1727">
        <v>0</v>
      </c>
      <c r="O13" s="1727">
        <v>7</v>
      </c>
      <c r="P13" s="1727">
        <v>0</v>
      </c>
      <c r="Q13" s="1727">
        <v>30</v>
      </c>
      <c r="R13" s="1727">
        <v>0</v>
      </c>
      <c r="S13" s="689">
        <v>0</v>
      </c>
      <c r="T13" s="689">
        <v>0</v>
      </c>
      <c r="U13" s="1727">
        <v>8</v>
      </c>
      <c r="V13" s="1735">
        <v>8</v>
      </c>
      <c r="W13" s="1727">
        <v>50</v>
      </c>
      <c r="X13" s="1727">
        <v>0</v>
      </c>
      <c r="Y13" s="1727">
        <v>0</v>
      </c>
      <c r="Z13" s="689">
        <v>0</v>
      </c>
      <c r="AA13" s="1727">
        <v>0</v>
      </c>
      <c r="AB13" s="1727">
        <v>35</v>
      </c>
      <c r="AC13" s="1727">
        <v>55</v>
      </c>
      <c r="AD13" s="1727">
        <v>17</v>
      </c>
      <c r="AE13" s="1727">
        <v>19</v>
      </c>
      <c r="AF13" s="1727">
        <v>25</v>
      </c>
      <c r="AG13" s="1727">
        <v>20</v>
      </c>
      <c r="AH13" s="1727">
        <v>25</v>
      </c>
      <c r="AI13" s="1727">
        <v>16</v>
      </c>
      <c r="AJ13" s="1727">
        <v>42</v>
      </c>
      <c r="AK13" s="689">
        <v>0</v>
      </c>
      <c r="AL13" s="689">
        <v>76</v>
      </c>
      <c r="AM13" s="1727">
        <v>35</v>
      </c>
      <c r="AN13" s="1727">
        <v>100</v>
      </c>
      <c r="AO13" s="1727">
        <v>0</v>
      </c>
      <c r="AP13" s="1727">
        <v>16</v>
      </c>
      <c r="AQ13" s="1727">
        <v>0</v>
      </c>
      <c r="AR13" s="689">
        <v>0</v>
      </c>
      <c r="AS13" s="1727">
        <v>0</v>
      </c>
      <c r="AT13" s="689">
        <v>0</v>
      </c>
      <c r="AU13" s="689"/>
      <c r="AV13" s="1727">
        <v>0</v>
      </c>
      <c r="AW13" s="1727">
        <v>26</v>
      </c>
      <c r="AX13" s="1727">
        <v>17</v>
      </c>
      <c r="AY13" s="1727">
        <v>56</v>
      </c>
      <c r="AZ13" s="1727">
        <v>12</v>
      </c>
      <c r="BA13" s="1727">
        <v>25</v>
      </c>
      <c r="BB13" s="1727">
        <v>15</v>
      </c>
      <c r="BC13" s="1727">
        <v>2</v>
      </c>
      <c r="BD13" s="1727">
        <v>0</v>
      </c>
      <c r="BE13" s="689">
        <v>0</v>
      </c>
      <c r="BF13" s="689">
        <v>0</v>
      </c>
      <c r="BG13" s="1727">
        <v>320</v>
      </c>
      <c r="BH13" s="1727">
        <v>330</v>
      </c>
      <c r="BI13" s="1727">
        <v>166</v>
      </c>
      <c r="BJ13" s="1727">
        <v>8</v>
      </c>
      <c r="BK13" s="1727">
        <v>137</v>
      </c>
      <c r="BL13" s="689">
        <v>31</v>
      </c>
      <c r="BM13" s="1727">
        <v>40</v>
      </c>
      <c r="BN13" s="689">
        <v>0</v>
      </c>
      <c r="BO13" s="1735">
        <v>51</v>
      </c>
      <c r="BP13" s="690">
        <v>0</v>
      </c>
      <c r="BQ13" s="1735">
        <v>24</v>
      </c>
      <c r="BR13" s="1727">
        <v>16</v>
      </c>
      <c r="BS13" s="1735">
        <v>0</v>
      </c>
      <c r="BT13" s="1735">
        <v>10</v>
      </c>
      <c r="BU13" s="1735">
        <v>21</v>
      </c>
      <c r="BV13" s="1735">
        <v>20</v>
      </c>
      <c r="BW13" s="1745">
        <v>150</v>
      </c>
      <c r="BX13" s="1735">
        <v>81</v>
      </c>
      <c r="BY13" s="1735">
        <v>0</v>
      </c>
      <c r="BZ13" s="1735">
        <v>22</v>
      </c>
      <c r="CA13" s="1755">
        <v>2</v>
      </c>
      <c r="CB13" s="1735">
        <v>43</v>
      </c>
      <c r="CC13" s="1735">
        <v>41</v>
      </c>
      <c r="CD13" s="1735">
        <v>33</v>
      </c>
      <c r="CE13" s="1735">
        <v>30</v>
      </c>
      <c r="CF13" s="1735">
        <v>110</v>
      </c>
      <c r="CG13" s="1735">
        <v>0</v>
      </c>
      <c r="CH13" s="1735">
        <v>60</v>
      </c>
      <c r="CI13" s="1735">
        <v>10</v>
      </c>
      <c r="CJ13" s="1735">
        <v>0</v>
      </c>
      <c r="CK13" s="1735">
        <v>220</v>
      </c>
      <c r="CL13" s="1735">
        <v>0</v>
      </c>
      <c r="CM13" s="1735">
        <v>31</v>
      </c>
      <c r="CN13" s="1735">
        <v>10</v>
      </c>
      <c r="CO13" s="1735">
        <v>330</v>
      </c>
      <c r="CP13" s="1735">
        <v>8</v>
      </c>
      <c r="CQ13" s="1735">
        <v>0</v>
      </c>
      <c r="CR13" s="690">
        <v>0</v>
      </c>
      <c r="CS13" s="1735">
        <v>195</v>
      </c>
      <c r="CT13" s="1735">
        <v>0</v>
      </c>
      <c r="CU13" s="690">
        <v>0</v>
      </c>
      <c r="CV13" s="1735">
        <v>48</v>
      </c>
      <c r="CW13" s="690">
        <v>0</v>
      </c>
      <c r="CX13" s="1735">
        <v>97</v>
      </c>
      <c r="CY13" s="1751">
        <v>13</v>
      </c>
      <c r="CZ13" s="1735">
        <v>21</v>
      </c>
      <c r="DA13" s="1735">
        <v>34</v>
      </c>
      <c r="DB13" s="1735">
        <v>122</v>
      </c>
      <c r="DC13" s="1735">
        <v>380</v>
      </c>
      <c r="DD13" s="1735">
        <v>48</v>
      </c>
      <c r="DE13" s="1735">
        <v>88</v>
      </c>
      <c r="DF13" s="1735">
        <v>87</v>
      </c>
      <c r="DG13" s="1735">
        <v>4</v>
      </c>
      <c r="DH13" s="1735">
        <v>50</v>
      </c>
      <c r="DI13" s="1838">
        <v>36</v>
      </c>
      <c r="DJ13" s="1850">
        <v>55</v>
      </c>
      <c r="DK13" s="2099">
        <v>17</v>
      </c>
      <c r="DL13" s="2168">
        <v>38</v>
      </c>
      <c r="DM13" s="2168">
        <v>20</v>
      </c>
      <c r="DN13" s="2426">
        <v>0</v>
      </c>
      <c r="DO13" s="2489">
        <v>17</v>
      </c>
      <c r="DP13" s="2578">
        <v>41</v>
      </c>
      <c r="DQ13" s="2594">
        <v>54</v>
      </c>
      <c r="DR13" s="2638">
        <v>108</v>
      </c>
      <c r="DS13" s="2658">
        <v>0</v>
      </c>
      <c r="DT13" s="2658">
        <v>35</v>
      </c>
      <c r="DU13" s="2730">
        <v>20</v>
      </c>
      <c r="DV13" s="2578">
        <v>75</v>
      </c>
      <c r="DW13" s="2578">
        <v>55</v>
      </c>
      <c r="DX13" s="4673">
        <v>0</v>
      </c>
      <c r="DY13" s="690"/>
      <c r="DZ13" s="1760">
        <v>914</v>
      </c>
      <c r="EA13" s="1764">
        <v>0</v>
      </c>
      <c r="EB13" s="1764">
        <v>150</v>
      </c>
      <c r="EC13" s="1764">
        <v>0</v>
      </c>
      <c r="ED13" s="1764">
        <v>16</v>
      </c>
      <c r="EE13" s="827">
        <v>221</v>
      </c>
      <c r="EF13" s="827">
        <v>0</v>
      </c>
      <c r="EG13" s="827">
        <v>0</v>
      </c>
      <c r="EH13" s="1764">
        <v>0</v>
      </c>
      <c r="EI13" s="1764">
        <v>0</v>
      </c>
      <c r="EJ13" s="1764">
        <v>0</v>
      </c>
      <c r="EK13" s="1764">
        <v>85</v>
      </c>
      <c r="EL13" s="1764">
        <v>21</v>
      </c>
      <c r="EM13" s="1764">
        <v>16</v>
      </c>
      <c r="EN13" s="1764">
        <v>0</v>
      </c>
      <c r="EO13" s="1764">
        <v>0</v>
      </c>
      <c r="EP13" s="1764">
        <v>0</v>
      </c>
      <c r="EQ13" s="1764">
        <v>24</v>
      </c>
      <c r="ER13" s="827">
        <v>0</v>
      </c>
      <c r="ES13" s="1764">
        <v>45</v>
      </c>
      <c r="ET13" s="1764">
        <v>0</v>
      </c>
      <c r="EU13" s="1764">
        <v>0</v>
      </c>
      <c r="EV13" s="1764">
        <v>32</v>
      </c>
      <c r="EW13" s="1764">
        <v>8</v>
      </c>
      <c r="EX13" s="1764">
        <v>0</v>
      </c>
      <c r="EY13" s="1764">
        <v>19</v>
      </c>
      <c r="EZ13" s="1764">
        <v>0</v>
      </c>
      <c r="FA13" s="1764">
        <v>11</v>
      </c>
      <c r="FB13" s="1764">
        <v>0</v>
      </c>
      <c r="FC13" s="1764">
        <v>0</v>
      </c>
      <c r="FD13" s="1764">
        <v>200</v>
      </c>
      <c r="FE13" s="1764">
        <v>0</v>
      </c>
      <c r="FF13" s="1764">
        <v>0</v>
      </c>
      <c r="FG13" s="1771">
        <v>178</v>
      </c>
      <c r="FH13" s="1771">
        <v>0</v>
      </c>
      <c r="FI13" s="1771">
        <v>0</v>
      </c>
      <c r="FJ13" s="1771">
        <v>213</v>
      </c>
      <c r="FK13" s="1771">
        <v>0</v>
      </c>
      <c r="FL13" s="1771">
        <v>0</v>
      </c>
      <c r="FM13" s="1771">
        <v>146</v>
      </c>
      <c r="FN13" s="1771">
        <v>0</v>
      </c>
      <c r="FO13" s="1771">
        <v>290</v>
      </c>
      <c r="FP13" s="1771">
        <v>0</v>
      </c>
      <c r="FQ13" s="1544">
        <v>0</v>
      </c>
      <c r="FR13" s="1771">
        <v>50</v>
      </c>
      <c r="FS13" s="1771">
        <v>88</v>
      </c>
      <c r="FT13" s="1771">
        <v>56</v>
      </c>
      <c r="FU13" s="1771">
        <v>0</v>
      </c>
      <c r="FV13" s="1783">
        <v>6</v>
      </c>
      <c r="FW13" s="1907">
        <v>55</v>
      </c>
      <c r="FX13" s="1907">
        <v>940</v>
      </c>
      <c r="FY13" s="2581">
        <v>220</v>
      </c>
      <c r="FZ13" s="2581">
        <v>0</v>
      </c>
      <c r="GA13" s="2620">
        <v>0</v>
      </c>
      <c r="GB13" s="3011">
        <v>3</v>
      </c>
      <c r="GC13" s="3131">
        <v>44</v>
      </c>
      <c r="GD13" s="3175">
        <v>34</v>
      </c>
      <c r="GE13" s="4724">
        <v>0</v>
      </c>
      <c r="GF13" s="4724">
        <v>0</v>
      </c>
      <c r="GG13" s="858"/>
      <c r="GH13" s="841">
        <v>6064</v>
      </c>
      <c r="GI13" s="862">
        <v>4085</v>
      </c>
      <c r="GJ13" s="850">
        <v>10149</v>
      </c>
      <c r="GK13" s="851">
        <v>3262</v>
      </c>
      <c r="GL13" s="582">
        <v>914</v>
      </c>
      <c r="GM13" s="582">
        <v>1837</v>
      </c>
      <c r="GN13" s="583">
        <v>0</v>
      </c>
      <c r="GO13" s="583">
        <v>1950</v>
      </c>
      <c r="GP13" s="583">
        <v>1140</v>
      </c>
      <c r="GQ13" s="583">
        <v>111</v>
      </c>
      <c r="GR13" s="583">
        <v>434</v>
      </c>
      <c r="GS13" s="583">
        <v>431</v>
      </c>
      <c r="GT13" s="583">
        <v>150</v>
      </c>
      <c r="GU13" s="4975">
        <v>133</v>
      </c>
      <c r="GV13" s="5335">
        <v>1613.6778250000007</v>
      </c>
      <c r="GW13" s="3066">
        <v>93.63</v>
      </c>
      <c r="GX13" s="12"/>
      <c r="IA13" s="134"/>
      <c r="IB13" s="134"/>
    </row>
    <row r="14" spans="1:276" ht="22.5" customHeight="1" thickBot="1">
      <c r="A14" s="542">
        <v>0.41666666666666669</v>
      </c>
      <c r="B14" s="1726">
        <v>0</v>
      </c>
      <c r="C14" s="1727">
        <v>0</v>
      </c>
      <c r="D14" s="1727">
        <v>0</v>
      </c>
      <c r="E14" s="1727">
        <v>180</v>
      </c>
      <c r="F14" s="1735">
        <v>0</v>
      </c>
      <c r="G14" s="1735">
        <v>84</v>
      </c>
      <c r="H14" s="1727">
        <v>0</v>
      </c>
      <c r="I14" s="1727">
        <v>396</v>
      </c>
      <c r="J14" s="1727">
        <v>312</v>
      </c>
      <c r="K14" s="689"/>
      <c r="L14" s="689">
        <v>0</v>
      </c>
      <c r="M14" s="1727">
        <v>225</v>
      </c>
      <c r="N14" s="1727">
        <v>0</v>
      </c>
      <c r="O14" s="1727">
        <v>7</v>
      </c>
      <c r="P14" s="1727">
        <v>0</v>
      </c>
      <c r="Q14" s="1727">
        <v>30</v>
      </c>
      <c r="R14" s="1727">
        <v>0</v>
      </c>
      <c r="S14" s="689">
        <v>0</v>
      </c>
      <c r="T14" s="689">
        <v>0</v>
      </c>
      <c r="U14" s="1727">
        <v>8</v>
      </c>
      <c r="V14" s="1735">
        <v>8</v>
      </c>
      <c r="W14" s="1727">
        <v>50</v>
      </c>
      <c r="X14" s="1727">
        <v>0</v>
      </c>
      <c r="Y14" s="1727">
        <v>0</v>
      </c>
      <c r="Z14" s="689">
        <v>0</v>
      </c>
      <c r="AA14" s="1727">
        <v>0</v>
      </c>
      <c r="AB14" s="1727">
        <v>17</v>
      </c>
      <c r="AC14" s="1727">
        <v>55</v>
      </c>
      <c r="AD14" s="1727">
        <v>17</v>
      </c>
      <c r="AE14" s="1727">
        <v>19</v>
      </c>
      <c r="AF14" s="1727">
        <v>25</v>
      </c>
      <c r="AG14" s="1727">
        <v>20</v>
      </c>
      <c r="AH14" s="1727">
        <v>25</v>
      </c>
      <c r="AI14" s="1727">
        <v>0</v>
      </c>
      <c r="AJ14" s="1727">
        <v>42</v>
      </c>
      <c r="AK14" s="689">
        <v>0</v>
      </c>
      <c r="AL14" s="689">
        <v>78</v>
      </c>
      <c r="AM14" s="1727">
        <v>35</v>
      </c>
      <c r="AN14" s="1727">
        <v>100</v>
      </c>
      <c r="AO14" s="1727">
        <v>0</v>
      </c>
      <c r="AP14" s="1727">
        <v>0</v>
      </c>
      <c r="AQ14" s="1727">
        <v>0</v>
      </c>
      <c r="AR14" s="689">
        <v>0</v>
      </c>
      <c r="AS14" s="1727">
        <v>0</v>
      </c>
      <c r="AT14" s="689">
        <v>0</v>
      </c>
      <c r="AU14" s="689"/>
      <c r="AV14" s="1727">
        <v>0</v>
      </c>
      <c r="AW14" s="1727">
        <v>26</v>
      </c>
      <c r="AX14" s="1727">
        <v>17</v>
      </c>
      <c r="AY14" s="1727">
        <v>56</v>
      </c>
      <c r="AZ14" s="1727">
        <v>12</v>
      </c>
      <c r="BA14" s="1727">
        <v>25</v>
      </c>
      <c r="BB14" s="1727">
        <v>15</v>
      </c>
      <c r="BC14" s="1727">
        <v>2</v>
      </c>
      <c r="BD14" s="1727">
        <v>0</v>
      </c>
      <c r="BE14" s="689">
        <v>0</v>
      </c>
      <c r="BF14" s="689">
        <v>0</v>
      </c>
      <c r="BG14" s="1727">
        <v>305</v>
      </c>
      <c r="BH14" s="1727">
        <v>290</v>
      </c>
      <c r="BI14" s="1727">
        <v>176</v>
      </c>
      <c r="BJ14" s="1727">
        <v>8</v>
      </c>
      <c r="BK14" s="1727">
        <v>136</v>
      </c>
      <c r="BL14" s="689">
        <v>34</v>
      </c>
      <c r="BM14" s="1727">
        <v>30</v>
      </c>
      <c r="BN14" s="689">
        <v>0</v>
      </c>
      <c r="BO14" s="1735">
        <v>43</v>
      </c>
      <c r="BP14" s="690">
        <v>0</v>
      </c>
      <c r="BQ14" s="1735">
        <v>24</v>
      </c>
      <c r="BR14" s="1727">
        <v>8</v>
      </c>
      <c r="BS14" s="1735">
        <v>0</v>
      </c>
      <c r="BT14" s="1735">
        <v>10</v>
      </c>
      <c r="BU14" s="1735">
        <v>16</v>
      </c>
      <c r="BV14" s="1735">
        <v>20</v>
      </c>
      <c r="BW14" s="1745">
        <v>140</v>
      </c>
      <c r="BX14" s="1735">
        <v>81</v>
      </c>
      <c r="BY14" s="1735">
        <v>0</v>
      </c>
      <c r="BZ14" s="1735">
        <v>22</v>
      </c>
      <c r="CA14" s="1755">
        <v>2</v>
      </c>
      <c r="CB14" s="1735">
        <v>43</v>
      </c>
      <c r="CC14" s="1735">
        <v>41</v>
      </c>
      <c r="CD14" s="1735">
        <v>31</v>
      </c>
      <c r="CE14" s="1735">
        <v>30</v>
      </c>
      <c r="CF14" s="1735">
        <v>110</v>
      </c>
      <c r="CG14" s="1735">
        <v>0</v>
      </c>
      <c r="CH14" s="1735">
        <v>60</v>
      </c>
      <c r="CI14" s="1735">
        <v>10</v>
      </c>
      <c r="CJ14" s="1735">
        <v>0</v>
      </c>
      <c r="CK14" s="1735">
        <v>220</v>
      </c>
      <c r="CL14" s="1735">
        <v>0</v>
      </c>
      <c r="CM14" s="1735">
        <v>30</v>
      </c>
      <c r="CN14" s="1735">
        <v>10</v>
      </c>
      <c r="CO14" s="1735">
        <v>320</v>
      </c>
      <c r="CP14" s="1735">
        <v>8</v>
      </c>
      <c r="CQ14" s="1735">
        <v>0</v>
      </c>
      <c r="CR14" s="690">
        <v>0</v>
      </c>
      <c r="CS14" s="1735">
        <v>195</v>
      </c>
      <c r="CT14" s="1735">
        <v>0</v>
      </c>
      <c r="CU14" s="690">
        <v>0</v>
      </c>
      <c r="CV14" s="1735">
        <v>48</v>
      </c>
      <c r="CW14" s="690">
        <v>0</v>
      </c>
      <c r="CX14" s="1735">
        <v>99</v>
      </c>
      <c r="CY14" s="1751">
        <v>11</v>
      </c>
      <c r="CZ14" s="1735">
        <v>21</v>
      </c>
      <c r="DA14" s="1735">
        <v>34</v>
      </c>
      <c r="DB14" s="1735">
        <v>117</v>
      </c>
      <c r="DC14" s="1735">
        <v>401</v>
      </c>
      <c r="DD14" s="1735">
        <v>48</v>
      </c>
      <c r="DE14" s="1735">
        <v>88</v>
      </c>
      <c r="DF14" s="1735">
        <v>87</v>
      </c>
      <c r="DG14" s="1735">
        <v>4</v>
      </c>
      <c r="DH14" s="1735">
        <v>53</v>
      </c>
      <c r="DI14" s="1838">
        <v>17</v>
      </c>
      <c r="DJ14" s="1850">
        <v>55</v>
      </c>
      <c r="DK14" s="2099">
        <v>17</v>
      </c>
      <c r="DL14" s="2168">
        <v>38</v>
      </c>
      <c r="DM14" s="2168">
        <v>20</v>
      </c>
      <c r="DN14" s="2426">
        <v>0</v>
      </c>
      <c r="DO14" s="2489">
        <v>17</v>
      </c>
      <c r="DP14" s="2578">
        <v>51</v>
      </c>
      <c r="DQ14" s="2594">
        <v>54</v>
      </c>
      <c r="DR14" s="2638">
        <v>108</v>
      </c>
      <c r="DS14" s="2658">
        <v>0</v>
      </c>
      <c r="DT14" s="2658">
        <v>35</v>
      </c>
      <c r="DU14" s="2730">
        <v>31</v>
      </c>
      <c r="DV14" s="2578">
        <v>75</v>
      </c>
      <c r="DW14" s="2578">
        <v>55</v>
      </c>
      <c r="DX14" s="4673">
        <v>0</v>
      </c>
      <c r="DY14" s="690"/>
      <c r="DZ14" s="1760">
        <v>914</v>
      </c>
      <c r="EA14" s="1764">
        <v>0</v>
      </c>
      <c r="EB14" s="1764">
        <v>145</v>
      </c>
      <c r="EC14" s="1764">
        <v>0</v>
      </c>
      <c r="ED14" s="1764">
        <v>16</v>
      </c>
      <c r="EE14" s="827">
        <v>225</v>
      </c>
      <c r="EF14" s="827">
        <v>0</v>
      </c>
      <c r="EG14" s="827">
        <v>0</v>
      </c>
      <c r="EH14" s="1764">
        <v>0</v>
      </c>
      <c r="EI14" s="1764">
        <v>0</v>
      </c>
      <c r="EJ14" s="1764">
        <v>0</v>
      </c>
      <c r="EK14" s="1764">
        <v>84</v>
      </c>
      <c r="EL14" s="1764">
        <v>21</v>
      </c>
      <c r="EM14" s="1764">
        <v>16</v>
      </c>
      <c r="EN14" s="1764">
        <v>0</v>
      </c>
      <c r="EO14" s="1764">
        <v>0</v>
      </c>
      <c r="EP14" s="1764">
        <v>0</v>
      </c>
      <c r="EQ14" s="1764">
        <v>17</v>
      </c>
      <c r="ER14" s="827">
        <v>0</v>
      </c>
      <c r="ES14" s="1764">
        <v>45</v>
      </c>
      <c r="ET14" s="1764">
        <v>0</v>
      </c>
      <c r="EU14" s="1764">
        <v>0</v>
      </c>
      <c r="EV14" s="1764">
        <v>32</v>
      </c>
      <c r="EW14" s="1764">
        <v>8</v>
      </c>
      <c r="EX14" s="1764">
        <v>0</v>
      </c>
      <c r="EY14" s="1764">
        <v>17</v>
      </c>
      <c r="EZ14" s="1764">
        <v>0</v>
      </c>
      <c r="FA14" s="1764">
        <v>11</v>
      </c>
      <c r="FB14" s="1764">
        <v>0</v>
      </c>
      <c r="FC14" s="1764">
        <v>0</v>
      </c>
      <c r="FD14" s="1764">
        <v>199</v>
      </c>
      <c r="FE14" s="1764">
        <v>0</v>
      </c>
      <c r="FF14" s="1764">
        <v>0</v>
      </c>
      <c r="FG14" s="1771">
        <v>178</v>
      </c>
      <c r="FH14" s="1771">
        <v>0</v>
      </c>
      <c r="FI14" s="1771">
        <v>0</v>
      </c>
      <c r="FJ14" s="1771">
        <v>203</v>
      </c>
      <c r="FK14" s="1771">
        <v>0</v>
      </c>
      <c r="FL14" s="1771">
        <v>0</v>
      </c>
      <c r="FM14" s="1771">
        <v>142</v>
      </c>
      <c r="FN14" s="1771">
        <v>0</v>
      </c>
      <c r="FO14" s="1771">
        <v>270</v>
      </c>
      <c r="FP14" s="1771">
        <v>0</v>
      </c>
      <c r="FQ14" s="1544">
        <v>0</v>
      </c>
      <c r="FR14" s="1771">
        <v>50</v>
      </c>
      <c r="FS14" s="1771">
        <v>88</v>
      </c>
      <c r="FT14" s="1771">
        <v>56</v>
      </c>
      <c r="FU14" s="1771">
        <v>0</v>
      </c>
      <c r="FV14" s="1783">
        <v>7</v>
      </c>
      <c r="FW14" s="1907">
        <v>55</v>
      </c>
      <c r="FX14" s="1907">
        <v>930</v>
      </c>
      <c r="FY14" s="2581">
        <v>220</v>
      </c>
      <c r="FZ14" s="2581">
        <v>0</v>
      </c>
      <c r="GA14" s="2620">
        <v>0</v>
      </c>
      <c r="GB14" s="3011">
        <v>4</v>
      </c>
      <c r="GC14" s="3131">
        <v>45</v>
      </c>
      <c r="GD14" s="3175">
        <v>34</v>
      </c>
      <c r="GE14" s="4724">
        <v>0</v>
      </c>
      <c r="GF14" s="4724">
        <v>0</v>
      </c>
      <c r="GG14" s="858"/>
      <c r="GH14" s="841">
        <v>5923</v>
      </c>
      <c r="GI14" s="862">
        <v>4032</v>
      </c>
      <c r="GJ14" s="850">
        <v>9955</v>
      </c>
      <c r="GK14" s="851">
        <v>3203</v>
      </c>
      <c r="GL14" s="582">
        <v>914</v>
      </c>
      <c r="GM14" s="582">
        <v>1773</v>
      </c>
      <c r="GN14" s="583">
        <v>0</v>
      </c>
      <c r="GO14" s="583">
        <v>1889</v>
      </c>
      <c r="GP14" s="583">
        <v>1129</v>
      </c>
      <c r="GQ14" s="583">
        <v>113</v>
      </c>
      <c r="GR14" s="583">
        <v>428</v>
      </c>
      <c r="GS14" s="583">
        <v>414</v>
      </c>
      <c r="GT14" s="583">
        <v>140</v>
      </c>
      <c r="GU14" s="4975">
        <v>155</v>
      </c>
      <c r="GV14" s="5335">
        <v>1976.7783749999999</v>
      </c>
      <c r="GW14" s="3066">
        <v>93.66</v>
      </c>
      <c r="GX14" s="12"/>
      <c r="GZ14" s="175"/>
      <c r="HA14" s="176"/>
      <c r="HB14" s="176"/>
      <c r="HC14" s="176"/>
      <c r="HD14" s="176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12"/>
      <c r="IP14" s="12"/>
      <c r="IQ14" s="12"/>
      <c r="IR14" s="12"/>
      <c r="IS14" s="12"/>
      <c r="IT14" s="12"/>
      <c r="IU14" s="12"/>
      <c r="IV14" s="12"/>
      <c r="IW14" s="12"/>
      <c r="IX14" s="12"/>
      <c r="IY14" s="12"/>
      <c r="IZ14" s="12"/>
      <c r="JA14" s="12"/>
      <c r="JB14" s="12"/>
      <c r="JC14" s="12"/>
      <c r="JD14" s="12"/>
      <c r="JE14" s="12"/>
      <c r="JF14" s="12"/>
      <c r="JG14" s="12"/>
      <c r="JH14" s="12"/>
      <c r="JI14" s="12"/>
      <c r="JJ14" s="12"/>
      <c r="JK14" s="12"/>
      <c r="JL14" s="12"/>
      <c r="JM14" s="12"/>
      <c r="JN14" s="12"/>
      <c r="JO14" s="12"/>
      <c r="JP14" s="12"/>
    </row>
    <row r="15" spans="1:276" ht="22.5" customHeight="1" thickBot="1">
      <c r="A15" s="542">
        <v>0.45833333333333331</v>
      </c>
      <c r="B15" s="1726">
        <v>0</v>
      </c>
      <c r="C15" s="1727">
        <v>0</v>
      </c>
      <c r="D15" s="1727">
        <v>0</v>
      </c>
      <c r="E15" s="1727">
        <v>180</v>
      </c>
      <c r="F15" s="1735">
        <v>0</v>
      </c>
      <c r="G15" s="1735">
        <v>83</v>
      </c>
      <c r="H15" s="1727">
        <v>0</v>
      </c>
      <c r="I15" s="1727">
        <v>397</v>
      </c>
      <c r="J15" s="1727">
        <v>312</v>
      </c>
      <c r="K15" s="689"/>
      <c r="L15" s="689">
        <v>0</v>
      </c>
      <c r="M15" s="1727">
        <v>225</v>
      </c>
      <c r="N15" s="1727">
        <v>0</v>
      </c>
      <c r="O15" s="1727">
        <v>7</v>
      </c>
      <c r="P15" s="1727">
        <v>0</v>
      </c>
      <c r="Q15" s="1727">
        <v>30</v>
      </c>
      <c r="R15" s="1727">
        <v>0</v>
      </c>
      <c r="S15" s="689">
        <v>0</v>
      </c>
      <c r="T15" s="689">
        <v>0</v>
      </c>
      <c r="U15" s="1727">
        <v>8</v>
      </c>
      <c r="V15" s="1735">
        <v>8</v>
      </c>
      <c r="W15" s="1727">
        <v>50</v>
      </c>
      <c r="X15" s="1727">
        <v>0</v>
      </c>
      <c r="Y15" s="1727">
        <v>0</v>
      </c>
      <c r="Z15" s="689">
        <v>0</v>
      </c>
      <c r="AA15" s="1727">
        <v>0</v>
      </c>
      <c r="AB15" s="1727">
        <v>17</v>
      </c>
      <c r="AC15" s="1727">
        <v>55</v>
      </c>
      <c r="AD15" s="1727">
        <v>17</v>
      </c>
      <c r="AE15" s="1727">
        <v>19</v>
      </c>
      <c r="AF15" s="1727">
        <v>25</v>
      </c>
      <c r="AG15" s="1727">
        <v>20</v>
      </c>
      <c r="AH15" s="1727">
        <v>25</v>
      </c>
      <c r="AI15" s="1727">
        <v>30</v>
      </c>
      <c r="AJ15" s="1727">
        <v>42</v>
      </c>
      <c r="AK15" s="689">
        <v>0</v>
      </c>
      <c r="AL15" s="689">
        <v>79</v>
      </c>
      <c r="AM15" s="1727">
        <v>35</v>
      </c>
      <c r="AN15" s="1727">
        <v>100</v>
      </c>
      <c r="AO15" s="1727">
        <v>0</v>
      </c>
      <c r="AP15" s="1727">
        <v>0</v>
      </c>
      <c r="AQ15" s="1727">
        <v>0</v>
      </c>
      <c r="AR15" s="689">
        <v>0</v>
      </c>
      <c r="AS15" s="1727">
        <v>0</v>
      </c>
      <c r="AT15" s="689">
        <v>0</v>
      </c>
      <c r="AU15" s="689"/>
      <c r="AV15" s="1727">
        <v>0</v>
      </c>
      <c r="AW15" s="1727">
        <v>26</v>
      </c>
      <c r="AX15" s="1727">
        <v>17</v>
      </c>
      <c r="AY15" s="1727">
        <v>56</v>
      </c>
      <c r="AZ15" s="1727">
        <v>12</v>
      </c>
      <c r="BA15" s="1727">
        <v>25</v>
      </c>
      <c r="BB15" s="1727">
        <v>15</v>
      </c>
      <c r="BC15" s="1727">
        <v>2</v>
      </c>
      <c r="BD15" s="1727">
        <v>0</v>
      </c>
      <c r="BE15" s="689">
        <v>0</v>
      </c>
      <c r="BF15" s="689">
        <v>0</v>
      </c>
      <c r="BG15" s="1727">
        <v>335</v>
      </c>
      <c r="BH15" s="1727">
        <v>330</v>
      </c>
      <c r="BI15" s="1727">
        <v>201</v>
      </c>
      <c r="BJ15" s="1727">
        <v>8</v>
      </c>
      <c r="BK15" s="1727">
        <v>135</v>
      </c>
      <c r="BL15" s="689">
        <v>38</v>
      </c>
      <c r="BM15" s="1727">
        <v>10</v>
      </c>
      <c r="BN15" s="689">
        <v>0</v>
      </c>
      <c r="BO15" s="1735">
        <v>43</v>
      </c>
      <c r="BP15" s="690">
        <v>0</v>
      </c>
      <c r="BQ15" s="1735">
        <v>24</v>
      </c>
      <c r="BR15" s="1727">
        <v>8</v>
      </c>
      <c r="BS15" s="1735">
        <v>0</v>
      </c>
      <c r="BT15" s="1735">
        <v>10</v>
      </c>
      <c r="BU15" s="1735">
        <v>25</v>
      </c>
      <c r="BV15" s="1735">
        <v>20</v>
      </c>
      <c r="BW15" s="1745">
        <v>162</v>
      </c>
      <c r="BX15" s="1735">
        <v>81</v>
      </c>
      <c r="BY15" s="1735">
        <v>0</v>
      </c>
      <c r="BZ15" s="1735">
        <v>22</v>
      </c>
      <c r="CA15" s="1755">
        <v>1</v>
      </c>
      <c r="CB15" s="1735">
        <v>43</v>
      </c>
      <c r="CC15" s="1735">
        <v>41</v>
      </c>
      <c r="CD15" s="1735">
        <v>33</v>
      </c>
      <c r="CE15" s="1735">
        <v>30</v>
      </c>
      <c r="CF15" s="1735">
        <v>110</v>
      </c>
      <c r="CG15" s="1735">
        <v>0</v>
      </c>
      <c r="CH15" s="1735">
        <v>60</v>
      </c>
      <c r="CI15" s="1735">
        <v>10</v>
      </c>
      <c r="CJ15" s="1735">
        <v>0</v>
      </c>
      <c r="CK15" s="1735">
        <v>205</v>
      </c>
      <c r="CL15" s="1735">
        <v>0</v>
      </c>
      <c r="CM15" s="1735">
        <v>30</v>
      </c>
      <c r="CN15" s="1735">
        <v>10</v>
      </c>
      <c r="CO15" s="1735">
        <v>320</v>
      </c>
      <c r="CP15" s="1735">
        <v>8</v>
      </c>
      <c r="CQ15" s="1735">
        <v>0</v>
      </c>
      <c r="CR15" s="690">
        <v>0</v>
      </c>
      <c r="CS15" s="1735">
        <v>195</v>
      </c>
      <c r="CT15" s="1735">
        <v>0</v>
      </c>
      <c r="CU15" s="690">
        <v>0</v>
      </c>
      <c r="CV15" s="1735">
        <v>48</v>
      </c>
      <c r="CW15" s="690">
        <v>0</v>
      </c>
      <c r="CX15" s="1735">
        <v>99</v>
      </c>
      <c r="CY15" s="1751">
        <v>14</v>
      </c>
      <c r="CZ15" s="1735">
        <v>21</v>
      </c>
      <c r="DA15" s="1735">
        <v>34</v>
      </c>
      <c r="DB15" s="1735">
        <v>118</v>
      </c>
      <c r="DC15" s="1735">
        <v>385</v>
      </c>
      <c r="DD15" s="1735">
        <v>48</v>
      </c>
      <c r="DE15" s="1735">
        <v>88</v>
      </c>
      <c r="DF15" s="1735">
        <v>87</v>
      </c>
      <c r="DG15" s="1735">
        <v>5</v>
      </c>
      <c r="DH15" s="1735">
        <v>53</v>
      </c>
      <c r="DI15" s="1838">
        <v>17</v>
      </c>
      <c r="DJ15" s="1850">
        <v>55</v>
      </c>
      <c r="DK15" s="2099">
        <v>17</v>
      </c>
      <c r="DL15" s="2168">
        <v>38</v>
      </c>
      <c r="DM15" s="2168">
        <v>20</v>
      </c>
      <c r="DN15" s="2426">
        <v>0</v>
      </c>
      <c r="DO15" s="2489">
        <v>17</v>
      </c>
      <c r="DP15" s="2578">
        <v>50</v>
      </c>
      <c r="DQ15" s="2594">
        <v>54</v>
      </c>
      <c r="DR15" s="2638">
        <v>108</v>
      </c>
      <c r="DS15" s="2658">
        <v>0</v>
      </c>
      <c r="DT15" s="2658">
        <v>35</v>
      </c>
      <c r="DU15" s="2730">
        <v>34</v>
      </c>
      <c r="DV15" s="2578">
        <v>75</v>
      </c>
      <c r="DW15" s="2578">
        <v>55</v>
      </c>
      <c r="DX15" s="4673">
        <v>0</v>
      </c>
      <c r="DY15" s="690"/>
      <c r="DZ15" s="1760">
        <v>914</v>
      </c>
      <c r="EA15" s="1764">
        <v>0</v>
      </c>
      <c r="EB15" s="1764">
        <v>130</v>
      </c>
      <c r="EC15" s="1764">
        <v>0</v>
      </c>
      <c r="ED15" s="1764">
        <v>16</v>
      </c>
      <c r="EE15" s="827">
        <v>227</v>
      </c>
      <c r="EF15" s="827">
        <v>0</v>
      </c>
      <c r="EG15" s="827">
        <v>0</v>
      </c>
      <c r="EH15" s="1764">
        <v>0</v>
      </c>
      <c r="EI15" s="1764">
        <v>0</v>
      </c>
      <c r="EJ15" s="1764">
        <v>0</v>
      </c>
      <c r="EK15" s="1764">
        <v>83</v>
      </c>
      <c r="EL15" s="1764">
        <v>22</v>
      </c>
      <c r="EM15" s="1764">
        <v>16</v>
      </c>
      <c r="EN15" s="1764">
        <v>0</v>
      </c>
      <c r="EO15" s="1764">
        <v>0</v>
      </c>
      <c r="EP15" s="1764">
        <v>0</v>
      </c>
      <c r="EQ15" s="1764">
        <v>24</v>
      </c>
      <c r="ER15" s="827">
        <v>0</v>
      </c>
      <c r="ES15" s="1764">
        <v>45</v>
      </c>
      <c r="ET15" s="1764">
        <v>0</v>
      </c>
      <c r="EU15" s="1764">
        <v>0</v>
      </c>
      <c r="EV15" s="1764">
        <v>32</v>
      </c>
      <c r="EW15" s="1764">
        <v>8</v>
      </c>
      <c r="EX15" s="1764">
        <v>0</v>
      </c>
      <c r="EY15" s="1764">
        <v>17</v>
      </c>
      <c r="EZ15" s="1764">
        <v>0</v>
      </c>
      <c r="FA15" s="1764">
        <v>11</v>
      </c>
      <c r="FB15" s="1764">
        <v>0</v>
      </c>
      <c r="FC15" s="1764">
        <v>0</v>
      </c>
      <c r="FD15" s="1764">
        <v>200</v>
      </c>
      <c r="FE15" s="1764">
        <v>0</v>
      </c>
      <c r="FF15" s="1764">
        <v>0</v>
      </c>
      <c r="FG15" s="1771">
        <v>175</v>
      </c>
      <c r="FH15" s="1771">
        <v>0</v>
      </c>
      <c r="FI15" s="1771">
        <v>0</v>
      </c>
      <c r="FJ15" s="1771">
        <v>200</v>
      </c>
      <c r="FK15" s="1771">
        <v>0</v>
      </c>
      <c r="FL15" s="1771">
        <v>0</v>
      </c>
      <c r="FM15" s="1771">
        <v>140</v>
      </c>
      <c r="FN15" s="1771">
        <v>0</v>
      </c>
      <c r="FO15" s="1771">
        <v>280</v>
      </c>
      <c r="FP15" s="1771">
        <v>0</v>
      </c>
      <c r="FQ15" s="1544">
        <v>0</v>
      </c>
      <c r="FR15" s="1771">
        <v>50</v>
      </c>
      <c r="FS15" s="1771">
        <v>88</v>
      </c>
      <c r="FT15" s="1771">
        <v>56</v>
      </c>
      <c r="FU15" s="1771">
        <v>0</v>
      </c>
      <c r="FV15" s="1783">
        <v>7</v>
      </c>
      <c r="FW15" s="1907">
        <v>55</v>
      </c>
      <c r="FX15" s="1907">
        <v>930</v>
      </c>
      <c r="FY15" s="2581">
        <v>216</v>
      </c>
      <c r="FZ15" s="2581">
        <v>0</v>
      </c>
      <c r="GA15" s="2620">
        <v>0</v>
      </c>
      <c r="GB15" s="3011">
        <v>5</v>
      </c>
      <c r="GC15" s="3131">
        <v>81</v>
      </c>
      <c r="GD15" s="3175">
        <v>34</v>
      </c>
      <c r="GE15" s="4724">
        <v>0</v>
      </c>
      <c r="GF15" s="4724">
        <v>0</v>
      </c>
      <c r="GG15" s="858"/>
      <c r="GH15" s="841">
        <v>6040</v>
      </c>
      <c r="GI15" s="862">
        <v>4062</v>
      </c>
      <c r="GJ15" s="850">
        <v>10102</v>
      </c>
      <c r="GK15" s="851">
        <v>3289</v>
      </c>
      <c r="GL15" s="582">
        <v>914</v>
      </c>
      <c r="GM15" s="582">
        <v>1761</v>
      </c>
      <c r="GN15" s="583">
        <v>0</v>
      </c>
      <c r="GO15" s="583">
        <v>1890</v>
      </c>
      <c r="GP15" s="583">
        <v>1130</v>
      </c>
      <c r="GQ15" s="583">
        <v>114</v>
      </c>
      <c r="GR15" s="583">
        <v>427</v>
      </c>
      <c r="GS15" s="583">
        <v>418</v>
      </c>
      <c r="GT15" s="583">
        <v>162</v>
      </c>
      <c r="GU15" s="4975">
        <v>197</v>
      </c>
      <c r="GV15" s="5335">
        <v>2025.6218499999995</v>
      </c>
      <c r="GW15" s="3066">
        <v>93.69</v>
      </c>
      <c r="GX15" s="12"/>
      <c r="GZ15" s="177"/>
      <c r="HA15" s="176"/>
      <c r="HB15" s="178"/>
      <c r="HC15" s="178"/>
      <c r="HD15" s="178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12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12"/>
      <c r="JD15" s="12"/>
      <c r="JE15" s="12"/>
      <c r="JF15" s="12"/>
      <c r="JG15" s="12"/>
      <c r="JH15" s="12"/>
      <c r="JI15" s="12"/>
      <c r="JJ15" s="12"/>
      <c r="JK15" s="12"/>
      <c r="JL15" s="12"/>
      <c r="JM15" s="132"/>
      <c r="JN15" s="12"/>
      <c r="JO15" s="12"/>
      <c r="JP15" s="12"/>
    </row>
    <row r="16" spans="1:276" ht="23.25" customHeight="1" thickBot="1">
      <c r="A16" s="542">
        <v>0.5</v>
      </c>
      <c r="B16" s="1726">
        <v>0</v>
      </c>
      <c r="C16" s="1727">
        <v>0</v>
      </c>
      <c r="D16" s="1727">
        <v>0</v>
      </c>
      <c r="E16" s="1727">
        <v>180</v>
      </c>
      <c r="F16" s="1735">
        <v>0</v>
      </c>
      <c r="G16" s="1735">
        <v>80</v>
      </c>
      <c r="H16" s="1727">
        <v>0</v>
      </c>
      <c r="I16" s="1727">
        <v>395</v>
      </c>
      <c r="J16" s="1727">
        <v>312</v>
      </c>
      <c r="K16" s="689"/>
      <c r="L16" s="689">
        <v>0</v>
      </c>
      <c r="M16" s="1727">
        <v>225</v>
      </c>
      <c r="N16" s="1727">
        <v>0</v>
      </c>
      <c r="O16" s="1727">
        <v>6</v>
      </c>
      <c r="P16" s="1727">
        <v>0</v>
      </c>
      <c r="Q16" s="1727">
        <v>30</v>
      </c>
      <c r="R16" s="1727">
        <v>0</v>
      </c>
      <c r="S16" s="689">
        <v>0</v>
      </c>
      <c r="T16" s="689">
        <v>0</v>
      </c>
      <c r="U16" s="1727">
        <v>8</v>
      </c>
      <c r="V16" s="1735">
        <v>8</v>
      </c>
      <c r="W16" s="1727">
        <v>50</v>
      </c>
      <c r="X16" s="1727">
        <v>0</v>
      </c>
      <c r="Y16" s="1727">
        <v>0</v>
      </c>
      <c r="Z16" s="689">
        <v>0</v>
      </c>
      <c r="AA16" s="1727">
        <v>0</v>
      </c>
      <c r="AB16" s="1727">
        <v>17</v>
      </c>
      <c r="AC16" s="1727">
        <v>55</v>
      </c>
      <c r="AD16" s="1727">
        <v>17</v>
      </c>
      <c r="AE16" s="1727">
        <v>19</v>
      </c>
      <c r="AF16" s="1727">
        <v>25</v>
      </c>
      <c r="AG16" s="1727">
        <v>20</v>
      </c>
      <c r="AH16" s="1727">
        <v>25</v>
      </c>
      <c r="AI16" s="1727">
        <v>30</v>
      </c>
      <c r="AJ16" s="1727">
        <v>42</v>
      </c>
      <c r="AK16" s="689">
        <v>0</v>
      </c>
      <c r="AL16" s="689">
        <v>79</v>
      </c>
      <c r="AM16" s="1727">
        <v>35</v>
      </c>
      <c r="AN16" s="1727">
        <v>100</v>
      </c>
      <c r="AO16" s="1727">
        <v>0</v>
      </c>
      <c r="AP16" s="1727">
        <v>0</v>
      </c>
      <c r="AQ16" s="1727">
        <v>0</v>
      </c>
      <c r="AR16" s="689">
        <v>0</v>
      </c>
      <c r="AS16" s="1727">
        <v>0</v>
      </c>
      <c r="AT16" s="689">
        <v>0</v>
      </c>
      <c r="AU16" s="689"/>
      <c r="AV16" s="1727">
        <v>0</v>
      </c>
      <c r="AW16" s="1727">
        <v>28</v>
      </c>
      <c r="AX16" s="1727">
        <v>34</v>
      </c>
      <c r="AY16" s="1727">
        <v>34</v>
      </c>
      <c r="AZ16" s="1727">
        <v>12</v>
      </c>
      <c r="BA16" s="1727">
        <v>25</v>
      </c>
      <c r="BB16" s="1727">
        <v>15</v>
      </c>
      <c r="BC16" s="1727">
        <v>3</v>
      </c>
      <c r="BD16" s="1727">
        <v>0</v>
      </c>
      <c r="BE16" s="689">
        <v>0</v>
      </c>
      <c r="BF16" s="689">
        <v>0</v>
      </c>
      <c r="BG16" s="1727">
        <v>315</v>
      </c>
      <c r="BH16" s="1727">
        <v>310</v>
      </c>
      <c r="BI16" s="1727">
        <v>188</v>
      </c>
      <c r="BJ16" s="1727">
        <v>36</v>
      </c>
      <c r="BK16" s="1727">
        <v>135</v>
      </c>
      <c r="BL16" s="689">
        <v>35</v>
      </c>
      <c r="BM16" s="1727">
        <v>0</v>
      </c>
      <c r="BN16" s="689">
        <v>0</v>
      </c>
      <c r="BO16" s="1735">
        <v>43</v>
      </c>
      <c r="BP16" s="690">
        <v>0</v>
      </c>
      <c r="BQ16" s="1735">
        <v>26</v>
      </c>
      <c r="BR16" s="1727">
        <v>8</v>
      </c>
      <c r="BS16" s="1735">
        <v>0</v>
      </c>
      <c r="BT16" s="1735">
        <v>10</v>
      </c>
      <c r="BU16" s="1735">
        <v>31</v>
      </c>
      <c r="BV16" s="1735">
        <v>20</v>
      </c>
      <c r="BW16" s="1745">
        <v>164</v>
      </c>
      <c r="BX16" s="1735">
        <v>68</v>
      </c>
      <c r="BY16" s="1735">
        <v>0</v>
      </c>
      <c r="BZ16" s="1735">
        <v>22</v>
      </c>
      <c r="CA16" s="1755">
        <v>2</v>
      </c>
      <c r="CB16" s="1735">
        <v>43</v>
      </c>
      <c r="CC16" s="1735">
        <v>40</v>
      </c>
      <c r="CD16" s="1735">
        <v>33</v>
      </c>
      <c r="CE16" s="1735">
        <v>30</v>
      </c>
      <c r="CF16" s="1735">
        <v>110</v>
      </c>
      <c r="CG16" s="1735">
        <v>0</v>
      </c>
      <c r="CH16" s="1735">
        <v>58</v>
      </c>
      <c r="CI16" s="1735">
        <v>10</v>
      </c>
      <c r="CJ16" s="1735">
        <v>0</v>
      </c>
      <c r="CK16" s="1735">
        <v>207</v>
      </c>
      <c r="CL16" s="1735">
        <v>0</v>
      </c>
      <c r="CM16" s="1735">
        <v>30</v>
      </c>
      <c r="CN16" s="1735">
        <v>10</v>
      </c>
      <c r="CO16" s="1735">
        <v>310</v>
      </c>
      <c r="CP16" s="1735">
        <v>8</v>
      </c>
      <c r="CQ16" s="1735">
        <v>0</v>
      </c>
      <c r="CR16" s="690">
        <v>0</v>
      </c>
      <c r="CS16" s="1735">
        <v>195</v>
      </c>
      <c r="CT16" s="1735">
        <v>0</v>
      </c>
      <c r="CU16" s="690">
        <v>0</v>
      </c>
      <c r="CV16" s="1735">
        <v>48</v>
      </c>
      <c r="CW16" s="690">
        <v>0</v>
      </c>
      <c r="CX16" s="1735">
        <v>99</v>
      </c>
      <c r="CY16" s="1751">
        <v>14</v>
      </c>
      <c r="CZ16" s="1735">
        <v>21</v>
      </c>
      <c r="DA16" s="1735">
        <v>34</v>
      </c>
      <c r="DB16" s="1735">
        <v>118</v>
      </c>
      <c r="DC16" s="1735">
        <v>373</v>
      </c>
      <c r="DD16" s="1735">
        <v>48</v>
      </c>
      <c r="DE16" s="1735">
        <v>88</v>
      </c>
      <c r="DF16" s="1735">
        <v>72</v>
      </c>
      <c r="DG16" s="1735">
        <v>4</v>
      </c>
      <c r="DH16" s="1735">
        <v>53</v>
      </c>
      <c r="DI16" s="1838">
        <v>17</v>
      </c>
      <c r="DJ16" s="1850">
        <v>40</v>
      </c>
      <c r="DK16" s="2099">
        <v>17</v>
      </c>
      <c r="DL16" s="2168">
        <v>38</v>
      </c>
      <c r="DM16" s="2168">
        <v>20</v>
      </c>
      <c r="DN16" s="2426">
        <v>0</v>
      </c>
      <c r="DO16" s="2489">
        <v>17</v>
      </c>
      <c r="DP16" s="2578">
        <v>47</v>
      </c>
      <c r="DQ16" s="2594">
        <v>54</v>
      </c>
      <c r="DR16" s="2638">
        <v>108</v>
      </c>
      <c r="DS16" s="2658">
        <v>0</v>
      </c>
      <c r="DT16" s="2658">
        <v>35</v>
      </c>
      <c r="DU16" s="2730">
        <v>35</v>
      </c>
      <c r="DV16" s="2578">
        <v>64</v>
      </c>
      <c r="DW16" s="2578">
        <v>55</v>
      </c>
      <c r="DX16" s="4673">
        <v>0</v>
      </c>
      <c r="DY16" s="690"/>
      <c r="DZ16" s="1760">
        <v>914</v>
      </c>
      <c r="EA16" s="1764">
        <v>0</v>
      </c>
      <c r="EB16" s="1764">
        <v>135</v>
      </c>
      <c r="EC16" s="1764">
        <v>0</v>
      </c>
      <c r="ED16" s="1764">
        <v>16</v>
      </c>
      <c r="EE16" s="827">
        <v>227</v>
      </c>
      <c r="EF16" s="827">
        <v>0</v>
      </c>
      <c r="EG16" s="827">
        <v>0</v>
      </c>
      <c r="EH16" s="1764">
        <v>0</v>
      </c>
      <c r="EI16" s="1764">
        <v>0</v>
      </c>
      <c r="EJ16" s="1764">
        <v>0</v>
      </c>
      <c r="EK16" s="1764">
        <v>84</v>
      </c>
      <c r="EL16" s="1764">
        <v>22</v>
      </c>
      <c r="EM16" s="1764">
        <v>33</v>
      </c>
      <c r="EN16" s="1764">
        <v>0</v>
      </c>
      <c r="EO16" s="1764">
        <v>0</v>
      </c>
      <c r="EP16" s="1764">
        <v>0</v>
      </c>
      <c r="EQ16" s="1764">
        <v>24</v>
      </c>
      <c r="ER16" s="827">
        <v>0</v>
      </c>
      <c r="ES16" s="1764">
        <v>45</v>
      </c>
      <c r="ET16" s="1764">
        <v>0</v>
      </c>
      <c r="EU16" s="1764">
        <v>0</v>
      </c>
      <c r="EV16" s="1764">
        <v>32</v>
      </c>
      <c r="EW16" s="1764">
        <v>8</v>
      </c>
      <c r="EX16" s="1764">
        <v>10</v>
      </c>
      <c r="EY16" s="1764">
        <v>17</v>
      </c>
      <c r="EZ16" s="1764">
        <v>0</v>
      </c>
      <c r="FA16" s="1764">
        <v>11</v>
      </c>
      <c r="FB16" s="1764">
        <v>0</v>
      </c>
      <c r="FC16" s="1764">
        <v>0</v>
      </c>
      <c r="FD16" s="1764">
        <v>199</v>
      </c>
      <c r="FE16" s="1764">
        <v>0</v>
      </c>
      <c r="FF16" s="1764">
        <v>0</v>
      </c>
      <c r="FG16" s="1771">
        <v>175</v>
      </c>
      <c r="FH16" s="1771">
        <v>0</v>
      </c>
      <c r="FI16" s="1771">
        <v>0</v>
      </c>
      <c r="FJ16" s="1771">
        <v>200</v>
      </c>
      <c r="FK16" s="1771">
        <v>0</v>
      </c>
      <c r="FL16" s="1771">
        <v>0</v>
      </c>
      <c r="FM16" s="1771">
        <v>140</v>
      </c>
      <c r="FN16" s="1771">
        <v>0</v>
      </c>
      <c r="FO16" s="1771">
        <v>265</v>
      </c>
      <c r="FP16" s="1771">
        <v>0</v>
      </c>
      <c r="FQ16" s="1544">
        <v>0</v>
      </c>
      <c r="FR16" s="1771">
        <v>50</v>
      </c>
      <c r="FS16" s="1771">
        <v>88</v>
      </c>
      <c r="FT16" s="1771">
        <v>56</v>
      </c>
      <c r="FU16" s="1771">
        <v>0</v>
      </c>
      <c r="FV16" s="1783">
        <v>8</v>
      </c>
      <c r="FW16" s="1907">
        <v>55</v>
      </c>
      <c r="FX16" s="1907">
        <v>820</v>
      </c>
      <c r="FY16" s="2581">
        <v>216</v>
      </c>
      <c r="FZ16" s="2581">
        <v>0</v>
      </c>
      <c r="GA16" s="2620">
        <v>0</v>
      </c>
      <c r="GB16" s="3011">
        <v>5</v>
      </c>
      <c r="GC16" s="3131">
        <v>97</v>
      </c>
      <c r="GD16" s="3175">
        <v>34</v>
      </c>
      <c r="GE16" s="4724">
        <v>0</v>
      </c>
      <c r="GF16" s="4724">
        <v>0</v>
      </c>
      <c r="GG16" s="858"/>
      <c r="GH16" s="841">
        <v>5925</v>
      </c>
      <c r="GI16" s="862">
        <v>3986</v>
      </c>
      <c r="GJ16" s="850">
        <v>9911</v>
      </c>
      <c r="GK16" s="851">
        <v>3217</v>
      </c>
      <c r="GL16" s="582">
        <v>914</v>
      </c>
      <c r="GM16" s="582">
        <v>1752</v>
      </c>
      <c r="GN16" s="583">
        <v>0</v>
      </c>
      <c r="GO16" s="583">
        <v>1843</v>
      </c>
      <c r="GP16" s="583">
        <v>1019</v>
      </c>
      <c r="GQ16" s="583">
        <v>114</v>
      </c>
      <c r="GR16" s="583">
        <v>427</v>
      </c>
      <c r="GS16" s="583">
        <v>449</v>
      </c>
      <c r="GT16" s="583">
        <v>164</v>
      </c>
      <c r="GU16" s="4975">
        <v>212</v>
      </c>
      <c r="GV16" s="5335">
        <v>2293.8001750000003</v>
      </c>
      <c r="GW16" s="3066">
        <v>93.72</v>
      </c>
      <c r="GX16" s="12"/>
      <c r="GZ16" s="177"/>
      <c r="HA16" s="176"/>
      <c r="HB16" s="178"/>
      <c r="HC16" s="178"/>
      <c r="HD16" s="178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12"/>
      <c r="JD16" s="12"/>
      <c r="JE16" s="12"/>
      <c r="JF16" s="12"/>
      <c r="JG16" s="12"/>
      <c r="JH16" s="12"/>
      <c r="JI16" s="12"/>
      <c r="JJ16" s="12"/>
      <c r="JK16" s="12"/>
      <c r="JL16" s="12"/>
      <c r="JM16" s="132"/>
      <c r="JN16" s="12"/>
      <c r="JO16" s="12"/>
      <c r="JP16" s="12"/>
    </row>
    <row r="17" spans="1:276" ht="21.75" customHeight="1" thickBot="1">
      <c r="A17" s="542">
        <v>0.54166666666666896</v>
      </c>
      <c r="B17" s="1726">
        <v>0</v>
      </c>
      <c r="C17" s="1727">
        <v>0</v>
      </c>
      <c r="D17" s="1727">
        <v>0</v>
      </c>
      <c r="E17" s="1727">
        <v>180</v>
      </c>
      <c r="F17" s="1735">
        <v>0</v>
      </c>
      <c r="G17" s="1735">
        <v>82</v>
      </c>
      <c r="H17" s="1727">
        <v>0</v>
      </c>
      <c r="I17" s="1727">
        <v>401</v>
      </c>
      <c r="J17" s="1727">
        <v>311</v>
      </c>
      <c r="K17" s="689"/>
      <c r="L17" s="689">
        <v>0</v>
      </c>
      <c r="M17" s="1727">
        <v>225</v>
      </c>
      <c r="N17" s="1727">
        <v>0</v>
      </c>
      <c r="O17" s="1727">
        <v>23</v>
      </c>
      <c r="P17" s="1727">
        <v>0</v>
      </c>
      <c r="Q17" s="1727">
        <v>30</v>
      </c>
      <c r="R17" s="1727">
        <v>0</v>
      </c>
      <c r="S17" s="689">
        <v>0</v>
      </c>
      <c r="T17" s="689">
        <v>0</v>
      </c>
      <c r="U17" s="1727">
        <v>22</v>
      </c>
      <c r="V17" s="1735">
        <v>16</v>
      </c>
      <c r="W17" s="1727">
        <v>50</v>
      </c>
      <c r="X17" s="1727">
        <v>0</v>
      </c>
      <c r="Y17" s="1727">
        <v>0</v>
      </c>
      <c r="Z17" s="689">
        <v>0</v>
      </c>
      <c r="AA17" s="1727">
        <v>0</v>
      </c>
      <c r="AB17" s="1727">
        <v>17</v>
      </c>
      <c r="AC17" s="1727">
        <v>55</v>
      </c>
      <c r="AD17" s="1727">
        <v>17</v>
      </c>
      <c r="AE17" s="1727">
        <v>19</v>
      </c>
      <c r="AF17" s="1727">
        <v>25</v>
      </c>
      <c r="AG17" s="1727">
        <v>25</v>
      </c>
      <c r="AH17" s="1727">
        <v>25</v>
      </c>
      <c r="AI17" s="1727">
        <v>30</v>
      </c>
      <c r="AJ17" s="1727">
        <v>42</v>
      </c>
      <c r="AK17" s="689">
        <v>0</v>
      </c>
      <c r="AL17" s="689">
        <v>80</v>
      </c>
      <c r="AM17" s="1727">
        <v>35</v>
      </c>
      <c r="AN17" s="1727">
        <v>100</v>
      </c>
      <c r="AO17" s="1727">
        <v>0</v>
      </c>
      <c r="AP17" s="1727">
        <v>0</v>
      </c>
      <c r="AQ17" s="1727">
        <v>0</v>
      </c>
      <c r="AR17" s="689">
        <v>0</v>
      </c>
      <c r="AS17" s="1727">
        <v>0</v>
      </c>
      <c r="AT17" s="689">
        <v>0</v>
      </c>
      <c r="AU17" s="689"/>
      <c r="AV17" s="1727">
        <v>0</v>
      </c>
      <c r="AW17" s="1727">
        <v>26</v>
      </c>
      <c r="AX17" s="1727">
        <v>51</v>
      </c>
      <c r="AY17" s="1727">
        <v>33</v>
      </c>
      <c r="AZ17" s="1727">
        <v>15</v>
      </c>
      <c r="BA17" s="1727">
        <v>25</v>
      </c>
      <c r="BB17" s="1727">
        <v>13</v>
      </c>
      <c r="BC17" s="1727">
        <v>3</v>
      </c>
      <c r="BD17" s="1727">
        <v>0</v>
      </c>
      <c r="BE17" s="689">
        <v>0</v>
      </c>
      <c r="BF17" s="689">
        <v>0</v>
      </c>
      <c r="BG17" s="1727">
        <v>310</v>
      </c>
      <c r="BH17" s="1727">
        <v>305</v>
      </c>
      <c r="BI17" s="1727">
        <v>204</v>
      </c>
      <c r="BJ17" s="1727">
        <v>55</v>
      </c>
      <c r="BK17" s="1727">
        <v>129</v>
      </c>
      <c r="BL17" s="689">
        <v>38</v>
      </c>
      <c r="BM17" s="1727">
        <v>0</v>
      </c>
      <c r="BN17" s="689">
        <v>0</v>
      </c>
      <c r="BO17" s="1735">
        <v>43</v>
      </c>
      <c r="BP17" s="690">
        <v>0</v>
      </c>
      <c r="BQ17" s="1735">
        <v>31</v>
      </c>
      <c r="BR17" s="1727">
        <v>8</v>
      </c>
      <c r="BS17" s="1735">
        <v>0</v>
      </c>
      <c r="BT17" s="1735">
        <v>10</v>
      </c>
      <c r="BU17" s="1735">
        <v>31</v>
      </c>
      <c r="BV17" s="1735">
        <v>20</v>
      </c>
      <c r="BW17" s="1745">
        <v>168</v>
      </c>
      <c r="BX17" s="1735">
        <v>68</v>
      </c>
      <c r="BY17" s="1735">
        <v>0</v>
      </c>
      <c r="BZ17" s="1735">
        <v>22</v>
      </c>
      <c r="CA17" s="1755">
        <v>3</v>
      </c>
      <c r="CB17" s="1735">
        <v>43</v>
      </c>
      <c r="CC17" s="1735">
        <v>40</v>
      </c>
      <c r="CD17" s="1735">
        <v>33</v>
      </c>
      <c r="CE17" s="1735">
        <v>30</v>
      </c>
      <c r="CF17" s="1735">
        <v>110</v>
      </c>
      <c r="CG17" s="1735">
        <v>0</v>
      </c>
      <c r="CH17" s="1735">
        <v>61</v>
      </c>
      <c r="CI17" s="1735">
        <v>10</v>
      </c>
      <c r="CJ17" s="1735">
        <v>0</v>
      </c>
      <c r="CK17" s="1735">
        <v>208</v>
      </c>
      <c r="CL17" s="1735">
        <v>0</v>
      </c>
      <c r="CM17" s="1735">
        <v>31</v>
      </c>
      <c r="CN17" s="1735">
        <v>10</v>
      </c>
      <c r="CO17" s="1735">
        <v>300</v>
      </c>
      <c r="CP17" s="1735">
        <v>8</v>
      </c>
      <c r="CQ17" s="1735">
        <v>0</v>
      </c>
      <c r="CR17" s="690">
        <v>0</v>
      </c>
      <c r="CS17" s="1735">
        <v>195</v>
      </c>
      <c r="CT17" s="1735">
        <v>0</v>
      </c>
      <c r="CU17" s="690">
        <v>0</v>
      </c>
      <c r="CV17" s="1735">
        <v>47</v>
      </c>
      <c r="CW17" s="690">
        <v>0</v>
      </c>
      <c r="CX17" s="1735">
        <v>99</v>
      </c>
      <c r="CY17" s="1751">
        <v>19</v>
      </c>
      <c r="CZ17" s="1735">
        <v>76</v>
      </c>
      <c r="DA17" s="1735">
        <v>34</v>
      </c>
      <c r="DB17" s="1735">
        <v>115</v>
      </c>
      <c r="DC17" s="1735">
        <v>403</v>
      </c>
      <c r="DD17" s="1735">
        <v>48</v>
      </c>
      <c r="DE17" s="1735">
        <v>88</v>
      </c>
      <c r="DF17" s="1735">
        <v>74</v>
      </c>
      <c r="DG17" s="1735">
        <v>3</v>
      </c>
      <c r="DH17" s="1735">
        <v>52</v>
      </c>
      <c r="DI17" s="1838">
        <v>29</v>
      </c>
      <c r="DJ17" s="1850">
        <v>53</v>
      </c>
      <c r="DK17" s="2099">
        <v>17</v>
      </c>
      <c r="DL17" s="2168">
        <v>76</v>
      </c>
      <c r="DM17" s="2168">
        <v>32</v>
      </c>
      <c r="DN17" s="2426">
        <v>0</v>
      </c>
      <c r="DO17" s="2489">
        <v>31</v>
      </c>
      <c r="DP17" s="2578">
        <v>56</v>
      </c>
      <c r="DQ17" s="2594">
        <v>54</v>
      </c>
      <c r="DR17" s="2638">
        <v>108</v>
      </c>
      <c r="DS17" s="2658">
        <v>0</v>
      </c>
      <c r="DT17" s="2658">
        <v>35</v>
      </c>
      <c r="DU17" s="2730">
        <v>35</v>
      </c>
      <c r="DV17" s="2578">
        <v>76</v>
      </c>
      <c r="DW17" s="2578">
        <v>55</v>
      </c>
      <c r="DX17" s="4673">
        <v>0</v>
      </c>
      <c r="DY17" s="690"/>
      <c r="DZ17" s="1760">
        <v>913</v>
      </c>
      <c r="EA17" s="1764">
        <v>0</v>
      </c>
      <c r="EB17" s="1764">
        <v>140</v>
      </c>
      <c r="EC17" s="1764">
        <v>0</v>
      </c>
      <c r="ED17" s="1764">
        <v>16</v>
      </c>
      <c r="EE17" s="827">
        <v>230</v>
      </c>
      <c r="EF17" s="827">
        <v>0</v>
      </c>
      <c r="EG17" s="827">
        <v>0</v>
      </c>
      <c r="EH17" s="1764">
        <v>0</v>
      </c>
      <c r="EI17" s="1764">
        <v>0</v>
      </c>
      <c r="EJ17" s="1764">
        <v>0</v>
      </c>
      <c r="EK17" s="1764">
        <v>85</v>
      </c>
      <c r="EL17" s="1764">
        <v>24</v>
      </c>
      <c r="EM17" s="1764">
        <v>33</v>
      </c>
      <c r="EN17" s="1764">
        <v>0</v>
      </c>
      <c r="EO17" s="1764">
        <v>0</v>
      </c>
      <c r="EP17" s="1764">
        <v>0</v>
      </c>
      <c r="EQ17" s="1764">
        <v>24</v>
      </c>
      <c r="ER17" s="827">
        <v>5</v>
      </c>
      <c r="ES17" s="1764">
        <v>45</v>
      </c>
      <c r="ET17" s="1764">
        <v>0</v>
      </c>
      <c r="EU17" s="1764">
        <v>0</v>
      </c>
      <c r="EV17" s="1764">
        <v>32</v>
      </c>
      <c r="EW17" s="1764">
        <v>8</v>
      </c>
      <c r="EX17" s="1764">
        <v>33</v>
      </c>
      <c r="EY17" s="1764">
        <v>17</v>
      </c>
      <c r="EZ17" s="1764">
        <v>0</v>
      </c>
      <c r="FA17" s="1764">
        <v>11</v>
      </c>
      <c r="FB17" s="1764">
        <v>0</v>
      </c>
      <c r="FC17" s="1764">
        <v>0</v>
      </c>
      <c r="FD17" s="1764">
        <v>200</v>
      </c>
      <c r="FE17" s="1764">
        <v>0</v>
      </c>
      <c r="FF17" s="1764">
        <v>0</v>
      </c>
      <c r="FG17" s="1771">
        <v>173</v>
      </c>
      <c r="FH17" s="1771">
        <v>0</v>
      </c>
      <c r="FI17" s="1771">
        <v>0</v>
      </c>
      <c r="FJ17" s="1771">
        <v>170</v>
      </c>
      <c r="FK17" s="1771">
        <v>0</v>
      </c>
      <c r="FL17" s="1771">
        <v>0</v>
      </c>
      <c r="FM17" s="1771">
        <v>139</v>
      </c>
      <c r="FN17" s="1771">
        <v>0</v>
      </c>
      <c r="FO17" s="1771">
        <v>265</v>
      </c>
      <c r="FP17" s="1771">
        <v>1</v>
      </c>
      <c r="FQ17" s="1544">
        <v>0</v>
      </c>
      <c r="FR17" s="1771">
        <v>50</v>
      </c>
      <c r="FS17" s="1771">
        <v>88</v>
      </c>
      <c r="FT17" s="1771">
        <v>55</v>
      </c>
      <c r="FU17" s="1771">
        <v>0</v>
      </c>
      <c r="FV17" s="1783">
        <v>7</v>
      </c>
      <c r="FW17" s="1907">
        <v>55</v>
      </c>
      <c r="FX17" s="1907">
        <v>820</v>
      </c>
      <c r="FY17" s="2581">
        <v>216</v>
      </c>
      <c r="FZ17" s="2581">
        <v>0</v>
      </c>
      <c r="GA17" s="2620">
        <v>0</v>
      </c>
      <c r="GB17" s="3011">
        <v>4</v>
      </c>
      <c r="GC17" s="3131">
        <v>68</v>
      </c>
      <c r="GD17" s="3175">
        <v>34</v>
      </c>
      <c r="GE17" s="4724">
        <v>0</v>
      </c>
      <c r="GF17" s="4724">
        <v>0</v>
      </c>
      <c r="GG17" s="858"/>
      <c r="GH17" s="841">
        <v>6215</v>
      </c>
      <c r="GI17" s="862">
        <v>3961</v>
      </c>
      <c r="GJ17" s="850">
        <v>10176</v>
      </c>
      <c r="GK17" s="851">
        <v>3266</v>
      </c>
      <c r="GL17" s="582">
        <v>913</v>
      </c>
      <c r="GM17" s="582">
        <v>1765</v>
      </c>
      <c r="GN17" s="583">
        <v>0</v>
      </c>
      <c r="GO17" s="583">
        <v>2037</v>
      </c>
      <c r="GP17" s="583">
        <v>1020</v>
      </c>
      <c r="GQ17" s="583">
        <v>115</v>
      </c>
      <c r="GR17" s="583">
        <v>400</v>
      </c>
      <c r="GS17" s="583">
        <v>467</v>
      </c>
      <c r="GT17" s="583">
        <v>168</v>
      </c>
      <c r="GU17" s="4975">
        <v>195</v>
      </c>
      <c r="GV17" s="5336">
        <v>1957.425299999999</v>
      </c>
      <c r="GW17" s="3067">
        <v>93.75</v>
      </c>
      <c r="GX17" s="12"/>
      <c r="GY17" s="12"/>
      <c r="GZ17" s="176"/>
      <c r="HA17" s="176"/>
      <c r="HB17" s="176"/>
      <c r="HC17" s="176"/>
      <c r="HD17" s="176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12"/>
      <c r="JD17" s="12"/>
      <c r="JE17" s="12"/>
      <c r="JF17" s="12"/>
      <c r="JG17" s="12"/>
      <c r="JH17" s="12"/>
      <c r="JI17" s="12"/>
      <c r="JJ17" s="12"/>
      <c r="JK17" s="12"/>
      <c r="JL17" s="12"/>
      <c r="JM17" s="132"/>
      <c r="JN17" s="12"/>
      <c r="JO17" s="12"/>
      <c r="JP17" s="12"/>
    </row>
    <row r="18" spans="1:276" ht="21.75" customHeight="1" thickBot="1">
      <c r="A18" s="542">
        <v>0.58333333333333337</v>
      </c>
      <c r="B18" s="1726">
        <v>0</v>
      </c>
      <c r="C18" s="1727">
        <v>0</v>
      </c>
      <c r="D18" s="1727">
        <v>0</v>
      </c>
      <c r="E18" s="1727">
        <v>180</v>
      </c>
      <c r="F18" s="1735">
        <v>0</v>
      </c>
      <c r="G18" s="1735">
        <v>80</v>
      </c>
      <c r="H18" s="1727">
        <v>0</v>
      </c>
      <c r="I18" s="1727">
        <v>403</v>
      </c>
      <c r="J18" s="1727">
        <v>311</v>
      </c>
      <c r="K18" s="689"/>
      <c r="L18" s="689">
        <v>0</v>
      </c>
      <c r="M18" s="1727">
        <v>225</v>
      </c>
      <c r="N18" s="1727">
        <v>0</v>
      </c>
      <c r="O18" s="1727">
        <v>50</v>
      </c>
      <c r="P18" s="1727">
        <v>0</v>
      </c>
      <c r="Q18" s="1727">
        <v>30</v>
      </c>
      <c r="R18" s="1727">
        <v>0</v>
      </c>
      <c r="S18" s="689">
        <v>0</v>
      </c>
      <c r="T18" s="689">
        <v>0</v>
      </c>
      <c r="U18" s="1727">
        <v>48</v>
      </c>
      <c r="V18" s="1735">
        <v>50</v>
      </c>
      <c r="W18" s="1727">
        <v>50</v>
      </c>
      <c r="X18" s="1727">
        <v>0</v>
      </c>
      <c r="Y18" s="1727">
        <v>0</v>
      </c>
      <c r="Z18" s="689">
        <v>0</v>
      </c>
      <c r="AA18" s="1727">
        <v>0</v>
      </c>
      <c r="AB18" s="1727">
        <v>17</v>
      </c>
      <c r="AC18" s="1727">
        <v>55</v>
      </c>
      <c r="AD18" s="1727">
        <v>17</v>
      </c>
      <c r="AE18" s="1727">
        <v>22</v>
      </c>
      <c r="AF18" s="1727">
        <v>25</v>
      </c>
      <c r="AG18" s="1727">
        <v>25</v>
      </c>
      <c r="AH18" s="1727">
        <v>33</v>
      </c>
      <c r="AI18" s="1727">
        <v>30</v>
      </c>
      <c r="AJ18" s="1727">
        <v>42</v>
      </c>
      <c r="AK18" s="689">
        <v>0</v>
      </c>
      <c r="AL18" s="689">
        <v>80</v>
      </c>
      <c r="AM18" s="1727">
        <v>35</v>
      </c>
      <c r="AN18" s="1727">
        <v>100</v>
      </c>
      <c r="AO18" s="1727">
        <v>0</v>
      </c>
      <c r="AP18" s="1727">
        <v>0</v>
      </c>
      <c r="AQ18" s="1727">
        <v>0</v>
      </c>
      <c r="AR18" s="689">
        <v>0</v>
      </c>
      <c r="AS18" s="1727">
        <v>0</v>
      </c>
      <c r="AT18" s="689">
        <v>0</v>
      </c>
      <c r="AU18" s="689"/>
      <c r="AV18" s="1727">
        <v>0</v>
      </c>
      <c r="AW18" s="1727">
        <v>26</v>
      </c>
      <c r="AX18" s="1727">
        <v>51</v>
      </c>
      <c r="AY18" s="1727">
        <v>33</v>
      </c>
      <c r="AZ18" s="1727">
        <v>13</v>
      </c>
      <c r="BA18" s="1727">
        <v>25</v>
      </c>
      <c r="BB18" s="1727">
        <v>0</v>
      </c>
      <c r="BC18" s="1727">
        <v>3</v>
      </c>
      <c r="BD18" s="1727">
        <v>0</v>
      </c>
      <c r="BE18" s="689">
        <v>0</v>
      </c>
      <c r="BF18" s="689">
        <v>0</v>
      </c>
      <c r="BG18" s="1727">
        <v>325</v>
      </c>
      <c r="BH18" s="1727">
        <v>320</v>
      </c>
      <c r="BI18" s="1727">
        <v>201</v>
      </c>
      <c r="BJ18" s="1727">
        <v>83</v>
      </c>
      <c r="BK18" s="1727">
        <v>128</v>
      </c>
      <c r="BL18" s="689">
        <v>38</v>
      </c>
      <c r="BM18" s="1727">
        <v>0</v>
      </c>
      <c r="BN18" s="689">
        <v>0</v>
      </c>
      <c r="BO18" s="1735">
        <v>43</v>
      </c>
      <c r="BP18" s="690">
        <v>0</v>
      </c>
      <c r="BQ18" s="1735">
        <v>30</v>
      </c>
      <c r="BR18" s="1727">
        <v>8</v>
      </c>
      <c r="BS18" s="1735">
        <v>0</v>
      </c>
      <c r="BT18" s="1735">
        <v>10</v>
      </c>
      <c r="BU18" s="1735">
        <v>33</v>
      </c>
      <c r="BV18" s="1735">
        <v>20</v>
      </c>
      <c r="BW18" s="1745">
        <v>170</v>
      </c>
      <c r="BX18" s="1735">
        <v>68</v>
      </c>
      <c r="BY18" s="1735">
        <v>0</v>
      </c>
      <c r="BZ18" s="1735">
        <v>22</v>
      </c>
      <c r="CA18" s="1755">
        <v>2</v>
      </c>
      <c r="CB18" s="1735">
        <v>43</v>
      </c>
      <c r="CC18" s="1735">
        <v>40</v>
      </c>
      <c r="CD18" s="1735">
        <v>33</v>
      </c>
      <c r="CE18" s="1735">
        <v>30</v>
      </c>
      <c r="CF18" s="1735">
        <v>110</v>
      </c>
      <c r="CG18" s="1735">
        <v>0</v>
      </c>
      <c r="CH18" s="1735">
        <v>59</v>
      </c>
      <c r="CI18" s="1735">
        <v>10</v>
      </c>
      <c r="CJ18" s="1735">
        <v>0</v>
      </c>
      <c r="CK18" s="1735">
        <v>207</v>
      </c>
      <c r="CL18" s="1735">
        <v>0</v>
      </c>
      <c r="CM18" s="1735">
        <v>31</v>
      </c>
      <c r="CN18" s="1735">
        <v>10</v>
      </c>
      <c r="CO18" s="1735">
        <v>300</v>
      </c>
      <c r="CP18" s="1735">
        <v>8</v>
      </c>
      <c r="CQ18" s="1735">
        <v>0</v>
      </c>
      <c r="CR18" s="690">
        <v>0</v>
      </c>
      <c r="CS18" s="1735">
        <v>195</v>
      </c>
      <c r="CT18" s="1735">
        <v>0</v>
      </c>
      <c r="CU18" s="690">
        <v>0</v>
      </c>
      <c r="CV18" s="1735">
        <v>47</v>
      </c>
      <c r="CW18" s="690">
        <v>0</v>
      </c>
      <c r="CX18" s="1735">
        <v>99</v>
      </c>
      <c r="CY18" s="1751">
        <v>19</v>
      </c>
      <c r="CZ18" s="1735">
        <v>70</v>
      </c>
      <c r="DA18" s="1735">
        <v>34</v>
      </c>
      <c r="DB18" s="1735">
        <v>117</v>
      </c>
      <c r="DC18" s="1735">
        <v>401</v>
      </c>
      <c r="DD18" s="1735">
        <v>48</v>
      </c>
      <c r="DE18" s="1735">
        <v>88</v>
      </c>
      <c r="DF18" s="1735">
        <v>87</v>
      </c>
      <c r="DG18" s="1735">
        <v>4</v>
      </c>
      <c r="DH18" s="1735">
        <v>52</v>
      </c>
      <c r="DI18" s="1838">
        <v>30</v>
      </c>
      <c r="DJ18" s="1850">
        <v>54</v>
      </c>
      <c r="DK18" s="2099">
        <v>17</v>
      </c>
      <c r="DL18" s="2168">
        <v>109</v>
      </c>
      <c r="DM18" s="2168">
        <v>50</v>
      </c>
      <c r="DN18" s="2426">
        <v>0</v>
      </c>
      <c r="DO18" s="2489">
        <v>51</v>
      </c>
      <c r="DP18" s="2578">
        <v>27</v>
      </c>
      <c r="DQ18" s="2594">
        <v>76</v>
      </c>
      <c r="DR18" s="2638">
        <v>108</v>
      </c>
      <c r="DS18" s="2658">
        <v>0</v>
      </c>
      <c r="DT18" s="2658">
        <v>35</v>
      </c>
      <c r="DU18" s="2730">
        <v>31</v>
      </c>
      <c r="DV18" s="2578">
        <v>65</v>
      </c>
      <c r="DW18" s="2578">
        <v>55</v>
      </c>
      <c r="DX18" s="4673">
        <v>0</v>
      </c>
      <c r="DY18" s="690"/>
      <c r="DZ18" s="1760">
        <v>907</v>
      </c>
      <c r="EA18" s="1764">
        <v>0</v>
      </c>
      <c r="EB18" s="1764">
        <v>140</v>
      </c>
      <c r="EC18" s="1764">
        <v>0</v>
      </c>
      <c r="ED18" s="1764">
        <v>16</v>
      </c>
      <c r="EE18" s="827">
        <v>220</v>
      </c>
      <c r="EF18" s="827">
        <v>0</v>
      </c>
      <c r="EG18" s="827">
        <v>0</v>
      </c>
      <c r="EH18" s="1764">
        <v>0</v>
      </c>
      <c r="EI18" s="1764">
        <v>0</v>
      </c>
      <c r="EJ18" s="1764">
        <v>8</v>
      </c>
      <c r="EK18" s="1764">
        <v>83</v>
      </c>
      <c r="EL18" s="1764">
        <v>22</v>
      </c>
      <c r="EM18" s="1764">
        <v>64</v>
      </c>
      <c r="EN18" s="1764">
        <v>0</v>
      </c>
      <c r="EO18" s="1764">
        <v>0</v>
      </c>
      <c r="EP18" s="1764">
        <v>0</v>
      </c>
      <c r="EQ18" s="1764">
        <v>34</v>
      </c>
      <c r="ER18" s="827">
        <v>6</v>
      </c>
      <c r="ES18" s="1764">
        <v>45</v>
      </c>
      <c r="ET18" s="1764">
        <v>0</v>
      </c>
      <c r="EU18" s="1764">
        <v>0</v>
      </c>
      <c r="EV18" s="1764">
        <v>32</v>
      </c>
      <c r="EW18" s="1764">
        <v>8</v>
      </c>
      <c r="EX18" s="1764">
        <v>33</v>
      </c>
      <c r="EY18" s="1764">
        <v>17</v>
      </c>
      <c r="EZ18" s="1764">
        <v>0</v>
      </c>
      <c r="FA18" s="1764">
        <v>11</v>
      </c>
      <c r="FB18" s="1764">
        <v>0</v>
      </c>
      <c r="FC18" s="1764">
        <v>0</v>
      </c>
      <c r="FD18" s="1764">
        <v>200</v>
      </c>
      <c r="FE18" s="1764">
        <v>0</v>
      </c>
      <c r="FF18" s="1764">
        <v>0</v>
      </c>
      <c r="FG18" s="1771">
        <v>171</v>
      </c>
      <c r="FH18" s="1771">
        <v>0</v>
      </c>
      <c r="FI18" s="1771">
        <v>0</v>
      </c>
      <c r="FJ18" s="1771">
        <v>150</v>
      </c>
      <c r="FK18" s="1771">
        <v>0</v>
      </c>
      <c r="FL18" s="1771">
        <v>0</v>
      </c>
      <c r="FM18" s="1771">
        <v>138</v>
      </c>
      <c r="FN18" s="1771">
        <v>0</v>
      </c>
      <c r="FO18" s="1771">
        <v>254</v>
      </c>
      <c r="FP18" s="1771">
        <v>25</v>
      </c>
      <c r="FQ18" s="1544">
        <v>0</v>
      </c>
      <c r="FR18" s="1771">
        <v>70</v>
      </c>
      <c r="FS18" s="1771">
        <v>88</v>
      </c>
      <c r="FT18" s="1771">
        <v>55</v>
      </c>
      <c r="FU18" s="1771">
        <v>0</v>
      </c>
      <c r="FV18" s="1783">
        <v>7</v>
      </c>
      <c r="FW18" s="1907">
        <v>55</v>
      </c>
      <c r="FX18" s="1907">
        <v>700</v>
      </c>
      <c r="FY18" s="2581">
        <v>213</v>
      </c>
      <c r="FZ18" s="2581">
        <v>0</v>
      </c>
      <c r="GA18" s="2620">
        <v>22</v>
      </c>
      <c r="GB18" s="3011">
        <v>4</v>
      </c>
      <c r="GC18" s="3131">
        <v>99</v>
      </c>
      <c r="GD18" s="3175">
        <v>34</v>
      </c>
      <c r="GE18" s="4724">
        <v>0</v>
      </c>
      <c r="GF18" s="4724">
        <v>0</v>
      </c>
      <c r="GG18" s="858"/>
      <c r="GH18" s="841">
        <v>6410</v>
      </c>
      <c r="GI18" s="862">
        <v>3931</v>
      </c>
      <c r="GJ18" s="850">
        <v>10341</v>
      </c>
      <c r="GK18" s="851">
        <v>3284</v>
      </c>
      <c r="GL18" s="582">
        <v>907</v>
      </c>
      <c r="GM18" s="582">
        <v>1775</v>
      </c>
      <c r="GN18" s="583">
        <v>0</v>
      </c>
      <c r="GO18" s="583">
        <v>2320</v>
      </c>
      <c r="GP18" s="583">
        <v>900</v>
      </c>
      <c r="GQ18" s="583">
        <v>115</v>
      </c>
      <c r="GR18" s="583">
        <v>370</v>
      </c>
      <c r="GS18" s="583">
        <v>457</v>
      </c>
      <c r="GT18" s="583">
        <v>170</v>
      </c>
      <c r="GU18" s="4975">
        <v>193</v>
      </c>
      <c r="GV18" s="5335">
        <v>1898</v>
      </c>
      <c r="GW18" s="3066">
        <v>93.78</v>
      </c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12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</row>
    <row r="19" spans="1:276" ht="22.5" customHeight="1" thickBot="1">
      <c r="A19" s="542">
        <v>0.625000000000003</v>
      </c>
      <c r="B19" s="1726">
        <v>0</v>
      </c>
      <c r="C19" s="1727">
        <v>0</v>
      </c>
      <c r="D19" s="1727">
        <v>0</v>
      </c>
      <c r="E19" s="1727">
        <v>180</v>
      </c>
      <c r="F19" s="1735">
        <v>0</v>
      </c>
      <c r="G19" s="1735">
        <v>87</v>
      </c>
      <c r="H19" s="1727">
        <v>0</v>
      </c>
      <c r="I19" s="1727">
        <v>401</v>
      </c>
      <c r="J19" s="1727">
        <v>307</v>
      </c>
      <c r="K19" s="689"/>
      <c r="L19" s="689">
        <v>0</v>
      </c>
      <c r="M19" s="1727">
        <v>225</v>
      </c>
      <c r="N19" s="1727">
        <v>0</v>
      </c>
      <c r="O19" s="1727">
        <v>56</v>
      </c>
      <c r="P19" s="1727">
        <v>0</v>
      </c>
      <c r="Q19" s="1727">
        <v>30</v>
      </c>
      <c r="R19" s="1727">
        <v>0</v>
      </c>
      <c r="S19" s="689">
        <v>0</v>
      </c>
      <c r="T19" s="689">
        <v>0</v>
      </c>
      <c r="U19" s="1727">
        <v>48</v>
      </c>
      <c r="V19" s="1735">
        <v>50</v>
      </c>
      <c r="W19" s="1727">
        <v>50</v>
      </c>
      <c r="X19" s="1727">
        <v>0</v>
      </c>
      <c r="Y19" s="1727">
        <v>0</v>
      </c>
      <c r="Z19" s="689">
        <v>0</v>
      </c>
      <c r="AA19" s="1727">
        <v>0</v>
      </c>
      <c r="AB19" s="1727">
        <v>35</v>
      </c>
      <c r="AC19" s="1727">
        <v>55</v>
      </c>
      <c r="AD19" s="1727">
        <v>17</v>
      </c>
      <c r="AE19" s="1727">
        <v>22</v>
      </c>
      <c r="AF19" s="1727">
        <v>25</v>
      </c>
      <c r="AG19" s="1727">
        <v>25</v>
      </c>
      <c r="AH19" s="1727">
        <v>33</v>
      </c>
      <c r="AI19" s="1727">
        <v>30</v>
      </c>
      <c r="AJ19" s="1727">
        <v>42</v>
      </c>
      <c r="AK19" s="689">
        <v>0</v>
      </c>
      <c r="AL19" s="689">
        <v>80</v>
      </c>
      <c r="AM19" s="1727">
        <v>35</v>
      </c>
      <c r="AN19" s="1727">
        <v>100</v>
      </c>
      <c r="AO19" s="1727">
        <v>0</v>
      </c>
      <c r="AP19" s="1727">
        <v>0</v>
      </c>
      <c r="AQ19" s="1727">
        <v>0</v>
      </c>
      <c r="AR19" s="689">
        <v>0</v>
      </c>
      <c r="AS19" s="1727">
        <v>0</v>
      </c>
      <c r="AT19" s="689">
        <v>0</v>
      </c>
      <c r="AU19" s="689"/>
      <c r="AV19" s="1727">
        <v>0</v>
      </c>
      <c r="AW19" s="1727">
        <v>26</v>
      </c>
      <c r="AX19" s="1727">
        <v>51</v>
      </c>
      <c r="AY19" s="1727">
        <v>33</v>
      </c>
      <c r="AZ19" s="1727">
        <v>15</v>
      </c>
      <c r="BA19" s="1727">
        <v>25</v>
      </c>
      <c r="BB19" s="1727">
        <v>13</v>
      </c>
      <c r="BC19" s="1727">
        <v>2</v>
      </c>
      <c r="BD19" s="1727">
        <v>0</v>
      </c>
      <c r="BE19" s="689">
        <v>0</v>
      </c>
      <c r="BF19" s="689">
        <v>0</v>
      </c>
      <c r="BG19" s="1727">
        <v>320</v>
      </c>
      <c r="BH19" s="1727">
        <v>305</v>
      </c>
      <c r="BI19" s="1727">
        <v>202</v>
      </c>
      <c r="BJ19" s="1727">
        <v>83</v>
      </c>
      <c r="BK19" s="1727">
        <v>128</v>
      </c>
      <c r="BL19" s="689">
        <v>37</v>
      </c>
      <c r="BM19" s="1727">
        <v>0</v>
      </c>
      <c r="BN19" s="689">
        <v>0</v>
      </c>
      <c r="BO19" s="1735">
        <v>43</v>
      </c>
      <c r="BP19" s="690">
        <v>0</v>
      </c>
      <c r="BQ19" s="1735">
        <v>30</v>
      </c>
      <c r="BR19" s="1727">
        <v>12</v>
      </c>
      <c r="BS19" s="1735">
        <v>21</v>
      </c>
      <c r="BT19" s="1735">
        <v>10</v>
      </c>
      <c r="BU19" s="1735">
        <v>33</v>
      </c>
      <c r="BV19" s="1735">
        <v>20</v>
      </c>
      <c r="BW19" s="1745">
        <v>182</v>
      </c>
      <c r="BX19" s="1735">
        <v>68</v>
      </c>
      <c r="BY19" s="1735">
        <v>0</v>
      </c>
      <c r="BZ19" s="1735">
        <v>22</v>
      </c>
      <c r="CA19" s="1755">
        <v>2</v>
      </c>
      <c r="CB19" s="1735">
        <v>43</v>
      </c>
      <c r="CC19" s="1735">
        <v>41</v>
      </c>
      <c r="CD19" s="1735">
        <v>32</v>
      </c>
      <c r="CE19" s="1735">
        <v>30</v>
      </c>
      <c r="CF19" s="1735">
        <v>110</v>
      </c>
      <c r="CG19" s="1735">
        <v>0</v>
      </c>
      <c r="CH19" s="1735">
        <v>60</v>
      </c>
      <c r="CI19" s="1735">
        <v>10</v>
      </c>
      <c r="CJ19" s="1735">
        <v>0</v>
      </c>
      <c r="CK19" s="1735">
        <v>207</v>
      </c>
      <c r="CL19" s="1735">
        <v>0</v>
      </c>
      <c r="CM19" s="1735">
        <v>31</v>
      </c>
      <c r="CN19" s="1735">
        <v>10</v>
      </c>
      <c r="CO19" s="1735">
        <v>300</v>
      </c>
      <c r="CP19" s="1735">
        <v>8</v>
      </c>
      <c r="CQ19" s="1735">
        <v>0</v>
      </c>
      <c r="CR19" s="690">
        <v>0</v>
      </c>
      <c r="CS19" s="1735">
        <v>193</v>
      </c>
      <c r="CT19" s="1735">
        <v>100</v>
      </c>
      <c r="CU19" s="690">
        <v>0</v>
      </c>
      <c r="CV19" s="1735">
        <v>46</v>
      </c>
      <c r="CW19" s="690">
        <v>0</v>
      </c>
      <c r="CX19" s="1735">
        <v>98</v>
      </c>
      <c r="CY19" s="1751">
        <v>15</v>
      </c>
      <c r="CZ19" s="1735">
        <v>76</v>
      </c>
      <c r="DA19" s="1735">
        <v>34</v>
      </c>
      <c r="DB19" s="1735">
        <v>113</v>
      </c>
      <c r="DC19" s="1735">
        <v>404</v>
      </c>
      <c r="DD19" s="1735">
        <v>48</v>
      </c>
      <c r="DE19" s="1735">
        <v>88</v>
      </c>
      <c r="DF19" s="1735">
        <v>87</v>
      </c>
      <c r="DG19" s="1735">
        <v>4</v>
      </c>
      <c r="DH19" s="1735">
        <v>52</v>
      </c>
      <c r="DI19" s="1838">
        <v>33</v>
      </c>
      <c r="DJ19" s="1850">
        <v>55</v>
      </c>
      <c r="DK19" s="2099">
        <v>17</v>
      </c>
      <c r="DL19" s="2168">
        <v>110</v>
      </c>
      <c r="DM19" s="2168">
        <v>50</v>
      </c>
      <c r="DN19" s="2426">
        <v>0</v>
      </c>
      <c r="DO19" s="2489">
        <v>47</v>
      </c>
      <c r="DP19" s="2578">
        <v>34</v>
      </c>
      <c r="DQ19" s="2594">
        <v>105</v>
      </c>
      <c r="DR19" s="2638">
        <v>108</v>
      </c>
      <c r="DS19" s="2658">
        <v>0</v>
      </c>
      <c r="DT19" s="2658">
        <v>35</v>
      </c>
      <c r="DU19" s="2730">
        <v>26</v>
      </c>
      <c r="DV19" s="2578">
        <v>66</v>
      </c>
      <c r="DW19" s="2578">
        <v>55</v>
      </c>
      <c r="DX19" s="4673">
        <v>0</v>
      </c>
      <c r="DY19" s="690"/>
      <c r="DZ19" s="1760">
        <v>907</v>
      </c>
      <c r="EA19" s="1764">
        <v>0</v>
      </c>
      <c r="EB19" s="1764">
        <v>135</v>
      </c>
      <c r="EC19" s="1764">
        <v>0</v>
      </c>
      <c r="ED19" s="1764">
        <v>16</v>
      </c>
      <c r="EE19" s="827">
        <v>221</v>
      </c>
      <c r="EF19" s="827">
        <v>0</v>
      </c>
      <c r="EG19" s="827">
        <v>0</v>
      </c>
      <c r="EH19" s="1764">
        <v>0</v>
      </c>
      <c r="EI19" s="1764">
        <v>0</v>
      </c>
      <c r="EJ19" s="1764">
        <v>8</v>
      </c>
      <c r="EK19" s="1764">
        <v>85</v>
      </c>
      <c r="EL19" s="1764">
        <v>26</v>
      </c>
      <c r="EM19" s="1764">
        <v>64</v>
      </c>
      <c r="EN19" s="1764">
        <v>0</v>
      </c>
      <c r="EO19" s="1764">
        <v>0</v>
      </c>
      <c r="EP19" s="1764">
        <v>0</v>
      </c>
      <c r="EQ19" s="1764">
        <v>32</v>
      </c>
      <c r="ER19" s="827">
        <v>6</v>
      </c>
      <c r="ES19" s="1764">
        <v>45</v>
      </c>
      <c r="ET19" s="1764">
        <v>0</v>
      </c>
      <c r="EU19" s="1764">
        <v>0</v>
      </c>
      <c r="EV19" s="1764">
        <v>32</v>
      </c>
      <c r="EW19" s="1764">
        <v>8</v>
      </c>
      <c r="EX19" s="1764">
        <v>33</v>
      </c>
      <c r="EY19" s="1764">
        <v>17</v>
      </c>
      <c r="EZ19" s="1764">
        <v>0</v>
      </c>
      <c r="FA19" s="1764">
        <v>11</v>
      </c>
      <c r="FB19" s="1764">
        <v>0</v>
      </c>
      <c r="FC19" s="1764">
        <v>0</v>
      </c>
      <c r="FD19" s="1764">
        <v>200</v>
      </c>
      <c r="FE19" s="1764">
        <v>0</v>
      </c>
      <c r="FF19" s="1764">
        <v>0</v>
      </c>
      <c r="FG19" s="1771">
        <v>170</v>
      </c>
      <c r="FH19" s="1771">
        <v>0</v>
      </c>
      <c r="FI19" s="1771">
        <v>0</v>
      </c>
      <c r="FJ19" s="1771">
        <v>130</v>
      </c>
      <c r="FK19" s="1771">
        <v>0</v>
      </c>
      <c r="FL19" s="1771">
        <v>0</v>
      </c>
      <c r="FM19" s="1771">
        <v>137</v>
      </c>
      <c r="FN19" s="1771">
        <v>0</v>
      </c>
      <c r="FO19" s="1771">
        <v>255</v>
      </c>
      <c r="FP19" s="1771">
        <v>35</v>
      </c>
      <c r="FQ19" s="1544">
        <v>0</v>
      </c>
      <c r="FR19" s="1771">
        <v>70</v>
      </c>
      <c r="FS19" s="1771">
        <v>88</v>
      </c>
      <c r="FT19" s="1771">
        <v>54</v>
      </c>
      <c r="FU19" s="1771">
        <v>0</v>
      </c>
      <c r="FV19" s="1783">
        <v>6</v>
      </c>
      <c r="FW19" s="1907">
        <v>55</v>
      </c>
      <c r="FX19" s="1907">
        <v>650</v>
      </c>
      <c r="FY19" s="2581">
        <v>213</v>
      </c>
      <c r="FZ19" s="2581">
        <v>0</v>
      </c>
      <c r="GA19" s="2620">
        <v>45</v>
      </c>
      <c r="GB19" s="3011">
        <v>4</v>
      </c>
      <c r="GC19" s="3131">
        <v>67</v>
      </c>
      <c r="GD19" s="3175">
        <v>34</v>
      </c>
      <c r="GE19" s="4724">
        <v>0</v>
      </c>
      <c r="GF19" s="4724">
        <v>0</v>
      </c>
      <c r="GG19" s="858"/>
      <c r="GH19" s="841">
        <v>6597</v>
      </c>
      <c r="GI19" s="862">
        <v>3859</v>
      </c>
      <c r="GJ19" s="850">
        <v>10456</v>
      </c>
      <c r="GK19" s="851">
        <v>3296</v>
      </c>
      <c r="GL19" s="582">
        <v>907</v>
      </c>
      <c r="GM19" s="582">
        <v>1781</v>
      </c>
      <c r="GN19" s="583">
        <v>100</v>
      </c>
      <c r="GO19" s="583">
        <v>2411</v>
      </c>
      <c r="GP19" s="583">
        <v>850</v>
      </c>
      <c r="GQ19" s="583">
        <v>115</v>
      </c>
      <c r="GR19" s="583">
        <v>351</v>
      </c>
      <c r="GS19" s="583">
        <v>435</v>
      </c>
      <c r="GT19" s="583">
        <v>182</v>
      </c>
      <c r="GU19" s="4975">
        <v>158</v>
      </c>
      <c r="GV19" s="5335">
        <v>1884</v>
      </c>
      <c r="GW19" s="3066">
        <v>93.81</v>
      </c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12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12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</row>
    <row r="20" spans="1:276" ht="24" customHeight="1" thickBot="1">
      <c r="A20" s="542">
        <v>0.66666666666666996</v>
      </c>
      <c r="B20" s="1726">
        <v>0</v>
      </c>
      <c r="C20" s="1727">
        <v>0</v>
      </c>
      <c r="D20" s="1727">
        <v>0</v>
      </c>
      <c r="E20" s="1727">
        <v>180</v>
      </c>
      <c r="F20" s="1735">
        <v>0</v>
      </c>
      <c r="G20" s="1735">
        <v>92</v>
      </c>
      <c r="H20" s="1727">
        <v>0</v>
      </c>
      <c r="I20" s="1727">
        <v>400</v>
      </c>
      <c r="J20" s="1727">
        <v>291</v>
      </c>
      <c r="K20" s="689"/>
      <c r="L20" s="689">
        <v>0</v>
      </c>
      <c r="M20" s="1727">
        <v>225</v>
      </c>
      <c r="N20" s="1727">
        <v>0</v>
      </c>
      <c r="O20" s="1727">
        <v>14</v>
      </c>
      <c r="P20" s="1727">
        <v>0</v>
      </c>
      <c r="Q20" s="1727">
        <v>30</v>
      </c>
      <c r="R20" s="1727">
        <v>0</v>
      </c>
      <c r="S20" s="689">
        <v>0</v>
      </c>
      <c r="T20" s="689">
        <v>0</v>
      </c>
      <c r="U20" s="1727">
        <v>15</v>
      </c>
      <c r="V20" s="1735">
        <v>8</v>
      </c>
      <c r="W20" s="1727">
        <v>115</v>
      </c>
      <c r="X20" s="1727">
        <v>0</v>
      </c>
      <c r="Y20" s="1727">
        <v>0</v>
      </c>
      <c r="Z20" s="689">
        <v>0</v>
      </c>
      <c r="AA20" s="1727">
        <v>0</v>
      </c>
      <c r="AB20" s="1727">
        <v>35</v>
      </c>
      <c r="AC20" s="1727">
        <v>55</v>
      </c>
      <c r="AD20" s="1727">
        <v>17</v>
      </c>
      <c r="AE20" s="1727">
        <v>22</v>
      </c>
      <c r="AF20" s="1727">
        <v>25</v>
      </c>
      <c r="AG20" s="1727">
        <v>25</v>
      </c>
      <c r="AH20" s="1727">
        <v>33</v>
      </c>
      <c r="AI20" s="1727">
        <v>30</v>
      </c>
      <c r="AJ20" s="1727">
        <v>49</v>
      </c>
      <c r="AK20" s="689">
        <v>0</v>
      </c>
      <c r="AL20" s="689">
        <v>81</v>
      </c>
      <c r="AM20" s="1727">
        <v>35</v>
      </c>
      <c r="AN20" s="1727">
        <v>98</v>
      </c>
      <c r="AO20" s="1727">
        <v>0</v>
      </c>
      <c r="AP20" s="1727">
        <v>0</v>
      </c>
      <c r="AQ20" s="1727">
        <v>0</v>
      </c>
      <c r="AR20" s="689">
        <v>0</v>
      </c>
      <c r="AS20" s="1727">
        <v>0</v>
      </c>
      <c r="AT20" s="689">
        <v>0</v>
      </c>
      <c r="AU20" s="689"/>
      <c r="AV20" s="1727">
        <v>0</v>
      </c>
      <c r="AW20" s="1727">
        <v>26</v>
      </c>
      <c r="AX20" s="1727">
        <v>51</v>
      </c>
      <c r="AY20" s="1727">
        <v>33</v>
      </c>
      <c r="AZ20" s="1727">
        <v>18</v>
      </c>
      <c r="BA20" s="1727">
        <v>25</v>
      </c>
      <c r="BB20" s="1727">
        <v>13</v>
      </c>
      <c r="BC20" s="1727">
        <v>3</v>
      </c>
      <c r="BD20" s="1727">
        <v>0</v>
      </c>
      <c r="BE20" s="689">
        <v>0</v>
      </c>
      <c r="BF20" s="689">
        <v>0</v>
      </c>
      <c r="BG20" s="1727">
        <v>285</v>
      </c>
      <c r="BH20" s="1727">
        <v>290</v>
      </c>
      <c r="BI20" s="1727">
        <v>197</v>
      </c>
      <c r="BJ20" s="1727">
        <v>83</v>
      </c>
      <c r="BK20" s="1727">
        <v>128</v>
      </c>
      <c r="BL20" s="689">
        <v>35</v>
      </c>
      <c r="BM20" s="1727">
        <v>0</v>
      </c>
      <c r="BN20" s="689">
        <v>0</v>
      </c>
      <c r="BO20" s="1735">
        <v>51</v>
      </c>
      <c r="BP20" s="690">
        <v>0</v>
      </c>
      <c r="BQ20" s="1735">
        <v>30</v>
      </c>
      <c r="BR20" s="1727">
        <v>8</v>
      </c>
      <c r="BS20" s="1735">
        <v>21</v>
      </c>
      <c r="BT20" s="1735">
        <v>10</v>
      </c>
      <c r="BU20" s="1735">
        <v>33</v>
      </c>
      <c r="BV20" s="1735">
        <v>20</v>
      </c>
      <c r="BW20" s="1745">
        <v>164</v>
      </c>
      <c r="BX20" s="1735">
        <v>95</v>
      </c>
      <c r="BY20" s="1735">
        <v>0</v>
      </c>
      <c r="BZ20" s="1735">
        <v>0</v>
      </c>
      <c r="CA20" s="1755">
        <v>1</v>
      </c>
      <c r="CB20" s="1735">
        <v>43</v>
      </c>
      <c r="CC20" s="1735">
        <v>41</v>
      </c>
      <c r="CD20" s="1735">
        <v>33</v>
      </c>
      <c r="CE20" s="1735">
        <v>30</v>
      </c>
      <c r="CF20" s="1735">
        <v>110</v>
      </c>
      <c r="CG20" s="1735">
        <v>0</v>
      </c>
      <c r="CH20" s="1735">
        <v>61</v>
      </c>
      <c r="CI20" s="1735">
        <v>10</v>
      </c>
      <c r="CJ20" s="1735">
        <v>0</v>
      </c>
      <c r="CK20" s="1735">
        <v>207</v>
      </c>
      <c r="CL20" s="1735">
        <v>0</v>
      </c>
      <c r="CM20" s="1735">
        <v>30</v>
      </c>
      <c r="CN20" s="1735">
        <v>10</v>
      </c>
      <c r="CO20" s="1735">
        <v>280</v>
      </c>
      <c r="CP20" s="1735">
        <v>8</v>
      </c>
      <c r="CQ20" s="1735">
        <v>0</v>
      </c>
      <c r="CR20" s="690">
        <v>50</v>
      </c>
      <c r="CS20" s="1735">
        <v>195</v>
      </c>
      <c r="CT20" s="1735">
        <v>102</v>
      </c>
      <c r="CU20" s="690">
        <v>88</v>
      </c>
      <c r="CV20" s="1735">
        <v>46</v>
      </c>
      <c r="CW20" s="690">
        <v>95</v>
      </c>
      <c r="CX20" s="1735">
        <v>98</v>
      </c>
      <c r="CY20" s="1751">
        <v>4</v>
      </c>
      <c r="CZ20" s="1735">
        <v>21</v>
      </c>
      <c r="DA20" s="1735">
        <v>34</v>
      </c>
      <c r="DB20" s="1735">
        <v>112</v>
      </c>
      <c r="DC20" s="1735">
        <v>352</v>
      </c>
      <c r="DD20" s="1735">
        <v>48</v>
      </c>
      <c r="DE20" s="1735">
        <v>88</v>
      </c>
      <c r="DF20" s="1735">
        <v>105</v>
      </c>
      <c r="DG20" s="1735">
        <v>3</v>
      </c>
      <c r="DH20" s="1735">
        <v>52</v>
      </c>
      <c r="DI20" s="1838">
        <v>18</v>
      </c>
      <c r="DJ20" s="1850">
        <v>55</v>
      </c>
      <c r="DK20" s="2099">
        <v>17</v>
      </c>
      <c r="DL20" s="2168">
        <v>100</v>
      </c>
      <c r="DM20" s="2168">
        <v>20</v>
      </c>
      <c r="DN20" s="2426">
        <v>0</v>
      </c>
      <c r="DO20" s="2489">
        <v>17</v>
      </c>
      <c r="DP20" s="2578">
        <v>31</v>
      </c>
      <c r="DQ20" s="2594">
        <v>105</v>
      </c>
      <c r="DR20" s="2638">
        <v>108</v>
      </c>
      <c r="DS20" s="2658">
        <v>0</v>
      </c>
      <c r="DT20" s="2658">
        <v>35</v>
      </c>
      <c r="DU20" s="2730">
        <v>15</v>
      </c>
      <c r="DV20" s="2578">
        <v>56</v>
      </c>
      <c r="DW20" s="2578">
        <v>55</v>
      </c>
      <c r="DX20" s="4673">
        <v>0</v>
      </c>
      <c r="DY20" s="690"/>
      <c r="DZ20" s="1760">
        <v>907</v>
      </c>
      <c r="EA20" s="1764">
        <v>0</v>
      </c>
      <c r="EB20" s="1764">
        <v>135</v>
      </c>
      <c r="EC20" s="1764">
        <v>0</v>
      </c>
      <c r="ED20" s="1764">
        <v>16</v>
      </c>
      <c r="EE20" s="827">
        <v>221</v>
      </c>
      <c r="EF20" s="827">
        <v>0</v>
      </c>
      <c r="EG20" s="827">
        <v>0</v>
      </c>
      <c r="EH20" s="1764">
        <v>0</v>
      </c>
      <c r="EI20" s="1764">
        <v>0</v>
      </c>
      <c r="EJ20" s="1764">
        <v>8</v>
      </c>
      <c r="EK20" s="1764">
        <v>87</v>
      </c>
      <c r="EL20" s="1764">
        <v>26</v>
      </c>
      <c r="EM20" s="1764">
        <v>64</v>
      </c>
      <c r="EN20" s="1764">
        <v>0</v>
      </c>
      <c r="EO20" s="1764">
        <v>0</v>
      </c>
      <c r="EP20" s="1764">
        <v>0</v>
      </c>
      <c r="EQ20" s="1764">
        <v>32</v>
      </c>
      <c r="ER20" s="827">
        <v>24</v>
      </c>
      <c r="ES20" s="1764">
        <v>45</v>
      </c>
      <c r="ET20" s="1764">
        <v>0</v>
      </c>
      <c r="EU20" s="1764">
        <v>0</v>
      </c>
      <c r="EV20" s="1764">
        <v>32</v>
      </c>
      <c r="EW20" s="1764">
        <v>8</v>
      </c>
      <c r="EX20" s="1764">
        <v>34</v>
      </c>
      <c r="EY20" s="1764">
        <v>17</v>
      </c>
      <c r="EZ20" s="1764">
        <v>0</v>
      </c>
      <c r="FA20" s="1764">
        <v>11</v>
      </c>
      <c r="FB20" s="1764">
        <v>0</v>
      </c>
      <c r="FC20" s="1764">
        <v>0</v>
      </c>
      <c r="FD20" s="1764">
        <v>200</v>
      </c>
      <c r="FE20" s="1764">
        <v>0</v>
      </c>
      <c r="FF20" s="1764">
        <v>0</v>
      </c>
      <c r="FG20" s="1771">
        <v>169</v>
      </c>
      <c r="FH20" s="1771">
        <v>0</v>
      </c>
      <c r="FI20" s="1771">
        <v>0</v>
      </c>
      <c r="FJ20" s="1771">
        <v>176</v>
      </c>
      <c r="FK20" s="1771">
        <v>0</v>
      </c>
      <c r="FL20" s="1771">
        <v>5</v>
      </c>
      <c r="FM20" s="1771">
        <v>138</v>
      </c>
      <c r="FN20" s="1771">
        <v>0</v>
      </c>
      <c r="FO20" s="1771">
        <v>264</v>
      </c>
      <c r="FP20" s="1771">
        <v>38</v>
      </c>
      <c r="FQ20" s="1544">
        <v>1</v>
      </c>
      <c r="FR20" s="1771">
        <v>80</v>
      </c>
      <c r="FS20" s="1771">
        <v>88</v>
      </c>
      <c r="FT20" s="1771">
        <v>89</v>
      </c>
      <c r="FU20" s="1771">
        <v>0</v>
      </c>
      <c r="FV20" s="1783">
        <v>5</v>
      </c>
      <c r="FW20" s="1907">
        <v>57</v>
      </c>
      <c r="FX20" s="1907">
        <v>620</v>
      </c>
      <c r="FY20" s="2581">
        <v>180</v>
      </c>
      <c r="FZ20" s="2581">
        <v>0</v>
      </c>
      <c r="GA20" s="2620">
        <v>90</v>
      </c>
      <c r="GB20" s="3011">
        <v>3</v>
      </c>
      <c r="GC20" s="3131">
        <v>55</v>
      </c>
      <c r="GD20" s="3175">
        <v>34</v>
      </c>
      <c r="GE20" s="4724">
        <v>0</v>
      </c>
      <c r="GF20" s="4724">
        <v>0</v>
      </c>
      <c r="GG20" s="858"/>
      <c r="GH20" s="841">
        <v>6483</v>
      </c>
      <c r="GI20" s="862">
        <v>3959</v>
      </c>
      <c r="GJ20" s="850">
        <v>10442</v>
      </c>
      <c r="GK20" s="851">
        <v>3192</v>
      </c>
      <c r="GL20" s="582">
        <v>907</v>
      </c>
      <c r="GM20" s="582">
        <v>1735</v>
      </c>
      <c r="GN20" s="583">
        <v>341</v>
      </c>
      <c r="GO20" s="583">
        <v>2264</v>
      </c>
      <c r="GP20" s="583">
        <v>820</v>
      </c>
      <c r="GQ20" s="583">
        <v>116</v>
      </c>
      <c r="GR20" s="583">
        <v>397</v>
      </c>
      <c r="GS20" s="583">
        <v>565</v>
      </c>
      <c r="GT20" s="583">
        <v>164</v>
      </c>
      <c r="GU20" s="4975">
        <v>117</v>
      </c>
      <c r="GV20" s="5335">
        <v>1804</v>
      </c>
      <c r="GW20" s="3066">
        <v>93.84</v>
      </c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32"/>
      <c r="HS20" s="13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12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</row>
    <row r="21" spans="1:276" ht="21.75" customHeight="1" thickBot="1">
      <c r="A21" s="542">
        <v>0.70833333333333337</v>
      </c>
      <c r="B21" s="1726">
        <v>0</v>
      </c>
      <c r="C21" s="1727">
        <v>0</v>
      </c>
      <c r="D21" s="1727">
        <v>0</v>
      </c>
      <c r="E21" s="1727">
        <v>180</v>
      </c>
      <c r="F21" s="1735">
        <v>0</v>
      </c>
      <c r="G21" s="1735">
        <v>93</v>
      </c>
      <c r="H21" s="1727">
        <v>0</v>
      </c>
      <c r="I21" s="1727">
        <v>401</v>
      </c>
      <c r="J21" s="1727">
        <v>288</v>
      </c>
      <c r="K21" s="689"/>
      <c r="L21" s="689">
        <v>0</v>
      </c>
      <c r="M21" s="1727">
        <v>225</v>
      </c>
      <c r="N21" s="1727">
        <v>0</v>
      </c>
      <c r="O21" s="1727">
        <v>11</v>
      </c>
      <c r="P21" s="1727">
        <v>0</v>
      </c>
      <c r="Q21" s="1727">
        <v>30</v>
      </c>
      <c r="R21" s="1727">
        <v>0</v>
      </c>
      <c r="S21" s="689">
        <v>0</v>
      </c>
      <c r="T21" s="689">
        <v>0</v>
      </c>
      <c r="U21" s="1727">
        <v>8</v>
      </c>
      <c r="V21" s="1735">
        <v>8</v>
      </c>
      <c r="W21" s="1727">
        <v>124</v>
      </c>
      <c r="X21" s="1727">
        <v>0</v>
      </c>
      <c r="Y21" s="1727">
        <v>0</v>
      </c>
      <c r="Z21" s="689">
        <v>0</v>
      </c>
      <c r="AA21" s="1727">
        <v>0</v>
      </c>
      <c r="AB21" s="1727">
        <v>54</v>
      </c>
      <c r="AC21" s="1727">
        <v>55</v>
      </c>
      <c r="AD21" s="1727">
        <v>17</v>
      </c>
      <c r="AE21" s="1727">
        <v>22</v>
      </c>
      <c r="AF21" s="1727">
        <v>25</v>
      </c>
      <c r="AG21" s="1727">
        <v>26</v>
      </c>
      <c r="AH21" s="1727">
        <v>33</v>
      </c>
      <c r="AI21" s="1727">
        <v>30</v>
      </c>
      <c r="AJ21" s="1727">
        <v>49</v>
      </c>
      <c r="AK21" s="689">
        <v>0</v>
      </c>
      <c r="AL21" s="689">
        <v>83</v>
      </c>
      <c r="AM21" s="1727">
        <v>35</v>
      </c>
      <c r="AN21" s="1727">
        <v>98</v>
      </c>
      <c r="AO21" s="1727">
        <v>0</v>
      </c>
      <c r="AP21" s="1727">
        <v>13</v>
      </c>
      <c r="AQ21" s="1727">
        <v>0</v>
      </c>
      <c r="AR21" s="689">
        <v>0</v>
      </c>
      <c r="AS21" s="1727">
        <v>0</v>
      </c>
      <c r="AT21" s="689">
        <v>0</v>
      </c>
      <c r="AU21" s="689"/>
      <c r="AV21" s="1727">
        <v>0</v>
      </c>
      <c r="AW21" s="1727">
        <v>25</v>
      </c>
      <c r="AX21" s="1727">
        <v>51</v>
      </c>
      <c r="AY21" s="1727">
        <v>33</v>
      </c>
      <c r="AZ21" s="1727">
        <v>15</v>
      </c>
      <c r="BA21" s="1727">
        <v>25</v>
      </c>
      <c r="BB21" s="1727">
        <v>13</v>
      </c>
      <c r="BC21" s="1727">
        <v>3</v>
      </c>
      <c r="BD21" s="1727">
        <v>0</v>
      </c>
      <c r="BE21" s="689">
        <v>0</v>
      </c>
      <c r="BF21" s="689">
        <v>0</v>
      </c>
      <c r="BG21" s="1727">
        <v>280</v>
      </c>
      <c r="BH21" s="1727">
        <v>275</v>
      </c>
      <c r="BI21" s="1727">
        <v>198</v>
      </c>
      <c r="BJ21" s="1727">
        <v>83</v>
      </c>
      <c r="BK21" s="1727">
        <v>128</v>
      </c>
      <c r="BL21" s="689">
        <v>37</v>
      </c>
      <c r="BM21" s="1727">
        <v>0</v>
      </c>
      <c r="BN21" s="689">
        <v>0</v>
      </c>
      <c r="BO21" s="1735">
        <v>51</v>
      </c>
      <c r="BP21" s="690">
        <v>0</v>
      </c>
      <c r="BQ21" s="1735">
        <v>30</v>
      </c>
      <c r="BR21" s="1727">
        <v>8</v>
      </c>
      <c r="BS21" s="1735">
        <v>0</v>
      </c>
      <c r="BT21" s="1735">
        <v>10</v>
      </c>
      <c r="BU21" s="1735">
        <v>33</v>
      </c>
      <c r="BV21" s="1735">
        <v>20</v>
      </c>
      <c r="BW21" s="1745">
        <v>160</v>
      </c>
      <c r="BX21" s="1735">
        <v>96</v>
      </c>
      <c r="BY21" s="1735">
        <v>0</v>
      </c>
      <c r="BZ21" s="1735">
        <v>20</v>
      </c>
      <c r="CA21" s="1755">
        <v>0</v>
      </c>
      <c r="CB21" s="1735">
        <v>44</v>
      </c>
      <c r="CC21" s="1735">
        <v>41</v>
      </c>
      <c r="CD21" s="1735">
        <v>33</v>
      </c>
      <c r="CE21" s="1735">
        <v>30</v>
      </c>
      <c r="CF21" s="1735">
        <v>110</v>
      </c>
      <c r="CG21" s="1735">
        <v>0</v>
      </c>
      <c r="CH21" s="1735">
        <v>60</v>
      </c>
      <c r="CI21" s="1735">
        <v>10</v>
      </c>
      <c r="CJ21" s="1735">
        <v>0</v>
      </c>
      <c r="CK21" s="1735">
        <v>207</v>
      </c>
      <c r="CL21" s="1735">
        <v>0</v>
      </c>
      <c r="CM21" s="1735">
        <v>29</v>
      </c>
      <c r="CN21" s="1735">
        <v>10</v>
      </c>
      <c r="CO21" s="1735">
        <v>290</v>
      </c>
      <c r="CP21" s="1735">
        <v>8</v>
      </c>
      <c r="CQ21" s="1735">
        <v>0</v>
      </c>
      <c r="CR21" s="690">
        <v>50</v>
      </c>
      <c r="CS21" s="1735">
        <v>195</v>
      </c>
      <c r="CT21" s="1735">
        <v>153</v>
      </c>
      <c r="CU21" s="690">
        <v>94</v>
      </c>
      <c r="CV21" s="1735">
        <v>47</v>
      </c>
      <c r="CW21" s="690">
        <v>98</v>
      </c>
      <c r="CX21" s="1735">
        <v>141</v>
      </c>
      <c r="CY21" s="1751">
        <v>5</v>
      </c>
      <c r="CZ21" s="1735">
        <v>21</v>
      </c>
      <c r="DA21" s="1735">
        <v>34</v>
      </c>
      <c r="DB21" s="1735">
        <v>110</v>
      </c>
      <c r="DC21" s="1735">
        <v>403</v>
      </c>
      <c r="DD21" s="1735">
        <v>48</v>
      </c>
      <c r="DE21" s="1735">
        <v>88</v>
      </c>
      <c r="DF21" s="1735">
        <v>105</v>
      </c>
      <c r="DG21" s="1735">
        <v>2</v>
      </c>
      <c r="DH21" s="1735">
        <v>69</v>
      </c>
      <c r="DI21" s="1838">
        <v>17</v>
      </c>
      <c r="DJ21" s="1850">
        <v>55</v>
      </c>
      <c r="DK21" s="2099">
        <v>98</v>
      </c>
      <c r="DL21" s="2168">
        <v>102</v>
      </c>
      <c r="DM21" s="2168">
        <v>20</v>
      </c>
      <c r="DN21" s="2426">
        <v>0</v>
      </c>
      <c r="DO21" s="2489">
        <v>17</v>
      </c>
      <c r="DP21" s="2578">
        <v>14</v>
      </c>
      <c r="DQ21" s="2594">
        <v>114</v>
      </c>
      <c r="DR21" s="2638">
        <v>108</v>
      </c>
      <c r="DS21" s="2658">
        <v>0</v>
      </c>
      <c r="DT21" s="2658">
        <v>35</v>
      </c>
      <c r="DU21" s="2730">
        <v>9</v>
      </c>
      <c r="DV21" s="2578">
        <v>56</v>
      </c>
      <c r="DW21" s="2578">
        <v>55</v>
      </c>
      <c r="DX21" s="4673">
        <v>0</v>
      </c>
      <c r="DY21" s="690"/>
      <c r="DZ21" s="1760">
        <v>907</v>
      </c>
      <c r="EA21" s="1764">
        <v>0</v>
      </c>
      <c r="EB21" s="1764">
        <v>135</v>
      </c>
      <c r="EC21" s="1764">
        <v>0</v>
      </c>
      <c r="ED21" s="1764">
        <v>20</v>
      </c>
      <c r="EE21" s="827">
        <v>226</v>
      </c>
      <c r="EF21" s="827">
        <v>0</v>
      </c>
      <c r="EG21" s="827">
        <v>0</v>
      </c>
      <c r="EH21" s="1764">
        <v>0</v>
      </c>
      <c r="EI21" s="1764">
        <v>0</v>
      </c>
      <c r="EJ21" s="1764">
        <v>8</v>
      </c>
      <c r="EK21" s="1764">
        <v>85</v>
      </c>
      <c r="EL21" s="1764">
        <v>24</v>
      </c>
      <c r="EM21" s="1764">
        <v>64</v>
      </c>
      <c r="EN21" s="1764">
        <v>0</v>
      </c>
      <c r="EO21" s="1764">
        <v>0</v>
      </c>
      <c r="EP21" s="1764">
        <v>0</v>
      </c>
      <c r="EQ21" s="1764">
        <v>32</v>
      </c>
      <c r="ER21" s="827">
        <v>33</v>
      </c>
      <c r="ES21" s="1764">
        <v>45</v>
      </c>
      <c r="ET21" s="1764">
        <v>0</v>
      </c>
      <c r="EU21" s="1764">
        <v>0</v>
      </c>
      <c r="EV21" s="1764">
        <v>32</v>
      </c>
      <c r="EW21" s="1764">
        <v>8</v>
      </c>
      <c r="EX21" s="1764">
        <v>34</v>
      </c>
      <c r="EY21" s="1764">
        <v>17</v>
      </c>
      <c r="EZ21" s="1764">
        <v>0</v>
      </c>
      <c r="FA21" s="1764">
        <v>11</v>
      </c>
      <c r="FB21" s="1764">
        <v>0</v>
      </c>
      <c r="FC21" s="1764">
        <v>0</v>
      </c>
      <c r="FD21" s="1764">
        <v>201</v>
      </c>
      <c r="FE21" s="1764">
        <v>0</v>
      </c>
      <c r="FF21" s="1764">
        <v>0</v>
      </c>
      <c r="FG21" s="1771">
        <v>168</v>
      </c>
      <c r="FH21" s="1771">
        <v>0</v>
      </c>
      <c r="FI21" s="1771">
        <v>0</v>
      </c>
      <c r="FJ21" s="1771">
        <v>209</v>
      </c>
      <c r="FK21" s="1771">
        <v>0</v>
      </c>
      <c r="FL21" s="1771">
        <v>20</v>
      </c>
      <c r="FM21" s="1771">
        <v>140</v>
      </c>
      <c r="FN21" s="1771">
        <v>0</v>
      </c>
      <c r="FO21" s="1771">
        <v>263</v>
      </c>
      <c r="FP21" s="1771">
        <v>24</v>
      </c>
      <c r="FQ21" s="1544">
        <v>50</v>
      </c>
      <c r="FR21" s="1771">
        <v>93</v>
      </c>
      <c r="FS21" s="1771">
        <v>89</v>
      </c>
      <c r="FT21" s="1771">
        <v>81</v>
      </c>
      <c r="FU21" s="1771">
        <v>0</v>
      </c>
      <c r="FV21" s="1783">
        <v>4</v>
      </c>
      <c r="FW21" s="1907">
        <v>57</v>
      </c>
      <c r="FX21" s="1907">
        <v>600</v>
      </c>
      <c r="FY21" s="2581">
        <v>189</v>
      </c>
      <c r="FZ21" s="2581">
        <v>0</v>
      </c>
      <c r="GA21" s="2620">
        <v>120</v>
      </c>
      <c r="GB21" s="3011">
        <v>1</v>
      </c>
      <c r="GC21" s="3131">
        <v>6</v>
      </c>
      <c r="GD21" s="3175">
        <v>72</v>
      </c>
      <c r="GE21" s="4724">
        <v>0</v>
      </c>
      <c r="GF21" s="4724">
        <v>0</v>
      </c>
      <c r="GG21" s="858"/>
      <c r="GH21" s="841">
        <v>6737</v>
      </c>
      <c r="GI21" s="863">
        <v>4068</v>
      </c>
      <c r="GJ21" s="852">
        <v>10805</v>
      </c>
      <c r="GK21" s="851">
        <v>3227</v>
      </c>
      <c r="GL21" s="583">
        <v>907</v>
      </c>
      <c r="GM21" s="583">
        <v>1748</v>
      </c>
      <c r="GN21" s="583">
        <v>465</v>
      </c>
      <c r="GO21" s="583">
        <v>2497</v>
      </c>
      <c r="GP21" s="583">
        <v>801</v>
      </c>
      <c r="GQ21" s="583">
        <v>118</v>
      </c>
      <c r="GR21" s="583">
        <v>435</v>
      </c>
      <c r="GS21" s="583">
        <v>615</v>
      </c>
      <c r="GT21" s="583">
        <v>160</v>
      </c>
      <c r="GU21" s="4975">
        <v>41</v>
      </c>
      <c r="GV21" s="5335">
        <v>1286</v>
      </c>
      <c r="GW21" s="3066">
        <v>93.86</v>
      </c>
      <c r="GX21" s="12"/>
      <c r="GY21" s="12"/>
      <c r="GZ21" s="12"/>
      <c r="HA21" s="12"/>
      <c r="HB21" s="12"/>
      <c r="HC21" s="12"/>
      <c r="HD21" s="12"/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/>
      <c r="IO21" s="12"/>
      <c r="IP21" s="12"/>
      <c r="IQ21" s="12"/>
      <c r="IR21" s="12"/>
      <c r="IS21" s="12"/>
      <c r="IT21" s="12"/>
      <c r="IU21" s="12"/>
      <c r="IV21" s="12"/>
      <c r="IW21" s="12"/>
      <c r="IX21" s="12"/>
      <c r="IY21" s="12"/>
      <c r="IZ21" s="12"/>
      <c r="JA21" s="12"/>
      <c r="JB21" s="12"/>
      <c r="JC21" s="12"/>
      <c r="JD21" s="12"/>
      <c r="JE21" s="12"/>
      <c r="JF21" s="12"/>
      <c r="JG21" s="12"/>
      <c r="JH21" s="12"/>
      <c r="JI21" s="12"/>
      <c r="JJ21" s="12"/>
      <c r="JK21" s="12"/>
      <c r="JL21" s="12"/>
      <c r="JM21" s="12"/>
      <c r="JN21" s="12"/>
      <c r="JO21" s="12"/>
      <c r="JP21" s="12"/>
    </row>
    <row r="22" spans="1:276" ht="21.75" customHeight="1" thickBot="1">
      <c r="A22" s="542">
        <v>0.75</v>
      </c>
      <c r="B22" s="1726">
        <v>0</v>
      </c>
      <c r="C22" s="1727">
        <v>0</v>
      </c>
      <c r="D22" s="1727">
        <v>0</v>
      </c>
      <c r="E22" s="1727">
        <v>180</v>
      </c>
      <c r="F22" s="1735">
        <v>0</v>
      </c>
      <c r="G22" s="1735">
        <v>96</v>
      </c>
      <c r="H22" s="1727">
        <v>0</v>
      </c>
      <c r="I22" s="1727">
        <v>403</v>
      </c>
      <c r="J22" s="1727">
        <v>276</v>
      </c>
      <c r="K22" s="689"/>
      <c r="L22" s="689">
        <v>0</v>
      </c>
      <c r="M22" s="1727">
        <v>225</v>
      </c>
      <c r="N22" s="1727">
        <v>0</v>
      </c>
      <c r="O22" s="1727">
        <v>7</v>
      </c>
      <c r="P22" s="1727">
        <v>0</v>
      </c>
      <c r="Q22" s="1727">
        <v>30</v>
      </c>
      <c r="R22" s="1727">
        <v>0</v>
      </c>
      <c r="S22" s="689">
        <v>0</v>
      </c>
      <c r="T22" s="689">
        <v>0</v>
      </c>
      <c r="U22" s="1727">
        <v>8</v>
      </c>
      <c r="V22" s="1735">
        <v>8</v>
      </c>
      <c r="W22" s="1727">
        <v>124</v>
      </c>
      <c r="X22" s="1727">
        <v>0</v>
      </c>
      <c r="Y22" s="1727">
        <v>0</v>
      </c>
      <c r="Z22" s="689">
        <v>0</v>
      </c>
      <c r="AA22" s="1727">
        <v>0</v>
      </c>
      <c r="AB22" s="1727">
        <v>54</v>
      </c>
      <c r="AC22" s="1727">
        <v>55</v>
      </c>
      <c r="AD22" s="1727">
        <v>35</v>
      </c>
      <c r="AE22" s="1727">
        <v>22</v>
      </c>
      <c r="AF22" s="1727">
        <v>25</v>
      </c>
      <c r="AG22" s="1727">
        <v>26</v>
      </c>
      <c r="AH22" s="1727">
        <v>33</v>
      </c>
      <c r="AI22" s="1727">
        <v>30</v>
      </c>
      <c r="AJ22" s="1727">
        <v>49</v>
      </c>
      <c r="AK22" s="689">
        <v>0</v>
      </c>
      <c r="AL22" s="689">
        <v>83</v>
      </c>
      <c r="AM22" s="1727">
        <v>35</v>
      </c>
      <c r="AN22" s="1727">
        <v>98</v>
      </c>
      <c r="AO22" s="1727">
        <v>0</v>
      </c>
      <c r="AP22" s="1727">
        <v>25</v>
      </c>
      <c r="AQ22" s="1727">
        <v>0</v>
      </c>
      <c r="AR22" s="689">
        <v>0</v>
      </c>
      <c r="AS22" s="1727">
        <v>0</v>
      </c>
      <c r="AT22" s="689">
        <v>0</v>
      </c>
      <c r="AU22" s="689"/>
      <c r="AV22" s="1727">
        <v>0</v>
      </c>
      <c r="AW22" s="1727">
        <v>26</v>
      </c>
      <c r="AX22" s="1727">
        <v>51</v>
      </c>
      <c r="AY22" s="1727">
        <v>33</v>
      </c>
      <c r="AZ22" s="1727">
        <v>51</v>
      </c>
      <c r="BA22" s="1727">
        <v>25</v>
      </c>
      <c r="BB22" s="1727">
        <v>13</v>
      </c>
      <c r="BC22" s="1727">
        <v>4</v>
      </c>
      <c r="BD22" s="1727">
        <v>0</v>
      </c>
      <c r="BE22" s="689">
        <v>0</v>
      </c>
      <c r="BF22" s="689">
        <v>0</v>
      </c>
      <c r="BG22" s="1727">
        <v>280</v>
      </c>
      <c r="BH22" s="1727">
        <v>280</v>
      </c>
      <c r="BI22" s="1727">
        <v>185</v>
      </c>
      <c r="BJ22" s="1727">
        <v>83</v>
      </c>
      <c r="BK22" s="1727">
        <v>130</v>
      </c>
      <c r="BL22" s="689">
        <v>40</v>
      </c>
      <c r="BM22" s="1727">
        <v>3</v>
      </c>
      <c r="BN22" s="689">
        <v>0</v>
      </c>
      <c r="BO22" s="1735">
        <v>51</v>
      </c>
      <c r="BP22" s="690">
        <v>0</v>
      </c>
      <c r="BQ22" s="1735">
        <v>30</v>
      </c>
      <c r="BR22" s="1727">
        <v>8</v>
      </c>
      <c r="BS22" s="1735">
        <v>0</v>
      </c>
      <c r="BT22" s="1735">
        <v>10</v>
      </c>
      <c r="BU22" s="1735">
        <v>33</v>
      </c>
      <c r="BV22" s="1735">
        <v>20</v>
      </c>
      <c r="BW22" s="1745">
        <v>158</v>
      </c>
      <c r="BX22" s="1735">
        <v>96</v>
      </c>
      <c r="BY22" s="1735">
        <v>0</v>
      </c>
      <c r="BZ22" s="1735">
        <v>22</v>
      </c>
      <c r="CA22" s="1755">
        <v>0</v>
      </c>
      <c r="CB22" s="1735">
        <v>44</v>
      </c>
      <c r="CC22" s="1735">
        <v>40</v>
      </c>
      <c r="CD22" s="1735">
        <v>33</v>
      </c>
      <c r="CE22" s="1735">
        <v>30</v>
      </c>
      <c r="CF22" s="1735">
        <v>110</v>
      </c>
      <c r="CG22" s="1735">
        <v>0</v>
      </c>
      <c r="CH22" s="1735">
        <v>58</v>
      </c>
      <c r="CI22" s="1735">
        <v>10</v>
      </c>
      <c r="CJ22" s="1735">
        <v>0</v>
      </c>
      <c r="CK22" s="1735">
        <v>207</v>
      </c>
      <c r="CL22" s="1735">
        <v>0</v>
      </c>
      <c r="CM22" s="1735">
        <v>29</v>
      </c>
      <c r="CN22" s="1735">
        <v>9</v>
      </c>
      <c r="CO22" s="1735">
        <v>280</v>
      </c>
      <c r="CP22" s="1735">
        <v>8</v>
      </c>
      <c r="CQ22" s="1735">
        <v>0</v>
      </c>
      <c r="CR22" s="690">
        <v>50</v>
      </c>
      <c r="CS22" s="1735">
        <v>207</v>
      </c>
      <c r="CT22" s="1735">
        <v>101</v>
      </c>
      <c r="CU22" s="690">
        <v>95</v>
      </c>
      <c r="CV22" s="1735">
        <v>167</v>
      </c>
      <c r="CW22" s="690">
        <v>98</v>
      </c>
      <c r="CX22" s="1735">
        <v>149</v>
      </c>
      <c r="CY22" s="1751">
        <v>1</v>
      </c>
      <c r="CZ22" s="1735">
        <v>21</v>
      </c>
      <c r="DA22" s="1735">
        <v>34</v>
      </c>
      <c r="DB22" s="1735">
        <v>112</v>
      </c>
      <c r="DC22" s="1735">
        <v>405</v>
      </c>
      <c r="DD22" s="1735">
        <v>77</v>
      </c>
      <c r="DE22" s="1735">
        <v>88</v>
      </c>
      <c r="DF22" s="1735">
        <v>105</v>
      </c>
      <c r="DG22" s="1735">
        <v>0</v>
      </c>
      <c r="DH22" s="1735">
        <v>85</v>
      </c>
      <c r="DI22" s="1838">
        <v>17</v>
      </c>
      <c r="DJ22" s="1850">
        <v>72</v>
      </c>
      <c r="DK22" s="2099">
        <v>114</v>
      </c>
      <c r="DL22" s="2168">
        <v>104</v>
      </c>
      <c r="DM22" s="2168">
        <v>20</v>
      </c>
      <c r="DN22" s="2426">
        <v>0</v>
      </c>
      <c r="DO22" s="2489">
        <v>17</v>
      </c>
      <c r="DP22" s="2578">
        <v>3</v>
      </c>
      <c r="DQ22" s="2594">
        <v>162</v>
      </c>
      <c r="DR22" s="2638">
        <v>108</v>
      </c>
      <c r="DS22" s="2658">
        <v>0</v>
      </c>
      <c r="DT22" s="2658">
        <v>35</v>
      </c>
      <c r="DU22" s="2730">
        <v>3</v>
      </c>
      <c r="DV22" s="2578">
        <v>56</v>
      </c>
      <c r="DW22" s="2578">
        <v>55</v>
      </c>
      <c r="DX22" s="4673">
        <v>0</v>
      </c>
      <c r="DY22" s="690"/>
      <c r="DZ22" s="1760">
        <v>906</v>
      </c>
      <c r="EA22" s="1764">
        <v>0</v>
      </c>
      <c r="EB22" s="1764">
        <v>140</v>
      </c>
      <c r="EC22" s="1764">
        <v>0</v>
      </c>
      <c r="ED22" s="1764">
        <v>23</v>
      </c>
      <c r="EE22" s="827">
        <v>224</v>
      </c>
      <c r="EF22" s="827">
        <v>0</v>
      </c>
      <c r="EG22" s="827">
        <v>0</v>
      </c>
      <c r="EH22" s="1764">
        <v>13</v>
      </c>
      <c r="EI22" s="1764">
        <v>23</v>
      </c>
      <c r="EJ22" s="1764">
        <v>8</v>
      </c>
      <c r="EK22" s="1764">
        <v>85</v>
      </c>
      <c r="EL22" s="1764">
        <v>25</v>
      </c>
      <c r="EM22" s="1764">
        <v>64</v>
      </c>
      <c r="EN22" s="1764">
        <v>0</v>
      </c>
      <c r="EO22" s="1764">
        <v>0</v>
      </c>
      <c r="EP22" s="1764">
        <v>0</v>
      </c>
      <c r="EQ22" s="1764">
        <v>32</v>
      </c>
      <c r="ER22" s="827">
        <v>33</v>
      </c>
      <c r="ES22" s="1764">
        <v>51</v>
      </c>
      <c r="ET22" s="1764">
        <v>0</v>
      </c>
      <c r="EU22" s="1764">
        <v>0</v>
      </c>
      <c r="EV22" s="1764">
        <v>32</v>
      </c>
      <c r="EW22" s="1764">
        <v>8</v>
      </c>
      <c r="EX22" s="1764">
        <v>33</v>
      </c>
      <c r="EY22" s="1764">
        <v>18</v>
      </c>
      <c r="EZ22" s="1764">
        <v>0</v>
      </c>
      <c r="FA22" s="1764">
        <v>11</v>
      </c>
      <c r="FB22" s="1764">
        <v>0</v>
      </c>
      <c r="FC22" s="1764">
        <v>0</v>
      </c>
      <c r="FD22" s="1764">
        <v>209</v>
      </c>
      <c r="FE22" s="1764">
        <v>0</v>
      </c>
      <c r="FF22" s="1764">
        <v>0</v>
      </c>
      <c r="FG22" s="1771">
        <v>168</v>
      </c>
      <c r="FH22" s="1771">
        <v>0</v>
      </c>
      <c r="FI22" s="1771">
        <v>0</v>
      </c>
      <c r="FJ22" s="1771">
        <v>211</v>
      </c>
      <c r="FK22" s="1771">
        <v>0</v>
      </c>
      <c r="FL22" s="1771">
        <v>20</v>
      </c>
      <c r="FM22" s="1771">
        <v>140</v>
      </c>
      <c r="FN22" s="1771">
        <v>0</v>
      </c>
      <c r="FO22" s="1771">
        <v>262</v>
      </c>
      <c r="FP22" s="1771">
        <v>17</v>
      </c>
      <c r="FQ22" s="1544">
        <v>50</v>
      </c>
      <c r="FR22" s="1771">
        <v>94</v>
      </c>
      <c r="FS22" s="1771">
        <v>89</v>
      </c>
      <c r="FT22" s="1771">
        <v>88</v>
      </c>
      <c r="FU22" s="1771">
        <v>0</v>
      </c>
      <c r="FV22" s="1783">
        <v>1</v>
      </c>
      <c r="FW22" s="1907">
        <v>95</v>
      </c>
      <c r="FX22" s="1907">
        <v>600</v>
      </c>
      <c r="FY22" s="2581">
        <v>211</v>
      </c>
      <c r="FZ22" s="2581">
        <v>0</v>
      </c>
      <c r="GA22" s="2620">
        <v>138</v>
      </c>
      <c r="GB22" s="3011">
        <v>0</v>
      </c>
      <c r="GC22" s="3131">
        <v>8</v>
      </c>
      <c r="GD22" s="3175">
        <v>72</v>
      </c>
      <c r="GE22" s="4724">
        <v>0</v>
      </c>
      <c r="GF22" s="4724">
        <v>0</v>
      </c>
      <c r="GG22" s="858"/>
      <c r="GH22" s="841">
        <v>6978</v>
      </c>
      <c r="GI22" s="864">
        <v>4202</v>
      </c>
      <c r="GJ22" s="840">
        <v>11180</v>
      </c>
      <c r="GK22" s="826">
        <v>3232</v>
      </c>
      <c r="GL22" s="583">
        <v>906</v>
      </c>
      <c r="GM22" s="583">
        <v>1755</v>
      </c>
      <c r="GN22" s="583">
        <v>414</v>
      </c>
      <c r="GO22" s="583">
        <v>2889</v>
      </c>
      <c r="GP22" s="583">
        <v>809</v>
      </c>
      <c r="GQ22" s="583">
        <v>118</v>
      </c>
      <c r="GR22" s="583">
        <v>435</v>
      </c>
      <c r="GS22" s="583">
        <v>659</v>
      </c>
      <c r="GT22" s="583">
        <v>158</v>
      </c>
      <c r="GU22" s="4975">
        <v>16</v>
      </c>
      <c r="GV22" s="5335">
        <v>755.69150000000081</v>
      </c>
      <c r="GW22" s="3066">
        <v>93.88</v>
      </c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12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12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</row>
    <row r="23" spans="1:276" ht="23.25" customHeight="1" thickBot="1">
      <c r="A23" s="542">
        <v>0.77083333333333337</v>
      </c>
      <c r="B23" s="1728">
        <v>0</v>
      </c>
      <c r="C23" s="1729">
        <v>0</v>
      </c>
      <c r="D23" s="1729">
        <v>0</v>
      </c>
      <c r="E23" s="1729">
        <v>0</v>
      </c>
      <c r="F23" s="1729">
        <v>0</v>
      </c>
      <c r="G23" s="1729">
        <v>0</v>
      </c>
      <c r="H23" s="1729">
        <v>0</v>
      </c>
      <c r="I23" s="1729">
        <v>0</v>
      </c>
      <c r="J23" s="1729">
        <v>0</v>
      </c>
      <c r="K23" s="828"/>
      <c r="L23" s="828">
        <v>0</v>
      </c>
      <c r="M23" s="1743">
        <v>0</v>
      </c>
      <c r="N23" s="1729">
        <v>0</v>
      </c>
      <c r="O23" s="1729">
        <v>0</v>
      </c>
      <c r="P23" s="1729">
        <v>0</v>
      </c>
      <c r="Q23" s="1729">
        <v>0</v>
      </c>
      <c r="R23" s="1729">
        <v>0</v>
      </c>
      <c r="S23" s="828">
        <v>0</v>
      </c>
      <c r="T23" s="828">
        <v>0</v>
      </c>
      <c r="U23" s="1729">
        <v>0</v>
      </c>
      <c r="V23" s="1729">
        <v>0</v>
      </c>
      <c r="W23" s="1729">
        <v>0</v>
      </c>
      <c r="X23" s="1729">
        <v>0</v>
      </c>
      <c r="Y23" s="1729">
        <v>0</v>
      </c>
      <c r="Z23" s="828">
        <v>0</v>
      </c>
      <c r="AA23" s="1729">
        <v>0</v>
      </c>
      <c r="AB23" s="1729">
        <v>0</v>
      </c>
      <c r="AC23" s="1729">
        <v>0</v>
      </c>
      <c r="AD23" s="1729">
        <v>0</v>
      </c>
      <c r="AE23" s="1729">
        <v>0</v>
      </c>
      <c r="AF23" s="1729">
        <v>0</v>
      </c>
      <c r="AG23" s="1729">
        <v>0</v>
      </c>
      <c r="AH23" s="1729">
        <v>0</v>
      </c>
      <c r="AI23" s="1729">
        <v>0</v>
      </c>
      <c r="AJ23" s="1729">
        <v>0</v>
      </c>
      <c r="AK23" s="828">
        <v>0</v>
      </c>
      <c r="AL23" s="828">
        <v>0</v>
      </c>
      <c r="AM23" s="1729">
        <v>0</v>
      </c>
      <c r="AN23" s="1729">
        <v>0</v>
      </c>
      <c r="AO23" s="1729">
        <v>0</v>
      </c>
      <c r="AP23" s="1729">
        <v>0</v>
      </c>
      <c r="AQ23" s="1729">
        <v>0</v>
      </c>
      <c r="AR23" s="828">
        <v>0</v>
      </c>
      <c r="AS23" s="1729">
        <v>0</v>
      </c>
      <c r="AT23" s="828">
        <v>0</v>
      </c>
      <c r="AU23" s="828"/>
      <c r="AV23" s="1729">
        <v>0</v>
      </c>
      <c r="AW23" s="1729">
        <v>0</v>
      </c>
      <c r="AX23" s="1729">
        <v>0</v>
      </c>
      <c r="AY23" s="1729">
        <v>0</v>
      </c>
      <c r="AZ23" s="1729">
        <v>0</v>
      </c>
      <c r="BA23" s="1729">
        <v>0</v>
      </c>
      <c r="BB23" s="1729">
        <v>0</v>
      </c>
      <c r="BC23" s="1729">
        <v>0</v>
      </c>
      <c r="BD23" s="1729">
        <v>0</v>
      </c>
      <c r="BE23" s="828">
        <v>0</v>
      </c>
      <c r="BF23" s="828">
        <v>0</v>
      </c>
      <c r="BG23" s="1729">
        <v>0</v>
      </c>
      <c r="BH23" s="1729">
        <v>0</v>
      </c>
      <c r="BI23" s="1729">
        <v>0</v>
      </c>
      <c r="BJ23" s="1729">
        <v>0</v>
      </c>
      <c r="BK23" s="1729">
        <v>0</v>
      </c>
      <c r="BL23" s="828">
        <v>0</v>
      </c>
      <c r="BM23" s="1729">
        <v>0</v>
      </c>
      <c r="BN23" s="828">
        <v>0</v>
      </c>
      <c r="BO23" s="1729">
        <v>0</v>
      </c>
      <c r="BP23" s="828">
        <v>0</v>
      </c>
      <c r="BQ23" s="1729">
        <v>0</v>
      </c>
      <c r="BR23" s="1729">
        <v>0</v>
      </c>
      <c r="BS23" s="1729">
        <v>0</v>
      </c>
      <c r="BT23" s="1729">
        <v>0</v>
      </c>
      <c r="BU23" s="1729">
        <v>0</v>
      </c>
      <c r="BV23" s="1729">
        <v>0</v>
      </c>
      <c r="BW23" s="1746">
        <v>0</v>
      </c>
      <c r="BX23" s="1729">
        <v>0</v>
      </c>
      <c r="BY23" s="1729">
        <v>0</v>
      </c>
      <c r="BZ23" s="1729">
        <v>0</v>
      </c>
      <c r="CA23" s="1756">
        <v>0</v>
      </c>
      <c r="CB23" s="1729">
        <v>0</v>
      </c>
      <c r="CC23" s="1729">
        <v>0</v>
      </c>
      <c r="CD23" s="1729">
        <v>0</v>
      </c>
      <c r="CE23" s="1729">
        <v>0</v>
      </c>
      <c r="CF23" s="1729">
        <v>0</v>
      </c>
      <c r="CG23" s="1729">
        <v>0</v>
      </c>
      <c r="CH23" s="1729">
        <v>0</v>
      </c>
      <c r="CI23" s="1729">
        <v>0</v>
      </c>
      <c r="CJ23" s="1729">
        <v>0</v>
      </c>
      <c r="CK23" s="1729">
        <v>0</v>
      </c>
      <c r="CL23" s="1729">
        <v>0</v>
      </c>
      <c r="CM23" s="1729">
        <v>0</v>
      </c>
      <c r="CN23" s="1729">
        <v>0</v>
      </c>
      <c r="CO23" s="1729">
        <v>0</v>
      </c>
      <c r="CP23" s="1729">
        <v>0</v>
      </c>
      <c r="CQ23" s="1729">
        <v>0</v>
      </c>
      <c r="CR23" s="828">
        <v>0</v>
      </c>
      <c r="CS23" s="1729">
        <v>0</v>
      </c>
      <c r="CT23" s="1729">
        <v>0</v>
      </c>
      <c r="CU23" s="828">
        <v>0</v>
      </c>
      <c r="CV23" s="1729">
        <v>0</v>
      </c>
      <c r="CW23" s="828">
        <v>0</v>
      </c>
      <c r="CX23" s="1729">
        <v>0</v>
      </c>
      <c r="CY23" s="1752">
        <v>0</v>
      </c>
      <c r="CZ23" s="1729">
        <v>0</v>
      </c>
      <c r="DA23" s="1729">
        <v>0</v>
      </c>
      <c r="DB23" s="1729">
        <v>0</v>
      </c>
      <c r="DC23" s="1729">
        <v>0</v>
      </c>
      <c r="DD23" s="1729">
        <v>0</v>
      </c>
      <c r="DE23" s="1743">
        <v>0</v>
      </c>
      <c r="DF23" s="1729">
        <v>0</v>
      </c>
      <c r="DG23" s="1729">
        <v>0</v>
      </c>
      <c r="DH23" s="1729">
        <v>0</v>
      </c>
      <c r="DI23" s="1839">
        <v>0</v>
      </c>
      <c r="DJ23" s="1851">
        <v>0</v>
      </c>
      <c r="DK23" s="2100">
        <v>0</v>
      </c>
      <c r="DL23" s="2169">
        <v>0</v>
      </c>
      <c r="DM23" s="2169">
        <v>0</v>
      </c>
      <c r="DN23" s="2427">
        <v>0</v>
      </c>
      <c r="DO23" s="2490">
        <v>0</v>
      </c>
      <c r="DP23" s="2579">
        <v>0</v>
      </c>
      <c r="DQ23" s="2595">
        <v>0</v>
      </c>
      <c r="DR23" s="2639">
        <v>0</v>
      </c>
      <c r="DS23" s="2659">
        <v>0</v>
      </c>
      <c r="DT23" s="2659">
        <v>0</v>
      </c>
      <c r="DU23" s="2731">
        <v>0</v>
      </c>
      <c r="DV23" s="2579">
        <v>0</v>
      </c>
      <c r="DW23" s="2579">
        <v>0</v>
      </c>
      <c r="DX23" s="4674">
        <v>0</v>
      </c>
      <c r="DY23" s="828"/>
      <c r="DZ23" s="1746">
        <v>0</v>
      </c>
      <c r="EA23" s="1765">
        <v>0</v>
      </c>
      <c r="EB23" s="1765">
        <v>0</v>
      </c>
      <c r="EC23" s="1765">
        <v>0</v>
      </c>
      <c r="ED23" s="1765">
        <v>0</v>
      </c>
      <c r="EE23" s="829">
        <v>0</v>
      </c>
      <c r="EF23" s="829">
        <v>0</v>
      </c>
      <c r="EG23" s="829">
        <v>0</v>
      </c>
      <c r="EH23" s="1765">
        <v>0</v>
      </c>
      <c r="EI23" s="1765">
        <v>0</v>
      </c>
      <c r="EJ23" s="1765">
        <v>0</v>
      </c>
      <c r="EK23" s="1765">
        <v>0</v>
      </c>
      <c r="EL23" s="1765">
        <v>0</v>
      </c>
      <c r="EM23" s="1765">
        <v>0</v>
      </c>
      <c r="EN23" s="1765">
        <v>0</v>
      </c>
      <c r="EO23" s="1765">
        <v>0</v>
      </c>
      <c r="EP23" s="1769">
        <v>0</v>
      </c>
      <c r="EQ23" s="1765">
        <v>0</v>
      </c>
      <c r="ER23" s="829">
        <v>0</v>
      </c>
      <c r="ES23" s="1765">
        <v>0</v>
      </c>
      <c r="ET23" s="1765">
        <v>0</v>
      </c>
      <c r="EU23" s="1765">
        <v>0</v>
      </c>
      <c r="EV23" s="1765">
        <v>0</v>
      </c>
      <c r="EW23" s="1765">
        <v>0</v>
      </c>
      <c r="EX23" s="1765">
        <v>0</v>
      </c>
      <c r="EY23" s="1765">
        <v>0</v>
      </c>
      <c r="EZ23" s="1765">
        <v>0</v>
      </c>
      <c r="FA23" s="1765">
        <v>0</v>
      </c>
      <c r="FB23" s="1765">
        <v>0</v>
      </c>
      <c r="FC23" s="1765">
        <v>0</v>
      </c>
      <c r="FD23" s="1765">
        <v>0</v>
      </c>
      <c r="FE23" s="1765">
        <v>0</v>
      </c>
      <c r="FF23" s="1765">
        <v>0</v>
      </c>
      <c r="FG23" s="1772">
        <v>0</v>
      </c>
      <c r="FH23" s="1772">
        <v>0</v>
      </c>
      <c r="FI23" s="1772">
        <v>0</v>
      </c>
      <c r="FJ23" s="1772">
        <v>0</v>
      </c>
      <c r="FK23" s="1772">
        <v>0</v>
      </c>
      <c r="FL23" s="1772">
        <v>0</v>
      </c>
      <c r="FM23" s="1772">
        <v>0</v>
      </c>
      <c r="FN23" s="1772">
        <v>0</v>
      </c>
      <c r="FO23" s="1772">
        <v>0</v>
      </c>
      <c r="FP23" s="1772">
        <v>0</v>
      </c>
      <c r="FQ23" s="1545">
        <v>0</v>
      </c>
      <c r="FR23" s="1772">
        <v>0</v>
      </c>
      <c r="FS23" s="1772">
        <v>0</v>
      </c>
      <c r="FT23" s="1772">
        <v>0</v>
      </c>
      <c r="FU23" s="1772">
        <v>0</v>
      </c>
      <c r="FV23" s="1784">
        <v>0</v>
      </c>
      <c r="FW23" s="1908">
        <v>0</v>
      </c>
      <c r="FX23" s="1908">
        <v>0</v>
      </c>
      <c r="FY23" s="2582">
        <v>0</v>
      </c>
      <c r="FZ23" s="2582">
        <v>0</v>
      </c>
      <c r="GA23" s="2621">
        <v>0</v>
      </c>
      <c r="GB23" s="3012">
        <v>0</v>
      </c>
      <c r="GC23" s="3132">
        <v>0</v>
      </c>
      <c r="GD23" s="3176">
        <v>0</v>
      </c>
      <c r="GE23" s="4725">
        <v>0</v>
      </c>
      <c r="GF23" s="4725">
        <v>0</v>
      </c>
      <c r="GG23" s="859"/>
      <c r="GH23" s="866">
        <v>0</v>
      </c>
      <c r="GI23" s="864">
        <v>0</v>
      </c>
      <c r="GJ23" s="852">
        <v>0</v>
      </c>
      <c r="GK23" s="853">
        <v>0</v>
      </c>
      <c r="GL23" s="854">
        <v>0</v>
      </c>
      <c r="GM23" s="854">
        <v>0</v>
      </c>
      <c r="GN23" s="583">
        <v>0</v>
      </c>
      <c r="GO23" s="583">
        <v>0</v>
      </c>
      <c r="GP23" s="583">
        <v>0</v>
      </c>
      <c r="GQ23" s="583">
        <v>0</v>
      </c>
      <c r="GR23" s="583">
        <v>0</v>
      </c>
      <c r="GS23" s="583">
        <v>0</v>
      </c>
      <c r="GT23" s="583">
        <v>0</v>
      </c>
      <c r="GU23" s="4975">
        <v>0</v>
      </c>
      <c r="GV23" s="5335">
        <v>904.06507500000225</v>
      </c>
      <c r="GW23" s="3067">
        <v>0</v>
      </c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12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</row>
    <row r="24" spans="1:276" ht="24" customHeight="1" thickBot="1">
      <c r="A24" s="542">
        <v>0.79166666666666663</v>
      </c>
      <c r="B24" s="1726">
        <v>0</v>
      </c>
      <c r="C24" s="1727">
        <v>0</v>
      </c>
      <c r="D24" s="1727">
        <v>0</v>
      </c>
      <c r="E24" s="1727">
        <v>180</v>
      </c>
      <c r="F24" s="1727">
        <v>0</v>
      </c>
      <c r="G24" s="1727">
        <v>96</v>
      </c>
      <c r="H24" s="1727">
        <v>0</v>
      </c>
      <c r="I24" s="1727">
        <v>401</v>
      </c>
      <c r="J24" s="1727">
        <v>278</v>
      </c>
      <c r="K24" s="689"/>
      <c r="L24" s="689">
        <v>0</v>
      </c>
      <c r="M24" s="1727">
        <v>225</v>
      </c>
      <c r="N24" s="1727">
        <v>0</v>
      </c>
      <c r="O24" s="1727">
        <v>11</v>
      </c>
      <c r="P24" s="1727">
        <v>0</v>
      </c>
      <c r="Q24" s="1727">
        <v>30</v>
      </c>
      <c r="R24" s="1727">
        <v>0</v>
      </c>
      <c r="S24" s="689">
        <v>0</v>
      </c>
      <c r="T24" s="689">
        <v>0</v>
      </c>
      <c r="U24" s="1727">
        <v>11</v>
      </c>
      <c r="V24" s="1727">
        <v>8</v>
      </c>
      <c r="W24" s="1727">
        <v>124</v>
      </c>
      <c r="X24" s="1727">
        <v>0</v>
      </c>
      <c r="Y24" s="1727">
        <v>0</v>
      </c>
      <c r="Z24" s="689">
        <v>0</v>
      </c>
      <c r="AA24" s="1727">
        <v>0</v>
      </c>
      <c r="AB24" s="1727">
        <v>54</v>
      </c>
      <c r="AC24" s="1727">
        <v>55</v>
      </c>
      <c r="AD24" s="1727">
        <v>35</v>
      </c>
      <c r="AE24" s="1727">
        <v>22</v>
      </c>
      <c r="AF24" s="1727">
        <v>25</v>
      </c>
      <c r="AG24" s="1727">
        <v>20</v>
      </c>
      <c r="AH24" s="1727">
        <v>33</v>
      </c>
      <c r="AI24" s="1727">
        <v>30</v>
      </c>
      <c r="AJ24" s="1727">
        <v>49</v>
      </c>
      <c r="AK24" s="689">
        <v>0</v>
      </c>
      <c r="AL24" s="689">
        <v>83</v>
      </c>
      <c r="AM24" s="1727">
        <v>35</v>
      </c>
      <c r="AN24" s="1727">
        <v>100</v>
      </c>
      <c r="AO24" s="1727">
        <v>0</v>
      </c>
      <c r="AP24" s="1727">
        <v>25</v>
      </c>
      <c r="AQ24" s="1727">
        <v>0</v>
      </c>
      <c r="AR24" s="689">
        <v>0</v>
      </c>
      <c r="AS24" s="1727">
        <v>0</v>
      </c>
      <c r="AT24" s="689">
        <v>0</v>
      </c>
      <c r="AU24" s="689"/>
      <c r="AV24" s="1727">
        <v>1</v>
      </c>
      <c r="AW24" s="1727">
        <v>26</v>
      </c>
      <c r="AX24" s="1727">
        <v>51</v>
      </c>
      <c r="AY24" s="1727">
        <v>33</v>
      </c>
      <c r="AZ24" s="1727">
        <v>80</v>
      </c>
      <c r="BA24" s="1727">
        <v>25</v>
      </c>
      <c r="BB24" s="1727">
        <v>13</v>
      </c>
      <c r="BC24" s="1727">
        <v>7</v>
      </c>
      <c r="BD24" s="1727">
        <v>0</v>
      </c>
      <c r="BE24" s="689">
        <v>0</v>
      </c>
      <c r="BF24" s="689">
        <v>0</v>
      </c>
      <c r="BG24" s="1727">
        <v>280</v>
      </c>
      <c r="BH24" s="1727">
        <v>260</v>
      </c>
      <c r="BI24" s="1727">
        <v>202</v>
      </c>
      <c r="BJ24" s="1727">
        <v>8</v>
      </c>
      <c r="BK24" s="1727">
        <v>128</v>
      </c>
      <c r="BL24" s="689">
        <v>38</v>
      </c>
      <c r="BM24" s="1727">
        <v>15</v>
      </c>
      <c r="BN24" s="689">
        <v>0</v>
      </c>
      <c r="BO24" s="1727">
        <v>51</v>
      </c>
      <c r="BP24" s="689">
        <v>0</v>
      </c>
      <c r="BQ24" s="1727">
        <v>34</v>
      </c>
      <c r="BR24" s="1727">
        <v>16</v>
      </c>
      <c r="BS24" s="1727">
        <v>0</v>
      </c>
      <c r="BT24" s="1727">
        <v>10</v>
      </c>
      <c r="BU24" s="1727">
        <v>33</v>
      </c>
      <c r="BV24" s="1727">
        <v>20</v>
      </c>
      <c r="BW24" s="1747">
        <v>158</v>
      </c>
      <c r="BX24" s="1727">
        <v>99</v>
      </c>
      <c r="BY24" s="1727">
        <v>0</v>
      </c>
      <c r="BZ24" s="1727">
        <v>22</v>
      </c>
      <c r="CA24" s="1757">
        <v>0</v>
      </c>
      <c r="CB24" s="1727">
        <v>44</v>
      </c>
      <c r="CC24" s="1727">
        <v>40</v>
      </c>
      <c r="CD24" s="1727">
        <v>50</v>
      </c>
      <c r="CE24" s="1727">
        <v>40</v>
      </c>
      <c r="CF24" s="1727">
        <v>110</v>
      </c>
      <c r="CG24" s="1727">
        <v>0</v>
      </c>
      <c r="CH24" s="1727">
        <v>58</v>
      </c>
      <c r="CI24" s="1727">
        <v>70</v>
      </c>
      <c r="CJ24" s="1727">
        <v>0</v>
      </c>
      <c r="CK24" s="1727">
        <v>220</v>
      </c>
      <c r="CL24" s="1727">
        <v>0</v>
      </c>
      <c r="CM24" s="1727">
        <v>29</v>
      </c>
      <c r="CN24" s="1727">
        <v>10</v>
      </c>
      <c r="CO24" s="1727">
        <v>300</v>
      </c>
      <c r="CP24" s="1727">
        <v>16</v>
      </c>
      <c r="CQ24" s="1727">
        <v>0</v>
      </c>
      <c r="CR24" s="689">
        <v>195</v>
      </c>
      <c r="CS24" s="1727">
        <v>242</v>
      </c>
      <c r="CT24" s="1727">
        <v>241</v>
      </c>
      <c r="CU24" s="689">
        <v>98</v>
      </c>
      <c r="CV24" s="1727">
        <v>151</v>
      </c>
      <c r="CW24" s="689">
        <v>98</v>
      </c>
      <c r="CX24" s="1727">
        <v>149</v>
      </c>
      <c r="CY24" s="1753">
        <v>0</v>
      </c>
      <c r="CZ24" s="1727">
        <v>90</v>
      </c>
      <c r="DA24" s="1727">
        <v>34</v>
      </c>
      <c r="DB24" s="1727">
        <v>112</v>
      </c>
      <c r="DC24" s="1727">
        <v>405</v>
      </c>
      <c r="DD24" s="1727">
        <v>78</v>
      </c>
      <c r="DE24" s="1727">
        <v>105</v>
      </c>
      <c r="DF24" s="1727">
        <v>105</v>
      </c>
      <c r="DG24" s="1727">
        <v>0</v>
      </c>
      <c r="DH24" s="1727">
        <v>206</v>
      </c>
      <c r="DI24" s="1840">
        <v>34</v>
      </c>
      <c r="DJ24" s="1852">
        <v>72</v>
      </c>
      <c r="DK24" s="2101">
        <v>114</v>
      </c>
      <c r="DL24" s="2170">
        <v>114</v>
      </c>
      <c r="DM24" s="2170">
        <v>38</v>
      </c>
      <c r="DN24" s="2428">
        <v>0</v>
      </c>
      <c r="DO24" s="2491">
        <v>17</v>
      </c>
      <c r="DP24" s="2580">
        <v>0</v>
      </c>
      <c r="DQ24" s="2596">
        <v>162</v>
      </c>
      <c r="DR24" s="2640">
        <v>108</v>
      </c>
      <c r="DS24" s="2660">
        <v>0</v>
      </c>
      <c r="DT24" s="2660">
        <v>35</v>
      </c>
      <c r="DU24" s="2732">
        <v>0</v>
      </c>
      <c r="DV24" s="2580">
        <v>52</v>
      </c>
      <c r="DW24" s="2580">
        <v>55</v>
      </c>
      <c r="DX24" s="4675">
        <v>0</v>
      </c>
      <c r="DY24" s="689"/>
      <c r="DZ24" s="1747">
        <v>907</v>
      </c>
      <c r="EA24" s="1766">
        <v>0</v>
      </c>
      <c r="EB24" s="1766">
        <v>140</v>
      </c>
      <c r="EC24" s="1766">
        <v>0</v>
      </c>
      <c r="ED24" s="1766">
        <v>27</v>
      </c>
      <c r="EE24" s="830">
        <v>223</v>
      </c>
      <c r="EF24" s="830">
        <v>0</v>
      </c>
      <c r="EG24" s="830">
        <v>0</v>
      </c>
      <c r="EH24" s="1766">
        <v>34</v>
      </c>
      <c r="EI24" s="1766">
        <v>63</v>
      </c>
      <c r="EJ24" s="1766">
        <v>8</v>
      </c>
      <c r="EK24" s="1766">
        <v>85</v>
      </c>
      <c r="EL24" s="1766">
        <v>30</v>
      </c>
      <c r="EM24" s="1766">
        <v>64</v>
      </c>
      <c r="EN24" s="1766">
        <v>0</v>
      </c>
      <c r="EO24" s="1766">
        <v>0</v>
      </c>
      <c r="EP24" s="1766">
        <v>0</v>
      </c>
      <c r="EQ24" s="1766">
        <v>32</v>
      </c>
      <c r="ER24" s="830">
        <v>21</v>
      </c>
      <c r="ES24" s="1766">
        <v>79</v>
      </c>
      <c r="ET24" s="1766">
        <v>0</v>
      </c>
      <c r="EU24" s="1766">
        <v>0</v>
      </c>
      <c r="EV24" s="1766">
        <v>32</v>
      </c>
      <c r="EW24" s="1766">
        <v>52</v>
      </c>
      <c r="EX24" s="1766">
        <v>33</v>
      </c>
      <c r="EY24" s="1766">
        <v>18</v>
      </c>
      <c r="EZ24" s="1766">
        <v>0</v>
      </c>
      <c r="FA24" s="1766">
        <v>11</v>
      </c>
      <c r="FB24" s="1766">
        <v>0</v>
      </c>
      <c r="FC24" s="1766">
        <v>0</v>
      </c>
      <c r="FD24" s="1766">
        <v>250</v>
      </c>
      <c r="FE24" s="1766">
        <v>0</v>
      </c>
      <c r="FF24" s="1766">
        <v>0</v>
      </c>
      <c r="FG24" s="1773">
        <v>168</v>
      </c>
      <c r="FH24" s="1773">
        <v>0</v>
      </c>
      <c r="FI24" s="1773">
        <v>0</v>
      </c>
      <c r="FJ24" s="1773">
        <v>211</v>
      </c>
      <c r="FK24" s="1773">
        <v>0</v>
      </c>
      <c r="FL24" s="1773">
        <v>47</v>
      </c>
      <c r="FM24" s="1773">
        <v>140</v>
      </c>
      <c r="FN24" s="1773">
        <v>0</v>
      </c>
      <c r="FO24" s="1773">
        <v>270</v>
      </c>
      <c r="FP24" s="1773">
        <v>17</v>
      </c>
      <c r="FQ24" s="1546">
        <v>84</v>
      </c>
      <c r="FR24" s="1773">
        <v>94</v>
      </c>
      <c r="FS24" s="1773">
        <v>88</v>
      </c>
      <c r="FT24" s="1773">
        <v>91</v>
      </c>
      <c r="FU24" s="1773">
        <v>0</v>
      </c>
      <c r="FV24" s="1785">
        <v>0</v>
      </c>
      <c r="FW24" s="1909">
        <v>95</v>
      </c>
      <c r="FX24" s="1909">
        <v>660</v>
      </c>
      <c r="FY24" s="2583">
        <v>218</v>
      </c>
      <c r="FZ24" s="2583">
        <v>0</v>
      </c>
      <c r="GA24" s="2622">
        <v>0</v>
      </c>
      <c r="GB24" s="3013">
        <v>0</v>
      </c>
      <c r="GC24" s="3133">
        <v>0</v>
      </c>
      <c r="GD24" s="3177">
        <v>90</v>
      </c>
      <c r="GE24" s="4726">
        <v>0</v>
      </c>
      <c r="GF24" s="4726">
        <v>0</v>
      </c>
      <c r="GG24" s="860"/>
      <c r="GH24" s="867">
        <v>7637</v>
      </c>
      <c r="GI24" s="865">
        <v>4382</v>
      </c>
      <c r="GJ24" s="840">
        <v>12019</v>
      </c>
      <c r="GK24" s="826">
        <v>3243</v>
      </c>
      <c r="GL24" s="840">
        <v>907</v>
      </c>
      <c r="GM24" s="840">
        <v>1825</v>
      </c>
      <c r="GN24" s="840">
        <v>763</v>
      </c>
      <c r="GO24" s="840">
        <v>3132</v>
      </c>
      <c r="GP24" s="840">
        <v>910</v>
      </c>
      <c r="GQ24" s="840">
        <v>118</v>
      </c>
      <c r="GR24" s="840">
        <v>434</v>
      </c>
      <c r="GS24" s="840">
        <v>740</v>
      </c>
      <c r="GT24" s="840">
        <v>158</v>
      </c>
      <c r="GU24" s="4975">
        <v>0</v>
      </c>
      <c r="GV24" s="5335">
        <v>1088</v>
      </c>
      <c r="GW24" s="3066">
        <v>93.94</v>
      </c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12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12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</row>
    <row r="25" spans="1:276" ht="24.75" customHeight="1" thickBot="1">
      <c r="A25" s="542">
        <v>0.8125</v>
      </c>
      <c r="B25" s="1730">
        <v>0</v>
      </c>
      <c r="C25" s="1731">
        <v>0</v>
      </c>
      <c r="D25" s="1731">
        <v>0</v>
      </c>
      <c r="E25" s="1731">
        <v>180</v>
      </c>
      <c r="F25" s="1736">
        <v>0</v>
      </c>
      <c r="G25" s="1735">
        <v>96</v>
      </c>
      <c r="H25" s="1731">
        <v>0</v>
      </c>
      <c r="I25" s="1731">
        <v>396</v>
      </c>
      <c r="J25" s="1727">
        <v>276</v>
      </c>
      <c r="K25" s="689"/>
      <c r="L25" s="689">
        <v>0</v>
      </c>
      <c r="M25" s="1727">
        <v>225</v>
      </c>
      <c r="N25" s="1727">
        <v>0</v>
      </c>
      <c r="O25" s="1727">
        <v>41</v>
      </c>
      <c r="P25" s="1727">
        <v>0</v>
      </c>
      <c r="Q25" s="1727">
        <v>30</v>
      </c>
      <c r="R25" s="1727">
        <v>0</v>
      </c>
      <c r="S25" s="689">
        <v>0</v>
      </c>
      <c r="T25" s="689">
        <v>0</v>
      </c>
      <c r="U25" s="1727">
        <v>50</v>
      </c>
      <c r="V25" s="1735">
        <v>42</v>
      </c>
      <c r="W25" s="1727">
        <v>128</v>
      </c>
      <c r="X25" s="1727">
        <v>0</v>
      </c>
      <c r="Y25" s="1727">
        <v>0</v>
      </c>
      <c r="Z25" s="689">
        <v>0</v>
      </c>
      <c r="AA25" s="1727">
        <v>0</v>
      </c>
      <c r="AB25" s="1727">
        <v>54</v>
      </c>
      <c r="AC25" s="1727">
        <v>55</v>
      </c>
      <c r="AD25" s="1727">
        <v>35</v>
      </c>
      <c r="AE25" s="1727">
        <v>22</v>
      </c>
      <c r="AF25" s="1727">
        <v>25</v>
      </c>
      <c r="AG25" s="1727">
        <v>26</v>
      </c>
      <c r="AH25" s="1727">
        <v>33</v>
      </c>
      <c r="AI25" s="1727">
        <v>30</v>
      </c>
      <c r="AJ25" s="1727">
        <v>49</v>
      </c>
      <c r="AK25" s="689">
        <v>0</v>
      </c>
      <c r="AL25" s="689">
        <v>83</v>
      </c>
      <c r="AM25" s="1727">
        <v>35</v>
      </c>
      <c r="AN25" s="1727">
        <v>100</v>
      </c>
      <c r="AO25" s="1727">
        <v>0</v>
      </c>
      <c r="AP25" s="1727">
        <v>25</v>
      </c>
      <c r="AQ25" s="1727">
        <v>0</v>
      </c>
      <c r="AR25" s="689">
        <v>0</v>
      </c>
      <c r="AS25" s="1727">
        <v>0</v>
      </c>
      <c r="AT25" s="689">
        <v>0</v>
      </c>
      <c r="AU25" s="689"/>
      <c r="AV25" s="1727">
        <v>2</v>
      </c>
      <c r="AW25" s="1727">
        <v>34</v>
      </c>
      <c r="AX25" s="1727">
        <v>51</v>
      </c>
      <c r="AY25" s="1727">
        <v>33</v>
      </c>
      <c r="AZ25" s="1727">
        <v>76</v>
      </c>
      <c r="BA25" s="1727">
        <v>25</v>
      </c>
      <c r="BB25" s="1727">
        <v>13</v>
      </c>
      <c r="BC25" s="1727">
        <v>7</v>
      </c>
      <c r="BD25" s="1727">
        <v>0</v>
      </c>
      <c r="BE25" s="689">
        <v>0</v>
      </c>
      <c r="BF25" s="689">
        <v>0</v>
      </c>
      <c r="BG25" s="1727">
        <v>280</v>
      </c>
      <c r="BH25" s="1727">
        <v>260</v>
      </c>
      <c r="BI25" s="1727">
        <v>204</v>
      </c>
      <c r="BJ25" s="1727">
        <v>8</v>
      </c>
      <c r="BK25" s="1727">
        <v>127</v>
      </c>
      <c r="BL25" s="689">
        <v>41</v>
      </c>
      <c r="BM25" s="1727">
        <v>35</v>
      </c>
      <c r="BN25" s="689">
        <v>0</v>
      </c>
      <c r="BO25" s="1735">
        <v>51</v>
      </c>
      <c r="BP25" s="690">
        <v>0</v>
      </c>
      <c r="BQ25" s="1735">
        <v>38</v>
      </c>
      <c r="BR25" s="1727">
        <v>43</v>
      </c>
      <c r="BS25" s="1735">
        <v>10</v>
      </c>
      <c r="BT25" s="1735">
        <v>10</v>
      </c>
      <c r="BU25" s="1735">
        <v>33</v>
      </c>
      <c r="BV25" s="1735">
        <v>20</v>
      </c>
      <c r="BW25" s="1745">
        <v>160</v>
      </c>
      <c r="BX25" s="1735">
        <v>100</v>
      </c>
      <c r="BY25" s="1735">
        <v>0</v>
      </c>
      <c r="BZ25" s="1735">
        <v>22</v>
      </c>
      <c r="CA25" s="1755">
        <v>0</v>
      </c>
      <c r="CB25" s="1735">
        <v>44</v>
      </c>
      <c r="CC25" s="1735">
        <v>40</v>
      </c>
      <c r="CD25" s="1735">
        <v>53</v>
      </c>
      <c r="CE25" s="1735">
        <v>47</v>
      </c>
      <c r="CF25" s="1735">
        <v>110</v>
      </c>
      <c r="CG25" s="1735">
        <v>0</v>
      </c>
      <c r="CH25" s="1735">
        <v>58</v>
      </c>
      <c r="CI25" s="1735">
        <v>81</v>
      </c>
      <c r="CJ25" s="1735">
        <v>0</v>
      </c>
      <c r="CK25" s="1735">
        <v>220</v>
      </c>
      <c r="CL25" s="1735">
        <v>0</v>
      </c>
      <c r="CM25" s="1735">
        <v>29</v>
      </c>
      <c r="CN25" s="1735">
        <v>9</v>
      </c>
      <c r="CO25" s="1735">
        <v>270</v>
      </c>
      <c r="CP25" s="1735">
        <v>16</v>
      </c>
      <c r="CQ25" s="1735">
        <v>0</v>
      </c>
      <c r="CR25" s="690">
        <v>150</v>
      </c>
      <c r="CS25" s="1735">
        <v>242</v>
      </c>
      <c r="CT25" s="1735">
        <v>200</v>
      </c>
      <c r="CU25" s="690">
        <v>60</v>
      </c>
      <c r="CV25" s="1735">
        <v>151</v>
      </c>
      <c r="CW25" s="690">
        <v>51</v>
      </c>
      <c r="CX25" s="1735">
        <v>149</v>
      </c>
      <c r="CY25" s="1751">
        <v>0</v>
      </c>
      <c r="CZ25" s="1735">
        <v>90</v>
      </c>
      <c r="DA25" s="1735">
        <v>34</v>
      </c>
      <c r="DB25" s="1735">
        <v>116</v>
      </c>
      <c r="DC25" s="1735">
        <v>404</v>
      </c>
      <c r="DD25" s="1735">
        <v>78</v>
      </c>
      <c r="DE25" s="1735">
        <v>105</v>
      </c>
      <c r="DF25" s="1735">
        <v>105</v>
      </c>
      <c r="DG25" s="1735">
        <v>0</v>
      </c>
      <c r="DH25" s="1735">
        <v>210</v>
      </c>
      <c r="DI25" s="1838">
        <v>36</v>
      </c>
      <c r="DJ25" s="1850">
        <v>73</v>
      </c>
      <c r="DK25" s="2099">
        <v>114</v>
      </c>
      <c r="DL25" s="2168">
        <v>115</v>
      </c>
      <c r="DM25" s="2168">
        <v>100</v>
      </c>
      <c r="DN25" s="2426">
        <v>0</v>
      </c>
      <c r="DO25" s="2489">
        <v>51</v>
      </c>
      <c r="DP25" s="2578">
        <v>0</v>
      </c>
      <c r="DQ25" s="2594">
        <v>162</v>
      </c>
      <c r="DR25" s="2638">
        <v>108</v>
      </c>
      <c r="DS25" s="2658">
        <v>0</v>
      </c>
      <c r="DT25" s="2658">
        <v>35</v>
      </c>
      <c r="DU25" s="2730">
        <v>0</v>
      </c>
      <c r="DV25" s="2578">
        <v>75</v>
      </c>
      <c r="DW25" s="2578">
        <v>55</v>
      </c>
      <c r="DX25" s="4673">
        <v>0</v>
      </c>
      <c r="DY25" s="690"/>
      <c r="DZ25" s="1760">
        <v>909</v>
      </c>
      <c r="EA25" s="1764">
        <v>0</v>
      </c>
      <c r="EB25" s="1764">
        <v>145</v>
      </c>
      <c r="EC25" s="1764">
        <v>0</v>
      </c>
      <c r="ED25" s="1764">
        <v>30</v>
      </c>
      <c r="EE25" s="827">
        <v>226</v>
      </c>
      <c r="EF25" s="827">
        <v>0</v>
      </c>
      <c r="EG25" s="827">
        <v>0</v>
      </c>
      <c r="EH25" s="1764">
        <v>36</v>
      </c>
      <c r="EI25" s="1764">
        <v>78</v>
      </c>
      <c r="EJ25" s="1764">
        <v>8</v>
      </c>
      <c r="EK25" s="1764">
        <v>88</v>
      </c>
      <c r="EL25" s="1764">
        <v>31</v>
      </c>
      <c r="EM25" s="1764">
        <v>64</v>
      </c>
      <c r="EN25" s="1764">
        <v>0</v>
      </c>
      <c r="EO25" s="1764">
        <v>0</v>
      </c>
      <c r="EP25" s="1764">
        <v>0</v>
      </c>
      <c r="EQ25" s="1764">
        <v>32</v>
      </c>
      <c r="ER25" s="827">
        <v>21</v>
      </c>
      <c r="ES25" s="1764">
        <v>80</v>
      </c>
      <c r="ET25" s="1764">
        <v>0</v>
      </c>
      <c r="EU25" s="1764">
        <v>0</v>
      </c>
      <c r="EV25" s="1764">
        <v>32</v>
      </c>
      <c r="EW25" s="1764">
        <v>52</v>
      </c>
      <c r="EX25" s="1764">
        <v>33</v>
      </c>
      <c r="EY25" s="1764">
        <v>20</v>
      </c>
      <c r="EZ25" s="1764">
        <v>0</v>
      </c>
      <c r="FA25" s="1764">
        <v>11</v>
      </c>
      <c r="FB25" s="1764">
        <v>0</v>
      </c>
      <c r="FC25" s="1764">
        <v>0</v>
      </c>
      <c r="FD25" s="1764">
        <v>250</v>
      </c>
      <c r="FE25" s="1764">
        <v>0</v>
      </c>
      <c r="FF25" s="1764">
        <v>0</v>
      </c>
      <c r="FG25" s="1771">
        <v>169</v>
      </c>
      <c r="FH25" s="1771">
        <v>0</v>
      </c>
      <c r="FI25" s="1771">
        <v>0</v>
      </c>
      <c r="FJ25" s="1771">
        <v>213</v>
      </c>
      <c r="FK25" s="1771">
        <v>0</v>
      </c>
      <c r="FL25" s="1771">
        <v>95</v>
      </c>
      <c r="FM25" s="1771">
        <v>141</v>
      </c>
      <c r="FN25" s="1771">
        <v>0</v>
      </c>
      <c r="FO25" s="1771">
        <v>281</v>
      </c>
      <c r="FP25" s="1771">
        <v>53</v>
      </c>
      <c r="FQ25" s="1544">
        <v>155</v>
      </c>
      <c r="FR25" s="1771">
        <v>94</v>
      </c>
      <c r="FS25" s="1771">
        <v>105</v>
      </c>
      <c r="FT25" s="1771">
        <v>91</v>
      </c>
      <c r="FU25" s="1771">
        <v>0</v>
      </c>
      <c r="FV25" s="1783">
        <v>0</v>
      </c>
      <c r="FW25" s="1907">
        <v>95</v>
      </c>
      <c r="FX25" s="1907">
        <v>780</v>
      </c>
      <c r="FY25" s="2581">
        <v>213</v>
      </c>
      <c r="FZ25" s="2581">
        <v>0</v>
      </c>
      <c r="GA25" s="2620">
        <v>0</v>
      </c>
      <c r="GB25" s="3011">
        <v>0</v>
      </c>
      <c r="GC25" s="3131">
        <v>0</v>
      </c>
      <c r="GD25" s="3175">
        <v>90</v>
      </c>
      <c r="GE25" s="4724">
        <v>0</v>
      </c>
      <c r="GF25" s="4724">
        <v>0</v>
      </c>
      <c r="GG25" s="858"/>
      <c r="GH25" s="841">
        <v>7765</v>
      </c>
      <c r="GI25" s="862">
        <v>4721</v>
      </c>
      <c r="GJ25" s="855">
        <v>12486</v>
      </c>
      <c r="GK25" s="838">
        <v>3268</v>
      </c>
      <c r="GL25" s="825">
        <v>909</v>
      </c>
      <c r="GM25" s="825">
        <v>1842</v>
      </c>
      <c r="GN25" s="824">
        <v>711</v>
      </c>
      <c r="GO25" s="824">
        <v>3446</v>
      </c>
      <c r="GP25" s="824">
        <v>1030</v>
      </c>
      <c r="GQ25" s="824">
        <v>118</v>
      </c>
      <c r="GR25" s="824">
        <v>439</v>
      </c>
      <c r="GS25" s="824">
        <v>776</v>
      </c>
      <c r="GT25" s="824">
        <v>160</v>
      </c>
      <c r="GU25" s="4975">
        <v>0</v>
      </c>
      <c r="GV25" s="4974">
        <v>1072.7132999999994</v>
      </c>
      <c r="GW25" s="3067">
        <v>0</v>
      </c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12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</row>
    <row r="26" spans="1:276" ht="23.25" customHeight="1" thickBot="1">
      <c r="A26" s="542">
        <v>0.83333333333333337</v>
      </c>
      <c r="B26" s="1730">
        <v>0</v>
      </c>
      <c r="C26" s="1731">
        <v>0</v>
      </c>
      <c r="D26" s="1731">
        <v>0</v>
      </c>
      <c r="E26" s="1731">
        <v>180</v>
      </c>
      <c r="F26" s="1736">
        <v>60</v>
      </c>
      <c r="G26" s="1735">
        <v>97</v>
      </c>
      <c r="H26" s="1731">
        <v>0</v>
      </c>
      <c r="I26" s="1731">
        <v>397</v>
      </c>
      <c r="J26" s="1727">
        <v>277</v>
      </c>
      <c r="K26" s="689"/>
      <c r="L26" s="689">
        <v>0</v>
      </c>
      <c r="M26" s="1727">
        <v>225</v>
      </c>
      <c r="N26" s="1727">
        <v>0</v>
      </c>
      <c r="O26" s="1727">
        <v>38</v>
      </c>
      <c r="P26" s="1727">
        <v>0</v>
      </c>
      <c r="Q26" s="1727">
        <v>30</v>
      </c>
      <c r="R26" s="1727">
        <v>0</v>
      </c>
      <c r="S26" s="689">
        <v>0</v>
      </c>
      <c r="T26" s="689">
        <v>0</v>
      </c>
      <c r="U26" s="1727">
        <v>43</v>
      </c>
      <c r="V26" s="1735">
        <v>50</v>
      </c>
      <c r="W26" s="1727">
        <v>128</v>
      </c>
      <c r="X26" s="1727">
        <v>0</v>
      </c>
      <c r="Y26" s="1727">
        <v>0</v>
      </c>
      <c r="Z26" s="689">
        <v>0</v>
      </c>
      <c r="AA26" s="1727">
        <v>0</v>
      </c>
      <c r="AB26" s="1727">
        <v>54</v>
      </c>
      <c r="AC26" s="1727">
        <v>55</v>
      </c>
      <c r="AD26" s="1727">
        <v>35</v>
      </c>
      <c r="AE26" s="1727">
        <v>22</v>
      </c>
      <c r="AF26" s="1727">
        <v>25</v>
      </c>
      <c r="AG26" s="1727">
        <v>27</v>
      </c>
      <c r="AH26" s="1727">
        <v>33</v>
      </c>
      <c r="AI26" s="1727">
        <v>30</v>
      </c>
      <c r="AJ26" s="1727">
        <v>49</v>
      </c>
      <c r="AK26" s="689">
        <v>0</v>
      </c>
      <c r="AL26" s="689">
        <v>83</v>
      </c>
      <c r="AM26" s="1727">
        <v>35</v>
      </c>
      <c r="AN26" s="1727">
        <v>100</v>
      </c>
      <c r="AO26" s="1727">
        <v>0</v>
      </c>
      <c r="AP26" s="1727">
        <v>25</v>
      </c>
      <c r="AQ26" s="1727">
        <v>0</v>
      </c>
      <c r="AR26" s="689">
        <v>0</v>
      </c>
      <c r="AS26" s="1727">
        <v>0</v>
      </c>
      <c r="AT26" s="689">
        <v>0</v>
      </c>
      <c r="AU26" s="689"/>
      <c r="AV26" s="1727">
        <v>4</v>
      </c>
      <c r="AW26" s="1727">
        <v>34</v>
      </c>
      <c r="AX26" s="1727">
        <v>51</v>
      </c>
      <c r="AY26" s="1727">
        <v>33</v>
      </c>
      <c r="AZ26" s="1727">
        <v>75</v>
      </c>
      <c r="BA26" s="1727">
        <v>25</v>
      </c>
      <c r="BB26" s="1727">
        <v>13</v>
      </c>
      <c r="BC26" s="1727">
        <v>22</v>
      </c>
      <c r="BD26" s="1727">
        <v>0</v>
      </c>
      <c r="BE26" s="689">
        <v>0</v>
      </c>
      <c r="BF26" s="689">
        <v>0</v>
      </c>
      <c r="BG26" s="1727">
        <v>280</v>
      </c>
      <c r="BH26" s="1727">
        <v>260</v>
      </c>
      <c r="BI26" s="1727">
        <v>204</v>
      </c>
      <c r="BJ26" s="1727">
        <v>8</v>
      </c>
      <c r="BK26" s="1727">
        <v>129</v>
      </c>
      <c r="BL26" s="689">
        <v>41</v>
      </c>
      <c r="BM26" s="1727">
        <v>35</v>
      </c>
      <c r="BN26" s="689">
        <v>0</v>
      </c>
      <c r="BO26" s="1735">
        <v>51</v>
      </c>
      <c r="BP26" s="690">
        <v>0</v>
      </c>
      <c r="BQ26" s="1735">
        <v>38</v>
      </c>
      <c r="BR26" s="1727">
        <v>43</v>
      </c>
      <c r="BS26" s="1735">
        <v>16</v>
      </c>
      <c r="BT26" s="1735">
        <v>10</v>
      </c>
      <c r="BU26" s="1735">
        <v>33</v>
      </c>
      <c r="BV26" s="1735">
        <v>20</v>
      </c>
      <c r="BW26" s="1745">
        <v>160</v>
      </c>
      <c r="BX26" s="1735">
        <v>100</v>
      </c>
      <c r="BY26" s="1735">
        <v>0</v>
      </c>
      <c r="BZ26" s="1735">
        <v>22</v>
      </c>
      <c r="CA26" s="1755">
        <v>0</v>
      </c>
      <c r="CB26" s="1735">
        <v>44</v>
      </c>
      <c r="CC26" s="1735">
        <v>40</v>
      </c>
      <c r="CD26" s="1735">
        <v>53</v>
      </c>
      <c r="CE26" s="1735">
        <v>48</v>
      </c>
      <c r="CF26" s="1735">
        <v>110</v>
      </c>
      <c r="CG26" s="1735">
        <v>0</v>
      </c>
      <c r="CH26" s="1735">
        <v>56</v>
      </c>
      <c r="CI26" s="1735">
        <v>81</v>
      </c>
      <c r="CJ26" s="1735">
        <v>0</v>
      </c>
      <c r="CK26" s="1735">
        <v>220</v>
      </c>
      <c r="CL26" s="1735">
        <v>0</v>
      </c>
      <c r="CM26" s="1735">
        <v>31</v>
      </c>
      <c r="CN26" s="1735">
        <v>9</v>
      </c>
      <c r="CO26" s="1735">
        <v>265</v>
      </c>
      <c r="CP26" s="1735">
        <v>16</v>
      </c>
      <c r="CQ26" s="1735">
        <v>0</v>
      </c>
      <c r="CR26" s="690">
        <v>150</v>
      </c>
      <c r="CS26" s="1735">
        <v>242</v>
      </c>
      <c r="CT26" s="1735">
        <v>198</v>
      </c>
      <c r="CU26" s="690">
        <v>60</v>
      </c>
      <c r="CV26" s="1735">
        <v>152</v>
      </c>
      <c r="CW26" s="690">
        <v>50</v>
      </c>
      <c r="CX26" s="1735">
        <v>149</v>
      </c>
      <c r="CY26" s="1751">
        <v>0</v>
      </c>
      <c r="CZ26" s="1735">
        <v>90</v>
      </c>
      <c r="DA26" s="1735">
        <v>34</v>
      </c>
      <c r="DB26" s="1735">
        <v>115</v>
      </c>
      <c r="DC26" s="1735">
        <v>404</v>
      </c>
      <c r="DD26" s="1735">
        <v>78</v>
      </c>
      <c r="DE26" s="1735">
        <v>105</v>
      </c>
      <c r="DF26" s="1735">
        <v>105</v>
      </c>
      <c r="DG26" s="1735">
        <v>0</v>
      </c>
      <c r="DH26" s="1735">
        <v>212</v>
      </c>
      <c r="DI26" s="1838">
        <v>36</v>
      </c>
      <c r="DJ26" s="1850">
        <v>75</v>
      </c>
      <c r="DK26" s="2099">
        <v>114</v>
      </c>
      <c r="DL26" s="2168">
        <v>115</v>
      </c>
      <c r="DM26" s="2168">
        <v>100</v>
      </c>
      <c r="DN26" s="2426">
        <v>0</v>
      </c>
      <c r="DO26" s="2489">
        <v>30</v>
      </c>
      <c r="DP26" s="2578">
        <v>0</v>
      </c>
      <c r="DQ26" s="2594">
        <v>162</v>
      </c>
      <c r="DR26" s="2638">
        <v>108</v>
      </c>
      <c r="DS26" s="2658">
        <v>0</v>
      </c>
      <c r="DT26" s="2658">
        <v>35</v>
      </c>
      <c r="DU26" s="2730">
        <v>0</v>
      </c>
      <c r="DV26" s="2578">
        <v>69</v>
      </c>
      <c r="DW26" s="2578">
        <v>55</v>
      </c>
      <c r="DX26" s="4673">
        <v>0</v>
      </c>
      <c r="DY26" s="690"/>
      <c r="DZ26" s="1760">
        <v>909</v>
      </c>
      <c r="EA26" s="1764">
        <v>0</v>
      </c>
      <c r="EB26" s="1764">
        <v>150</v>
      </c>
      <c r="EC26" s="1764">
        <v>0</v>
      </c>
      <c r="ED26" s="1764">
        <v>32</v>
      </c>
      <c r="EE26" s="827">
        <v>227</v>
      </c>
      <c r="EF26" s="827">
        <v>0</v>
      </c>
      <c r="EG26" s="827">
        <v>0</v>
      </c>
      <c r="EH26" s="1764">
        <v>36</v>
      </c>
      <c r="EI26" s="1764">
        <v>73</v>
      </c>
      <c r="EJ26" s="1764">
        <v>8</v>
      </c>
      <c r="EK26" s="1764">
        <v>88</v>
      </c>
      <c r="EL26" s="1764">
        <v>31</v>
      </c>
      <c r="EM26" s="1764">
        <v>64</v>
      </c>
      <c r="EN26" s="1764">
        <v>0</v>
      </c>
      <c r="EO26" s="1764">
        <v>0</v>
      </c>
      <c r="EP26" s="1764">
        <v>0</v>
      </c>
      <c r="EQ26" s="1764">
        <v>32</v>
      </c>
      <c r="ER26" s="827">
        <v>21</v>
      </c>
      <c r="ES26" s="1764">
        <v>80</v>
      </c>
      <c r="ET26" s="1764">
        <v>0</v>
      </c>
      <c r="EU26" s="1764">
        <v>0</v>
      </c>
      <c r="EV26" s="1764">
        <v>32</v>
      </c>
      <c r="EW26" s="1764">
        <v>52</v>
      </c>
      <c r="EX26" s="1764">
        <v>34</v>
      </c>
      <c r="EY26" s="1764">
        <v>21</v>
      </c>
      <c r="EZ26" s="1764">
        <v>0</v>
      </c>
      <c r="FA26" s="1764">
        <v>11</v>
      </c>
      <c r="FB26" s="1764">
        <v>0</v>
      </c>
      <c r="FC26" s="1764">
        <v>0</v>
      </c>
      <c r="FD26" s="1764">
        <v>251</v>
      </c>
      <c r="FE26" s="1764">
        <v>0</v>
      </c>
      <c r="FF26" s="1764">
        <v>0</v>
      </c>
      <c r="FG26" s="1771">
        <v>168</v>
      </c>
      <c r="FH26" s="1771">
        <v>0</v>
      </c>
      <c r="FI26" s="1771">
        <v>0</v>
      </c>
      <c r="FJ26" s="1771">
        <v>214</v>
      </c>
      <c r="FK26" s="1771">
        <v>0</v>
      </c>
      <c r="FL26" s="1771">
        <v>95</v>
      </c>
      <c r="FM26" s="1771">
        <v>141</v>
      </c>
      <c r="FN26" s="1771">
        <v>0</v>
      </c>
      <c r="FO26" s="1771">
        <v>290</v>
      </c>
      <c r="FP26" s="1771">
        <v>53</v>
      </c>
      <c r="FQ26" s="1544">
        <v>161</v>
      </c>
      <c r="FR26" s="1771">
        <v>94</v>
      </c>
      <c r="FS26" s="1771">
        <v>105</v>
      </c>
      <c r="FT26" s="1771">
        <v>91</v>
      </c>
      <c r="FU26" s="1771">
        <v>0</v>
      </c>
      <c r="FV26" s="1783">
        <v>0</v>
      </c>
      <c r="FW26" s="1907">
        <v>95</v>
      </c>
      <c r="FX26" s="1907">
        <v>790</v>
      </c>
      <c r="FY26" s="2581">
        <v>210</v>
      </c>
      <c r="FZ26" s="2581">
        <v>0</v>
      </c>
      <c r="GA26" s="2620">
        <v>120</v>
      </c>
      <c r="GB26" s="3011">
        <v>0</v>
      </c>
      <c r="GC26" s="3131">
        <v>0</v>
      </c>
      <c r="GD26" s="3175">
        <v>90</v>
      </c>
      <c r="GE26" s="4724">
        <v>0</v>
      </c>
      <c r="GF26" s="4724">
        <v>0</v>
      </c>
      <c r="GG26" s="858"/>
      <c r="GH26" s="841">
        <v>7821</v>
      </c>
      <c r="GI26" s="862">
        <v>4869</v>
      </c>
      <c r="GJ26" s="856">
        <v>12690</v>
      </c>
      <c r="GK26" s="839">
        <v>3340</v>
      </c>
      <c r="GL26" s="823">
        <v>909</v>
      </c>
      <c r="GM26" s="823">
        <v>1864</v>
      </c>
      <c r="GN26" s="824">
        <v>714</v>
      </c>
      <c r="GO26" s="824">
        <v>3544</v>
      </c>
      <c r="GP26" s="824">
        <v>1041</v>
      </c>
      <c r="GQ26" s="824">
        <v>118</v>
      </c>
      <c r="GR26" s="824">
        <v>441</v>
      </c>
      <c r="GS26" s="824">
        <v>773</v>
      </c>
      <c r="GT26" s="824">
        <v>160</v>
      </c>
      <c r="GU26" s="4975">
        <v>0</v>
      </c>
      <c r="GV26" s="4974">
        <v>1207.26325</v>
      </c>
      <c r="GW26" s="3066">
        <v>93.92</v>
      </c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12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</row>
    <row r="27" spans="1:276" ht="24" customHeight="1" thickBot="1">
      <c r="A27" s="542">
        <v>0.875</v>
      </c>
      <c r="B27" s="1730">
        <v>0</v>
      </c>
      <c r="C27" s="1731">
        <v>0</v>
      </c>
      <c r="D27" s="1731">
        <v>0</v>
      </c>
      <c r="E27" s="1731">
        <v>180</v>
      </c>
      <c r="F27" s="1736">
        <v>200</v>
      </c>
      <c r="G27" s="1735">
        <v>81</v>
      </c>
      <c r="H27" s="1731">
        <v>0</v>
      </c>
      <c r="I27" s="1731">
        <v>397</v>
      </c>
      <c r="J27" s="1727">
        <v>257</v>
      </c>
      <c r="K27" s="689"/>
      <c r="L27" s="689">
        <v>0</v>
      </c>
      <c r="M27" s="1727">
        <v>225</v>
      </c>
      <c r="N27" s="1727">
        <v>0</v>
      </c>
      <c r="O27" s="1727">
        <v>48</v>
      </c>
      <c r="P27" s="1727">
        <v>0</v>
      </c>
      <c r="Q27" s="1727">
        <v>30</v>
      </c>
      <c r="R27" s="1727">
        <v>0</v>
      </c>
      <c r="S27" s="689">
        <v>0</v>
      </c>
      <c r="T27" s="689">
        <v>0</v>
      </c>
      <c r="U27" s="1727">
        <v>48</v>
      </c>
      <c r="V27" s="1735">
        <v>50</v>
      </c>
      <c r="W27" s="1727">
        <v>128</v>
      </c>
      <c r="X27" s="1727">
        <v>0</v>
      </c>
      <c r="Y27" s="1727">
        <v>0</v>
      </c>
      <c r="Z27" s="689">
        <v>0</v>
      </c>
      <c r="AA27" s="1727">
        <v>0</v>
      </c>
      <c r="AB27" s="1727">
        <v>54</v>
      </c>
      <c r="AC27" s="1727">
        <v>55</v>
      </c>
      <c r="AD27" s="1727">
        <v>55</v>
      </c>
      <c r="AE27" s="1727">
        <v>22</v>
      </c>
      <c r="AF27" s="1727">
        <v>25</v>
      </c>
      <c r="AG27" s="1727">
        <v>27</v>
      </c>
      <c r="AH27" s="1727">
        <v>33</v>
      </c>
      <c r="AI27" s="1727">
        <v>30</v>
      </c>
      <c r="AJ27" s="1727">
        <v>49</v>
      </c>
      <c r="AK27" s="689">
        <v>0</v>
      </c>
      <c r="AL27" s="689">
        <v>81</v>
      </c>
      <c r="AM27" s="1727">
        <v>35</v>
      </c>
      <c r="AN27" s="1727">
        <v>100</v>
      </c>
      <c r="AO27" s="1727">
        <v>0</v>
      </c>
      <c r="AP27" s="1727">
        <v>25</v>
      </c>
      <c r="AQ27" s="1727">
        <v>0</v>
      </c>
      <c r="AR27" s="689">
        <v>0</v>
      </c>
      <c r="AS27" s="1727">
        <v>0</v>
      </c>
      <c r="AT27" s="689">
        <v>0</v>
      </c>
      <c r="AU27" s="689"/>
      <c r="AV27" s="1727">
        <v>6</v>
      </c>
      <c r="AW27" s="1727">
        <v>34</v>
      </c>
      <c r="AX27" s="1727">
        <v>51</v>
      </c>
      <c r="AY27" s="1727">
        <v>33</v>
      </c>
      <c r="AZ27" s="1727">
        <v>80</v>
      </c>
      <c r="BA27" s="1727">
        <v>25</v>
      </c>
      <c r="BB27" s="1727">
        <v>15</v>
      </c>
      <c r="BC27" s="1727">
        <v>30</v>
      </c>
      <c r="BD27" s="1727">
        <v>0</v>
      </c>
      <c r="BE27" s="689">
        <v>0</v>
      </c>
      <c r="BF27" s="689">
        <v>0</v>
      </c>
      <c r="BG27" s="1727">
        <v>320</v>
      </c>
      <c r="BH27" s="1727">
        <v>305</v>
      </c>
      <c r="BI27" s="1727">
        <v>208</v>
      </c>
      <c r="BJ27" s="1727">
        <v>8</v>
      </c>
      <c r="BK27" s="1727">
        <v>129</v>
      </c>
      <c r="BL27" s="689">
        <v>41</v>
      </c>
      <c r="BM27" s="1727">
        <v>40</v>
      </c>
      <c r="BN27" s="689">
        <v>0</v>
      </c>
      <c r="BO27" s="1735">
        <v>51</v>
      </c>
      <c r="BP27" s="690">
        <v>0</v>
      </c>
      <c r="BQ27" s="1735">
        <v>38</v>
      </c>
      <c r="BR27" s="1727">
        <v>43</v>
      </c>
      <c r="BS27" s="1735">
        <v>19</v>
      </c>
      <c r="BT27" s="1735">
        <v>10</v>
      </c>
      <c r="BU27" s="1735">
        <v>33</v>
      </c>
      <c r="BV27" s="1735">
        <v>20</v>
      </c>
      <c r="BW27" s="1745">
        <v>160</v>
      </c>
      <c r="BX27" s="1735">
        <v>100</v>
      </c>
      <c r="BY27" s="1735">
        <v>0</v>
      </c>
      <c r="BZ27" s="1735">
        <v>20</v>
      </c>
      <c r="CA27" s="1755">
        <v>0</v>
      </c>
      <c r="CB27" s="1735">
        <v>44</v>
      </c>
      <c r="CC27" s="1735">
        <v>41</v>
      </c>
      <c r="CD27" s="1735">
        <v>53</v>
      </c>
      <c r="CE27" s="1735">
        <v>48</v>
      </c>
      <c r="CF27" s="1735">
        <v>110</v>
      </c>
      <c r="CG27" s="1735">
        <v>0</v>
      </c>
      <c r="CH27" s="1735">
        <v>56</v>
      </c>
      <c r="CI27" s="1735">
        <v>81</v>
      </c>
      <c r="CJ27" s="1735">
        <v>0</v>
      </c>
      <c r="CK27" s="1735">
        <v>221</v>
      </c>
      <c r="CL27" s="1735">
        <v>0</v>
      </c>
      <c r="CM27" s="1735">
        <v>31</v>
      </c>
      <c r="CN27" s="1735">
        <v>9</v>
      </c>
      <c r="CO27" s="1735">
        <v>275</v>
      </c>
      <c r="CP27" s="1735">
        <v>16</v>
      </c>
      <c r="CQ27" s="1735">
        <v>0</v>
      </c>
      <c r="CR27" s="690">
        <v>195</v>
      </c>
      <c r="CS27" s="1735">
        <v>242</v>
      </c>
      <c r="CT27" s="1735">
        <v>284</v>
      </c>
      <c r="CU27" s="690">
        <v>96</v>
      </c>
      <c r="CV27" s="1735">
        <v>154</v>
      </c>
      <c r="CW27" s="690">
        <v>100</v>
      </c>
      <c r="CX27" s="1735">
        <v>149</v>
      </c>
      <c r="CY27" s="1751">
        <v>0</v>
      </c>
      <c r="CZ27" s="1735">
        <v>90</v>
      </c>
      <c r="DA27" s="1735">
        <v>34</v>
      </c>
      <c r="DB27" s="1735">
        <v>122</v>
      </c>
      <c r="DC27" s="1735">
        <v>402</v>
      </c>
      <c r="DD27" s="1735">
        <v>106</v>
      </c>
      <c r="DE27" s="1735">
        <v>105</v>
      </c>
      <c r="DF27" s="1735">
        <v>105</v>
      </c>
      <c r="DG27" s="1735">
        <v>0</v>
      </c>
      <c r="DH27" s="1735">
        <v>214</v>
      </c>
      <c r="DI27" s="1838">
        <v>36</v>
      </c>
      <c r="DJ27" s="1850">
        <v>73</v>
      </c>
      <c r="DK27" s="2099">
        <v>114</v>
      </c>
      <c r="DL27" s="2168">
        <v>115</v>
      </c>
      <c r="DM27" s="2168">
        <v>100</v>
      </c>
      <c r="DN27" s="2426">
        <v>0</v>
      </c>
      <c r="DO27" s="2489">
        <v>52</v>
      </c>
      <c r="DP27" s="2578">
        <v>0</v>
      </c>
      <c r="DQ27" s="2594">
        <v>162</v>
      </c>
      <c r="DR27" s="2638">
        <v>108</v>
      </c>
      <c r="DS27" s="2658">
        <v>0</v>
      </c>
      <c r="DT27" s="2658">
        <v>6</v>
      </c>
      <c r="DU27" s="2730">
        <v>0</v>
      </c>
      <c r="DV27" s="2578">
        <v>75</v>
      </c>
      <c r="DW27" s="2578">
        <v>55</v>
      </c>
      <c r="DX27" s="4673">
        <v>0</v>
      </c>
      <c r="DY27" s="690"/>
      <c r="DZ27" s="1760">
        <v>909</v>
      </c>
      <c r="EA27" s="1764">
        <v>0</v>
      </c>
      <c r="EB27" s="1764">
        <v>150</v>
      </c>
      <c r="EC27" s="1764">
        <v>0</v>
      </c>
      <c r="ED27" s="1764">
        <v>32</v>
      </c>
      <c r="EE27" s="827">
        <v>228</v>
      </c>
      <c r="EF27" s="827">
        <v>0</v>
      </c>
      <c r="EG27" s="827">
        <v>0</v>
      </c>
      <c r="EH27" s="1764">
        <v>38</v>
      </c>
      <c r="EI27" s="1764">
        <v>72</v>
      </c>
      <c r="EJ27" s="1764">
        <v>8</v>
      </c>
      <c r="EK27" s="1764">
        <v>88</v>
      </c>
      <c r="EL27" s="1764">
        <v>33</v>
      </c>
      <c r="EM27" s="1764">
        <v>64</v>
      </c>
      <c r="EN27" s="1764">
        <v>0</v>
      </c>
      <c r="EO27" s="1764">
        <v>0</v>
      </c>
      <c r="EP27" s="1764">
        <v>0</v>
      </c>
      <c r="EQ27" s="1764">
        <v>32</v>
      </c>
      <c r="ER27" s="827">
        <v>25</v>
      </c>
      <c r="ES27" s="1764">
        <v>80</v>
      </c>
      <c r="ET27" s="1764">
        <v>0</v>
      </c>
      <c r="EU27" s="1764">
        <v>0</v>
      </c>
      <c r="EV27" s="1764">
        <v>32</v>
      </c>
      <c r="EW27" s="1764">
        <v>52</v>
      </c>
      <c r="EX27" s="1764">
        <v>34</v>
      </c>
      <c r="EY27" s="1764">
        <v>21</v>
      </c>
      <c r="EZ27" s="1764">
        <v>0</v>
      </c>
      <c r="FA27" s="1764">
        <v>11</v>
      </c>
      <c r="FB27" s="1764">
        <v>0</v>
      </c>
      <c r="FC27" s="1764">
        <v>0</v>
      </c>
      <c r="FD27" s="1764">
        <v>240</v>
      </c>
      <c r="FE27" s="1764">
        <v>0</v>
      </c>
      <c r="FF27" s="1764">
        <v>0</v>
      </c>
      <c r="FG27" s="1771">
        <v>170</v>
      </c>
      <c r="FH27" s="1771">
        <v>0</v>
      </c>
      <c r="FI27" s="1771">
        <v>0</v>
      </c>
      <c r="FJ27" s="1771">
        <v>213</v>
      </c>
      <c r="FK27" s="1771">
        <v>0</v>
      </c>
      <c r="FL27" s="1771">
        <v>96</v>
      </c>
      <c r="FM27" s="1771">
        <v>143</v>
      </c>
      <c r="FN27" s="1771">
        <v>0</v>
      </c>
      <c r="FO27" s="1771">
        <v>286</v>
      </c>
      <c r="FP27" s="1771">
        <v>53</v>
      </c>
      <c r="FQ27" s="1544">
        <v>172</v>
      </c>
      <c r="FR27" s="1771">
        <v>94</v>
      </c>
      <c r="FS27" s="1771">
        <v>105</v>
      </c>
      <c r="FT27" s="1771">
        <v>91</v>
      </c>
      <c r="FU27" s="1771">
        <v>0</v>
      </c>
      <c r="FV27" s="1783">
        <v>0</v>
      </c>
      <c r="FW27" s="1907">
        <v>95</v>
      </c>
      <c r="FX27" s="1907">
        <v>800</v>
      </c>
      <c r="FY27" s="2581">
        <v>187</v>
      </c>
      <c r="FZ27" s="2581">
        <v>0</v>
      </c>
      <c r="GA27" s="2620">
        <v>150</v>
      </c>
      <c r="GB27" s="3011">
        <v>0</v>
      </c>
      <c r="GC27" s="3131">
        <v>0</v>
      </c>
      <c r="GD27" s="3175">
        <v>90</v>
      </c>
      <c r="GE27" s="4724">
        <v>0</v>
      </c>
      <c r="GF27" s="4724">
        <v>0</v>
      </c>
      <c r="GG27" s="858"/>
      <c r="GH27" s="841">
        <v>8333</v>
      </c>
      <c r="GI27" s="864">
        <v>4894</v>
      </c>
      <c r="GJ27" s="856">
        <v>13227</v>
      </c>
      <c r="GK27" s="839">
        <v>3576</v>
      </c>
      <c r="GL27" s="823">
        <v>909</v>
      </c>
      <c r="GM27" s="823">
        <v>1826</v>
      </c>
      <c r="GN27" s="824">
        <v>943</v>
      </c>
      <c r="GO27" s="824">
        <v>3652</v>
      </c>
      <c r="GP27" s="824">
        <v>1040</v>
      </c>
      <c r="GQ27" s="824">
        <v>116</v>
      </c>
      <c r="GR27" s="824">
        <v>441</v>
      </c>
      <c r="GS27" s="824">
        <v>777</v>
      </c>
      <c r="GT27" s="824">
        <v>160</v>
      </c>
      <c r="GU27" s="4975">
        <v>0</v>
      </c>
      <c r="GV27" s="4974">
        <v>896.69247499999983</v>
      </c>
      <c r="GW27" s="3066">
        <v>93.94</v>
      </c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12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</row>
    <row r="28" spans="1:276" ht="24" customHeight="1" thickBot="1">
      <c r="A28" s="542">
        <v>0.91666666666666663</v>
      </c>
      <c r="B28" s="1730">
        <v>0</v>
      </c>
      <c r="C28" s="1731">
        <v>0</v>
      </c>
      <c r="D28" s="1731">
        <v>0</v>
      </c>
      <c r="E28" s="1731">
        <v>180</v>
      </c>
      <c r="F28" s="1736">
        <v>200</v>
      </c>
      <c r="G28" s="1735">
        <v>84</v>
      </c>
      <c r="H28" s="1731">
        <v>0</v>
      </c>
      <c r="I28" s="1731">
        <v>398</v>
      </c>
      <c r="J28" s="1727">
        <v>247</v>
      </c>
      <c r="K28" s="689"/>
      <c r="L28" s="689">
        <v>0</v>
      </c>
      <c r="M28" s="1727">
        <v>225</v>
      </c>
      <c r="N28" s="1727">
        <v>0</v>
      </c>
      <c r="O28" s="1727">
        <v>48</v>
      </c>
      <c r="P28" s="1727">
        <v>0</v>
      </c>
      <c r="Q28" s="1727">
        <v>30</v>
      </c>
      <c r="R28" s="1727">
        <v>0</v>
      </c>
      <c r="S28" s="689">
        <v>0</v>
      </c>
      <c r="T28" s="689">
        <v>0</v>
      </c>
      <c r="U28" s="1727">
        <v>48</v>
      </c>
      <c r="V28" s="1735">
        <v>50</v>
      </c>
      <c r="W28" s="1727">
        <v>128</v>
      </c>
      <c r="X28" s="1727">
        <v>0</v>
      </c>
      <c r="Y28" s="1727">
        <v>0</v>
      </c>
      <c r="Z28" s="689">
        <v>0</v>
      </c>
      <c r="AA28" s="1727">
        <v>0</v>
      </c>
      <c r="AB28" s="1727">
        <v>54</v>
      </c>
      <c r="AC28" s="1727">
        <v>55</v>
      </c>
      <c r="AD28" s="1727">
        <v>55</v>
      </c>
      <c r="AE28" s="1727">
        <v>22</v>
      </c>
      <c r="AF28" s="1727">
        <v>25</v>
      </c>
      <c r="AG28" s="1727">
        <v>27</v>
      </c>
      <c r="AH28" s="1727">
        <v>33</v>
      </c>
      <c r="AI28" s="1727">
        <v>17</v>
      </c>
      <c r="AJ28" s="1727">
        <v>49</v>
      </c>
      <c r="AK28" s="689">
        <v>0</v>
      </c>
      <c r="AL28" s="689">
        <v>81</v>
      </c>
      <c r="AM28" s="1727">
        <v>35</v>
      </c>
      <c r="AN28" s="1727">
        <v>100</v>
      </c>
      <c r="AO28" s="1727">
        <v>0</v>
      </c>
      <c r="AP28" s="1727">
        <v>25</v>
      </c>
      <c r="AQ28" s="1727">
        <v>0</v>
      </c>
      <c r="AR28" s="689">
        <v>0</v>
      </c>
      <c r="AS28" s="1727">
        <v>0</v>
      </c>
      <c r="AT28" s="689">
        <v>0</v>
      </c>
      <c r="AU28" s="689"/>
      <c r="AV28" s="1727">
        <v>7</v>
      </c>
      <c r="AW28" s="1727">
        <v>34</v>
      </c>
      <c r="AX28" s="1727">
        <v>51</v>
      </c>
      <c r="AY28" s="1727">
        <v>33</v>
      </c>
      <c r="AZ28" s="1727">
        <v>80</v>
      </c>
      <c r="BA28" s="1727">
        <v>25</v>
      </c>
      <c r="BB28" s="1727">
        <v>15</v>
      </c>
      <c r="BC28" s="1727">
        <v>35</v>
      </c>
      <c r="BD28" s="1727">
        <v>0</v>
      </c>
      <c r="BE28" s="689">
        <v>0</v>
      </c>
      <c r="BF28" s="689">
        <v>0</v>
      </c>
      <c r="BG28" s="1727">
        <v>320</v>
      </c>
      <c r="BH28" s="1727">
        <v>320</v>
      </c>
      <c r="BI28" s="1727">
        <v>206</v>
      </c>
      <c r="BJ28" s="1727">
        <v>8</v>
      </c>
      <c r="BK28" s="1727">
        <v>129</v>
      </c>
      <c r="BL28" s="689">
        <v>42</v>
      </c>
      <c r="BM28" s="1727">
        <v>49</v>
      </c>
      <c r="BN28" s="689">
        <v>0</v>
      </c>
      <c r="BO28" s="1735">
        <v>51</v>
      </c>
      <c r="BP28" s="690">
        <v>0</v>
      </c>
      <c r="BQ28" s="1735">
        <v>38</v>
      </c>
      <c r="BR28" s="1727">
        <v>43</v>
      </c>
      <c r="BS28" s="1735">
        <v>21</v>
      </c>
      <c r="BT28" s="1735">
        <v>10</v>
      </c>
      <c r="BU28" s="1735">
        <v>33</v>
      </c>
      <c r="BV28" s="1735">
        <v>20</v>
      </c>
      <c r="BW28" s="1745">
        <v>170</v>
      </c>
      <c r="BX28" s="1735">
        <v>100</v>
      </c>
      <c r="BY28" s="1735">
        <v>0</v>
      </c>
      <c r="BZ28" s="1735">
        <v>20</v>
      </c>
      <c r="CA28" s="1755">
        <v>0</v>
      </c>
      <c r="CB28" s="1735">
        <v>43</v>
      </c>
      <c r="CC28" s="1735">
        <v>40</v>
      </c>
      <c r="CD28" s="1735">
        <v>53</v>
      </c>
      <c r="CE28" s="1735">
        <v>48</v>
      </c>
      <c r="CF28" s="1735">
        <v>110</v>
      </c>
      <c r="CG28" s="1735">
        <v>0</v>
      </c>
      <c r="CH28" s="1735">
        <v>61</v>
      </c>
      <c r="CI28" s="1735">
        <v>81</v>
      </c>
      <c r="CJ28" s="1735">
        <v>0</v>
      </c>
      <c r="CK28" s="1735">
        <v>221</v>
      </c>
      <c r="CL28" s="1735">
        <v>0</v>
      </c>
      <c r="CM28" s="1735">
        <v>31</v>
      </c>
      <c r="CN28" s="1735">
        <v>9</v>
      </c>
      <c r="CO28" s="1735">
        <v>300</v>
      </c>
      <c r="CP28" s="1735">
        <v>16</v>
      </c>
      <c r="CQ28" s="1735">
        <v>0</v>
      </c>
      <c r="CR28" s="690">
        <v>140</v>
      </c>
      <c r="CS28" s="1735">
        <v>242</v>
      </c>
      <c r="CT28" s="1735">
        <v>292</v>
      </c>
      <c r="CU28" s="690">
        <v>50</v>
      </c>
      <c r="CV28" s="1735">
        <v>181</v>
      </c>
      <c r="CW28" s="690">
        <v>50</v>
      </c>
      <c r="CX28" s="1735">
        <v>149</v>
      </c>
      <c r="CY28" s="1751">
        <v>0</v>
      </c>
      <c r="CZ28" s="1735">
        <v>90</v>
      </c>
      <c r="DA28" s="1735">
        <v>34</v>
      </c>
      <c r="DB28" s="1735">
        <v>125</v>
      </c>
      <c r="DC28" s="1735">
        <v>404</v>
      </c>
      <c r="DD28" s="1735">
        <v>87</v>
      </c>
      <c r="DE28" s="1735">
        <v>105</v>
      </c>
      <c r="DF28" s="1735">
        <v>105</v>
      </c>
      <c r="DG28" s="1735">
        <v>0</v>
      </c>
      <c r="DH28" s="1735">
        <v>214</v>
      </c>
      <c r="DI28" s="1838">
        <v>36</v>
      </c>
      <c r="DJ28" s="1850">
        <v>74</v>
      </c>
      <c r="DK28" s="2099">
        <v>114</v>
      </c>
      <c r="DL28" s="2168">
        <v>113</v>
      </c>
      <c r="DM28" s="2168">
        <v>100</v>
      </c>
      <c r="DN28" s="2426">
        <v>0</v>
      </c>
      <c r="DO28" s="2489">
        <v>52</v>
      </c>
      <c r="DP28" s="2578">
        <v>0</v>
      </c>
      <c r="DQ28" s="2594">
        <v>162</v>
      </c>
      <c r="DR28" s="2638">
        <v>108</v>
      </c>
      <c r="DS28" s="2658">
        <v>0</v>
      </c>
      <c r="DT28" s="2658">
        <v>35</v>
      </c>
      <c r="DU28" s="2730">
        <v>0</v>
      </c>
      <c r="DV28" s="2578">
        <v>75</v>
      </c>
      <c r="DW28" s="2578">
        <v>55</v>
      </c>
      <c r="DX28" s="4673">
        <v>0</v>
      </c>
      <c r="DY28" s="690"/>
      <c r="DZ28" s="1760">
        <v>909</v>
      </c>
      <c r="EA28" s="1764">
        <v>0</v>
      </c>
      <c r="EB28" s="1764">
        <v>150</v>
      </c>
      <c r="EC28" s="1764">
        <v>0</v>
      </c>
      <c r="ED28" s="1764">
        <v>32</v>
      </c>
      <c r="EE28" s="827">
        <v>227</v>
      </c>
      <c r="EF28" s="827">
        <v>0</v>
      </c>
      <c r="EG28" s="827">
        <v>0</v>
      </c>
      <c r="EH28" s="1764">
        <v>42</v>
      </c>
      <c r="EI28" s="1764">
        <v>72</v>
      </c>
      <c r="EJ28" s="1764">
        <v>8</v>
      </c>
      <c r="EK28" s="1764">
        <v>88</v>
      </c>
      <c r="EL28" s="1764">
        <v>34</v>
      </c>
      <c r="EM28" s="1764">
        <v>64</v>
      </c>
      <c r="EN28" s="1764">
        <v>0</v>
      </c>
      <c r="EO28" s="1764">
        <v>0</v>
      </c>
      <c r="EP28" s="1764">
        <v>0</v>
      </c>
      <c r="EQ28" s="1764">
        <v>32</v>
      </c>
      <c r="ER28" s="827">
        <v>28</v>
      </c>
      <c r="ES28" s="1764">
        <v>80</v>
      </c>
      <c r="ET28" s="1764">
        <v>0</v>
      </c>
      <c r="EU28" s="1764">
        <v>0</v>
      </c>
      <c r="EV28" s="1764">
        <v>32</v>
      </c>
      <c r="EW28" s="1764">
        <v>52</v>
      </c>
      <c r="EX28" s="1764">
        <v>34</v>
      </c>
      <c r="EY28" s="1764">
        <v>22</v>
      </c>
      <c r="EZ28" s="1764">
        <v>0</v>
      </c>
      <c r="FA28" s="1764">
        <v>11</v>
      </c>
      <c r="FB28" s="1764">
        <v>0</v>
      </c>
      <c r="FC28" s="1764">
        <v>0</v>
      </c>
      <c r="FD28" s="1764">
        <v>250</v>
      </c>
      <c r="FE28" s="1764">
        <v>0</v>
      </c>
      <c r="FF28" s="1764">
        <v>0</v>
      </c>
      <c r="FG28" s="1771">
        <v>173</v>
      </c>
      <c r="FH28" s="1771">
        <v>0</v>
      </c>
      <c r="FI28" s="1771">
        <v>0</v>
      </c>
      <c r="FJ28" s="1771">
        <v>212</v>
      </c>
      <c r="FK28" s="1771">
        <v>0</v>
      </c>
      <c r="FL28" s="1771">
        <v>96</v>
      </c>
      <c r="FM28" s="1771">
        <v>145</v>
      </c>
      <c r="FN28" s="1771">
        <v>0</v>
      </c>
      <c r="FO28" s="1771">
        <v>291</v>
      </c>
      <c r="FP28" s="1771">
        <v>53</v>
      </c>
      <c r="FQ28" s="1544">
        <v>169</v>
      </c>
      <c r="FR28" s="1771">
        <v>94</v>
      </c>
      <c r="FS28" s="1771">
        <v>105</v>
      </c>
      <c r="FT28" s="1771">
        <v>91</v>
      </c>
      <c r="FU28" s="1771">
        <v>0</v>
      </c>
      <c r="FV28" s="1783">
        <v>0</v>
      </c>
      <c r="FW28" s="1907">
        <v>95</v>
      </c>
      <c r="FX28" s="1907">
        <v>790</v>
      </c>
      <c r="FY28" s="2581">
        <v>221</v>
      </c>
      <c r="FZ28" s="2581">
        <v>0</v>
      </c>
      <c r="GA28" s="2620">
        <v>150</v>
      </c>
      <c r="GB28" s="3011">
        <v>0</v>
      </c>
      <c r="GC28" s="3131">
        <v>0</v>
      </c>
      <c r="GD28" s="3175">
        <v>90</v>
      </c>
      <c r="GE28" s="4724">
        <v>0</v>
      </c>
      <c r="GF28" s="4724">
        <v>0</v>
      </c>
      <c r="GG28" s="858"/>
      <c r="GH28" s="841">
        <v>8281</v>
      </c>
      <c r="GI28" s="862">
        <v>4942</v>
      </c>
      <c r="GJ28" s="856">
        <v>13223</v>
      </c>
      <c r="GK28" s="839">
        <v>3590</v>
      </c>
      <c r="GL28" s="823">
        <v>909</v>
      </c>
      <c r="GM28" s="823">
        <v>1899</v>
      </c>
      <c r="GN28" s="824">
        <v>797</v>
      </c>
      <c r="GO28" s="824">
        <v>3692</v>
      </c>
      <c r="GP28" s="824">
        <v>1040</v>
      </c>
      <c r="GQ28" s="824">
        <v>116</v>
      </c>
      <c r="GR28" s="824">
        <v>439</v>
      </c>
      <c r="GS28" s="824">
        <v>783</v>
      </c>
      <c r="GT28" s="824">
        <v>170</v>
      </c>
      <c r="GU28" s="4975">
        <v>0</v>
      </c>
      <c r="GV28" s="4974">
        <v>808.22127499999988</v>
      </c>
      <c r="GW28" s="3066">
        <v>93.96</v>
      </c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32"/>
      <c r="IX28" s="13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  <c r="JK28" s="12"/>
      <c r="JL28" s="12"/>
      <c r="JM28" s="12"/>
      <c r="JN28" s="12"/>
      <c r="JO28" s="12"/>
      <c r="JP28" s="132"/>
    </row>
    <row r="29" spans="1:276" ht="21.75" customHeight="1" thickBot="1">
      <c r="A29" s="542">
        <v>0.95833333333333337</v>
      </c>
      <c r="B29" s="1730">
        <v>0</v>
      </c>
      <c r="C29" s="1731">
        <v>0</v>
      </c>
      <c r="D29" s="1731">
        <v>0</v>
      </c>
      <c r="E29" s="1731">
        <v>180</v>
      </c>
      <c r="F29" s="1736">
        <v>200</v>
      </c>
      <c r="G29" s="1735">
        <v>88</v>
      </c>
      <c r="H29" s="1731">
        <v>0</v>
      </c>
      <c r="I29" s="1731">
        <v>399</v>
      </c>
      <c r="J29" s="1727">
        <v>247</v>
      </c>
      <c r="K29" s="689"/>
      <c r="L29" s="689">
        <v>0</v>
      </c>
      <c r="M29" s="1727">
        <v>225</v>
      </c>
      <c r="N29" s="1727">
        <v>0</v>
      </c>
      <c r="O29" s="1727">
        <v>48</v>
      </c>
      <c r="P29" s="1727">
        <v>0</v>
      </c>
      <c r="Q29" s="1727">
        <v>30</v>
      </c>
      <c r="R29" s="1727">
        <v>0</v>
      </c>
      <c r="S29" s="689">
        <v>0</v>
      </c>
      <c r="T29" s="689">
        <v>0</v>
      </c>
      <c r="U29" s="1727">
        <v>48</v>
      </c>
      <c r="V29" s="1735">
        <v>50</v>
      </c>
      <c r="W29" s="1727">
        <v>128</v>
      </c>
      <c r="X29" s="1727">
        <v>0</v>
      </c>
      <c r="Y29" s="1727">
        <v>0</v>
      </c>
      <c r="Z29" s="689">
        <v>0</v>
      </c>
      <c r="AA29" s="1727">
        <v>0</v>
      </c>
      <c r="AB29" s="1727">
        <v>54</v>
      </c>
      <c r="AC29" s="1727">
        <v>55</v>
      </c>
      <c r="AD29" s="1727">
        <v>55</v>
      </c>
      <c r="AE29" s="1727">
        <v>22</v>
      </c>
      <c r="AF29" s="1727">
        <v>25</v>
      </c>
      <c r="AG29" s="1727">
        <v>27</v>
      </c>
      <c r="AH29" s="1727">
        <v>33</v>
      </c>
      <c r="AI29" s="1727">
        <v>33</v>
      </c>
      <c r="AJ29" s="1727">
        <v>49</v>
      </c>
      <c r="AK29" s="689">
        <v>0</v>
      </c>
      <c r="AL29" s="689">
        <v>81</v>
      </c>
      <c r="AM29" s="1727">
        <v>35</v>
      </c>
      <c r="AN29" s="1727">
        <v>100</v>
      </c>
      <c r="AO29" s="1727">
        <v>0</v>
      </c>
      <c r="AP29" s="1727">
        <v>25</v>
      </c>
      <c r="AQ29" s="1727">
        <v>0</v>
      </c>
      <c r="AR29" s="689">
        <v>0</v>
      </c>
      <c r="AS29" s="1727">
        <v>0</v>
      </c>
      <c r="AT29" s="689">
        <v>0</v>
      </c>
      <c r="AU29" s="689"/>
      <c r="AV29" s="1727">
        <v>8</v>
      </c>
      <c r="AW29" s="1727">
        <v>34</v>
      </c>
      <c r="AX29" s="1727">
        <v>51</v>
      </c>
      <c r="AY29" s="1727">
        <v>33</v>
      </c>
      <c r="AZ29" s="1727">
        <v>44</v>
      </c>
      <c r="BA29" s="1727">
        <v>25</v>
      </c>
      <c r="BB29" s="1727">
        <v>15</v>
      </c>
      <c r="BC29" s="1727">
        <v>37</v>
      </c>
      <c r="BD29" s="1727">
        <v>0</v>
      </c>
      <c r="BE29" s="689">
        <v>0</v>
      </c>
      <c r="BF29" s="689">
        <v>0</v>
      </c>
      <c r="BG29" s="1727">
        <v>320</v>
      </c>
      <c r="BH29" s="1727">
        <v>320</v>
      </c>
      <c r="BI29" s="1727">
        <v>205</v>
      </c>
      <c r="BJ29" s="1727">
        <v>8</v>
      </c>
      <c r="BK29" s="1727">
        <v>128</v>
      </c>
      <c r="BL29" s="689">
        <v>42</v>
      </c>
      <c r="BM29" s="1727">
        <v>51</v>
      </c>
      <c r="BN29" s="689">
        <v>0</v>
      </c>
      <c r="BO29" s="1735">
        <v>51</v>
      </c>
      <c r="BP29" s="690">
        <v>0</v>
      </c>
      <c r="BQ29" s="1735">
        <v>38</v>
      </c>
      <c r="BR29" s="1727">
        <v>43</v>
      </c>
      <c r="BS29" s="1735">
        <v>21</v>
      </c>
      <c r="BT29" s="1735">
        <v>10</v>
      </c>
      <c r="BU29" s="1735">
        <v>33</v>
      </c>
      <c r="BV29" s="1735">
        <v>20</v>
      </c>
      <c r="BW29" s="1745">
        <v>162</v>
      </c>
      <c r="BX29" s="1735">
        <v>100</v>
      </c>
      <c r="BY29" s="1735">
        <v>0</v>
      </c>
      <c r="BZ29" s="1735">
        <v>20</v>
      </c>
      <c r="CA29" s="1755">
        <v>0</v>
      </c>
      <c r="CB29" s="1735">
        <v>43</v>
      </c>
      <c r="CC29" s="1735">
        <v>41</v>
      </c>
      <c r="CD29" s="1735">
        <v>53</v>
      </c>
      <c r="CE29" s="1735">
        <v>48</v>
      </c>
      <c r="CF29" s="1735">
        <v>110</v>
      </c>
      <c r="CG29" s="1735">
        <v>0</v>
      </c>
      <c r="CH29" s="1735">
        <v>61</v>
      </c>
      <c r="CI29" s="1735">
        <v>81</v>
      </c>
      <c r="CJ29" s="1735">
        <v>0</v>
      </c>
      <c r="CK29" s="1735">
        <v>221</v>
      </c>
      <c r="CL29" s="1735">
        <v>0</v>
      </c>
      <c r="CM29" s="1735">
        <v>30</v>
      </c>
      <c r="CN29" s="1735">
        <v>9</v>
      </c>
      <c r="CO29" s="1735">
        <v>320</v>
      </c>
      <c r="CP29" s="1735">
        <v>16</v>
      </c>
      <c r="CQ29" s="1735">
        <v>0</v>
      </c>
      <c r="CR29" s="690">
        <v>196</v>
      </c>
      <c r="CS29" s="1735">
        <v>242</v>
      </c>
      <c r="CT29" s="1735">
        <v>297</v>
      </c>
      <c r="CU29" s="690">
        <v>95</v>
      </c>
      <c r="CV29" s="1735">
        <v>180</v>
      </c>
      <c r="CW29" s="690">
        <v>99</v>
      </c>
      <c r="CX29" s="1735">
        <v>134</v>
      </c>
      <c r="CY29" s="1751">
        <v>0</v>
      </c>
      <c r="CZ29" s="1735">
        <v>90</v>
      </c>
      <c r="DA29" s="1735">
        <v>34</v>
      </c>
      <c r="DB29" s="1735">
        <v>130</v>
      </c>
      <c r="DC29" s="1735">
        <v>381</v>
      </c>
      <c r="DD29" s="1735">
        <v>78</v>
      </c>
      <c r="DE29" s="1735">
        <v>105</v>
      </c>
      <c r="DF29" s="1735">
        <v>105</v>
      </c>
      <c r="DG29" s="1735">
        <v>0</v>
      </c>
      <c r="DH29" s="1735">
        <v>53</v>
      </c>
      <c r="DI29" s="1838">
        <v>36</v>
      </c>
      <c r="DJ29" s="1850">
        <v>75</v>
      </c>
      <c r="DK29" s="2099">
        <v>114</v>
      </c>
      <c r="DL29" s="2168">
        <v>114</v>
      </c>
      <c r="DM29" s="2168">
        <v>100</v>
      </c>
      <c r="DN29" s="2426">
        <v>0</v>
      </c>
      <c r="DO29" s="2489">
        <v>50</v>
      </c>
      <c r="DP29" s="2578">
        <v>0</v>
      </c>
      <c r="DQ29" s="2594">
        <v>162</v>
      </c>
      <c r="DR29" s="2638">
        <v>108</v>
      </c>
      <c r="DS29" s="2658">
        <v>0</v>
      </c>
      <c r="DT29" s="2658">
        <v>35</v>
      </c>
      <c r="DU29" s="2730">
        <v>0</v>
      </c>
      <c r="DV29" s="2578">
        <v>60</v>
      </c>
      <c r="DW29" s="2578">
        <v>55</v>
      </c>
      <c r="DX29" s="4673">
        <v>0</v>
      </c>
      <c r="DY29" s="690"/>
      <c r="DZ29" s="1760">
        <v>909</v>
      </c>
      <c r="EA29" s="1764">
        <v>0</v>
      </c>
      <c r="EB29" s="1764">
        <v>155</v>
      </c>
      <c r="EC29" s="1764">
        <v>0</v>
      </c>
      <c r="ED29" s="1764">
        <v>32</v>
      </c>
      <c r="EE29" s="827">
        <v>227</v>
      </c>
      <c r="EF29" s="827">
        <v>0</v>
      </c>
      <c r="EG29" s="827">
        <v>0</v>
      </c>
      <c r="EH29" s="1764">
        <v>32</v>
      </c>
      <c r="EI29" s="1764">
        <v>66</v>
      </c>
      <c r="EJ29" s="1764">
        <v>8</v>
      </c>
      <c r="EK29" s="1764">
        <v>82</v>
      </c>
      <c r="EL29" s="1764">
        <v>30</v>
      </c>
      <c r="EM29" s="1764">
        <v>64</v>
      </c>
      <c r="EN29" s="1764">
        <v>0</v>
      </c>
      <c r="EO29" s="1764">
        <v>0</v>
      </c>
      <c r="EP29" s="1764">
        <v>0</v>
      </c>
      <c r="EQ29" s="1764">
        <v>32</v>
      </c>
      <c r="ER29" s="827">
        <v>26</v>
      </c>
      <c r="ES29" s="1764">
        <v>80</v>
      </c>
      <c r="ET29" s="1764">
        <v>0</v>
      </c>
      <c r="EU29" s="1764">
        <v>0</v>
      </c>
      <c r="EV29" s="1764">
        <v>32</v>
      </c>
      <c r="EW29" s="2407">
        <v>43</v>
      </c>
      <c r="EX29" s="1764">
        <v>34</v>
      </c>
      <c r="EY29" s="1764">
        <v>21</v>
      </c>
      <c r="EZ29" s="1764">
        <v>0</v>
      </c>
      <c r="FA29" s="1764">
        <v>11</v>
      </c>
      <c r="FB29" s="1764">
        <v>0</v>
      </c>
      <c r="FC29" s="1764">
        <v>0</v>
      </c>
      <c r="FD29" s="1764">
        <v>250</v>
      </c>
      <c r="FE29" s="1764">
        <v>0</v>
      </c>
      <c r="FF29" s="1764">
        <v>0</v>
      </c>
      <c r="FG29" s="1771">
        <v>175</v>
      </c>
      <c r="FH29" s="1771">
        <v>0</v>
      </c>
      <c r="FI29" s="1771">
        <v>0</v>
      </c>
      <c r="FJ29" s="1771">
        <v>211</v>
      </c>
      <c r="FK29" s="1771">
        <v>0</v>
      </c>
      <c r="FL29" s="1771">
        <v>96</v>
      </c>
      <c r="FM29" s="1771">
        <v>145</v>
      </c>
      <c r="FN29" s="1771">
        <v>0</v>
      </c>
      <c r="FO29" s="1771">
        <v>287</v>
      </c>
      <c r="FP29" s="1771">
        <v>36</v>
      </c>
      <c r="FQ29" s="1544">
        <v>170</v>
      </c>
      <c r="FR29" s="1771">
        <v>94</v>
      </c>
      <c r="FS29" s="1771">
        <v>105</v>
      </c>
      <c r="FT29" s="1771">
        <v>91</v>
      </c>
      <c r="FU29" s="1771">
        <v>0</v>
      </c>
      <c r="FV29" s="1783">
        <v>0</v>
      </c>
      <c r="FW29" s="1907">
        <v>95</v>
      </c>
      <c r="FX29" s="1907">
        <v>790</v>
      </c>
      <c r="FY29" s="2581">
        <v>220</v>
      </c>
      <c r="FZ29" s="2581">
        <v>0</v>
      </c>
      <c r="GA29" s="2620">
        <v>38</v>
      </c>
      <c r="GB29" s="3011">
        <v>0</v>
      </c>
      <c r="GC29" s="3131">
        <v>0</v>
      </c>
      <c r="GD29" s="3175">
        <v>90</v>
      </c>
      <c r="GE29" s="4724">
        <v>0</v>
      </c>
      <c r="GF29" s="4724">
        <v>0</v>
      </c>
      <c r="GG29" s="858"/>
      <c r="GH29" s="841">
        <v>8217</v>
      </c>
      <c r="GI29" s="862">
        <v>4777</v>
      </c>
      <c r="GJ29" s="856">
        <v>12994</v>
      </c>
      <c r="GK29" s="839">
        <v>3584</v>
      </c>
      <c r="GL29" s="823">
        <v>909</v>
      </c>
      <c r="GM29" s="823">
        <v>1916</v>
      </c>
      <c r="GN29" s="824">
        <v>953</v>
      </c>
      <c r="GO29" s="824">
        <v>3323</v>
      </c>
      <c r="GP29" s="824">
        <v>1040</v>
      </c>
      <c r="GQ29" s="824">
        <v>116</v>
      </c>
      <c r="GR29" s="824">
        <v>438</v>
      </c>
      <c r="GS29" s="824">
        <v>764</v>
      </c>
      <c r="GT29" s="824">
        <v>162</v>
      </c>
      <c r="GU29" s="4975">
        <v>0</v>
      </c>
      <c r="GV29" s="4974">
        <v>834.94695000000138</v>
      </c>
      <c r="GW29" s="3066">
        <v>93.98</v>
      </c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32"/>
    </row>
    <row r="30" spans="1:276" ht="24.75" customHeight="1" thickBot="1">
      <c r="A30" s="543" t="s">
        <v>24</v>
      </c>
      <c r="B30" s="1732">
        <v>0</v>
      </c>
      <c r="C30" s="1733">
        <v>0</v>
      </c>
      <c r="D30" s="1733">
        <v>0</v>
      </c>
      <c r="E30" s="1733">
        <v>180</v>
      </c>
      <c r="F30" s="1737">
        <v>200</v>
      </c>
      <c r="G30" s="1741">
        <v>87</v>
      </c>
      <c r="H30" s="1733">
        <v>0</v>
      </c>
      <c r="I30" s="1733">
        <v>398</v>
      </c>
      <c r="J30" s="1742">
        <v>265</v>
      </c>
      <c r="K30" s="833"/>
      <c r="L30" s="833">
        <v>0</v>
      </c>
      <c r="M30" s="1742">
        <v>225</v>
      </c>
      <c r="N30" s="1742">
        <v>0</v>
      </c>
      <c r="O30" s="1742">
        <v>9</v>
      </c>
      <c r="P30" s="1742">
        <v>0</v>
      </c>
      <c r="Q30" s="1742">
        <v>30</v>
      </c>
      <c r="R30" s="1742">
        <v>0</v>
      </c>
      <c r="S30" s="833">
        <v>0</v>
      </c>
      <c r="T30" s="833">
        <v>0</v>
      </c>
      <c r="U30" s="1742">
        <v>14</v>
      </c>
      <c r="V30" s="1741">
        <v>8</v>
      </c>
      <c r="W30" s="1742">
        <v>48</v>
      </c>
      <c r="X30" s="1742">
        <v>0</v>
      </c>
      <c r="Y30" s="1742">
        <v>0</v>
      </c>
      <c r="Z30" s="833">
        <v>0</v>
      </c>
      <c r="AA30" s="1742">
        <v>0</v>
      </c>
      <c r="AB30" s="1742">
        <v>54</v>
      </c>
      <c r="AC30" s="1742">
        <v>55</v>
      </c>
      <c r="AD30" s="1742">
        <v>55</v>
      </c>
      <c r="AE30" s="1742">
        <v>22</v>
      </c>
      <c r="AF30" s="1742">
        <v>25</v>
      </c>
      <c r="AG30" s="1742">
        <v>27</v>
      </c>
      <c r="AH30" s="1742">
        <v>33</v>
      </c>
      <c r="AI30" s="1742">
        <v>33</v>
      </c>
      <c r="AJ30" s="1742">
        <v>49</v>
      </c>
      <c r="AK30" s="833">
        <v>0</v>
      </c>
      <c r="AL30" s="833">
        <v>81</v>
      </c>
      <c r="AM30" s="1742">
        <v>35</v>
      </c>
      <c r="AN30" s="1742">
        <v>100</v>
      </c>
      <c r="AO30" s="1742">
        <v>0</v>
      </c>
      <c r="AP30" s="1742">
        <v>25</v>
      </c>
      <c r="AQ30" s="1742">
        <v>0</v>
      </c>
      <c r="AR30" s="833">
        <v>0</v>
      </c>
      <c r="AS30" s="1742">
        <v>0</v>
      </c>
      <c r="AT30" s="833">
        <v>0</v>
      </c>
      <c r="AU30" s="833"/>
      <c r="AV30" s="1742">
        <v>10</v>
      </c>
      <c r="AW30" s="1742">
        <v>34</v>
      </c>
      <c r="AX30" s="1742">
        <v>51</v>
      </c>
      <c r="AY30" s="1742">
        <v>33</v>
      </c>
      <c r="AZ30" s="1742">
        <v>11</v>
      </c>
      <c r="BA30" s="1742">
        <v>25</v>
      </c>
      <c r="BB30" s="1742">
        <v>15</v>
      </c>
      <c r="BC30" s="1742">
        <v>38</v>
      </c>
      <c r="BD30" s="1742">
        <v>0</v>
      </c>
      <c r="BE30" s="833">
        <v>0</v>
      </c>
      <c r="BF30" s="833">
        <v>0</v>
      </c>
      <c r="BG30" s="1742">
        <v>320</v>
      </c>
      <c r="BH30" s="1742">
        <v>320</v>
      </c>
      <c r="BI30" s="1742">
        <v>199</v>
      </c>
      <c r="BJ30" s="1742">
        <v>8</v>
      </c>
      <c r="BK30" s="1742">
        <v>127</v>
      </c>
      <c r="BL30" s="833">
        <v>42</v>
      </c>
      <c r="BM30" s="1742">
        <v>51</v>
      </c>
      <c r="BN30" s="833">
        <v>0</v>
      </c>
      <c r="BO30" s="1741">
        <v>51</v>
      </c>
      <c r="BP30" s="832">
        <v>0</v>
      </c>
      <c r="BQ30" s="1741">
        <v>39</v>
      </c>
      <c r="BR30" s="1742">
        <v>43</v>
      </c>
      <c r="BS30" s="1741">
        <v>22</v>
      </c>
      <c r="BT30" s="1741">
        <v>10</v>
      </c>
      <c r="BU30" s="1741">
        <v>33</v>
      </c>
      <c r="BV30" s="1741">
        <v>20</v>
      </c>
      <c r="BW30" s="1748">
        <v>162</v>
      </c>
      <c r="BX30" s="1741">
        <v>100</v>
      </c>
      <c r="BY30" s="1741">
        <v>0</v>
      </c>
      <c r="BZ30" s="1741">
        <v>22</v>
      </c>
      <c r="CA30" s="1758">
        <v>0</v>
      </c>
      <c r="CB30" s="1741">
        <v>43</v>
      </c>
      <c r="CC30" s="1741">
        <v>41</v>
      </c>
      <c r="CD30" s="1741">
        <v>50</v>
      </c>
      <c r="CE30" s="1741">
        <v>48</v>
      </c>
      <c r="CF30" s="1741">
        <v>110</v>
      </c>
      <c r="CG30" s="1741">
        <v>0</v>
      </c>
      <c r="CH30" s="1741">
        <v>61</v>
      </c>
      <c r="CI30" s="1741">
        <v>81</v>
      </c>
      <c r="CJ30" s="1741">
        <v>0</v>
      </c>
      <c r="CK30" s="1741">
        <v>214</v>
      </c>
      <c r="CL30" s="1741">
        <v>0</v>
      </c>
      <c r="CM30" s="1741">
        <v>31</v>
      </c>
      <c r="CN30" s="1741">
        <v>9</v>
      </c>
      <c r="CO30" s="1741">
        <v>295</v>
      </c>
      <c r="CP30" s="1741">
        <v>16</v>
      </c>
      <c r="CQ30" s="1741">
        <v>0</v>
      </c>
      <c r="CR30" s="832">
        <v>197</v>
      </c>
      <c r="CS30" s="1741">
        <v>135</v>
      </c>
      <c r="CT30" s="1741">
        <v>277</v>
      </c>
      <c r="CU30" s="832">
        <v>95</v>
      </c>
      <c r="CV30" s="1741">
        <v>47</v>
      </c>
      <c r="CW30" s="832">
        <v>99</v>
      </c>
      <c r="CX30" s="1741">
        <v>118</v>
      </c>
      <c r="CY30" s="832">
        <v>0</v>
      </c>
      <c r="CZ30" s="1741">
        <v>21</v>
      </c>
      <c r="DA30" s="1741">
        <v>34</v>
      </c>
      <c r="DB30" s="1741">
        <v>132</v>
      </c>
      <c r="DC30" s="1741">
        <v>403</v>
      </c>
      <c r="DD30" s="1741">
        <v>49</v>
      </c>
      <c r="DE30" s="1741">
        <v>105</v>
      </c>
      <c r="DF30" s="1741">
        <v>92</v>
      </c>
      <c r="DG30" s="1741">
        <v>0</v>
      </c>
      <c r="DH30" s="1741">
        <v>52</v>
      </c>
      <c r="DI30" s="1841">
        <v>36</v>
      </c>
      <c r="DJ30" s="1853">
        <v>57</v>
      </c>
      <c r="DK30" s="2102">
        <v>52</v>
      </c>
      <c r="DL30" s="2171">
        <v>58</v>
      </c>
      <c r="DM30" s="2395">
        <v>100</v>
      </c>
      <c r="DN30" s="2429">
        <v>0</v>
      </c>
      <c r="DO30" s="2429">
        <v>20</v>
      </c>
      <c r="DP30" s="2429">
        <v>0</v>
      </c>
      <c r="DQ30" s="2597">
        <v>162</v>
      </c>
      <c r="DR30" s="2641">
        <v>108</v>
      </c>
      <c r="DS30" s="2661">
        <v>0</v>
      </c>
      <c r="DT30" s="2661">
        <v>35</v>
      </c>
      <c r="DU30" s="2733">
        <v>0</v>
      </c>
      <c r="DV30" s="3112">
        <v>73</v>
      </c>
      <c r="DW30" s="3112">
        <v>55</v>
      </c>
      <c r="DX30" s="4676">
        <v>0</v>
      </c>
      <c r="DY30" s="832"/>
      <c r="DZ30" s="1761">
        <v>909</v>
      </c>
      <c r="EA30" s="1767">
        <v>0</v>
      </c>
      <c r="EB30" s="1767">
        <v>155</v>
      </c>
      <c r="EC30" s="1767">
        <v>0</v>
      </c>
      <c r="ED30" s="1767">
        <v>32</v>
      </c>
      <c r="EE30" s="834">
        <v>227</v>
      </c>
      <c r="EF30" s="834">
        <v>0</v>
      </c>
      <c r="EG30" s="834">
        <v>0</v>
      </c>
      <c r="EH30" s="1767">
        <v>32</v>
      </c>
      <c r="EI30" s="1767">
        <v>66</v>
      </c>
      <c r="EJ30" s="1767">
        <v>8</v>
      </c>
      <c r="EK30" s="1767">
        <v>87</v>
      </c>
      <c r="EL30" s="1767">
        <v>32</v>
      </c>
      <c r="EM30" s="1767">
        <v>64</v>
      </c>
      <c r="EN30" s="1767">
        <v>0</v>
      </c>
      <c r="EO30" s="1767">
        <v>0</v>
      </c>
      <c r="EP30" s="1767">
        <v>0</v>
      </c>
      <c r="EQ30" s="1767">
        <v>32</v>
      </c>
      <c r="ER30" s="834">
        <v>28</v>
      </c>
      <c r="ES30" s="1767">
        <v>80</v>
      </c>
      <c r="ET30" s="1767">
        <v>0</v>
      </c>
      <c r="EU30" s="1767">
        <v>0</v>
      </c>
      <c r="EV30" s="1767">
        <v>32</v>
      </c>
      <c r="EW30" s="1767">
        <v>8</v>
      </c>
      <c r="EX30" s="1767">
        <v>34</v>
      </c>
      <c r="EY30" s="1767">
        <v>22</v>
      </c>
      <c r="EZ30" s="1767">
        <v>0</v>
      </c>
      <c r="FA30" s="1767">
        <v>11</v>
      </c>
      <c r="FB30" s="1767">
        <v>0</v>
      </c>
      <c r="FC30" s="1767">
        <v>0</v>
      </c>
      <c r="FD30" s="1767">
        <v>250</v>
      </c>
      <c r="FE30" s="1767">
        <v>0</v>
      </c>
      <c r="FF30" s="1767">
        <v>0</v>
      </c>
      <c r="FG30" s="1774">
        <v>174</v>
      </c>
      <c r="FH30" s="1774">
        <v>0</v>
      </c>
      <c r="FI30" s="1774">
        <v>0</v>
      </c>
      <c r="FJ30" s="1774">
        <v>211</v>
      </c>
      <c r="FK30" s="1774">
        <v>0</v>
      </c>
      <c r="FL30" s="1774">
        <v>96</v>
      </c>
      <c r="FM30" s="1774">
        <v>145</v>
      </c>
      <c r="FN30" s="1774">
        <v>0</v>
      </c>
      <c r="FO30" s="1774">
        <v>275</v>
      </c>
      <c r="FP30" s="1774">
        <v>0</v>
      </c>
      <c r="FQ30" s="1547">
        <v>170</v>
      </c>
      <c r="FR30" s="1774">
        <v>94</v>
      </c>
      <c r="FS30" s="1774">
        <v>89</v>
      </c>
      <c r="FT30" s="1774">
        <v>56</v>
      </c>
      <c r="FU30" s="1774">
        <v>0</v>
      </c>
      <c r="FV30" s="1786">
        <v>0</v>
      </c>
      <c r="FW30" s="1910">
        <v>95</v>
      </c>
      <c r="FX30" s="2213">
        <v>790</v>
      </c>
      <c r="FY30" s="2584">
        <v>220</v>
      </c>
      <c r="FZ30" s="2584">
        <v>0</v>
      </c>
      <c r="GA30" s="2623">
        <v>90</v>
      </c>
      <c r="GB30" s="3014">
        <v>0</v>
      </c>
      <c r="GC30" s="3014">
        <v>0</v>
      </c>
      <c r="GD30" s="3178">
        <v>90</v>
      </c>
      <c r="GE30" s="4727">
        <v>0</v>
      </c>
      <c r="GF30" s="4727">
        <v>0</v>
      </c>
      <c r="GG30" s="861"/>
      <c r="GH30" s="841">
        <v>7455</v>
      </c>
      <c r="GI30" s="864">
        <v>4704</v>
      </c>
      <c r="GJ30" s="824">
        <v>12159</v>
      </c>
      <c r="GK30" s="837">
        <v>3598</v>
      </c>
      <c r="GL30" s="824">
        <v>909</v>
      </c>
      <c r="GM30" s="824">
        <v>1898</v>
      </c>
      <c r="GN30" s="824">
        <v>934</v>
      </c>
      <c r="GO30" s="824">
        <v>2588</v>
      </c>
      <c r="GP30" s="824">
        <v>1040</v>
      </c>
      <c r="GQ30" s="824">
        <v>116</v>
      </c>
      <c r="GR30" s="824">
        <v>438</v>
      </c>
      <c r="GS30" s="824">
        <v>687</v>
      </c>
      <c r="GT30" s="824">
        <v>162</v>
      </c>
      <c r="GU30" s="4975">
        <v>0</v>
      </c>
      <c r="GV30" s="4974">
        <v>0</v>
      </c>
      <c r="GW30" s="3066">
        <v>94</v>
      </c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12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</row>
    <row r="31" spans="1:276" s="103" customFormat="1" ht="33" customHeight="1" thickBot="1">
      <c r="A31" s="818" t="s">
        <v>15</v>
      </c>
      <c r="B31" s="1738">
        <v>0</v>
      </c>
      <c r="C31" s="1739">
        <v>0</v>
      </c>
      <c r="D31" s="1739">
        <v>0</v>
      </c>
      <c r="E31" s="1739">
        <v>4315500</v>
      </c>
      <c r="F31" s="1740">
        <v>687100</v>
      </c>
      <c r="G31" s="1740">
        <v>2080454</v>
      </c>
      <c r="H31" s="1739">
        <v>0</v>
      </c>
      <c r="I31" s="1327">
        <v>9773060</v>
      </c>
      <c r="J31" s="1327">
        <v>7262000</v>
      </c>
      <c r="K31" s="1327"/>
      <c r="L31" s="1327">
        <v>0</v>
      </c>
      <c r="M31" s="1739">
        <v>4975150</v>
      </c>
      <c r="N31" s="1739">
        <v>0</v>
      </c>
      <c r="O31" s="1739">
        <v>463680</v>
      </c>
      <c r="P31" s="1739">
        <v>0</v>
      </c>
      <c r="Q31" s="1739">
        <v>751006</v>
      </c>
      <c r="R31" s="1739">
        <v>0</v>
      </c>
      <c r="S31" s="1327">
        <v>0</v>
      </c>
      <c r="T31" s="1327">
        <v>0</v>
      </c>
      <c r="U31" s="1739">
        <v>461933</v>
      </c>
      <c r="V31" s="1740">
        <v>459216</v>
      </c>
      <c r="W31" s="1739">
        <v>1740480</v>
      </c>
      <c r="X31" s="1739">
        <v>0</v>
      </c>
      <c r="Y31" s="1739">
        <v>0</v>
      </c>
      <c r="Z31" s="1327">
        <v>0</v>
      </c>
      <c r="AA31" s="1739">
        <v>0</v>
      </c>
      <c r="AB31" s="1739">
        <v>894600</v>
      </c>
      <c r="AC31" s="1739">
        <v>1308761</v>
      </c>
      <c r="AD31" s="1739">
        <v>626577</v>
      </c>
      <c r="AE31" s="1739">
        <v>456948</v>
      </c>
      <c r="AF31" s="1739">
        <v>600000</v>
      </c>
      <c r="AG31" s="1739">
        <v>539100</v>
      </c>
      <c r="AH31" s="1739">
        <v>586000</v>
      </c>
      <c r="AI31" s="1739">
        <v>649400</v>
      </c>
      <c r="AJ31" s="1739">
        <v>1141920</v>
      </c>
      <c r="AK31" s="1327">
        <v>0</v>
      </c>
      <c r="AL31" s="1327">
        <v>1956567</v>
      </c>
      <c r="AM31" s="1739">
        <v>840000</v>
      </c>
      <c r="AN31" s="1739">
        <v>2400000</v>
      </c>
      <c r="AO31" s="3524">
        <v>0</v>
      </c>
      <c r="AP31" s="1739">
        <v>317142</v>
      </c>
      <c r="AQ31" s="2898">
        <v>0</v>
      </c>
      <c r="AR31" s="1339">
        <v>0</v>
      </c>
      <c r="AS31" s="1739">
        <v>0</v>
      </c>
      <c r="AT31" s="1339">
        <v>0</v>
      </c>
      <c r="AU31" s="1327"/>
      <c r="AV31" s="1739">
        <v>37680</v>
      </c>
      <c r="AW31" s="1739">
        <v>655824</v>
      </c>
      <c r="AX31" s="1739">
        <v>909799</v>
      </c>
      <c r="AY31" s="1739">
        <v>1039320</v>
      </c>
      <c r="AZ31" s="1739">
        <v>650880</v>
      </c>
      <c r="BA31" s="1739">
        <v>605760</v>
      </c>
      <c r="BB31" s="1739">
        <v>331824</v>
      </c>
      <c r="BC31" s="1739">
        <v>521280</v>
      </c>
      <c r="BD31" s="1739">
        <v>0</v>
      </c>
      <c r="BE31" s="1327">
        <v>0</v>
      </c>
      <c r="BF31" s="1327">
        <v>0</v>
      </c>
      <c r="BG31" s="1739">
        <v>7969400</v>
      </c>
      <c r="BH31" s="1739">
        <v>7525000</v>
      </c>
      <c r="BI31" s="1739">
        <v>4649000</v>
      </c>
      <c r="BJ31" s="1739">
        <v>669090</v>
      </c>
      <c r="BK31" s="1739">
        <v>3203990</v>
      </c>
      <c r="BL31" s="1327">
        <v>876024</v>
      </c>
      <c r="BM31" s="1739">
        <v>702720</v>
      </c>
      <c r="BN31" s="1327">
        <v>0</v>
      </c>
      <c r="BO31" s="1740">
        <v>1156134</v>
      </c>
      <c r="BP31" s="1328">
        <v>0</v>
      </c>
      <c r="BQ31" s="1740">
        <v>791304</v>
      </c>
      <c r="BR31" s="1739">
        <v>422918</v>
      </c>
      <c r="BS31" s="1740">
        <v>323856</v>
      </c>
      <c r="BT31" s="1740">
        <v>238500</v>
      </c>
      <c r="BU31" s="1740">
        <v>767300</v>
      </c>
      <c r="BV31" s="1740">
        <v>487130</v>
      </c>
      <c r="BW31" s="1749">
        <v>3880320</v>
      </c>
      <c r="BX31" s="1740">
        <v>2149440</v>
      </c>
      <c r="BY31" s="1740">
        <v>0</v>
      </c>
      <c r="BZ31" s="1740">
        <v>441756</v>
      </c>
      <c r="CA31" s="1328">
        <v>16000</v>
      </c>
      <c r="CB31" s="1740">
        <v>1015000</v>
      </c>
      <c r="CC31" s="1740">
        <v>967424</v>
      </c>
      <c r="CD31" s="1740">
        <v>997800</v>
      </c>
      <c r="CE31" s="1740">
        <v>925488</v>
      </c>
      <c r="CF31" s="1740">
        <v>2542336</v>
      </c>
      <c r="CG31" s="1740">
        <v>0</v>
      </c>
      <c r="CH31" s="1740">
        <v>1423008</v>
      </c>
      <c r="CI31" s="1740">
        <v>857280</v>
      </c>
      <c r="CJ31" s="1740">
        <v>0</v>
      </c>
      <c r="CK31" s="1740">
        <v>5156820</v>
      </c>
      <c r="CL31" s="1740">
        <v>0</v>
      </c>
      <c r="CM31" s="1740">
        <v>718000</v>
      </c>
      <c r="CN31" s="1740">
        <v>231120</v>
      </c>
      <c r="CO31" s="1740">
        <v>7541500</v>
      </c>
      <c r="CP31" s="1740">
        <v>238560</v>
      </c>
      <c r="CQ31" s="1740">
        <v>0</v>
      </c>
      <c r="CR31" s="1328">
        <v>1072896</v>
      </c>
      <c r="CS31" s="1740">
        <v>4927852</v>
      </c>
      <c r="CT31" s="1740">
        <v>1815668</v>
      </c>
      <c r="CU31" s="1328">
        <v>686089</v>
      </c>
      <c r="CV31" s="1740">
        <v>1812000</v>
      </c>
      <c r="CW31" s="1328">
        <v>705761</v>
      </c>
      <c r="CX31" s="1740">
        <v>2784960</v>
      </c>
      <c r="CY31" s="1328">
        <v>116640</v>
      </c>
      <c r="CZ31" s="1740">
        <v>981120</v>
      </c>
      <c r="DA31" s="1740">
        <v>850080</v>
      </c>
      <c r="DB31" s="1740">
        <v>2944000</v>
      </c>
      <c r="DC31" s="1740">
        <v>9456000</v>
      </c>
      <c r="DD31" s="1740">
        <v>1368000</v>
      </c>
      <c r="DE31" s="1740">
        <v>2208000</v>
      </c>
      <c r="DF31" s="1328">
        <v>2221382</v>
      </c>
      <c r="DG31" s="1740">
        <v>34439</v>
      </c>
      <c r="DH31" s="1740">
        <v>1656000</v>
      </c>
      <c r="DI31" s="1740">
        <v>769538</v>
      </c>
      <c r="DJ31" s="1740">
        <v>1441053</v>
      </c>
      <c r="DK31" s="1740">
        <v>1089840</v>
      </c>
      <c r="DL31" s="1740">
        <v>1700160</v>
      </c>
      <c r="DM31" s="1740">
        <v>1045440</v>
      </c>
      <c r="DN31" s="1740">
        <v>0</v>
      </c>
      <c r="DO31" s="1740">
        <v>554880</v>
      </c>
      <c r="DP31" s="1740">
        <v>400130</v>
      </c>
      <c r="DQ31" s="1740">
        <v>2822400</v>
      </c>
      <c r="DR31" s="1740">
        <v>2608200</v>
      </c>
      <c r="DS31" s="1740">
        <v>0</v>
      </c>
      <c r="DT31" s="1740">
        <v>849960</v>
      </c>
      <c r="DU31" s="1740">
        <v>257725</v>
      </c>
      <c r="DV31" s="1740">
        <v>1683840</v>
      </c>
      <c r="DW31" s="1740">
        <v>1312560</v>
      </c>
      <c r="DX31" s="1740">
        <v>0</v>
      </c>
      <c r="DY31" s="1451"/>
      <c r="DZ31" s="1762">
        <v>22024727</v>
      </c>
      <c r="EA31" s="1768">
        <v>0</v>
      </c>
      <c r="EB31" s="1768">
        <v>3726432</v>
      </c>
      <c r="EC31" s="1768">
        <v>0</v>
      </c>
      <c r="ED31" s="1768">
        <v>474240</v>
      </c>
      <c r="EE31" s="1329">
        <v>5425920</v>
      </c>
      <c r="EF31" s="1329">
        <v>0</v>
      </c>
      <c r="EG31" s="1329">
        <v>0</v>
      </c>
      <c r="EH31" s="1768">
        <v>304800</v>
      </c>
      <c r="EI31" s="1768">
        <v>715392</v>
      </c>
      <c r="EJ31" s="1768">
        <v>118500</v>
      </c>
      <c r="EK31" s="1768">
        <v>2063252</v>
      </c>
      <c r="EL31" s="1768">
        <v>621013</v>
      </c>
      <c r="EM31" s="1768">
        <v>1071648</v>
      </c>
      <c r="EN31" s="1768">
        <v>0</v>
      </c>
      <c r="EO31" s="1768">
        <v>0</v>
      </c>
      <c r="EP31" s="1768">
        <v>0</v>
      </c>
      <c r="EQ31" s="1768">
        <v>654048</v>
      </c>
      <c r="ER31" s="1329">
        <v>409522</v>
      </c>
      <c r="ES31" s="1768">
        <v>1506936</v>
      </c>
      <c r="ET31" s="1768">
        <v>0</v>
      </c>
      <c r="EU31" s="1768">
        <v>334004</v>
      </c>
      <c r="EV31" s="1768">
        <v>620200</v>
      </c>
      <c r="EW31" s="1768">
        <v>391200</v>
      </c>
      <c r="EX31" s="1768">
        <v>613170</v>
      </c>
      <c r="EY31" s="1768">
        <v>446640</v>
      </c>
      <c r="EZ31" s="1768">
        <v>0</v>
      </c>
      <c r="FA31" s="1768">
        <v>232254</v>
      </c>
      <c r="FB31" s="1768">
        <v>0</v>
      </c>
      <c r="FC31" s="1768">
        <v>0</v>
      </c>
      <c r="FD31" s="1768">
        <v>5122600</v>
      </c>
      <c r="FE31" s="1768">
        <v>0</v>
      </c>
      <c r="FF31" s="1768">
        <v>0</v>
      </c>
      <c r="FG31" s="1775">
        <v>4398755</v>
      </c>
      <c r="FH31" s="1775">
        <v>0</v>
      </c>
      <c r="FI31" s="1775">
        <v>0</v>
      </c>
      <c r="FJ31" s="1775">
        <v>5094618</v>
      </c>
      <c r="FK31" s="1775">
        <v>0</v>
      </c>
      <c r="FL31" s="1775">
        <v>578880</v>
      </c>
      <c r="FM31" s="1775">
        <v>3678527</v>
      </c>
      <c r="FN31" s="1775">
        <v>0</v>
      </c>
      <c r="FO31" s="1775">
        <v>6858181</v>
      </c>
      <c r="FP31" s="1775">
        <v>360960</v>
      </c>
      <c r="FQ31" s="1330">
        <v>1027096</v>
      </c>
      <c r="FR31" s="1775">
        <v>1698432</v>
      </c>
      <c r="FS31" s="1775">
        <v>2308032</v>
      </c>
      <c r="FT31" s="1775">
        <v>1605427</v>
      </c>
      <c r="FU31" s="1775">
        <v>0</v>
      </c>
      <c r="FV31" s="1775">
        <v>61492</v>
      </c>
      <c r="FW31" s="1775">
        <v>1647840</v>
      </c>
      <c r="FX31" s="1775">
        <v>22699900</v>
      </c>
      <c r="FY31" s="1775">
        <v>5164336</v>
      </c>
      <c r="FZ31" s="1775">
        <v>0</v>
      </c>
      <c r="GA31" s="1775">
        <v>945600</v>
      </c>
      <c r="GB31" s="1775">
        <v>38340</v>
      </c>
      <c r="GC31" s="1775">
        <v>636480</v>
      </c>
      <c r="GD31" s="1775">
        <v>1260288</v>
      </c>
      <c r="GE31" s="1775">
        <v>0</v>
      </c>
      <c r="GF31" s="1775">
        <v>0</v>
      </c>
      <c r="GG31" s="1331"/>
      <c r="GH31" s="586">
        <v>161099792</v>
      </c>
      <c r="GI31" s="841">
        <v>106939682</v>
      </c>
      <c r="GJ31" s="1325">
        <v>268039474</v>
      </c>
      <c r="GK31" s="583">
        <v>81326360</v>
      </c>
      <c r="GL31" s="583">
        <v>22024727</v>
      </c>
      <c r="GM31" s="2416">
        <v>44270522</v>
      </c>
      <c r="GN31" s="583">
        <v>5886390</v>
      </c>
      <c r="GO31" s="583">
        <v>59028829</v>
      </c>
      <c r="GP31" s="583">
        <v>27822500</v>
      </c>
      <c r="GQ31" s="583">
        <v>2796567</v>
      </c>
      <c r="GR31" s="583">
        <v>10520538</v>
      </c>
      <c r="GS31" s="583">
        <v>8921475</v>
      </c>
      <c r="GT31" s="840">
        <v>3880320</v>
      </c>
      <c r="GU31" s="840">
        <v>1561246</v>
      </c>
      <c r="GV31" s="840">
        <v>0</v>
      </c>
      <c r="GW31" s="840"/>
    </row>
    <row r="32" spans="1:276" s="4" customFormat="1" ht="33" customHeight="1" thickBot="1">
      <c r="A32" s="818" t="s">
        <v>268</v>
      </c>
      <c r="B32" s="1332">
        <v>0</v>
      </c>
      <c r="C32" s="1333">
        <v>0</v>
      </c>
      <c r="D32" s="1334">
        <v>0</v>
      </c>
      <c r="E32" s="1334">
        <v>6430095</v>
      </c>
      <c r="F32" s="1334">
        <v>769552.00000000012</v>
      </c>
      <c r="G32" s="1334">
        <v>2767003.8200000003</v>
      </c>
      <c r="H32" s="1334">
        <v>0</v>
      </c>
      <c r="I32" s="1334">
        <v>10261713</v>
      </c>
      <c r="J32" s="1334">
        <v>7842960.0000000009</v>
      </c>
      <c r="K32" s="1335"/>
      <c r="L32" s="1334">
        <v>0</v>
      </c>
      <c r="M32" s="1334">
        <v>5422913.5</v>
      </c>
      <c r="N32" s="1335">
        <v>0</v>
      </c>
      <c r="O32" s="1334">
        <v>5183942.3999999994</v>
      </c>
      <c r="P32" s="1334">
        <v>0</v>
      </c>
      <c r="Q32" s="1334">
        <v>9950829.5</v>
      </c>
      <c r="R32" s="1334">
        <v>0</v>
      </c>
      <c r="S32" s="1334">
        <v>0</v>
      </c>
      <c r="T32" s="1334">
        <v>0</v>
      </c>
      <c r="U32" s="1334">
        <v>6753460.46</v>
      </c>
      <c r="V32" s="1334">
        <v>6461169.1200000001</v>
      </c>
      <c r="W32" s="1334">
        <v>28213180.800000001</v>
      </c>
      <c r="X32" s="1334">
        <v>0</v>
      </c>
      <c r="Y32" s="1334">
        <v>0</v>
      </c>
      <c r="Z32" s="1334">
        <v>0</v>
      </c>
      <c r="AA32" s="1334">
        <v>0</v>
      </c>
      <c r="AB32" s="1334">
        <v>11379312</v>
      </c>
      <c r="AC32" s="1334">
        <v>17668273.5</v>
      </c>
      <c r="AD32" s="1334">
        <v>8402397.5700000003</v>
      </c>
      <c r="AE32" s="1334">
        <v>342711</v>
      </c>
      <c r="AF32" s="1334">
        <v>450000</v>
      </c>
      <c r="AG32" s="1334">
        <v>0</v>
      </c>
      <c r="AH32" s="1334">
        <v>0</v>
      </c>
      <c r="AI32" s="1334">
        <v>0</v>
      </c>
      <c r="AJ32" s="1334">
        <v>19424059.200000003</v>
      </c>
      <c r="AK32" s="1334">
        <v>0</v>
      </c>
      <c r="AL32" s="1334">
        <v>528273.09000000008</v>
      </c>
      <c r="AM32" s="1334">
        <v>226800.00000000003</v>
      </c>
      <c r="AN32" s="1335">
        <v>4536000</v>
      </c>
      <c r="AO32" s="1460">
        <v>0</v>
      </c>
      <c r="AP32" s="1334">
        <v>5185271.7</v>
      </c>
      <c r="AQ32" s="2899">
        <v>0</v>
      </c>
      <c r="AR32" s="2899">
        <v>0</v>
      </c>
      <c r="AS32" s="1334">
        <v>0</v>
      </c>
      <c r="AT32" s="2899">
        <v>0</v>
      </c>
      <c r="AU32" s="1334"/>
      <c r="AV32" s="1334">
        <v>491724</v>
      </c>
      <c r="AW32" s="1334">
        <v>10939144.32</v>
      </c>
      <c r="AX32" s="1333">
        <v>15484778.98</v>
      </c>
      <c r="AY32" s="1334">
        <v>14041213.199999999</v>
      </c>
      <c r="AZ32" s="1334">
        <v>8253158.3999999994</v>
      </c>
      <c r="BA32" s="1334">
        <v>7008643.2000000002</v>
      </c>
      <c r="BB32" s="1334">
        <v>421416.48</v>
      </c>
      <c r="BC32" s="1334">
        <v>1735862.4000000001</v>
      </c>
      <c r="BD32" s="1334">
        <v>0</v>
      </c>
      <c r="BE32" s="1334">
        <v>0</v>
      </c>
      <c r="BF32" s="1334">
        <v>0</v>
      </c>
      <c r="BG32" s="1334">
        <v>8846034</v>
      </c>
      <c r="BH32" s="1334">
        <v>8202250.0000000009</v>
      </c>
      <c r="BI32" s="1334">
        <v>5392840</v>
      </c>
      <c r="BJ32" s="1334">
        <v>863126.1</v>
      </c>
      <c r="BK32" s="1334">
        <v>3908867.8</v>
      </c>
      <c r="BL32" s="1334">
        <v>989907.11999999988</v>
      </c>
      <c r="BM32" s="1334">
        <v>1047052.8</v>
      </c>
      <c r="BN32" s="1334">
        <v>0</v>
      </c>
      <c r="BO32" s="1334">
        <v>1930743.78</v>
      </c>
      <c r="BP32" s="1334">
        <v>0</v>
      </c>
      <c r="BQ32" s="1334">
        <v>13665820.08</v>
      </c>
      <c r="BR32" s="1334">
        <v>5688247.0999999996</v>
      </c>
      <c r="BS32" s="1334">
        <v>443682.72000000003</v>
      </c>
      <c r="BT32" s="1334">
        <v>178875</v>
      </c>
      <c r="BU32" s="1335">
        <v>1342775</v>
      </c>
      <c r="BV32" s="1334">
        <v>365347.5</v>
      </c>
      <c r="BW32" s="1334">
        <v>27860697.599999998</v>
      </c>
      <c r="BX32" s="1334">
        <v>2342889.6</v>
      </c>
      <c r="BY32" s="1334">
        <v>0</v>
      </c>
      <c r="BZ32" s="1334">
        <v>600788.16</v>
      </c>
      <c r="CA32" s="1334">
        <v>255040</v>
      </c>
      <c r="CB32" s="1334">
        <v>1390550</v>
      </c>
      <c r="CC32" s="1334">
        <v>1276999.6800000002</v>
      </c>
      <c r="CD32" s="1334">
        <v>1736172</v>
      </c>
      <c r="CE32" s="1334">
        <v>1601094.24</v>
      </c>
      <c r="CF32" s="1334">
        <v>2923686.4</v>
      </c>
      <c r="CG32" s="1334">
        <v>0</v>
      </c>
      <c r="CH32" s="1334">
        <v>2760635.52</v>
      </c>
      <c r="CI32" s="1334">
        <v>1954598.4</v>
      </c>
      <c r="CJ32" s="1334">
        <v>0</v>
      </c>
      <c r="CK32" s="1334">
        <v>5208388.2</v>
      </c>
      <c r="CL32" s="1334">
        <v>0</v>
      </c>
      <c r="CM32" s="1334">
        <v>1069820</v>
      </c>
      <c r="CN32" s="1334">
        <v>457617.6</v>
      </c>
      <c r="CO32" s="1334">
        <v>7541500</v>
      </c>
      <c r="CP32" s="1334">
        <v>178920</v>
      </c>
      <c r="CQ32" s="1334">
        <v>0</v>
      </c>
      <c r="CR32" s="1333">
        <v>22487900.16</v>
      </c>
      <c r="CS32" s="1460">
        <v>67265179.799999997</v>
      </c>
      <c r="CT32" s="1335">
        <v>38056401.280000001</v>
      </c>
      <c r="CU32" s="1333">
        <v>14181459.630000001</v>
      </c>
      <c r="CV32" s="1460">
        <v>24425760</v>
      </c>
      <c r="CW32" s="1333">
        <v>14588079.870000001</v>
      </c>
      <c r="CX32" s="1335">
        <v>38571696</v>
      </c>
      <c r="CY32" s="1335">
        <v>1363521.5999999999</v>
      </c>
      <c r="CZ32" s="1335">
        <v>10125158.4</v>
      </c>
      <c r="DA32" s="1335">
        <v>11612092.800000001</v>
      </c>
      <c r="DB32" s="1335">
        <v>39066880</v>
      </c>
      <c r="DC32" s="1335">
        <v>8699520</v>
      </c>
      <c r="DD32" s="1335">
        <v>16634880</v>
      </c>
      <c r="DE32" s="1335">
        <v>31927680.000000004</v>
      </c>
      <c r="DF32" s="1335">
        <v>28100482.300000001</v>
      </c>
      <c r="DG32" s="1335">
        <v>0</v>
      </c>
      <c r="DH32" s="1335">
        <v>19441440</v>
      </c>
      <c r="DI32" s="1334">
        <v>8380268.8200000003</v>
      </c>
      <c r="DJ32" s="1334">
        <v>15318393.390000001</v>
      </c>
      <c r="DK32" s="1334">
        <v>14789128.800000001</v>
      </c>
      <c r="DL32" s="1334">
        <v>21915062.400000002</v>
      </c>
      <c r="DM32" s="1334">
        <v>12315283.199999999</v>
      </c>
      <c r="DN32" s="1334">
        <v>0</v>
      </c>
      <c r="DO32" s="1334">
        <v>7185696</v>
      </c>
      <c r="DP32" s="1334">
        <v>5781878.5</v>
      </c>
      <c r="DQ32" s="1334">
        <v>35816256</v>
      </c>
      <c r="DR32" s="1334">
        <v>29681316.000000004</v>
      </c>
      <c r="DS32" s="1334">
        <v>0</v>
      </c>
      <c r="DT32" s="1334">
        <v>11100477.6</v>
      </c>
      <c r="DU32" s="1334">
        <v>3079813.75</v>
      </c>
      <c r="DV32" s="1334">
        <v>25207084.800000001</v>
      </c>
      <c r="DW32" s="1334">
        <v>17286415.199999999</v>
      </c>
      <c r="DX32" s="1334">
        <v>0</v>
      </c>
      <c r="DY32" s="1452"/>
      <c r="DZ32" s="1334">
        <v>66074181</v>
      </c>
      <c r="EA32" s="1333">
        <v>0</v>
      </c>
      <c r="EB32" s="1334">
        <v>4173603.8400000003</v>
      </c>
      <c r="EC32" s="1334">
        <v>0</v>
      </c>
      <c r="ED32" s="1335">
        <v>4936838.4000000004</v>
      </c>
      <c r="EE32" s="1334">
        <v>89527680</v>
      </c>
      <c r="EF32" s="1334">
        <v>0</v>
      </c>
      <c r="EG32" s="1335">
        <v>0</v>
      </c>
      <c r="EH32" s="1334">
        <v>5489448.0000000009</v>
      </c>
      <c r="EI32" s="1334">
        <v>12877056</v>
      </c>
      <c r="EJ32" s="1334">
        <v>1702845</v>
      </c>
      <c r="EK32" s="1334">
        <v>2310842.2400000002</v>
      </c>
      <c r="EL32" s="1334">
        <v>1204765.22</v>
      </c>
      <c r="EM32" s="1334">
        <v>11680963.200000001</v>
      </c>
      <c r="EN32" s="1334">
        <v>0</v>
      </c>
      <c r="EO32" s="1334">
        <v>0</v>
      </c>
      <c r="EP32" s="1334">
        <v>0</v>
      </c>
      <c r="EQ32" s="1334">
        <v>10968384.959999999</v>
      </c>
      <c r="ER32" s="1334">
        <v>7162539.7799999993</v>
      </c>
      <c r="ES32" s="1334">
        <v>23568479.039999999</v>
      </c>
      <c r="ET32" s="1334">
        <v>0</v>
      </c>
      <c r="EU32" s="1335">
        <v>5531106.2399999993</v>
      </c>
      <c r="EV32" s="1334">
        <v>10487582</v>
      </c>
      <c r="EW32" s="1334">
        <v>5332056</v>
      </c>
      <c r="EX32" s="1334">
        <v>10344177.9</v>
      </c>
      <c r="EY32" s="1334">
        <v>924544.79999999993</v>
      </c>
      <c r="EZ32" s="1334">
        <v>0</v>
      </c>
      <c r="FA32" s="1334">
        <v>175816.27799999999</v>
      </c>
      <c r="FB32" s="1334">
        <v>0</v>
      </c>
      <c r="FC32" s="1334">
        <v>0</v>
      </c>
      <c r="FD32" s="1334">
        <v>27098554</v>
      </c>
      <c r="FE32" s="1334">
        <v>0</v>
      </c>
      <c r="FF32" s="1334">
        <v>0</v>
      </c>
      <c r="FG32" s="1336">
        <v>5102555.8</v>
      </c>
      <c r="FH32" s="1336">
        <v>0</v>
      </c>
      <c r="FI32" s="1336">
        <v>0</v>
      </c>
      <c r="FJ32" s="1336">
        <v>88952030.280000001</v>
      </c>
      <c r="FK32" s="1336">
        <v>0</v>
      </c>
      <c r="FL32" s="1336">
        <v>12144902.4</v>
      </c>
      <c r="FM32" s="1336">
        <v>4267091.3199999994</v>
      </c>
      <c r="FN32" s="1336">
        <v>0</v>
      </c>
      <c r="FO32" s="1336">
        <v>6789599.1899999995</v>
      </c>
      <c r="FP32" s="1336">
        <v>4851302.3999999994</v>
      </c>
      <c r="FQ32" s="1336">
        <v>21538203.119999997</v>
      </c>
      <c r="FR32" s="1336">
        <v>20092450.559999999</v>
      </c>
      <c r="FS32" s="1336">
        <v>33351062.399999999</v>
      </c>
      <c r="FT32" s="1336">
        <v>20388922.899999999</v>
      </c>
      <c r="FU32" s="1336">
        <v>0</v>
      </c>
      <c r="FV32" s="1336">
        <v>679486.60000000009</v>
      </c>
      <c r="FW32" s="1336">
        <v>20004777.600000001</v>
      </c>
      <c r="FX32" s="1336">
        <v>204526099</v>
      </c>
      <c r="FY32" s="1336">
        <v>5267622.72</v>
      </c>
      <c r="FZ32" s="1336">
        <v>0</v>
      </c>
      <c r="GA32" s="1336">
        <v>6997440</v>
      </c>
      <c r="GB32" s="1336">
        <v>433625.4</v>
      </c>
      <c r="GC32" s="1336">
        <v>7465910.4000000004</v>
      </c>
      <c r="GD32" s="1336">
        <v>19320215.039999999</v>
      </c>
      <c r="GE32" s="1336">
        <v>0</v>
      </c>
      <c r="GF32" s="1336">
        <v>0</v>
      </c>
      <c r="GG32" s="1337"/>
      <c r="GH32" s="586">
        <v>923006031.34000003</v>
      </c>
      <c r="GI32" s="841">
        <v>783744761.02799988</v>
      </c>
      <c r="GJ32" s="840">
        <v>1706750792.368</v>
      </c>
      <c r="GK32" s="583">
        <v>91370667.257999986</v>
      </c>
      <c r="GL32" s="583">
        <v>66074181</v>
      </c>
      <c r="GM32" s="2416">
        <v>53080682.969999991</v>
      </c>
      <c r="GN32" s="583">
        <v>122996946.46000001</v>
      </c>
      <c r="GO32" s="583">
        <v>766248312.5999999</v>
      </c>
      <c r="GP32" s="583">
        <v>231624653</v>
      </c>
      <c r="GQ32" s="583">
        <v>755073.09000000008</v>
      </c>
      <c r="GR32" s="583">
        <v>178479710.28</v>
      </c>
      <c r="GS32" s="583">
        <v>149200591.86000001</v>
      </c>
      <c r="GT32" s="840">
        <v>27860697.599999998</v>
      </c>
      <c r="GU32" s="840">
        <v>19059276.25</v>
      </c>
      <c r="GV32" s="840">
        <v>0</v>
      </c>
      <c r="GW32" s="840"/>
    </row>
    <row r="33" spans="1:205" ht="33" customHeight="1" thickBot="1">
      <c r="A33" s="818" t="s">
        <v>770</v>
      </c>
      <c r="B33" s="1338">
        <v>0</v>
      </c>
      <c r="C33" s="1339">
        <v>0</v>
      </c>
      <c r="D33" s="1339">
        <v>0</v>
      </c>
      <c r="E33" s="1339">
        <v>180</v>
      </c>
      <c r="F33" s="1339">
        <v>0</v>
      </c>
      <c r="G33" s="1339">
        <v>86</v>
      </c>
      <c r="H33" s="1339">
        <v>0</v>
      </c>
      <c r="I33" s="1339">
        <v>402</v>
      </c>
      <c r="J33" s="1339">
        <v>321</v>
      </c>
      <c r="K33" s="1339"/>
      <c r="L33" s="1339">
        <v>0</v>
      </c>
      <c r="M33" s="1339">
        <v>225</v>
      </c>
      <c r="N33" s="1339">
        <v>0</v>
      </c>
      <c r="O33" s="1339">
        <v>7</v>
      </c>
      <c r="P33" s="1339">
        <v>0</v>
      </c>
      <c r="Q33" s="1339">
        <v>30</v>
      </c>
      <c r="R33" s="1339">
        <v>0</v>
      </c>
      <c r="S33" s="1339">
        <v>0</v>
      </c>
      <c r="T33" s="1339">
        <v>0</v>
      </c>
      <c r="U33" s="1339">
        <v>8</v>
      </c>
      <c r="V33" s="1339">
        <v>8</v>
      </c>
      <c r="W33" s="1339">
        <v>50</v>
      </c>
      <c r="X33" s="1339">
        <v>0</v>
      </c>
      <c r="Y33" s="1339">
        <v>0</v>
      </c>
      <c r="Z33" s="1339">
        <v>0</v>
      </c>
      <c r="AA33" s="1339">
        <v>0</v>
      </c>
      <c r="AB33" s="1339">
        <v>35</v>
      </c>
      <c r="AC33" s="1339">
        <v>55</v>
      </c>
      <c r="AD33" s="1339">
        <v>17</v>
      </c>
      <c r="AE33" s="1339">
        <v>19</v>
      </c>
      <c r="AF33" s="1339">
        <v>25</v>
      </c>
      <c r="AG33" s="1339">
        <v>20</v>
      </c>
      <c r="AH33" s="1339">
        <v>25</v>
      </c>
      <c r="AI33" s="1339">
        <v>16</v>
      </c>
      <c r="AJ33" s="1339">
        <v>42</v>
      </c>
      <c r="AK33" s="1339">
        <v>0</v>
      </c>
      <c r="AL33" s="1339">
        <v>76</v>
      </c>
      <c r="AM33" s="1339">
        <v>35</v>
      </c>
      <c r="AN33" s="1339">
        <v>100</v>
      </c>
      <c r="AO33" s="1339">
        <v>0</v>
      </c>
      <c r="AP33" s="1339">
        <v>16</v>
      </c>
      <c r="AQ33" s="1339">
        <v>0</v>
      </c>
      <c r="AR33" s="1339">
        <v>0</v>
      </c>
      <c r="AS33" s="1339">
        <v>0</v>
      </c>
      <c r="AT33" s="1339">
        <v>0</v>
      </c>
      <c r="AU33" s="1339"/>
      <c r="AV33" s="1339">
        <v>0</v>
      </c>
      <c r="AW33" s="1339">
        <v>26</v>
      </c>
      <c r="AX33" s="1339">
        <v>17</v>
      </c>
      <c r="AY33" s="1339">
        <v>56</v>
      </c>
      <c r="AZ33" s="1339">
        <v>12</v>
      </c>
      <c r="BA33" s="1339">
        <v>25</v>
      </c>
      <c r="BB33" s="1339">
        <v>15</v>
      </c>
      <c r="BC33" s="1339">
        <v>2</v>
      </c>
      <c r="BD33" s="1339">
        <v>0</v>
      </c>
      <c r="BE33" s="1339">
        <v>0</v>
      </c>
      <c r="BF33" s="1339">
        <v>0</v>
      </c>
      <c r="BG33" s="1339">
        <v>320</v>
      </c>
      <c r="BH33" s="1339">
        <v>330</v>
      </c>
      <c r="BI33" s="1339">
        <v>166</v>
      </c>
      <c r="BJ33" s="1339">
        <v>8</v>
      </c>
      <c r="BK33" s="1339">
        <v>137</v>
      </c>
      <c r="BL33" s="1339">
        <v>31</v>
      </c>
      <c r="BM33" s="1339">
        <v>40</v>
      </c>
      <c r="BN33" s="1339">
        <v>0</v>
      </c>
      <c r="BO33" s="1339">
        <v>51</v>
      </c>
      <c r="BP33" s="1339">
        <v>0</v>
      </c>
      <c r="BQ33" s="1339">
        <v>24</v>
      </c>
      <c r="BR33" s="1339">
        <v>16</v>
      </c>
      <c r="BS33" s="1339">
        <v>0</v>
      </c>
      <c r="BT33" s="1339">
        <v>10</v>
      </c>
      <c r="BU33" s="1339">
        <v>21</v>
      </c>
      <c r="BV33" s="1339">
        <v>20</v>
      </c>
      <c r="BW33" s="1339">
        <v>150</v>
      </c>
      <c r="BX33" s="1339">
        <v>81</v>
      </c>
      <c r="BY33" s="1339">
        <v>0</v>
      </c>
      <c r="BZ33" s="1339">
        <v>22</v>
      </c>
      <c r="CA33" s="1339">
        <v>2</v>
      </c>
      <c r="CB33" s="1339">
        <v>43</v>
      </c>
      <c r="CC33" s="1339">
        <v>41</v>
      </c>
      <c r="CD33" s="1339">
        <v>33</v>
      </c>
      <c r="CE33" s="1339">
        <v>30</v>
      </c>
      <c r="CF33" s="1339">
        <v>110</v>
      </c>
      <c r="CG33" s="1339">
        <v>0</v>
      </c>
      <c r="CH33" s="1339">
        <v>60</v>
      </c>
      <c r="CI33" s="1339">
        <v>10</v>
      </c>
      <c r="CJ33" s="1339">
        <v>0</v>
      </c>
      <c r="CK33" s="2577">
        <v>220</v>
      </c>
      <c r="CL33" s="1339">
        <v>0</v>
      </c>
      <c r="CM33" s="1339">
        <v>31</v>
      </c>
      <c r="CN33" s="1339">
        <v>10</v>
      </c>
      <c r="CO33" s="1339">
        <v>330</v>
      </c>
      <c r="CP33" s="1339">
        <v>8</v>
      </c>
      <c r="CQ33" s="1339">
        <v>0</v>
      </c>
      <c r="CR33" s="1339">
        <v>0</v>
      </c>
      <c r="CS33" s="1339">
        <v>195</v>
      </c>
      <c r="CT33" s="1339">
        <v>0</v>
      </c>
      <c r="CU33" s="1339">
        <v>0</v>
      </c>
      <c r="CV33" s="1339">
        <v>48</v>
      </c>
      <c r="CW33" s="1339">
        <v>0</v>
      </c>
      <c r="CX33" s="1339">
        <v>97</v>
      </c>
      <c r="CY33" s="1339">
        <v>13</v>
      </c>
      <c r="CZ33" s="1339">
        <v>21</v>
      </c>
      <c r="DA33" s="1339">
        <v>34</v>
      </c>
      <c r="DB33" s="1339">
        <v>122</v>
      </c>
      <c r="DC33" s="1339">
        <v>380</v>
      </c>
      <c r="DD33" s="1339">
        <v>48</v>
      </c>
      <c r="DE33" s="1339">
        <v>88</v>
      </c>
      <c r="DF33" s="1339">
        <v>87</v>
      </c>
      <c r="DG33" s="1339">
        <v>4</v>
      </c>
      <c r="DH33" s="1339">
        <v>50</v>
      </c>
      <c r="DI33" s="1339">
        <v>36</v>
      </c>
      <c r="DJ33" s="1339">
        <v>55</v>
      </c>
      <c r="DK33" s="1339">
        <v>17</v>
      </c>
      <c r="DL33" s="1339">
        <v>38</v>
      </c>
      <c r="DM33" s="1339">
        <v>20</v>
      </c>
      <c r="DN33" s="1339">
        <v>0</v>
      </c>
      <c r="DO33" s="1339">
        <v>17</v>
      </c>
      <c r="DP33" s="1339">
        <v>41</v>
      </c>
      <c r="DQ33" s="1339">
        <v>54</v>
      </c>
      <c r="DR33" s="1339">
        <v>108</v>
      </c>
      <c r="DS33" s="1339">
        <v>0</v>
      </c>
      <c r="DT33" s="1339">
        <v>35</v>
      </c>
      <c r="DU33" s="1339">
        <v>20</v>
      </c>
      <c r="DV33" s="1339">
        <v>75</v>
      </c>
      <c r="DW33" s="1339">
        <v>55</v>
      </c>
      <c r="DX33" s="1339">
        <v>0</v>
      </c>
      <c r="DY33" s="1453"/>
      <c r="DZ33" s="1339">
        <v>914</v>
      </c>
      <c r="EA33" s="1339">
        <v>0</v>
      </c>
      <c r="EB33" s="1339">
        <v>150</v>
      </c>
      <c r="EC33" s="1339">
        <v>0</v>
      </c>
      <c r="ED33" s="1339">
        <v>16</v>
      </c>
      <c r="EE33" s="1339">
        <v>221</v>
      </c>
      <c r="EF33" s="1339">
        <v>0</v>
      </c>
      <c r="EG33" s="1339">
        <v>0</v>
      </c>
      <c r="EH33" s="1339">
        <v>0</v>
      </c>
      <c r="EI33" s="1339">
        <v>0</v>
      </c>
      <c r="EJ33" s="1339">
        <v>0</v>
      </c>
      <c r="EK33" s="1339">
        <v>85</v>
      </c>
      <c r="EL33" s="1339">
        <v>21</v>
      </c>
      <c r="EM33" s="1339">
        <v>16</v>
      </c>
      <c r="EN33" s="1339">
        <v>0</v>
      </c>
      <c r="EO33" s="1339">
        <v>0</v>
      </c>
      <c r="EP33" s="1339">
        <v>0</v>
      </c>
      <c r="EQ33" s="1339">
        <v>24</v>
      </c>
      <c r="ER33" s="1339">
        <v>0</v>
      </c>
      <c r="ES33" s="1339">
        <v>45</v>
      </c>
      <c r="ET33" s="1339">
        <v>0</v>
      </c>
      <c r="EU33" s="1339">
        <v>0</v>
      </c>
      <c r="EV33" s="1339">
        <v>32</v>
      </c>
      <c r="EW33" s="1339">
        <v>8</v>
      </c>
      <c r="EX33" s="1339">
        <v>0</v>
      </c>
      <c r="EY33" s="1339">
        <v>19</v>
      </c>
      <c r="EZ33" s="1339">
        <v>0</v>
      </c>
      <c r="FA33" s="1339">
        <v>11</v>
      </c>
      <c r="FB33" s="1339">
        <v>0</v>
      </c>
      <c r="FC33" s="1339">
        <v>0</v>
      </c>
      <c r="FD33" s="1339">
        <v>200</v>
      </c>
      <c r="FE33" s="1339">
        <v>0</v>
      </c>
      <c r="FF33" s="1339">
        <v>0</v>
      </c>
      <c r="FG33" s="1340">
        <v>178</v>
      </c>
      <c r="FH33" s="1340">
        <v>0</v>
      </c>
      <c r="FI33" s="1340">
        <v>0</v>
      </c>
      <c r="FJ33" s="1340">
        <v>213</v>
      </c>
      <c r="FK33" s="1340">
        <v>0</v>
      </c>
      <c r="FL33" s="1340">
        <v>0</v>
      </c>
      <c r="FM33" s="1340">
        <v>146</v>
      </c>
      <c r="FN33" s="1340">
        <v>0</v>
      </c>
      <c r="FO33" s="1340">
        <v>290</v>
      </c>
      <c r="FP33" s="1340">
        <v>0</v>
      </c>
      <c r="FQ33" s="1340">
        <v>0</v>
      </c>
      <c r="FR33" s="1340">
        <v>50</v>
      </c>
      <c r="FS33" s="1340">
        <v>88</v>
      </c>
      <c r="FT33" s="1340">
        <v>56</v>
      </c>
      <c r="FU33" s="1340">
        <v>0</v>
      </c>
      <c r="FV33" s="1340">
        <v>6</v>
      </c>
      <c r="FW33" s="1340">
        <v>55</v>
      </c>
      <c r="FX33" s="1340">
        <v>940</v>
      </c>
      <c r="FY33" s="1340">
        <v>220</v>
      </c>
      <c r="FZ33" s="1340">
        <v>0</v>
      </c>
      <c r="GA33" s="1340">
        <v>0</v>
      </c>
      <c r="GB33" s="1340">
        <v>3</v>
      </c>
      <c r="GC33" s="1340">
        <v>44</v>
      </c>
      <c r="GD33" s="1340">
        <v>34</v>
      </c>
      <c r="GE33" s="1340">
        <v>0</v>
      </c>
      <c r="GF33" s="1340">
        <v>0</v>
      </c>
      <c r="GG33" s="1341"/>
      <c r="GH33" s="1317">
        <v>10149</v>
      </c>
      <c r="GI33" s="877" t="s">
        <v>745</v>
      </c>
      <c r="GJ33" s="840"/>
      <c r="GK33" s="840"/>
      <c r="GL33" s="840"/>
      <c r="GM33" s="840"/>
      <c r="GN33" s="840"/>
      <c r="GO33" s="840"/>
      <c r="GP33" s="840"/>
      <c r="GQ33" s="840"/>
      <c r="GR33" s="840"/>
      <c r="GS33" s="840"/>
      <c r="GT33" s="840"/>
      <c r="GU33" s="840"/>
      <c r="GV33" s="840"/>
      <c r="GW33" s="840"/>
    </row>
    <row r="34" spans="1:205" ht="35.25" customHeight="1" thickBot="1">
      <c r="A34" s="818" t="s">
        <v>771</v>
      </c>
      <c r="B34" s="1338">
        <v>0</v>
      </c>
      <c r="C34" s="1339">
        <v>0</v>
      </c>
      <c r="D34" s="1339">
        <v>0</v>
      </c>
      <c r="E34" s="1339">
        <v>180</v>
      </c>
      <c r="F34" s="1339">
        <v>200</v>
      </c>
      <c r="G34" s="1339">
        <v>81</v>
      </c>
      <c r="H34" s="1339">
        <v>0</v>
      </c>
      <c r="I34" s="1339">
        <v>397</v>
      </c>
      <c r="J34" s="1339">
        <v>257</v>
      </c>
      <c r="K34" s="1339">
        <v>0</v>
      </c>
      <c r="L34" s="1339">
        <v>0</v>
      </c>
      <c r="M34" s="1339">
        <v>225</v>
      </c>
      <c r="N34" s="1339">
        <v>0</v>
      </c>
      <c r="O34" s="1339">
        <v>48</v>
      </c>
      <c r="P34" s="1339">
        <v>0</v>
      </c>
      <c r="Q34" s="1339">
        <v>30</v>
      </c>
      <c r="R34" s="1339">
        <v>0</v>
      </c>
      <c r="S34" s="1339">
        <v>0</v>
      </c>
      <c r="T34" s="1339">
        <v>0</v>
      </c>
      <c r="U34" s="1339">
        <v>48</v>
      </c>
      <c r="V34" s="1339">
        <v>50</v>
      </c>
      <c r="W34" s="1339">
        <v>128</v>
      </c>
      <c r="X34" s="1339">
        <v>0</v>
      </c>
      <c r="Y34" s="1339">
        <v>0</v>
      </c>
      <c r="Z34" s="1339">
        <v>0</v>
      </c>
      <c r="AA34" s="1339">
        <v>0</v>
      </c>
      <c r="AB34" s="1339">
        <v>54</v>
      </c>
      <c r="AC34" s="1339">
        <v>55</v>
      </c>
      <c r="AD34" s="1339">
        <v>55</v>
      </c>
      <c r="AE34" s="1339">
        <v>22</v>
      </c>
      <c r="AF34" s="1339">
        <v>25</v>
      </c>
      <c r="AG34" s="1339">
        <v>27</v>
      </c>
      <c r="AH34" s="1339">
        <v>33</v>
      </c>
      <c r="AI34" s="1339">
        <v>30</v>
      </c>
      <c r="AJ34" s="1339">
        <v>49</v>
      </c>
      <c r="AK34" s="1339">
        <v>0</v>
      </c>
      <c r="AL34" s="1339">
        <v>81</v>
      </c>
      <c r="AM34" s="1339">
        <v>35</v>
      </c>
      <c r="AN34" s="1339">
        <v>100</v>
      </c>
      <c r="AO34" s="1339">
        <v>0</v>
      </c>
      <c r="AP34" s="1339">
        <v>25</v>
      </c>
      <c r="AQ34" s="1339">
        <v>0</v>
      </c>
      <c r="AR34" s="1339">
        <v>0</v>
      </c>
      <c r="AS34" s="1339">
        <v>0</v>
      </c>
      <c r="AT34" s="1339">
        <v>0</v>
      </c>
      <c r="AU34" s="1339">
        <v>0</v>
      </c>
      <c r="AV34" s="1339">
        <v>6</v>
      </c>
      <c r="AW34" s="1339">
        <v>34</v>
      </c>
      <c r="AX34" s="1339">
        <v>51</v>
      </c>
      <c r="AY34" s="1339">
        <v>33</v>
      </c>
      <c r="AZ34" s="1339">
        <v>80</v>
      </c>
      <c r="BA34" s="1339">
        <v>25</v>
      </c>
      <c r="BB34" s="1339">
        <v>15</v>
      </c>
      <c r="BC34" s="1339">
        <v>30</v>
      </c>
      <c r="BD34" s="1339">
        <v>0</v>
      </c>
      <c r="BE34" s="1339">
        <v>0</v>
      </c>
      <c r="BF34" s="1339">
        <v>0</v>
      </c>
      <c r="BG34" s="1339">
        <v>320</v>
      </c>
      <c r="BH34" s="1339">
        <v>305</v>
      </c>
      <c r="BI34" s="1339">
        <v>208</v>
      </c>
      <c r="BJ34" s="1339">
        <v>8</v>
      </c>
      <c r="BK34" s="1339">
        <v>129</v>
      </c>
      <c r="BL34" s="1339">
        <v>41</v>
      </c>
      <c r="BM34" s="1339">
        <v>40</v>
      </c>
      <c r="BN34" s="1339">
        <v>0</v>
      </c>
      <c r="BO34" s="1339">
        <v>51</v>
      </c>
      <c r="BP34" s="1339">
        <v>0</v>
      </c>
      <c r="BQ34" s="1339">
        <v>38</v>
      </c>
      <c r="BR34" s="1339">
        <v>43</v>
      </c>
      <c r="BS34" s="1339">
        <v>19</v>
      </c>
      <c r="BT34" s="1339">
        <v>10</v>
      </c>
      <c r="BU34" s="1339">
        <v>33</v>
      </c>
      <c r="BV34" s="1339">
        <v>20</v>
      </c>
      <c r="BW34" s="1339">
        <v>160</v>
      </c>
      <c r="BX34" s="1339">
        <v>100</v>
      </c>
      <c r="BY34" s="1339">
        <v>0</v>
      </c>
      <c r="BZ34" s="1339">
        <v>20</v>
      </c>
      <c r="CA34" s="1339">
        <v>0</v>
      </c>
      <c r="CB34" s="1339">
        <v>44</v>
      </c>
      <c r="CC34" s="1339">
        <v>41</v>
      </c>
      <c r="CD34" s="1339">
        <v>53</v>
      </c>
      <c r="CE34" s="1339">
        <v>48</v>
      </c>
      <c r="CF34" s="1339">
        <v>110</v>
      </c>
      <c r="CG34" s="1339">
        <v>0</v>
      </c>
      <c r="CH34" s="1339">
        <v>56</v>
      </c>
      <c r="CI34" s="1339">
        <v>81</v>
      </c>
      <c r="CJ34" s="1339">
        <v>0</v>
      </c>
      <c r="CK34" s="2577">
        <v>221</v>
      </c>
      <c r="CL34" s="1339">
        <v>0</v>
      </c>
      <c r="CM34" s="1339">
        <v>31</v>
      </c>
      <c r="CN34" s="1339">
        <v>9</v>
      </c>
      <c r="CO34" s="1339">
        <v>275</v>
      </c>
      <c r="CP34" s="1339">
        <v>16</v>
      </c>
      <c r="CQ34" s="1339">
        <v>0</v>
      </c>
      <c r="CR34" s="1339">
        <v>195</v>
      </c>
      <c r="CS34" s="1339">
        <v>242</v>
      </c>
      <c r="CT34" s="1339">
        <v>284</v>
      </c>
      <c r="CU34" s="1339">
        <v>96</v>
      </c>
      <c r="CV34" s="1339">
        <v>154</v>
      </c>
      <c r="CW34" s="1339">
        <v>100</v>
      </c>
      <c r="CX34" s="1339">
        <v>149</v>
      </c>
      <c r="CY34" s="1339">
        <v>0</v>
      </c>
      <c r="CZ34" s="1339">
        <v>90</v>
      </c>
      <c r="DA34" s="1339">
        <v>34</v>
      </c>
      <c r="DB34" s="1339">
        <v>122</v>
      </c>
      <c r="DC34" s="1339">
        <v>402</v>
      </c>
      <c r="DD34" s="1339">
        <v>106</v>
      </c>
      <c r="DE34" s="1339">
        <v>105</v>
      </c>
      <c r="DF34" s="1339">
        <v>105</v>
      </c>
      <c r="DG34" s="1339">
        <v>0</v>
      </c>
      <c r="DH34" s="1339">
        <v>214</v>
      </c>
      <c r="DI34" s="1339">
        <v>36</v>
      </c>
      <c r="DJ34" s="1339">
        <v>73</v>
      </c>
      <c r="DK34" s="1339">
        <v>114</v>
      </c>
      <c r="DL34" s="1339">
        <v>115</v>
      </c>
      <c r="DM34" s="1339">
        <v>100</v>
      </c>
      <c r="DN34" s="1339">
        <v>0</v>
      </c>
      <c r="DO34" s="1339">
        <v>52</v>
      </c>
      <c r="DP34" s="1339">
        <v>0</v>
      </c>
      <c r="DQ34" s="1339">
        <v>162</v>
      </c>
      <c r="DR34" s="1339">
        <v>108</v>
      </c>
      <c r="DS34" s="1339">
        <v>0</v>
      </c>
      <c r="DT34" s="1339">
        <v>6</v>
      </c>
      <c r="DU34" s="1339">
        <v>0</v>
      </c>
      <c r="DV34" s="1339">
        <v>75</v>
      </c>
      <c r="DW34" s="1339">
        <v>55</v>
      </c>
      <c r="DX34" s="1339">
        <v>0</v>
      </c>
      <c r="DY34" s="1453"/>
      <c r="DZ34" s="1339">
        <v>909</v>
      </c>
      <c r="EA34" s="1339">
        <v>0</v>
      </c>
      <c r="EB34" s="1339">
        <v>150</v>
      </c>
      <c r="EC34" s="1339">
        <v>0</v>
      </c>
      <c r="ED34" s="1339">
        <v>32</v>
      </c>
      <c r="EE34" s="1339">
        <v>228</v>
      </c>
      <c r="EF34" s="1339">
        <v>0</v>
      </c>
      <c r="EG34" s="1339">
        <v>0</v>
      </c>
      <c r="EH34" s="1339">
        <v>38</v>
      </c>
      <c r="EI34" s="1339">
        <v>72</v>
      </c>
      <c r="EJ34" s="1339">
        <v>8</v>
      </c>
      <c r="EK34" s="1339">
        <v>88</v>
      </c>
      <c r="EL34" s="1339">
        <v>33</v>
      </c>
      <c r="EM34" s="1339">
        <v>64</v>
      </c>
      <c r="EN34" s="1339">
        <v>0</v>
      </c>
      <c r="EO34" s="1339">
        <v>0</v>
      </c>
      <c r="EP34" s="1339">
        <v>0</v>
      </c>
      <c r="EQ34" s="1339">
        <v>32</v>
      </c>
      <c r="ER34" s="1339">
        <v>25</v>
      </c>
      <c r="ES34" s="1339">
        <v>80</v>
      </c>
      <c r="ET34" s="1339">
        <v>0</v>
      </c>
      <c r="EU34" s="1339">
        <v>0</v>
      </c>
      <c r="EV34" s="1339">
        <v>32</v>
      </c>
      <c r="EW34" s="1339">
        <v>52</v>
      </c>
      <c r="EX34" s="1339">
        <v>34</v>
      </c>
      <c r="EY34" s="1339">
        <v>21</v>
      </c>
      <c r="EZ34" s="1339">
        <v>0</v>
      </c>
      <c r="FA34" s="1339">
        <v>11</v>
      </c>
      <c r="FB34" s="1339">
        <v>0</v>
      </c>
      <c r="FC34" s="1339">
        <v>0</v>
      </c>
      <c r="FD34" s="1339">
        <v>240</v>
      </c>
      <c r="FE34" s="1339">
        <v>0</v>
      </c>
      <c r="FF34" s="1339">
        <v>0</v>
      </c>
      <c r="FG34" s="1340">
        <v>170</v>
      </c>
      <c r="FH34" s="1340">
        <v>0</v>
      </c>
      <c r="FI34" s="1340">
        <v>0</v>
      </c>
      <c r="FJ34" s="1340">
        <v>213</v>
      </c>
      <c r="FK34" s="1340">
        <v>0</v>
      </c>
      <c r="FL34" s="1340">
        <v>96</v>
      </c>
      <c r="FM34" s="1340">
        <v>143</v>
      </c>
      <c r="FN34" s="1340">
        <v>0</v>
      </c>
      <c r="FO34" s="1340">
        <v>286</v>
      </c>
      <c r="FP34" s="1340">
        <v>53</v>
      </c>
      <c r="FQ34" s="1340">
        <v>172</v>
      </c>
      <c r="FR34" s="1340">
        <v>94</v>
      </c>
      <c r="FS34" s="1340">
        <v>105</v>
      </c>
      <c r="FT34" s="1340">
        <v>91</v>
      </c>
      <c r="FU34" s="1340">
        <v>0</v>
      </c>
      <c r="FV34" s="1340">
        <v>0</v>
      </c>
      <c r="FW34" s="1340">
        <v>95</v>
      </c>
      <c r="FX34" s="1340">
        <v>800</v>
      </c>
      <c r="FY34" s="1340">
        <v>187</v>
      </c>
      <c r="FZ34" s="1340">
        <v>0</v>
      </c>
      <c r="GA34" s="1340">
        <v>150</v>
      </c>
      <c r="GB34" s="1340">
        <v>0</v>
      </c>
      <c r="GC34" s="1340">
        <v>0</v>
      </c>
      <c r="GD34" s="1340">
        <v>90</v>
      </c>
      <c r="GE34" s="1340">
        <v>0</v>
      </c>
      <c r="GF34" s="1340">
        <v>0</v>
      </c>
      <c r="GG34" s="1341"/>
      <c r="GH34" s="584">
        <v>13227</v>
      </c>
      <c r="GI34" s="878" t="s">
        <v>746</v>
      </c>
      <c r="GJ34" s="840"/>
      <c r="GK34" s="840"/>
      <c r="GL34" s="840"/>
      <c r="GM34" s="840"/>
      <c r="GN34" s="840"/>
      <c r="GO34" s="840"/>
      <c r="GP34" s="840"/>
      <c r="GQ34" s="840"/>
      <c r="GR34" s="840"/>
      <c r="GS34" s="840"/>
      <c r="GT34" s="840"/>
      <c r="GU34" s="840"/>
      <c r="GV34" s="840"/>
      <c r="GW34" s="840"/>
    </row>
    <row r="35" spans="1:205" ht="36.75" customHeight="1" thickBot="1">
      <c r="A35" s="587" t="s">
        <v>698</v>
      </c>
      <c r="B35" s="1024">
        <v>0</v>
      </c>
      <c r="C35" s="868">
        <v>0</v>
      </c>
      <c r="D35" s="868">
        <v>0</v>
      </c>
      <c r="E35" s="868">
        <v>180</v>
      </c>
      <c r="F35" s="2727">
        <v>200</v>
      </c>
      <c r="G35" s="868">
        <v>93</v>
      </c>
      <c r="H35" s="2424">
        <v>0</v>
      </c>
      <c r="I35" s="1528">
        <v>412</v>
      </c>
      <c r="J35" s="868">
        <v>330</v>
      </c>
      <c r="K35" s="868">
        <v>0</v>
      </c>
      <c r="L35" s="868">
        <v>0</v>
      </c>
      <c r="M35" s="868">
        <v>225</v>
      </c>
      <c r="N35" s="1148">
        <v>0</v>
      </c>
      <c r="O35" s="1148">
        <v>48</v>
      </c>
      <c r="P35" s="3517">
        <v>0</v>
      </c>
      <c r="Q35" s="868">
        <v>30</v>
      </c>
      <c r="R35" s="868">
        <v>0</v>
      </c>
      <c r="S35" s="868">
        <v>0</v>
      </c>
      <c r="T35" s="868">
        <v>0</v>
      </c>
      <c r="U35" s="868">
        <v>50</v>
      </c>
      <c r="V35" s="868">
        <v>30</v>
      </c>
      <c r="W35" s="868">
        <v>132</v>
      </c>
      <c r="X35" s="868">
        <v>0</v>
      </c>
      <c r="Y35" s="868">
        <v>0</v>
      </c>
      <c r="Z35" s="1519">
        <v>0</v>
      </c>
      <c r="AA35" s="868">
        <v>0</v>
      </c>
      <c r="AB35" s="868">
        <v>54</v>
      </c>
      <c r="AC35" s="868">
        <v>55</v>
      </c>
      <c r="AD35" s="868">
        <v>55</v>
      </c>
      <c r="AE35" s="868">
        <v>19</v>
      </c>
      <c r="AF35" s="868">
        <v>25</v>
      </c>
      <c r="AG35" s="868">
        <v>25</v>
      </c>
      <c r="AH35" s="868">
        <v>33</v>
      </c>
      <c r="AI35" s="868">
        <v>33</v>
      </c>
      <c r="AJ35" s="868">
        <v>51</v>
      </c>
      <c r="AK35" s="868">
        <v>0</v>
      </c>
      <c r="AL35" s="868">
        <v>83</v>
      </c>
      <c r="AM35" s="868">
        <v>35</v>
      </c>
      <c r="AN35" s="868">
        <v>100</v>
      </c>
      <c r="AO35" s="868">
        <v>0</v>
      </c>
      <c r="AP35" s="868">
        <v>25</v>
      </c>
      <c r="AQ35" s="868">
        <v>0</v>
      </c>
      <c r="AR35" s="2424">
        <v>0</v>
      </c>
      <c r="AS35" s="868">
        <v>0</v>
      </c>
      <c r="AT35" s="1519">
        <v>0</v>
      </c>
      <c r="AU35" s="868">
        <v>0</v>
      </c>
      <c r="AV35" s="868">
        <v>11</v>
      </c>
      <c r="AW35" s="868">
        <v>26</v>
      </c>
      <c r="AX35" s="868">
        <v>51</v>
      </c>
      <c r="AY35" s="868">
        <v>56</v>
      </c>
      <c r="AZ35" s="868">
        <v>95</v>
      </c>
      <c r="BA35" s="868">
        <v>32</v>
      </c>
      <c r="BB35" s="868">
        <v>17</v>
      </c>
      <c r="BC35" s="868">
        <v>10</v>
      </c>
      <c r="BD35" s="868">
        <v>0</v>
      </c>
      <c r="BE35" s="868">
        <v>0</v>
      </c>
      <c r="BF35" s="868">
        <v>0</v>
      </c>
      <c r="BG35" s="868">
        <v>330</v>
      </c>
      <c r="BH35" s="868">
        <v>320</v>
      </c>
      <c r="BI35" s="868">
        <v>210</v>
      </c>
      <c r="BJ35" s="868">
        <v>8</v>
      </c>
      <c r="BK35" s="868">
        <v>142</v>
      </c>
      <c r="BL35" s="868">
        <v>39</v>
      </c>
      <c r="BM35" s="868">
        <v>55</v>
      </c>
      <c r="BN35" s="1519">
        <v>0</v>
      </c>
      <c r="BO35" s="868">
        <v>51</v>
      </c>
      <c r="BP35" s="1519">
        <v>0</v>
      </c>
      <c r="BQ35" s="868">
        <v>40</v>
      </c>
      <c r="BR35" s="868">
        <v>43</v>
      </c>
      <c r="BS35" s="868">
        <v>22</v>
      </c>
      <c r="BT35" s="868">
        <v>10</v>
      </c>
      <c r="BU35" s="868">
        <v>33</v>
      </c>
      <c r="BV35" s="868">
        <v>20</v>
      </c>
      <c r="BW35" s="868">
        <v>166</v>
      </c>
      <c r="BX35" s="868">
        <v>102</v>
      </c>
      <c r="BY35" s="868">
        <v>0</v>
      </c>
      <c r="BZ35" s="868">
        <v>20</v>
      </c>
      <c r="CA35" s="1519">
        <v>0</v>
      </c>
      <c r="CB35" s="868">
        <v>43</v>
      </c>
      <c r="CC35" s="868">
        <v>41</v>
      </c>
      <c r="CD35" s="868">
        <v>53</v>
      </c>
      <c r="CE35" s="868">
        <v>49</v>
      </c>
      <c r="CF35" s="868">
        <v>110</v>
      </c>
      <c r="CG35" s="868">
        <v>0</v>
      </c>
      <c r="CH35" s="868">
        <v>61</v>
      </c>
      <c r="CI35" s="868">
        <v>81</v>
      </c>
      <c r="CJ35" s="868">
        <v>0</v>
      </c>
      <c r="CK35" s="1148">
        <v>220</v>
      </c>
      <c r="CL35" s="868">
        <v>0</v>
      </c>
      <c r="CM35" s="868">
        <v>32</v>
      </c>
      <c r="CN35" s="868">
        <v>10</v>
      </c>
      <c r="CO35" s="868">
        <v>290</v>
      </c>
      <c r="CP35" s="868">
        <v>16</v>
      </c>
      <c r="CQ35" s="868">
        <v>11</v>
      </c>
      <c r="CR35" s="5352">
        <v>195</v>
      </c>
      <c r="CS35" s="868">
        <v>275</v>
      </c>
      <c r="CT35" s="5354">
        <v>284</v>
      </c>
      <c r="CU35" s="5354">
        <v>96</v>
      </c>
      <c r="CV35" s="5354">
        <v>180</v>
      </c>
      <c r="CW35" s="5354">
        <v>100</v>
      </c>
      <c r="CX35" s="5354">
        <v>149</v>
      </c>
      <c r="CY35" s="1519">
        <v>0</v>
      </c>
      <c r="CZ35" s="868">
        <v>90</v>
      </c>
      <c r="DA35" s="868">
        <v>34</v>
      </c>
      <c r="DB35" s="868">
        <v>132</v>
      </c>
      <c r="DC35" s="868">
        <v>400</v>
      </c>
      <c r="DD35" s="868">
        <v>79</v>
      </c>
      <c r="DE35" s="868">
        <v>105</v>
      </c>
      <c r="DF35" s="868">
        <v>90</v>
      </c>
      <c r="DG35" s="1707">
        <v>0</v>
      </c>
      <c r="DH35" s="868">
        <v>214</v>
      </c>
      <c r="DI35" s="868">
        <v>36</v>
      </c>
      <c r="DJ35" s="868">
        <v>55</v>
      </c>
      <c r="DK35" s="868">
        <v>114</v>
      </c>
      <c r="DL35" s="868">
        <v>113</v>
      </c>
      <c r="DM35" s="868">
        <v>100</v>
      </c>
      <c r="DN35" s="868">
        <v>0</v>
      </c>
      <c r="DO35" s="868">
        <v>104</v>
      </c>
      <c r="DP35" s="2424">
        <v>0</v>
      </c>
      <c r="DQ35" s="2698">
        <v>162</v>
      </c>
      <c r="DR35" s="868">
        <v>108</v>
      </c>
      <c r="DS35" s="2725">
        <v>0</v>
      </c>
      <c r="DT35" s="2725">
        <v>35</v>
      </c>
      <c r="DU35" s="2424"/>
      <c r="DV35" s="3465">
        <v>71</v>
      </c>
      <c r="DW35" s="2725">
        <v>55</v>
      </c>
      <c r="DX35" s="2725"/>
      <c r="DY35" s="1454"/>
      <c r="DZ35" s="868">
        <v>931</v>
      </c>
      <c r="EA35" s="1519">
        <v>0</v>
      </c>
      <c r="EB35" s="868">
        <v>185</v>
      </c>
      <c r="EC35" s="2554">
        <v>0</v>
      </c>
      <c r="ED35" s="868">
        <v>16</v>
      </c>
      <c r="EE35" s="5354">
        <v>225</v>
      </c>
      <c r="EF35" s="1519">
        <v>0</v>
      </c>
      <c r="EG35" s="1519">
        <v>0</v>
      </c>
      <c r="EH35" s="868">
        <v>32</v>
      </c>
      <c r="EI35" s="868">
        <v>70</v>
      </c>
      <c r="EJ35" s="868">
        <v>8</v>
      </c>
      <c r="EK35" s="868">
        <v>88</v>
      </c>
      <c r="EL35" s="868">
        <v>30</v>
      </c>
      <c r="EM35" s="868">
        <v>64</v>
      </c>
      <c r="EN35" s="868">
        <v>0</v>
      </c>
      <c r="EO35" s="868">
        <v>0</v>
      </c>
      <c r="EP35" s="868">
        <v>0</v>
      </c>
      <c r="EQ35" s="868">
        <v>32</v>
      </c>
      <c r="ER35" s="868">
        <v>40</v>
      </c>
      <c r="ES35" s="868">
        <v>86</v>
      </c>
      <c r="ET35" s="1519">
        <v>0</v>
      </c>
      <c r="EU35" s="868">
        <v>42</v>
      </c>
      <c r="EV35" s="868">
        <v>32</v>
      </c>
      <c r="EW35" s="868">
        <v>52</v>
      </c>
      <c r="EX35" s="868">
        <v>33</v>
      </c>
      <c r="EY35" s="868">
        <v>21</v>
      </c>
      <c r="EZ35" s="2615">
        <v>0</v>
      </c>
      <c r="FA35" s="868">
        <v>11</v>
      </c>
      <c r="FB35" s="868">
        <v>0</v>
      </c>
      <c r="FC35" s="868">
        <v>0</v>
      </c>
      <c r="FD35" s="868">
        <v>250</v>
      </c>
      <c r="FE35" s="1519">
        <v>0</v>
      </c>
      <c r="FF35" s="1519">
        <v>0</v>
      </c>
      <c r="FG35" s="868">
        <v>190</v>
      </c>
      <c r="FH35" s="1519">
        <v>0</v>
      </c>
      <c r="FI35" s="868">
        <v>0</v>
      </c>
      <c r="FJ35" s="5354">
        <v>210</v>
      </c>
      <c r="FK35" s="5354">
        <v>0</v>
      </c>
      <c r="FL35" s="5354">
        <v>96</v>
      </c>
      <c r="FM35" s="868">
        <v>167</v>
      </c>
      <c r="FN35" s="1519">
        <v>0</v>
      </c>
      <c r="FO35" s="868">
        <v>350</v>
      </c>
      <c r="FP35" s="868">
        <v>35</v>
      </c>
      <c r="FQ35" s="5354">
        <v>172</v>
      </c>
      <c r="FR35" s="868">
        <v>94</v>
      </c>
      <c r="FS35" s="868">
        <v>105</v>
      </c>
      <c r="FT35" s="868">
        <v>92</v>
      </c>
      <c r="FU35" s="868">
        <v>0</v>
      </c>
      <c r="FV35" s="1707">
        <v>0</v>
      </c>
      <c r="FW35" s="2097">
        <v>95</v>
      </c>
      <c r="FX35" s="2097">
        <v>600</v>
      </c>
      <c r="FY35" s="2097">
        <v>220</v>
      </c>
      <c r="FZ35" s="4938"/>
      <c r="GA35" s="2097">
        <v>150</v>
      </c>
      <c r="GB35" s="3020"/>
      <c r="GC35" s="3020"/>
      <c r="GD35" s="2727">
        <v>90</v>
      </c>
      <c r="GE35" s="3020"/>
      <c r="GF35" s="2727"/>
      <c r="GG35" s="589"/>
      <c r="GK35" s="134"/>
    </row>
    <row r="36" spans="1:205" ht="36.75" customHeight="1" thickBot="1">
      <c r="A36" s="587" t="s">
        <v>699</v>
      </c>
      <c r="B36" s="589">
        <v>0</v>
      </c>
      <c r="C36" s="589">
        <v>0</v>
      </c>
      <c r="D36" s="589">
        <v>0</v>
      </c>
      <c r="E36" s="589">
        <v>180</v>
      </c>
      <c r="F36" s="868">
        <v>200</v>
      </c>
      <c r="G36" s="589">
        <v>90</v>
      </c>
      <c r="H36" s="2717">
        <v>0</v>
      </c>
      <c r="I36" s="1529">
        <v>412</v>
      </c>
      <c r="J36" s="589">
        <v>320</v>
      </c>
      <c r="K36" s="589">
        <v>0</v>
      </c>
      <c r="L36" s="589">
        <v>0</v>
      </c>
      <c r="M36" s="589">
        <v>225</v>
      </c>
      <c r="N36" s="589">
        <v>0</v>
      </c>
      <c r="O36" s="589">
        <v>8</v>
      </c>
      <c r="P36" s="3518">
        <v>0</v>
      </c>
      <c r="Q36" s="589">
        <v>30</v>
      </c>
      <c r="R36" s="589">
        <v>0</v>
      </c>
      <c r="S36" s="589">
        <v>0</v>
      </c>
      <c r="T36" s="589">
        <v>0</v>
      </c>
      <c r="U36" s="589">
        <v>8</v>
      </c>
      <c r="V36" s="589">
        <v>8</v>
      </c>
      <c r="W36" s="589">
        <v>50</v>
      </c>
      <c r="X36" s="589">
        <v>0</v>
      </c>
      <c r="Y36" s="589">
        <v>0</v>
      </c>
      <c r="Z36" s="1537">
        <v>0</v>
      </c>
      <c r="AA36" s="589">
        <v>0</v>
      </c>
      <c r="AB36" s="589">
        <v>35</v>
      </c>
      <c r="AC36" s="589">
        <v>55</v>
      </c>
      <c r="AD36" s="589">
        <v>35</v>
      </c>
      <c r="AE36" s="589">
        <v>19</v>
      </c>
      <c r="AF36" s="589">
        <v>25</v>
      </c>
      <c r="AG36" s="589">
        <v>25</v>
      </c>
      <c r="AH36" s="589">
        <v>33</v>
      </c>
      <c r="AI36" s="589">
        <v>33</v>
      </c>
      <c r="AJ36" s="589">
        <v>51</v>
      </c>
      <c r="AK36" s="589">
        <v>0</v>
      </c>
      <c r="AL36" s="589">
        <v>83</v>
      </c>
      <c r="AM36" s="589">
        <v>35</v>
      </c>
      <c r="AN36" s="589">
        <v>100</v>
      </c>
      <c r="AO36" s="589">
        <v>0</v>
      </c>
      <c r="AP36" s="589">
        <v>25</v>
      </c>
      <c r="AQ36" s="589">
        <v>0</v>
      </c>
      <c r="AR36" s="2717">
        <v>0</v>
      </c>
      <c r="AS36" s="589">
        <v>0</v>
      </c>
      <c r="AT36" s="1537">
        <v>0</v>
      </c>
      <c r="AU36" s="589">
        <v>0</v>
      </c>
      <c r="AV36" s="589">
        <v>11</v>
      </c>
      <c r="AW36" s="589">
        <v>26</v>
      </c>
      <c r="AX36" s="589">
        <v>17</v>
      </c>
      <c r="AY36" s="589">
        <v>56</v>
      </c>
      <c r="AZ36" s="589">
        <v>90</v>
      </c>
      <c r="BA36" s="589">
        <v>25</v>
      </c>
      <c r="BB36" s="589">
        <v>17</v>
      </c>
      <c r="BC36" s="589">
        <v>10</v>
      </c>
      <c r="BD36" s="589">
        <v>0</v>
      </c>
      <c r="BE36" s="589">
        <v>0</v>
      </c>
      <c r="BF36" s="589">
        <v>0</v>
      </c>
      <c r="BG36" s="589">
        <v>310</v>
      </c>
      <c r="BH36" s="589">
        <v>305</v>
      </c>
      <c r="BI36" s="589">
        <v>210</v>
      </c>
      <c r="BJ36" s="589">
        <v>8</v>
      </c>
      <c r="BK36" s="589">
        <v>142</v>
      </c>
      <c r="BL36" s="589">
        <v>39</v>
      </c>
      <c r="BM36" s="589">
        <v>55</v>
      </c>
      <c r="BN36" s="1537">
        <v>0</v>
      </c>
      <c r="BO36" s="589">
        <v>51</v>
      </c>
      <c r="BP36" s="1537">
        <v>0</v>
      </c>
      <c r="BQ36" s="589">
        <v>32</v>
      </c>
      <c r="BR36" s="589">
        <v>8</v>
      </c>
      <c r="BS36" s="589">
        <v>22</v>
      </c>
      <c r="BT36" s="589">
        <v>10</v>
      </c>
      <c r="BU36" s="589">
        <v>33</v>
      </c>
      <c r="BV36" s="589">
        <v>20</v>
      </c>
      <c r="BW36" s="589">
        <v>143</v>
      </c>
      <c r="BX36" s="589">
        <v>102</v>
      </c>
      <c r="BY36" s="589">
        <v>0</v>
      </c>
      <c r="BZ36" s="589">
        <v>20</v>
      </c>
      <c r="CA36" s="589">
        <v>1.6</v>
      </c>
      <c r="CB36" s="589">
        <v>43</v>
      </c>
      <c r="CC36" s="589">
        <v>41</v>
      </c>
      <c r="CD36" s="589">
        <v>33</v>
      </c>
      <c r="CE36" s="589">
        <v>30</v>
      </c>
      <c r="CF36" s="589">
        <v>110</v>
      </c>
      <c r="CG36" s="589">
        <v>0</v>
      </c>
      <c r="CH36" s="589">
        <v>61</v>
      </c>
      <c r="CI36" s="589">
        <v>10</v>
      </c>
      <c r="CJ36" s="589">
        <v>0</v>
      </c>
      <c r="CK36" s="2613">
        <v>220</v>
      </c>
      <c r="CL36" s="589">
        <v>0</v>
      </c>
      <c r="CM36" s="589">
        <v>31</v>
      </c>
      <c r="CN36" s="589">
        <v>10</v>
      </c>
      <c r="CO36" s="589">
        <v>290</v>
      </c>
      <c r="CP36" s="589">
        <v>8</v>
      </c>
      <c r="CQ36" s="589">
        <v>11</v>
      </c>
      <c r="CR36" s="5353">
        <v>195</v>
      </c>
      <c r="CS36" s="589">
        <v>110</v>
      </c>
      <c r="CT36" s="5355">
        <v>250</v>
      </c>
      <c r="CU36" s="5355">
        <v>97</v>
      </c>
      <c r="CV36" s="5355">
        <v>48</v>
      </c>
      <c r="CW36" s="5355">
        <v>93</v>
      </c>
      <c r="CX36" s="5355">
        <v>90</v>
      </c>
      <c r="CY36" s="5355">
        <v>20</v>
      </c>
      <c r="CZ36" s="589">
        <v>21</v>
      </c>
      <c r="DA36" s="589">
        <v>34</v>
      </c>
      <c r="DB36" s="589">
        <v>128</v>
      </c>
      <c r="DC36" s="589">
        <v>400</v>
      </c>
      <c r="DD36" s="589">
        <v>49</v>
      </c>
      <c r="DE36" s="589">
        <v>105</v>
      </c>
      <c r="DF36" s="589">
        <v>68</v>
      </c>
      <c r="DG36" s="589">
        <v>5</v>
      </c>
      <c r="DH36" s="589">
        <v>50</v>
      </c>
      <c r="DI36" s="589">
        <v>36</v>
      </c>
      <c r="DJ36" s="589">
        <v>55</v>
      </c>
      <c r="DK36" s="589">
        <v>17</v>
      </c>
      <c r="DL36" s="589">
        <v>78</v>
      </c>
      <c r="DM36" s="589">
        <v>20</v>
      </c>
      <c r="DN36" s="589">
        <v>0</v>
      </c>
      <c r="DO36" s="589">
        <v>17</v>
      </c>
      <c r="DP36" s="589">
        <v>50</v>
      </c>
      <c r="DQ36" s="589">
        <v>70</v>
      </c>
      <c r="DR36" s="589">
        <v>108</v>
      </c>
      <c r="DS36" s="589">
        <v>0</v>
      </c>
      <c r="DT36" s="2727">
        <v>35</v>
      </c>
      <c r="DU36" s="2727">
        <v>30</v>
      </c>
      <c r="DV36" s="2727">
        <v>71</v>
      </c>
      <c r="DW36" s="2727">
        <v>55</v>
      </c>
      <c r="DX36" s="2727"/>
      <c r="DY36" s="1455"/>
      <c r="DZ36" s="589">
        <v>931</v>
      </c>
      <c r="EA36" s="1537">
        <v>0</v>
      </c>
      <c r="EB36" s="589">
        <v>160</v>
      </c>
      <c r="EC36" s="2555">
        <v>0</v>
      </c>
      <c r="ED36" s="589">
        <v>16</v>
      </c>
      <c r="EE36" s="5355">
        <v>225</v>
      </c>
      <c r="EF36" s="1537">
        <v>0</v>
      </c>
      <c r="EG36" s="1537">
        <v>0</v>
      </c>
      <c r="EH36" s="589">
        <v>15</v>
      </c>
      <c r="EI36" s="589">
        <v>60</v>
      </c>
      <c r="EJ36" s="589">
        <v>0</v>
      </c>
      <c r="EK36" s="589">
        <v>88</v>
      </c>
      <c r="EL36" s="589">
        <v>23</v>
      </c>
      <c r="EM36" s="589">
        <v>64</v>
      </c>
      <c r="EN36" s="589">
        <v>0</v>
      </c>
      <c r="EO36" s="589">
        <v>0</v>
      </c>
      <c r="EP36" s="589">
        <v>0</v>
      </c>
      <c r="EQ36" s="589">
        <v>32</v>
      </c>
      <c r="ER36" s="589">
        <v>0</v>
      </c>
      <c r="ES36" s="589">
        <v>80</v>
      </c>
      <c r="ET36" s="1537">
        <v>0</v>
      </c>
      <c r="EU36" s="589">
        <v>42</v>
      </c>
      <c r="EV36" s="589">
        <v>32</v>
      </c>
      <c r="EW36" s="589">
        <v>8</v>
      </c>
      <c r="EX36" s="589">
        <v>33</v>
      </c>
      <c r="EY36" s="589">
        <v>21</v>
      </c>
      <c r="EZ36" s="2616">
        <v>0</v>
      </c>
      <c r="FA36" s="589">
        <v>11</v>
      </c>
      <c r="FB36" s="589">
        <v>0</v>
      </c>
      <c r="FC36" s="589">
        <v>0</v>
      </c>
      <c r="FD36" s="589">
        <v>250</v>
      </c>
      <c r="FE36" s="1537">
        <v>0</v>
      </c>
      <c r="FF36" s="1537">
        <v>0</v>
      </c>
      <c r="FG36" s="589">
        <v>188</v>
      </c>
      <c r="FH36" s="1537">
        <v>0</v>
      </c>
      <c r="FI36" s="589">
        <v>0</v>
      </c>
      <c r="FJ36" s="5355">
        <v>210</v>
      </c>
      <c r="FK36" s="5355">
        <v>0</v>
      </c>
      <c r="FL36" s="5355">
        <v>60</v>
      </c>
      <c r="FM36" s="589">
        <v>162</v>
      </c>
      <c r="FN36" s="1537">
        <v>0</v>
      </c>
      <c r="FO36" s="589">
        <v>350</v>
      </c>
      <c r="FP36" s="589">
        <v>0</v>
      </c>
      <c r="FQ36" s="5355">
        <v>170</v>
      </c>
      <c r="FR36" s="589">
        <v>50</v>
      </c>
      <c r="FS36" s="589">
        <v>105</v>
      </c>
      <c r="FT36" s="589">
        <v>56</v>
      </c>
      <c r="FU36" s="589">
        <v>0</v>
      </c>
      <c r="FV36" s="589">
        <v>8</v>
      </c>
      <c r="FW36" s="589">
        <v>55</v>
      </c>
      <c r="FX36" s="589">
        <v>600</v>
      </c>
      <c r="FY36" s="589">
        <v>225</v>
      </c>
      <c r="FZ36" s="1537"/>
      <c r="GA36" s="589">
        <v>90</v>
      </c>
      <c r="GB36" s="2727">
        <v>6</v>
      </c>
      <c r="GC36" s="2727">
        <v>100</v>
      </c>
      <c r="GD36" s="2727">
        <v>52</v>
      </c>
      <c r="GE36" s="3020"/>
      <c r="GF36" s="2727"/>
      <c r="GG36" s="589"/>
      <c r="GK36" s="134"/>
      <c r="GM36" s="134"/>
      <c r="GO36" s="134"/>
    </row>
    <row r="37" spans="1:205" ht="36.75" customHeight="1" thickBot="1">
      <c r="A37" s="818" t="s">
        <v>778</v>
      </c>
      <c r="B37" s="1342">
        <f>Master!B21</f>
        <v>0</v>
      </c>
      <c r="C37" s="1342">
        <f>Master!C21</f>
        <v>0</v>
      </c>
      <c r="D37" s="1342">
        <f>Master!D21</f>
        <v>0</v>
      </c>
      <c r="E37" s="1342">
        <f>Master!E21</f>
        <v>180</v>
      </c>
      <c r="F37" s="1342">
        <f>Master!F21</f>
        <v>200</v>
      </c>
      <c r="G37" s="1342">
        <f>Master!G21</f>
        <v>84</v>
      </c>
      <c r="H37" s="1342">
        <f>Master!H21</f>
        <v>0</v>
      </c>
      <c r="I37" s="1342">
        <f>Master!I21</f>
        <v>410</v>
      </c>
      <c r="J37" s="1342">
        <f>Master!J21</f>
        <v>320</v>
      </c>
      <c r="K37" s="1342">
        <f>Master!K21</f>
        <v>0</v>
      </c>
      <c r="L37" s="1342">
        <f>Master!L21</f>
        <v>0</v>
      </c>
      <c r="M37" s="1342">
        <f>Master!M21</f>
        <v>225</v>
      </c>
      <c r="N37" s="1342">
        <f>Master!N21</f>
        <v>0</v>
      </c>
      <c r="O37" s="1342">
        <f>Master!O21</f>
        <v>8</v>
      </c>
      <c r="P37" s="1342">
        <f>Master!P21</f>
        <v>0</v>
      </c>
      <c r="Q37" s="1342">
        <f>Master!Q21</f>
        <v>30</v>
      </c>
      <c r="R37" s="1342">
        <f>Master!R21</f>
        <v>0</v>
      </c>
      <c r="S37" s="1342">
        <f>Master!S21</f>
        <v>0</v>
      </c>
      <c r="T37" s="1342">
        <f>Master!T21</f>
        <v>0</v>
      </c>
      <c r="U37" s="1342">
        <f>Master!U21</f>
        <v>8</v>
      </c>
      <c r="V37" s="1342">
        <f>Master!V21</f>
        <v>8</v>
      </c>
      <c r="W37" s="1342">
        <f>Master!W21</f>
        <v>48</v>
      </c>
      <c r="X37" s="1342">
        <f>Master!X21</f>
        <v>0</v>
      </c>
      <c r="Y37" s="1342">
        <f>Master!Y21</f>
        <v>0</v>
      </c>
      <c r="Z37" s="1342">
        <f>Master!Z21</f>
        <v>0</v>
      </c>
      <c r="AA37" s="1342">
        <f>Master!AA21</f>
        <v>0</v>
      </c>
      <c r="AB37" s="1342">
        <f>Master!AB21</f>
        <v>35</v>
      </c>
      <c r="AC37" s="1342">
        <f>Master!AC21</f>
        <v>55</v>
      </c>
      <c r="AD37" s="1342">
        <f>Master!AD21</f>
        <v>35</v>
      </c>
      <c r="AE37" s="1342">
        <f>Master!AE21</f>
        <v>19</v>
      </c>
      <c r="AF37" s="1342">
        <f>Master!AF21</f>
        <v>25</v>
      </c>
      <c r="AG37" s="1342">
        <f>Master!AG21</f>
        <v>20</v>
      </c>
      <c r="AH37" s="1342">
        <f>Master!AH21</f>
        <v>33</v>
      </c>
      <c r="AI37" s="1342">
        <f>Master!AI21</f>
        <v>32</v>
      </c>
      <c r="AJ37" s="1342">
        <f>Master!AJ21</f>
        <v>50</v>
      </c>
      <c r="AK37" s="1342">
        <f>Master!AK21</f>
        <v>0</v>
      </c>
      <c r="AL37" s="1342">
        <f>Master!AL21</f>
        <v>83</v>
      </c>
      <c r="AM37" s="1342">
        <f>Master!AM21</f>
        <v>35</v>
      </c>
      <c r="AN37" s="1342">
        <f>Master!AN21</f>
        <v>100</v>
      </c>
      <c r="AO37" s="1342">
        <f>Master!AO21</f>
        <v>0</v>
      </c>
      <c r="AP37" s="1342">
        <f>Master!AP21</f>
        <v>25</v>
      </c>
      <c r="AQ37" s="1342">
        <f>Master!AQ21</f>
        <v>0</v>
      </c>
      <c r="AR37" s="1342">
        <f>Master!AR21</f>
        <v>0</v>
      </c>
      <c r="AS37" s="1342">
        <f>Master!AS21</f>
        <v>0</v>
      </c>
      <c r="AT37" s="1342">
        <f>Master!AT21</f>
        <v>0</v>
      </c>
      <c r="AU37" s="1342">
        <f>Master!AU21</f>
        <v>0</v>
      </c>
      <c r="AV37" s="1342">
        <f>Master!AV21</f>
        <v>11</v>
      </c>
      <c r="AW37" s="1342">
        <f>Master!AW21</f>
        <v>26</v>
      </c>
      <c r="AX37" s="1342">
        <f>Master!AX21</f>
        <v>17</v>
      </c>
      <c r="AY37" s="1342">
        <f>Master!AY21</f>
        <v>33</v>
      </c>
      <c r="AZ37" s="1342">
        <f>Master!AZ21</f>
        <v>16</v>
      </c>
      <c r="BA37" s="1342">
        <f>Master!BA21</f>
        <v>25</v>
      </c>
      <c r="BB37" s="1342">
        <f>Master!BB21</f>
        <v>15</v>
      </c>
      <c r="BC37" s="1342">
        <f>Master!BC21</f>
        <v>4</v>
      </c>
      <c r="BD37" s="1342">
        <f>Master!BD21</f>
        <v>0</v>
      </c>
      <c r="BE37" s="1342">
        <f>Master!BE21</f>
        <v>0</v>
      </c>
      <c r="BF37" s="1342">
        <f>Master!BF21</f>
        <v>0</v>
      </c>
      <c r="BG37" s="1342">
        <f>Master!BG21</f>
        <v>320</v>
      </c>
      <c r="BH37" s="1342">
        <f>Master!BH21</f>
        <v>320</v>
      </c>
      <c r="BI37" s="1342">
        <f>Master!BI21</f>
        <v>206</v>
      </c>
      <c r="BJ37" s="1342">
        <f>Master!BJ21</f>
        <v>8</v>
      </c>
      <c r="BK37" s="1342">
        <f>Master!BK21</f>
        <v>134</v>
      </c>
      <c r="BL37" s="1342">
        <f>Master!BL21</f>
        <v>39</v>
      </c>
      <c r="BM37" s="1342">
        <f>Master!BM21</f>
        <v>49</v>
      </c>
      <c r="BN37" s="1342">
        <f>Master!BN21</f>
        <v>0</v>
      </c>
      <c r="BO37" s="1342">
        <f>Master!BO21</f>
        <v>51</v>
      </c>
      <c r="BP37" s="1342">
        <f>Master!BP21</f>
        <v>0</v>
      </c>
      <c r="BQ37" s="1342">
        <f>Master!BQ21</f>
        <v>30</v>
      </c>
      <c r="BR37" s="1342">
        <f>Master!BR21</f>
        <v>8</v>
      </c>
      <c r="BS37" s="1342">
        <f>Master!BS21</f>
        <v>21</v>
      </c>
      <c r="BT37" s="1342">
        <f>Master!BT21</f>
        <v>10</v>
      </c>
      <c r="BU37" s="1342">
        <f>Master!BU21</f>
        <v>33</v>
      </c>
      <c r="BV37" s="1342">
        <f>Master!BV21</f>
        <v>20</v>
      </c>
      <c r="BW37" s="1342">
        <f>Master!BW21</f>
        <v>142</v>
      </c>
      <c r="BX37" s="1342">
        <f>Master!BX21</f>
        <v>95</v>
      </c>
      <c r="BY37" s="1342">
        <f>Master!BY21</f>
        <v>0</v>
      </c>
      <c r="BZ37" s="1342">
        <f>Master!BZ21</f>
        <v>22</v>
      </c>
      <c r="CA37" s="1342">
        <f>Master!CA21</f>
        <v>0</v>
      </c>
      <c r="CB37" s="1342">
        <f>Master!CB21</f>
        <v>43</v>
      </c>
      <c r="CC37" s="1342">
        <f>Master!CC21</f>
        <v>41</v>
      </c>
      <c r="CD37" s="1342">
        <f>Master!CD21</f>
        <v>31</v>
      </c>
      <c r="CE37" s="1342">
        <f>Master!CE21</f>
        <v>30</v>
      </c>
      <c r="CF37" s="1342">
        <f>Master!CF21</f>
        <v>110</v>
      </c>
      <c r="CG37" s="1342">
        <f>Master!CG21</f>
        <v>0</v>
      </c>
      <c r="CH37" s="1342">
        <f>Master!CH21</f>
        <v>59</v>
      </c>
      <c r="CI37" s="1342">
        <f>Master!CI21</f>
        <v>10</v>
      </c>
      <c r="CJ37" s="1342">
        <f>Master!CJ21</f>
        <v>0</v>
      </c>
      <c r="CK37" s="1342">
        <f>Master!CK21</f>
        <v>220</v>
      </c>
      <c r="CL37" s="1342">
        <f>Master!CL21</f>
        <v>0</v>
      </c>
      <c r="CM37" s="1342">
        <f>Master!CM21</f>
        <v>31</v>
      </c>
      <c r="CN37" s="1342">
        <f>Master!CN21</f>
        <v>9</v>
      </c>
      <c r="CO37" s="1342">
        <f>Master!CO21</f>
        <v>300</v>
      </c>
      <c r="CP37" s="1342">
        <f>Master!CP21</f>
        <v>8</v>
      </c>
      <c r="CQ37" s="1342">
        <f>Master!CQ21</f>
        <v>0</v>
      </c>
      <c r="CR37" s="1342">
        <f>Master!CR21</f>
        <v>195</v>
      </c>
      <c r="CS37" s="1342">
        <f>Master!CS21</f>
        <v>95</v>
      </c>
      <c r="CT37" s="5356">
        <f>Master!CT21</f>
        <v>250</v>
      </c>
      <c r="CU37" s="5356">
        <f>Master!CU21</f>
        <v>97</v>
      </c>
      <c r="CV37" s="5356">
        <f>Master!CV21</f>
        <v>48</v>
      </c>
      <c r="CW37" s="5356">
        <f>Master!CW21</f>
        <v>93</v>
      </c>
      <c r="CX37" s="5356">
        <f>Master!CX21</f>
        <v>89</v>
      </c>
      <c r="CY37" s="5356">
        <f>Master!CY21</f>
        <v>0</v>
      </c>
      <c r="CZ37" s="1342">
        <f>Master!CZ21</f>
        <v>21</v>
      </c>
      <c r="DA37" s="1342">
        <f>Master!DA21</f>
        <v>34</v>
      </c>
      <c r="DB37" s="1342">
        <f>Master!DB21</f>
        <v>118</v>
      </c>
      <c r="DC37" s="1342">
        <f>Master!DC21</f>
        <v>400</v>
      </c>
      <c r="DD37" s="1342">
        <f>Master!DD21</f>
        <v>49</v>
      </c>
      <c r="DE37" s="1342">
        <f>Master!DE21</f>
        <v>105</v>
      </c>
      <c r="DF37" s="1342">
        <f>Master!DF21</f>
        <v>70</v>
      </c>
      <c r="DG37" s="1342">
        <f>Master!DG21</f>
        <v>1</v>
      </c>
      <c r="DH37" s="1342">
        <f>Master!DH21</f>
        <v>50</v>
      </c>
      <c r="DI37" s="1342">
        <f>Master!DI21</f>
        <v>36</v>
      </c>
      <c r="DJ37" s="1342">
        <f>Master!DJ21</f>
        <v>55</v>
      </c>
      <c r="DK37" s="1342">
        <f>Master!DK21</f>
        <v>17</v>
      </c>
      <c r="DL37" s="1342">
        <f>Master!DL21</f>
        <v>39</v>
      </c>
      <c r="DM37" s="1342">
        <f>Master!DM21</f>
        <v>20</v>
      </c>
      <c r="DN37" s="1342">
        <f>Master!DN21</f>
        <v>0</v>
      </c>
      <c r="DO37" s="1342">
        <f>Master!DO21</f>
        <v>17</v>
      </c>
      <c r="DP37" s="1342">
        <f>Master!DP21</f>
        <v>10</v>
      </c>
      <c r="DQ37" s="1342">
        <f>Master!DQ21</f>
        <v>35</v>
      </c>
      <c r="DR37" s="1342">
        <f>Master!DR21</f>
        <v>108</v>
      </c>
      <c r="DS37" s="1342">
        <f>Master!DS21</f>
        <v>0</v>
      </c>
      <c r="DT37" s="2728">
        <f>Master!DT21</f>
        <v>35</v>
      </c>
      <c r="DU37" s="2728">
        <f>Master!DU21</f>
        <v>8</v>
      </c>
      <c r="DV37" s="2728">
        <f>Master!DV21</f>
        <v>71</v>
      </c>
      <c r="DW37" s="2728">
        <f>Master!DW21</f>
        <v>55</v>
      </c>
      <c r="DX37" s="2728">
        <f>Master!DX21</f>
        <v>0</v>
      </c>
      <c r="DY37" s="1342">
        <f>Master!DY21</f>
        <v>0</v>
      </c>
      <c r="DZ37" s="1342">
        <f>Master!DZ21</f>
        <v>914</v>
      </c>
      <c r="EA37" s="1342">
        <f>Master!EA21</f>
        <v>0</v>
      </c>
      <c r="EB37" s="1342">
        <f>Master!EB21</f>
        <v>160</v>
      </c>
      <c r="EC37" s="1342">
        <f>Master!EC21</f>
        <v>0</v>
      </c>
      <c r="ED37" s="1342">
        <f>Master!ED21</f>
        <v>16</v>
      </c>
      <c r="EE37" s="1342">
        <f>Master!EE21</f>
        <v>237</v>
      </c>
      <c r="EF37" s="1342">
        <f>Master!EF21</f>
        <v>0</v>
      </c>
      <c r="EG37" s="1342">
        <f>Master!EG21</f>
        <v>0</v>
      </c>
      <c r="EH37" s="1342">
        <f>Master!EH21</f>
        <v>21</v>
      </c>
      <c r="EI37" s="1342">
        <f>Master!EI21</f>
        <v>60</v>
      </c>
      <c r="EJ37" s="1342">
        <f>Master!EJ21</f>
        <v>0</v>
      </c>
      <c r="EK37" s="1342">
        <f>Master!EK21</f>
        <v>87</v>
      </c>
      <c r="EL37" s="1342">
        <f>Master!EL21</f>
        <v>19</v>
      </c>
      <c r="EM37" s="1342">
        <f>Master!EM21</f>
        <v>64</v>
      </c>
      <c r="EN37" s="1342">
        <f>Master!EN21</f>
        <v>0</v>
      </c>
      <c r="EO37" s="1342">
        <f>Master!EO21</f>
        <v>0</v>
      </c>
      <c r="EP37" s="1342">
        <f>Master!EP21</f>
        <v>0</v>
      </c>
      <c r="EQ37" s="1342">
        <f>Master!EQ21</f>
        <v>32</v>
      </c>
      <c r="ER37" s="1342">
        <f>Master!ER21</f>
        <v>0</v>
      </c>
      <c r="ES37" s="1342">
        <f>Master!ES21</f>
        <v>51</v>
      </c>
      <c r="ET37" s="3225">
        <f>Master!ET21</f>
        <v>0</v>
      </c>
      <c r="EU37" s="1342">
        <f>Master!EU21</f>
        <v>0</v>
      </c>
      <c r="EV37" s="1342">
        <f>Master!EV21</f>
        <v>32</v>
      </c>
      <c r="EW37" s="1342">
        <f>Master!EW21</f>
        <v>8</v>
      </c>
      <c r="EX37" s="1342">
        <f>Master!EX21</f>
        <v>33</v>
      </c>
      <c r="EY37" s="1342">
        <f>Master!EY21</f>
        <v>20</v>
      </c>
      <c r="EZ37" s="1342">
        <f>Master!EZ21</f>
        <v>0</v>
      </c>
      <c r="FA37" s="1342">
        <f>Master!FA21</f>
        <v>11</v>
      </c>
      <c r="FB37" s="1342">
        <f>Master!FB21</f>
        <v>0</v>
      </c>
      <c r="FC37" s="1342">
        <f>Master!FC21</f>
        <v>0</v>
      </c>
      <c r="FD37" s="1342">
        <f>Master!FD21</f>
        <v>250</v>
      </c>
      <c r="FE37" s="1342">
        <f>Master!FE21</f>
        <v>0</v>
      </c>
      <c r="FF37" s="1342">
        <f>Master!FF21</f>
        <v>0</v>
      </c>
      <c r="FG37" s="1342">
        <f>Master!FG21</f>
        <v>179</v>
      </c>
      <c r="FH37" s="1342">
        <f>Master!FH21</f>
        <v>0</v>
      </c>
      <c r="FI37" s="1342">
        <f>Master!FI21</f>
        <v>0</v>
      </c>
      <c r="FJ37" s="1342">
        <f>Master!FJ21</f>
        <v>216</v>
      </c>
      <c r="FK37" s="1342">
        <f>Master!FK21</f>
        <v>0</v>
      </c>
      <c r="FL37" s="1342">
        <f>Master!FL21</f>
        <v>60</v>
      </c>
      <c r="FM37" s="1342">
        <f>Master!FM21</f>
        <v>150</v>
      </c>
      <c r="FN37" s="1342">
        <f>Master!FN21</f>
        <v>0</v>
      </c>
      <c r="FO37" s="1342">
        <f>Master!FO21</f>
        <v>312</v>
      </c>
      <c r="FP37" s="1342">
        <f>Master!FP21</f>
        <v>0</v>
      </c>
      <c r="FQ37" s="1342">
        <f>Master!FQ21</f>
        <v>169</v>
      </c>
      <c r="FR37" s="1342">
        <f>Master!FR21</f>
        <v>50</v>
      </c>
      <c r="FS37" s="1342">
        <f>Master!FS21</f>
        <v>75</v>
      </c>
      <c r="FT37" s="1342">
        <f>Master!FT21</f>
        <v>56</v>
      </c>
      <c r="FU37" s="1342">
        <f>Master!FU21</f>
        <v>0</v>
      </c>
      <c r="FV37" s="1342">
        <f>Master!FV21</f>
        <v>1</v>
      </c>
      <c r="FW37" s="1342">
        <f>Master!FW21</f>
        <v>55</v>
      </c>
      <c r="FX37" s="1342">
        <f>Master!FX21</f>
        <v>600</v>
      </c>
      <c r="FY37" s="1342">
        <f>Master!FY21</f>
        <v>220</v>
      </c>
      <c r="FZ37" s="1342">
        <f>Master!FZ21</f>
        <v>0</v>
      </c>
      <c r="GA37" s="1342">
        <f>Master!GA21</f>
        <v>90</v>
      </c>
      <c r="GB37" s="2728">
        <f>Master!GB21</f>
        <v>1</v>
      </c>
      <c r="GC37" s="2728">
        <f>Master!GC21</f>
        <v>47</v>
      </c>
      <c r="GD37" s="2728">
        <f>Master!GD21</f>
        <v>34</v>
      </c>
      <c r="GE37" s="2728">
        <f>Master!GE21</f>
        <v>0</v>
      </c>
      <c r="GF37" s="2728">
        <f>Master!GF21</f>
        <v>0</v>
      </c>
      <c r="GG37" s="1342">
        <v>0</v>
      </c>
      <c r="GJ37" s="134"/>
      <c r="GK37" s="134"/>
      <c r="GL37" s="3527">
        <f>GN31+GO31+GR31+GS31</f>
        <v>84357232</v>
      </c>
      <c r="GM37" s="3527"/>
      <c r="GN37" s="3527">
        <f>GL37-YesterdayFWise!F32</f>
        <v>0</v>
      </c>
      <c r="GO37" s="134"/>
    </row>
    <row r="38" spans="1:205" ht="36.75" customHeight="1">
      <c r="A38" s="588"/>
      <c r="B38" s="1153"/>
      <c r="C38" s="1153"/>
      <c r="D38" s="1153"/>
      <c r="E38" s="1153"/>
      <c r="F38" s="1153"/>
      <c r="G38" s="1153"/>
      <c r="H38" s="1153"/>
      <c r="I38" s="1153"/>
      <c r="J38" s="1153"/>
      <c r="K38" s="1153"/>
      <c r="L38" s="1153"/>
      <c r="M38" s="1153"/>
      <c r="N38" s="1153"/>
      <c r="O38" s="1153"/>
      <c r="P38" s="1153"/>
      <c r="Q38" s="1153"/>
      <c r="R38" s="1153"/>
      <c r="S38" s="1154"/>
      <c r="T38" s="1153"/>
      <c r="U38" s="1153"/>
      <c r="V38" s="1153"/>
      <c r="W38" s="1153"/>
      <c r="X38" s="1153"/>
      <c r="Y38" s="1153"/>
      <c r="Z38" s="1153"/>
      <c r="AA38" s="1153"/>
      <c r="AB38" s="1153"/>
      <c r="AC38" s="1153"/>
      <c r="AD38" s="1153"/>
      <c r="AE38" s="1153"/>
      <c r="AF38" s="1153"/>
      <c r="AG38" s="1153"/>
      <c r="AH38" s="1153"/>
      <c r="AI38" s="1153"/>
      <c r="AJ38" s="1153"/>
      <c r="AK38" s="1153"/>
      <c r="AL38" s="1153"/>
      <c r="AM38" s="1153"/>
      <c r="AN38" s="1153"/>
      <c r="AO38" s="1153"/>
      <c r="AP38" s="1153"/>
      <c r="AQ38" s="1153"/>
      <c r="AR38" s="1153"/>
      <c r="AS38" s="1153"/>
      <c r="AT38" s="1153"/>
      <c r="AU38" s="1153"/>
      <c r="AV38" s="1153"/>
      <c r="AW38" s="1153"/>
      <c r="AX38" s="1153"/>
      <c r="AY38" s="1153"/>
      <c r="AZ38" s="1153"/>
      <c r="BA38" s="1153"/>
      <c r="BB38" s="1153"/>
      <c r="BC38" s="1153"/>
      <c r="BD38" s="1153"/>
      <c r="BE38" s="1153"/>
      <c r="BF38" s="1153"/>
      <c r="BG38" s="1153"/>
      <c r="BH38" s="1153"/>
      <c r="BI38" s="1153"/>
      <c r="BJ38" s="1153"/>
      <c r="BK38" s="1153"/>
      <c r="BL38" s="1153"/>
      <c r="BM38" s="1153"/>
      <c r="BN38" s="1153"/>
      <c r="BO38" s="1153"/>
      <c r="BP38" s="1153"/>
      <c r="BQ38" s="1153"/>
      <c r="BR38" s="1153"/>
      <c r="BS38" s="1153"/>
      <c r="BT38" s="1153"/>
      <c r="BU38" s="1153"/>
      <c r="BV38" s="1153"/>
      <c r="BW38" s="1153"/>
      <c r="BX38" s="1153"/>
      <c r="BY38" s="1153"/>
      <c r="BZ38" s="1153"/>
      <c r="CA38" s="1153"/>
      <c r="CB38" s="1153"/>
      <c r="CC38" s="1153"/>
      <c r="CD38" s="1153"/>
      <c r="CE38" s="1153"/>
      <c r="CF38" s="1153"/>
      <c r="CG38" s="1153"/>
      <c r="CH38" s="1153"/>
      <c r="CI38" s="1153"/>
      <c r="CJ38" s="1153"/>
      <c r="CK38" s="1153"/>
      <c r="CL38" s="1153"/>
      <c r="CM38" s="1153"/>
      <c r="CN38" s="1153"/>
      <c r="CO38" s="1153"/>
      <c r="CP38" s="1518"/>
      <c r="CQ38" s="1518"/>
      <c r="CR38" s="1153"/>
      <c r="CS38" s="1153"/>
      <c r="CT38" s="1153"/>
      <c r="CU38" s="1153"/>
      <c r="CV38" s="1153"/>
      <c r="CW38" s="1153"/>
      <c r="CX38" s="1153"/>
      <c r="CY38" s="1153"/>
      <c r="CZ38" s="1153"/>
      <c r="DA38" s="1153"/>
      <c r="DB38" s="1153"/>
      <c r="DC38" s="1153"/>
      <c r="DD38" s="1153"/>
      <c r="DE38" s="1153"/>
      <c r="DF38" s="1153"/>
      <c r="DG38" s="1153"/>
      <c r="DH38" s="1153"/>
      <c r="DI38" s="1153"/>
      <c r="DJ38" s="1153"/>
      <c r="DK38" s="1153"/>
      <c r="DL38" s="1153"/>
      <c r="DM38" s="1153"/>
      <c r="DN38" s="1153"/>
      <c r="DO38" s="1153"/>
      <c r="DP38" s="1153"/>
      <c r="DQ38" s="1153"/>
      <c r="DR38" s="1153"/>
      <c r="DS38" s="1153"/>
      <c r="DT38" s="1153"/>
      <c r="DU38" s="1153"/>
      <c r="DV38" s="1153"/>
      <c r="DW38" s="1153"/>
      <c r="DX38" s="1153"/>
      <c r="DY38" s="1153"/>
      <c r="DZ38" s="1153"/>
      <c r="EA38" s="1153"/>
      <c r="EB38" s="1153"/>
      <c r="EC38" s="1153"/>
      <c r="ED38" s="1153"/>
      <c r="EE38" s="1153"/>
      <c r="EF38" s="1153"/>
      <c r="EG38" s="1153"/>
      <c r="EH38" s="1153"/>
      <c r="EI38" s="1153"/>
      <c r="EJ38" s="1153"/>
      <c r="EK38" s="1153"/>
      <c r="EL38" s="1153"/>
      <c r="EM38" s="1153"/>
      <c r="EN38" s="1153"/>
      <c r="EO38" s="1153"/>
      <c r="EP38" s="1153"/>
      <c r="EQ38" s="1153"/>
      <c r="ER38" s="1153"/>
      <c r="ES38" s="1153"/>
      <c r="ET38" s="1153"/>
      <c r="EU38" s="1153"/>
      <c r="EV38" s="1153"/>
      <c r="EW38" s="1153"/>
      <c r="EX38" s="1153"/>
      <c r="EY38" s="1153"/>
      <c r="EZ38" s="1153"/>
      <c r="FA38" s="1153"/>
      <c r="FB38" s="1153"/>
      <c r="FC38" s="1153"/>
      <c r="FD38" s="1153"/>
      <c r="FE38" s="1153"/>
      <c r="FF38" s="1153"/>
      <c r="FG38" s="1153"/>
      <c r="FH38" s="1153"/>
      <c r="FI38" s="1153"/>
      <c r="FJ38" s="1153"/>
      <c r="FK38" s="1153"/>
      <c r="FL38" s="1153"/>
      <c r="FM38" s="1153"/>
      <c r="FN38" s="1153"/>
      <c r="FO38" s="1153"/>
      <c r="FP38" s="1153"/>
      <c r="FQ38" s="1153"/>
      <c r="FR38" s="1153"/>
      <c r="FS38" s="1153"/>
      <c r="FT38" s="1153"/>
      <c r="FU38" s="1153"/>
      <c r="FV38" s="1153"/>
      <c r="FW38" s="1153"/>
      <c r="FX38" s="1153"/>
      <c r="FY38" s="1153"/>
      <c r="FZ38" s="1153"/>
      <c r="GA38" s="1153"/>
      <c r="GB38" s="1153"/>
      <c r="GC38" s="1153"/>
      <c r="GD38" s="1153"/>
      <c r="GE38" s="1153"/>
      <c r="GF38" s="1153"/>
      <c r="GG38" s="1153"/>
      <c r="GJ38" s="134"/>
      <c r="GL38" s="3527"/>
      <c r="GM38" s="3527">
        <f>GL37-GN37</f>
        <v>84357232</v>
      </c>
      <c r="GN38" s="3527"/>
    </row>
    <row r="39" spans="1:205" ht="24.75" customHeight="1">
      <c r="B39" s="947" t="s">
        <v>689</v>
      </c>
      <c r="C39" s="948"/>
      <c r="D39" s="808">
        <f>MIN(GJ5:GJ13)</f>
        <v>10149</v>
      </c>
      <c r="E39" s="807">
        <f>INDEX(A5:A13,MATCH(D39,GJ5:GJ13,0))</f>
        <v>0.375</v>
      </c>
      <c r="F39" s="585"/>
      <c r="G39" s="977"/>
      <c r="H39" s="978"/>
      <c r="I39" s="978"/>
      <c r="J39" s="978"/>
      <c r="K39" s="978"/>
      <c r="L39" s="978"/>
      <c r="M39" s="978"/>
      <c r="N39" s="978"/>
      <c r="O39" s="978"/>
      <c r="P39" s="978"/>
      <c r="Q39" s="978"/>
      <c r="S39" s="954"/>
      <c r="T39" s="176"/>
      <c r="U39" s="176"/>
      <c r="EE39" s="138"/>
    </row>
    <row r="40" spans="1:205" ht="24" customHeight="1">
      <c r="B40" s="947" t="s">
        <v>690</v>
      </c>
      <c r="C40" s="948"/>
      <c r="D40" s="808">
        <f>MAX(GJ5:GJ30)</f>
        <v>13227</v>
      </c>
      <c r="E40" s="807">
        <f>INDEX(A5:A30,MATCH(D40,GJ5:GJ30,0))</f>
        <v>0.875</v>
      </c>
      <c r="F40" s="585"/>
      <c r="G40" s="977"/>
      <c r="H40" s="955"/>
      <c r="I40" s="961"/>
      <c r="J40" s="955"/>
      <c r="K40" s="955"/>
      <c r="L40" s="955"/>
      <c r="M40" s="955"/>
      <c r="N40" s="955"/>
      <c r="O40" s="955"/>
      <c r="P40" s="955"/>
      <c r="Q40" s="978"/>
      <c r="S40" s="955"/>
      <c r="T40" s="956"/>
      <c r="U40" s="957"/>
      <c r="EE40" s="138"/>
    </row>
    <row r="41" spans="1:205" ht="24" customHeight="1">
      <c r="A41" s="151"/>
      <c r="B41" s="947" t="s">
        <v>691</v>
      </c>
      <c r="C41" s="948"/>
      <c r="D41" s="1315">
        <v>10149</v>
      </c>
      <c r="E41" s="807">
        <v>0.375</v>
      </c>
      <c r="F41" s="585"/>
      <c r="G41" s="962"/>
      <c r="H41" s="963"/>
      <c r="I41" s="964"/>
      <c r="J41" s="881"/>
      <c r="K41" s="881"/>
      <c r="L41" s="881"/>
      <c r="M41" s="881"/>
      <c r="N41" s="881"/>
      <c r="O41" s="881"/>
      <c r="P41" s="965"/>
      <c r="Q41" s="881"/>
      <c r="S41" s="958"/>
      <c r="T41" s="959"/>
      <c r="U41" s="960"/>
      <c r="EE41" s="138"/>
    </row>
    <row r="42" spans="1:205" ht="24" customHeight="1">
      <c r="A42" s="174"/>
      <c r="B42" s="950" t="s">
        <v>692</v>
      </c>
      <c r="C42" s="951"/>
      <c r="D42" s="871">
        <v>13227</v>
      </c>
      <c r="E42" s="807">
        <v>0.875</v>
      </c>
      <c r="F42" s="585"/>
      <c r="G42" s="962"/>
      <c r="H42" s="963"/>
      <c r="I42" s="964"/>
      <c r="J42" s="881"/>
      <c r="K42" s="881"/>
      <c r="L42" s="881"/>
      <c r="M42" s="881"/>
      <c r="N42" s="881"/>
      <c r="O42" s="881"/>
      <c r="P42" s="965"/>
      <c r="Q42" s="881"/>
      <c r="S42" s="958"/>
      <c r="T42" s="959"/>
      <c r="U42" s="960"/>
      <c r="EE42" s="138"/>
    </row>
    <row r="43" spans="1:205" ht="22.5" customHeight="1">
      <c r="A43" s="163"/>
      <c r="B43" s="947" t="s">
        <v>781</v>
      </c>
      <c r="C43" s="948"/>
      <c r="D43" s="808">
        <f>MAX(GL5:GL30)</f>
        <v>914</v>
      </c>
      <c r="E43" s="807">
        <f>INDEX(A5:A30,MATCH(D43,GL5:GL30,0))</f>
        <v>4.1666666666666602E-2</v>
      </c>
      <c r="G43" s="962"/>
      <c r="H43" s="963"/>
      <c r="I43" s="964"/>
      <c r="J43" s="881"/>
      <c r="K43" s="881"/>
      <c r="L43" s="881"/>
      <c r="M43" s="881"/>
      <c r="N43" s="881"/>
      <c r="O43" s="881"/>
      <c r="P43" s="965"/>
      <c r="Q43" s="881"/>
      <c r="S43" s="958"/>
      <c r="T43" s="959"/>
      <c r="U43" s="960"/>
    </row>
    <row r="44" spans="1:205">
      <c r="A44" s="164"/>
      <c r="B44" s="947" t="s">
        <v>744</v>
      </c>
      <c r="C44" s="948"/>
      <c r="D44" s="1059">
        <f>INDEX(GL21:GL30,MATCH(E44,A21:A30,0))</f>
        <v>909</v>
      </c>
      <c r="E44" s="872">
        <f>E42</f>
        <v>0.875</v>
      </c>
      <c r="G44" s="962"/>
      <c r="H44" s="963"/>
      <c r="I44" s="964"/>
      <c r="J44" s="881"/>
      <c r="K44" s="881"/>
      <c r="L44" s="881"/>
      <c r="M44" s="881"/>
      <c r="N44" s="881"/>
      <c r="O44" s="881"/>
      <c r="P44" s="965"/>
      <c r="Q44" s="881"/>
      <c r="S44" s="958"/>
      <c r="T44" s="959"/>
      <c r="U44" s="960"/>
    </row>
    <row r="45" spans="1:205">
      <c r="B45" s="947" t="s">
        <v>731</v>
      </c>
      <c r="C45" s="948"/>
      <c r="D45" s="946">
        <f>GJ31/(D40*1000*24)</f>
        <v>0.84435710415564125</v>
      </c>
      <c r="E45" s="949"/>
      <c r="G45" s="966"/>
      <c r="H45" s="963"/>
      <c r="I45" s="964"/>
      <c r="J45" s="881"/>
      <c r="K45" s="881"/>
      <c r="L45" s="881"/>
      <c r="M45" s="881"/>
      <c r="N45" s="881"/>
      <c r="O45" s="881"/>
      <c r="P45" s="965"/>
      <c r="Q45" s="881"/>
      <c r="S45" s="958"/>
      <c r="T45" s="959"/>
      <c r="U45" s="960"/>
      <c r="FH45" s="138">
        <f>55+44.5+80+100+266+150+275+260+45</f>
        <v>1275.5</v>
      </c>
    </row>
    <row r="46" spans="1:205">
      <c r="B46" s="1025"/>
      <c r="C46" s="176"/>
      <c r="D46" s="1026"/>
      <c r="E46" s="1027"/>
      <c r="G46" s="966"/>
      <c r="H46" s="963"/>
      <c r="I46" s="964"/>
      <c r="J46" s="881"/>
      <c r="K46" s="881"/>
      <c r="L46" s="881"/>
      <c r="M46" s="881"/>
      <c r="N46" s="881"/>
      <c r="O46" s="881"/>
      <c r="P46" s="965"/>
      <c r="Q46" s="881"/>
      <c r="S46" s="958"/>
      <c r="T46" s="959"/>
      <c r="U46" s="960"/>
    </row>
    <row r="47" spans="1:205">
      <c r="B47" s="176"/>
      <c r="C47" s="176"/>
      <c r="D47" s="176"/>
      <c r="E47" s="176"/>
      <c r="G47" s="966"/>
      <c r="H47" s="963"/>
      <c r="I47" s="964"/>
      <c r="J47" s="881"/>
      <c r="K47" s="881"/>
      <c r="L47" s="881"/>
      <c r="M47" s="881"/>
      <c r="N47" s="881"/>
      <c r="O47" s="881"/>
      <c r="P47" s="965"/>
      <c r="Q47" s="881"/>
      <c r="S47" s="958"/>
      <c r="T47" s="959"/>
      <c r="U47" s="960"/>
      <c r="FE47" s="134"/>
    </row>
    <row r="48" spans="1:205">
      <c r="G48" s="966"/>
      <c r="H48" s="963"/>
      <c r="I48" s="964"/>
      <c r="J48" s="881"/>
      <c r="K48" s="881"/>
      <c r="L48" s="881"/>
      <c r="M48" s="952"/>
      <c r="N48" s="881"/>
      <c r="O48" s="881"/>
      <c r="P48" s="965"/>
      <c r="Q48" s="881"/>
      <c r="S48" s="958"/>
      <c r="T48" s="959"/>
      <c r="U48" s="960"/>
    </row>
    <row r="49" spans="1:276" ht="33.75" customHeight="1">
      <c r="A49" s="977"/>
      <c r="B49" s="978"/>
      <c r="C49" s="978"/>
      <c r="D49" s="978"/>
      <c r="E49" s="978"/>
      <c r="F49" s="978"/>
      <c r="G49" s="978"/>
      <c r="H49" s="978"/>
      <c r="I49" s="978"/>
      <c r="J49" s="5492"/>
      <c r="K49" s="978"/>
      <c r="L49" s="881"/>
      <c r="M49" s="954"/>
      <c r="N49" s="881"/>
      <c r="O49" s="881"/>
      <c r="P49" s="965"/>
      <c r="Q49" s="881"/>
      <c r="R49" s="176"/>
      <c r="S49" s="958"/>
      <c r="T49" s="959"/>
      <c r="U49" s="960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</row>
    <row r="50" spans="1:276" s="4" customFormat="1">
      <c r="A50" s="977"/>
      <c r="B50" s="955"/>
      <c r="C50" s="961"/>
      <c r="D50" s="1063"/>
      <c r="E50" s="1064"/>
      <c r="F50" s="955"/>
      <c r="G50" s="955"/>
      <c r="H50" s="955"/>
      <c r="I50" s="955"/>
      <c r="J50" s="5492"/>
      <c r="K50" s="978"/>
      <c r="L50" s="881"/>
      <c r="M50" s="955"/>
      <c r="N50" s="956"/>
      <c r="O50" s="956"/>
      <c r="P50" s="957"/>
      <c r="Q50" s="881"/>
      <c r="R50" s="176"/>
      <c r="S50" s="958"/>
      <c r="T50" s="959"/>
      <c r="U50" s="960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8"/>
      <c r="BH50" s="138"/>
      <c r="BI50" s="138"/>
      <c r="BJ50" s="138"/>
      <c r="BK50" s="138"/>
      <c r="BL50" s="138"/>
      <c r="BM50" s="138"/>
      <c r="BN50" s="138"/>
      <c r="BO50" s="138"/>
      <c r="BP50" s="138"/>
      <c r="BQ50" s="138"/>
      <c r="BR50" s="138"/>
      <c r="BS50" s="138"/>
      <c r="BT50" s="138"/>
      <c r="BU50" s="138"/>
      <c r="BV50" s="138"/>
      <c r="BW50" s="138"/>
      <c r="BX50" s="138"/>
      <c r="BY50" s="138"/>
      <c r="BZ50" s="138"/>
      <c r="CA50" s="138"/>
      <c r="CB50" s="138"/>
      <c r="CC50" s="138"/>
      <c r="CD50" s="138"/>
      <c r="CE50" s="138"/>
      <c r="CF50" s="138"/>
      <c r="CG50" s="138"/>
      <c r="CH50" s="138"/>
      <c r="CI50" s="138"/>
      <c r="CJ50" s="138"/>
      <c r="CK50" s="138"/>
      <c r="CL50" s="138"/>
      <c r="CM50" s="138"/>
      <c r="CN50" s="138"/>
      <c r="CO50" s="138"/>
      <c r="CP50" s="138"/>
      <c r="CQ50" s="138"/>
      <c r="CR50" s="138"/>
      <c r="CS50" s="138"/>
      <c r="CT50" s="138"/>
      <c r="CU50" s="138"/>
      <c r="CV50" s="138"/>
      <c r="CW50" s="138"/>
      <c r="CX50" s="138"/>
      <c r="CY50" s="138"/>
      <c r="CZ50" s="138"/>
      <c r="DA50" s="138"/>
      <c r="DB50" s="138"/>
      <c r="DC50" s="138"/>
      <c r="DD50" s="138"/>
      <c r="DE50" s="138"/>
      <c r="DF50" s="138"/>
      <c r="DG50" s="138"/>
      <c r="DH50" s="138"/>
      <c r="DI50" s="138"/>
      <c r="DJ50" s="138"/>
      <c r="DK50" s="138"/>
      <c r="DL50" s="138"/>
      <c r="DM50" s="138"/>
      <c r="DN50" s="138"/>
      <c r="DO50" s="138"/>
      <c r="DP50" s="138"/>
      <c r="DQ50" s="138"/>
      <c r="DR50" s="138"/>
      <c r="DS50" s="138"/>
      <c r="DT50" s="138"/>
      <c r="DU50" s="138"/>
      <c r="DV50" s="138"/>
      <c r="DW50" s="138"/>
      <c r="DX50" s="138"/>
      <c r="DY50" s="138"/>
      <c r="DZ50" s="138"/>
      <c r="EA50" s="138"/>
      <c r="EB50" s="138"/>
      <c r="EC50" s="138"/>
      <c r="ED50" s="138"/>
      <c r="EE50" s="126"/>
      <c r="EF50" s="138"/>
      <c r="EG50" s="138"/>
      <c r="EH50" s="138"/>
      <c r="EI50" s="138"/>
      <c r="EJ50" s="138"/>
      <c r="EK50" s="138"/>
      <c r="EL50" s="138"/>
      <c r="EM50" s="138"/>
      <c r="EN50" s="138"/>
      <c r="EO50" s="138"/>
      <c r="EP50" s="138"/>
      <c r="EQ50" s="138"/>
      <c r="ER50" s="138"/>
      <c r="ES50" s="138"/>
      <c r="ET50" s="138"/>
      <c r="EU50" s="138"/>
      <c r="EV50" s="138"/>
      <c r="EW50" s="138"/>
      <c r="EX50" s="138"/>
      <c r="EY50" s="138"/>
      <c r="EZ50" s="138"/>
      <c r="FA50" s="138"/>
      <c r="FB50" s="138"/>
      <c r="FC50" s="138"/>
      <c r="FD50" s="138"/>
      <c r="FE50" s="138"/>
      <c r="FF50" s="138"/>
      <c r="FG50" s="138"/>
      <c r="FH50" s="138"/>
      <c r="FI50" s="138"/>
      <c r="FJ50" s="138"/>
      <c r="FK50" s="138"/>
      <c r="FL50" s="138"/>
      <c r="FM50" s="138"/>
      <c r="FN50" s="138"/>
      <c r="FO50" s="138"/>
      <c r="FP50" s="138"/>
      <c r="FQ50" s="138"/>
      <c r="FR50" s="138"/>
      <c r="FS50" s="138"/>
      <c r="FT50" s="138"/>
      <c r="FU50" s="138"/>
      <c r="FV50" s="138"/>
      <c r="FW50" s="138"/>
      <c r="FX50" s="138"/>
      <c r="FY50" s="138"/>
      <c r="FZ50" s="138"/>
      <c r="GA50" s="138"/>
      <c r="GB50" s="138"/>
      <c r="GC50" s="138"/>
      <c r="GD50" s="138"/>
      <c r="GE50" s="138"/>
      <c r="GF50" s="138"/>
      <c r="GG50" s="138"/>
      <c r="GH50" s="138"/>
      <c r="GI50" s="138"/>
      <c r="GJ50" s="138"/>
      <c r="GK50" s="138"/>
      <c r="GL50" s="138"/>
      <c r="GM50" s="138"/>
      <c r="GN50" s="138"/>
      <c r="GO50" s="138"/>
      <c r="GP50" s="138"/>
      <c r="GQ50" s="138"/>
      <c r="GR50" s="138"/>
      <c r="GS50" s="138"/>
      <c r="GT50" s="138"/>
      <c r="GU50" s="138"/>
      <c r="GV50" s="138"/>
      <c r="GW50" s="138"/>
      <c r="GX50" s="138"/>
      <c r="GY50" s="138"/>
      <c r="GZ50" s="138"/>
      <c r="HA50" s="138"/>
      <c r="HB50" s="138"/>
      <c r="HC50" s="138"/>
      <c r="HD50" s="138"/>
      <c r="HE50" s="138"/>
      <c r="HF50" s="138"/>
      <c r="HG50" s="138"/>
      <c r="HH50" s="138"/>
      <c r="HI50" s="138"/>
      <c r="HJ50" s="138"/>
      <c r="HK50" s="138"/>
      <c r="HL50" s="138"/>
      <c r="HM50" s="138"/>
      <c r="HN50" s="138"/>
      <c r="HO50" s="138"/>
      <c r="HP50" s="138"/>
      <c r="HQ50" s="138"/>
      <c r="HR50" s="138"/>
      <c r="HS50" s="138"/>
      <c r="HT50" s="138"/>
      <c r="HU50" s="138"/>
      <c r="HV50" s="138"/>
      <c r="HW50" s="138"/>
      <c r="HX50" s="138"/>
      <c r="HY50" s="138"/>
      <c r="HZ50" s="138"/>
      <c r="IA50" s="138"/>
      <c r="IB50" s="138"/>
      <c r="IC50" s="138"/>
      <c r="ID50" s="138"/>
      <c r="IE50" s="138"/>
      <c r="IF50" s="138"/>
      <c r="IG50" s="138"/>
      <c r="IH50" s="138"/>
      <c r="II50" s="138"/>
      <c r="IJ50" s="138"/>
      <c r="IK50" s="138"/>
      <c r="IL50" s="138"/>
      <c r="IM50" s="138"/>
      <c r="IN50" s="138"/>
      <c r="IO50" s="138"/>
      <c r="IP50" s="138"/>
      <c r="IQ50" s="138"/>
      <c r="IR50" s="138"/>
      <c r="IS50" s="138"/>
      <c r="IT50" s="138"/>
      <c r="IU50" s="138"/>
      <c r="IV50" s="138"/>
      <c r="IW50" s="138"/>
      <c r="IX50" s="138"/>
      <c r="IY50" s="138"/>
      <c r="IZ50" s="138"/>
      <c r="JA50" s="138"/>
      <c r="JB50" s="138"/>
      <c r="JC50" s="138"/>
      <c r="JD50" s="138"/>
      <c r="JE50" s="138"/>
      <c r="JF50" s="138"/>
      <c r="JG50" s="138"/>
      <c r="JH50" s="138"/>
      <c r="JI50" s="138"/>
      <c r="JJ50" s="138"/>
      <c r="JK50" s="138"/>
      <c r="JL50" s="138"/>
      <c r="JM50" s="138"/>
      <c r="JN50" s="138"/>
      <c r="JO50" s="138"/>
      <c r="JP50" s="138"/>
    </row>
    <row r="51" spans="1:276" s="4" customFormat="1">
      <c r="A51" s="962"/>
      <c r="B51" s="963"/>
      <c r="C51" s="964"/>
      <c r="D51" s="964"/>
      <c r="E51" s="881"/>
      <c r="F51" s="881"/>
      <c r="G51" s="881"/>
      <c r="H51" s="881"/>
      <c r="I51" s="965"/>
      <c r="J51" s="881"/>
      <c r="K51" s="881"/>
      <c r="L51" s="881"/>
      <c r="M51" s="958"/>
      <c r="N51" s="959"/>
      <c r="O51" s="959"/>
      <c r="P51" s="960"/>
      <c r="Q51" s="881"/>
      <c r="R51" s="176"/>
      <c r="S51" s="958"/>
      <c r="T51" s="959"/>
      <c r="U51" s="960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Z51" s="138"/>
      <c r="BA51" s="138"/>
      <c r="BB51" s="138"/>
      <c r="BC51" s="138"/>
      <c r="BD51" s="138"/>
      <c r="BE51" s="138"/>
      <c r="BF51" s="138"/>
      <c r="BG51" s="138"/>
      <c r="BH51" s="138"/>
      <c r="BI51" s="138"/>
      <c r="BJ51" s="138"/>
      <c r="BK51" s="138"/>
      <c r="BL51" s="138"/>
      <c r="BM51" s="138"/>
      <c r="BN51" s="138"/>
      <c r="BO51" s="138"/>
      <c r="BP51" s="138"/>
      <c r="BQ51" s="138"/>
      <c r="BR51" s="138"/>
      <c r="BS51" s="138"/>
      <c r="BT51" s="138"/>
      <c r="BU51" s="138"/>
      <c r="BV51" s="138"/>
      <c r="BW51" s="138"/>
      <c r="BX51" s="138"/>
      <c r="BY51" s="138"/>
      <c r="BZ51" s="138"/>
      <c r="CA51" s="138"/>
      <c r="CB51" s="138"/>
      <c r="CC51" s="138"/>
      <c r="CD51" s="138"/>
      <c r="CE51" s="138"/>
      <c r="CF51" s="138"/>
      <c r="CG51" s="138"/>
      <c r="CH51" s="138"/>
      <c r="CI51" s="138"/>
      <c r="CJ51" s="138"/>
      <c r="CK51" s="138"/>
      <c r="CL51" s="138"/>
      <c r="CM51" s="138"/>
      <c r="CN51" s="138"/>
      <c r="CO51" s="138"/>
      <c r="CP51" s="138"/>
      <c r="CQ51" s="138"/>
      <c r="CR51" s="138"/>
      <c r="CS51" s="138"/>
      <c r="CT51" s="138"/>
      <c r="CU51" s="138"/>
      <c r="CV51" s="138"/>
      <c r="CW51" s="138"/>
      <c r="CX51" s="138"/>
      <c r="CY51" s="138"/>
      <c r="CZ51" s="138"/>
      <c r="DA51" s="138"/>
      <c r="DB51" s="138"/>
      <c r="DC51" s="138"/>
      <c r="DD51" s="138"/>
      <c r="DE51" s="138"/>
      <c r="DF51" s="138"/>
      <c r="DG51" s="138"/>
      <c r="DH51" s="138"/>
      <c r="DI51" s="138"/>
      <c r="DJ51" s="138"/>
      <c r="DK51" s="138"/>
      <c r="DL51" s="138"/>
      <c r="DM51" s="138"/>
      <c r="DN51" s="138"/>
      <c r="DO51" s="138"/>
      <c r="DP51" s="138"/>
      <c r="DQ51" s="138"/>
      <c r="DR51" s="138"/>
      <c r="DS51" s="138"/>
      <c r="DT51" s="138"/>
      <c r="DU51" s="138"/>
      <c r="DV51" s="138"/>
      <c r="DW51" s="138"/>
      <c r="DX51" s="138"/>
      <c r="DY51" s="138"/>
      <c r="DZ51" s="138"/>
      <c r="EA51" s="138"/>
      <c r="EB51" s="138"/>
      <c r="EC51" s="138"/>
      <c r="ED51" s="138"/>
      <c r="EE51" s="126"/>
      <c r="EF51" s="138"/>
      <c r="EG51" s="138"/>
      <c r="EH51" s="138"/>
      <c r="EI51" s="138"/>
      <c r="EJ51" s="138"/>
      <c r="EK51" s="138"/>
      <c r="EL51" s="138"/>
      <c r="EM51" s="138"/>
      <c r="EN51" s="138"/>
      <c r="EO51" s="138"/>
      <c r="EP51" s="138"/>
      <c r="EQ51" s="138"/>
      <c r="ER51" s="138"/>
      <c r="ES51" s="138"/>
      <c r="ET51" s="138"/>
      <c r="EU51" s="138"/>
      <c r="EV51" s="138"/>
      <c r="EW51" s="138"/>
      <c r="EX51" s="138"/>
      <c r="EY51" s="138"/>
      <c r="EZ51" s="138"/>
      <c r="FA51" s="138"/>
      <c r="FB51" s="138"/>
      <c r="FC51" s="138"/>
      <c r="FD51" s="138"/>
      <c r="FE51" s="138"/>
      <c r="FF51" s="138"/>
      <c r="FG51" s="138"/>
      <c r="FH51" s="138"/>
      <c r="FI51" s="138"/>
      <c r="FJ51" s="138"/>
      <c r="FK51" s="138"/>
      <c r="FL51" s="138"/>
      <c r="FM51" s="138"/>
      <c r="FN51" s="138"/>
      <c r="FO51" s="138"/>
      <c r="FP51" s="138"/>
      <c r="FQ51" s="138"/>
      <c r="FR51" s="138"/>
      <c r="FS51" s="138"/>
      <c r="FT51" s="138"/>
      <c r="FU51" s="138"/>
      <c r="FV51" s="138"/>
      <c r="FW51" s="138"/>
      <c r="FX51" s="138"/>
      <c r="FY51" s="138"/>
      <c r="FZ51" s="138"/>
      <c r="GA51" s="138"/>
      <c r="GB51" s="138"/>
      <c r="GC51" s="138"/>
      <c r="GD51" s="138"/>
      <c r="GE51" s="138"/>
      <c r="GF51" s="138"/>
      <c r="GG51" s="138"/>
      <c r="GH51" s="138"/>
      <c r="GI51" s="138"/>
      <c r="GJ51" s="138"/>
      <c r="GK51" s="138"/>
      <c r="GL51" s="138"/>
      <c r="GM51" s="138"/>
      <c r="GN51" s="138"/>
      <c r="GO51" s="138"/>
      <c r="GP51" s="138"/>
      <c r="GQ51" s="138"/>
      <c r="GR51" s="138"/>
      <c r="GS51" s="138"/>
      <c r="GT51" s="138"/>
      <c r="GU51" s="138"/>
      <c r="GV51" s="138"/>
      <c r="GW51" s="138"/>
      <c r="GX51" s="138"/>
      <c r="GY51" s="138"/>
      <c r="GZ51" s="138"/>
      <c r="HA51" s="138"/>
      <c r="HB51" s="138"/>
      <c r="HC51" s="138"/>
      <c r="HD51" s="138"/>
      <c r="HE51" s="138"/>
      <c r="HF51" s="138"/>
      <c r="HG51" s="138"/>
      <c r="HH51" s="138"/>
      <c r="HI51" s="138"/>
      <c r="HJ51" s="138"/>
      <c r="HK51" s="138"/>
      <c r="HL51" s="138"/>
      <c r="HM51" s="138"/>
      <c r="HN51" s="138"/>
      <c r="HO51" s="138"/>
      <c r="HP51" s="138"/>
      <c r="HQ51" s="138"/>
      <c r="HR51" s="138"/>
      <c r="HS51" s="138"/>
      <c r="HT51" s="138"/>
      <c r="HU51" s="138"/>
      <c r="HV51" s="138"/>
      <c r="HW51" s="138"/>
      <c r="HX51" s="138"/>
      <c r="HY51" s="138"/>
      <c r="HZ51" s="138"/>
      <c r="IA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R51" s="138"/>
      <c r="IS51" s="138"/>
      <c r="IT51" s="138"/>
      <c r="IU51" s="138"/>
      <c r="IV51" s="138"/>
      <c r="IW51" s="138"/>
      <c r="IX51" s="138"/>
      <c r="IY51" s="138"/>
      <c r="IZ51" s="138"/>
      <c r="JA51" s="138"/>
      <c r="JB51" s="138"/>
      <c r="JC51" s="138"/>
      <c r="JD51" s="138"/>
      <c r="JE51" s="138"/>
      <c r="JF51" s="138"/>
      <c r="JG51" s="138"/>
      <c r="JH51" s="138"/>
      <c r="JI51" s="138"/>
      <c r="JJ51" s="138"/>
      <c r="JK51" s="138"/>
      <c r="JL51" s="138"/>
      <c r="JM51" s="138"/>
      <c r="JN51" s="138"/>
      <c r="JO51" s="138"/>
      <c r="JP51" s="138"/>
    </row>
    <row r="52" spans="1:276" s="4" customFormat="1">
      <c r="A52" s="962"/>
      <c r="B52" s="963"/>
      <c r="C52" s="964"/>
      <c r="D52" s="964"/>
      <c r="E52" s="881"/>
      <c r="F52" s="881"/>
      <c r="G52" s="881"/>
      <c r="H52" s="881"/>
      <c r="I52" s="965"/>
      <c r="J52" s="881"/>
      <c r="K52" s="881"/>
      <c r="L52" s="881"/>
      <c r="M52" s="958"/>
      <c r="N52" s="959"/>
      <c r="O52" s="959"/>
      <c r="P52" s="960"/>
      <c r="Q52" s="881"/>
      <c r="R52" s="176"/>
      <c r="S52" s="958"/>
      <c r="T52" s="959"/>
      <c r="U52" s="960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8"/>
      <c r="BH52" s="138"/>
      <c r="BI52" s="138"/>
      <c r="BJ52" s="138"/>
      <c r="BK52" s="138"/>
      <c r="BL52" s="138"/>
      <c r="BM52" s="138"/>
      <c r="BN52" s="138"/>
      <c r="BO52" s="138"/>
      <c r="BP52" s="138"/>
      <c r="BQ52" s="138"/>
      <c r="BR52" s="138"/>
      <c r="BS52" s="138"/>
      <c r="BT52" s="138"/>
      <c r="BU52" s="138"/>
      <c r="BV52" s="138"/>
      <c r="BW52" s="138"/>
      <c r="BX52" s="138"/>
      <c r="BY52" s="138"/>
      <c r="BZ52" s="138"/>
      <c r="CA52" s="138"/>
      <c r="CB52" s="138"/>
      <c r="CC52" s="138"/>
      <c r="CD52" s="138"/>
      <c r="CE52" s="138"/>
      <c r="CF52" s="138"/>
      <c r="CG52" s="138"/>
      <c r="CH52" s="138"/>
      <c r="CI52" s="138"/>
      <c r="CJ52" s="138"/>
      <c r="CK52" s="138"/>
      <c r="CL52" s="138"/>
      <c r="CM52" s="138"/>
      <c r="CN52" s="138"/>
      <c r="CO52" s="138"/>
      <c r="CP52" s="138"/>
      <c r="CQ52" s="138"/>
      <c r="CR52" s="138"/>
      <c r="CS52" s="138"/>
      <c r="CT52" s="138"/>
      <c r="CU52" s="138"/>
      <c r="CV52" s="138"/>
      <c r="CW52" s="138"/>
      <c r="CX52" s="138"/>
      <c r="CY52" s="138"/>
      <c r="CZ52" s="138"/>
      <c r="DA52" s="138"/>
      <c r="DB52" s="138"/>
      <c r="DC52" s="138"/>
      <c r="DD52" s="138"/>
      <c r="DE52" s="138"/>
      <c r="DF52" s="138"/>
      <c r="DG52" s="138"/>
      <c r="DH52" s="138"/>
      <c r="DI52" s="138"/>
      <c r="DJ52" s="138"/>
      <c r="DK52" s="138"/>
      <c r="DL52" s="138"/>
      <c r="DM52" s="138"/>
      <c r="DN52" s="138"/>
      <c r="DO52" s="138"/>
      <c r="DP52" s="138"/>
      <c r="DQ52" s="138"/>
      <c r="DR52" s="138"/>
      <c r="DS52" s="138"/>
      <c r="DT52" s="138"/>
      <c r="DU52" s="138"/>
      <c r="DV52" s="138"/>
      <c r="DW52" s="138"/>
      <c r="DX52" s="138"/>
      <c r="DY52" s="138"/>
      <c r="DZ52" s="138"/>
      <c r="EA52" s="138"/>
      <c r="EB52" s="138"/>
      <c r="EC52" s="138"/>
      <c r="ED52" s="138"/>
      <c r="EE52" s="126"/>
      <c r="EF52" s="138"/>
      <c r="EG52" s="138"/>
      <c r="EH52" s="138"/>
      <c r="EI52" s="138"/>
      <c r="EJ52" s="138"/>
      <c r="EK52" s="138"/>
      <c r="EL52" s="138"/>
      <c r="EM52" s="138"/>
      <c r="EN52" s="138"/>
      <c r="EO52" s="138"/>
      <c r="EP52" s="138"/>
      <c r="EQ52" s="138"/>
      <c r="ER52" s="138"/>
      <c r="ES52" s="138"/>
      <c r="ET52" s="138"/>
      <c r="EU52" s="138"/>
      <c r="EV52" s="138"/>
      <c r="EW52" s="138"/>
      <c r="EX52" s="138"/>
      <c r="EY52" s="138"/>
      <c r="EZ52" s="138"/>
      <c r="FA52" s="138"/>
      <c r="FB52" s="138"/>
      <c r="FC52" s="138"/>
      <c r="FD52" s="138"/>
      <c r="FE52" s="138"/>
      <c r="FF52" s="138"/>
      <c r="FG52" s="138"/>
      <c r="FH52" s="138"/>
      <c r="FI52" s="138"/>
      <c r="FJ52" s="138"/>
      <c r="FK52" s="138"/>
      <c r="FL52" s="138"/>
      <c r="FM52" s="138"/>
      <c r="FN52" s="138"/>
      <c r="FO52" s="138"/>
      <c r="FP52" s="138"/>
      <c r="FQ52" s="138"/>
      <c r="FR52" s="138"/>
      <c r="FS52" s="138"/>
      <c r="FT52" s="138"/>
      <c r="FU52" s="138"/>
      <c r="FV52" s="138"/>
      <c r="FW52" s="138"/>
      <c r="FX52" s="138"/>
      <c r="FY52" s="138"/>
      <c r="FZ52" s="138"/>
      <c r="GA52" s="138"/>
      <c r="GB52" s="138"/>
      <c r="GC52" s="138"/>
      <c r="GD52" s="138"/>
      <c r="GE52" s="138"/>
      <c r="GF52" s="138"/>
      <c r="GG52" s="138"/>
      <c r="GH52" s="138"/>
      <c r="GI52" s="138"/>
      <c r="GJ52" s="138"/>
      <c r="GK52" s="138"/>
      <c r="GL52" s="138"/>
      <c r="GM52" s="138"/>
      <c r="GN52" s="138"/>
      <c r="GO52" s="138"/>
      <c r="GP52" s="138"/>
      <c r="GQ52" s="138"/>
      <c r="GR52" s="138"/>
      <c r="GS52" s="138"/>
      <c r="GT52" s="138"/>
      <c r="GU52" s="138"/>
      <c r="GV52" s="138"/>
      <c r="GW52" s="138"/>
      <c r="GX52" s="138"/>
      <c r="GY52" s="138"/>
      <c r="GZ52" s="138"/>
      <c r="HA52" s="138"/>
      <c r="HB52" s="138"/>
      <c r="HC52" s="138"/>
      <c r="HD52" s="138"/>
      <c r="HE52" s="138"/>
      <c r="HF52" s="138"/>
      <c r="HG52" s="138"/>
      <c r="HH52" s="138"/>
      <c r="HI52" s="138"/>
      <c r="HJ52" s="138"/>
      <c r="HK52" s="138"/>
      <c r="HL52" s="138"/>
      <c r="HM52" s="138"/>
      <c r="HN52" s="138"/>
      <c r="HO52" s="138"/>
      <c r="HP52" s="138"/>
      <c r="HQ52" s="138"/>
      <c r="HR52" s="138"/>
      <c r="HS52" s="138"/>
      <c r="HT52" s="138"/>
      <c r="HU52" s="138"/>
      <c r="HV52" s="138"/>
      <c r="HW52" s="138"/>
      <c r="HX52" s="138"/>
      <c r="HY52" s="138"/>
      <c r="HZ52" s="138"/>
      <c r="IA52" s="138"/>
      <c r="IB52" s="138"/>
      <c r="IC52" s="138"/>
      <c r="ID52" s="138"/>
      <c r="IE52" s="138"/>
      <c r="IF52" s="138"/>
      <c r="IG52" s="138"/>
      <c r="IH52" s="138"/>
      <c r="II52" s="138"/>
      <c r="IJ52" s="138"/>
      <c r="IK52" s="138"/>
      <c r="IL52" s="138"/>
      <c r="IM52" s="138"/>
      <c r="IN52" s="138"/>
      <c r="IO52" s="138"/>
      <c r="IP52" s="138"/>
      <c r="IQ52" s="138"/>
      <c r="IR52" s="138"/>
      <c r="IS52" s="138"/>
      <c r="IT52" s="138"/>
      <c r="IU52" s="138"/>
      <c r="IV52" s="138"/>
      <c r="IW52" s="138"/>
      <c r="IX52" s="138"/>
      <c r="IY52" s="138"/>
      <c r="IZ52" s="138"/>
      <c r="JA52" s="138"/>
      <c r="JB52" s="138"/>
      <c r="JC52" s="138"/>
      <c r="JD52" s="138"/>
      <c r="JE52" s="138"/>
      <c r="JF52" s="138"/>
      <c r="JG52" s="138"/>
      <c r="JH52" s="138"/>
      <c r="JI52" s="138"/>
      <c r="JJ52" s="138"/>
      <c r="JK52" s="138"/>
      <c r="JL52" s="138"/>
      <c r="JM52" s="138"/>
      <c r="JN52" s="138"/>
      <c r="JO52" s="138"/>
      <c r="JP52" s="138"/>
    </row>
    <row r="53" spans="1:276" s="4" customFormat="1">
      <c r="A53" s="962"/>
      <c r="B53" s="963"/>
      <c r="C53" s="964"/>
      <c r="D53" s="964"/>
      <c r="E53" s="881"/>
      <c r="F53" s="881"/>
      <c r="G53" s="881"/>
      <c r="H53" s="881"/>
      <c r="I53" s="965"/>
      <c r="J53" s="881"/>
      <c r="K53" s="881"/>
      <c r="L53" s="881"/>
      <c r="M53" s="958"/>
      <c r="N53" s="959"/>
      <c r="O53" s="959"/>
      <c r="P53" s="960"/>
      <c r="Q53" s="881"/>
      <c r="R53" s="176"/>
      <c r="S53" s="958"/>
      <c r="T53" s="959"/>
      <c r="U53" s="960"/>
      <c r="V53" s="176"/>
      <c r="W53" s="176"/>
      <c r="X53" s="176"/>
      <c r="Y53" s="176"/>
      <c r="Z53" s="176"/>
      <c r="AA53" s="176"/>
      <c r="AB53" s="176"/>
      <c r="AC53" s="176"/>
      <c r="AD53" s="176"/>
      <c r="AE53" s="176"/>
      <c r="AF53" s="176"/>
      <c r="AG53" s="176"/>
      <c r="AH53" s="176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38"/>
      <c r="BP53" s="138"/>
      <c r="BQ53" s="138"/>
      <c r="BR53" s="138"/>
      <c r="BS53" s="138"/>
      <c r="BT53" s="138"/>
      <c r="BU53" s="138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  <c r="CK53" s="138"/>
      <c r="CL53" s="138"/>
      <c r="CM53" s="138"/>
      <c r="CN53" s="138"/>
      <c r="CO53" s="138"/>
      <c r="CP53" s="138"/>
      <c r="CQ53" s="138"/>
      <c r="CR53" s="138"/>
      <c r="CS53" s="138"/>
      <c r="CT53" s="138"/>
      <c r="CU53" s="138"/>
      <c r="CV53" s="138"/>
      <c r="CW53" s="138"/>
      <c r="CX53" s="138"/>
      <c r="CY53" s="138"/>
      <c r="CZ53" s="138"/>
      <c r="DA53" s="138"/>
      <c r="DB53" s="138"/>
      <c r="DC53" s="138"/>
      <c r="DD53" s="138"/>
      <c r="DE53" s="138"/>
      <c r="DF53" s="138"/>
      <c r="DG53" s="138"/>
      <c r="DH53" s="138"/>
      <c r="DI53" s="138"/>
      <c r="DJ53" s="138"/>
      <c r="DK53" s="138"/>
      <c r="DL53" s="138"/>
      <c r="DM53" s="138"/>
      <c r="DN53" s="138"/>
      <c r="DO53" s="138"/>
      <c r="DP53" s="138"/>
      <c r="DQ53" s="138"/>
      <c r="DR53" s="138"/>
      <c r="DS53" s="138"/>
      <c r="DT53" s="138"/>
      <c r="DU53" s="138"/>
      <c r="DV53" s="138"/>
      <c r="DW53" s="138"/>
      <c r="DX53" s="138"/>
      <c r="DY53" s="138"/>
      <c r="DZ53" s="138"/>
      <c r="EA53" s="138"/>
      <c r="EB53" s="138"/>
      <c r="EC53" s="138"/>
      <c r="ED53" s="138"/>
      <c r="EE53" s="126"/>
      <c r="EF53" s="138"/>
      <c r="EG53" s="138"/>
      <c r="EH53" s="138"/>
      <c r="EI53" s="138"/>
      <c r="EJ53" s="138"/>
      <c r="EK53" s="138"/>
      <c r="EL53" s="138"/>
      <c r="EM53" s="138"/>
      <c r="EN53" s="138"/>
      <c r="EO53" s="138"/>
      <c r="EP53" s="138"/>
      <c r="EQ53" s="138"/>
      <c r="ER53" s="138"/>
      <c r="ES53" s="138"/>
      <c r="ET53" s="138"/>
      <c r="EU53" s="138"/>
      <c r="EV53" s="138"/>
      <c r="EW53" s="138"/>
      <c r="EX53" s="138"/>
      <c r="EY53" s="138"/>
      <c r="EZ53" s="138"/>
      <c r="FA53" s="138"/>
      <c r="FB53" s="138"/>
      <c r="FC53" s="138"/>
      <c r="FD53" s="138"/>
      <c r="FE53" s="138"/>
      <c r="FF53" s="138"/>
      <c r="FG53" s="138"/>
      <c r="FH53" s="138"/>
      <c r="FI53" s="138"/>
      <c r="FJ53" s="138"/>
      <c r="FK53" s="138"/>
      <c r="FL53" s="138"/>
      <c r="FM53" s="138"/>
      <c r="FN53" s="138"/>
      <c r="FO53" s="138"/>
      <c r="FP53" s="138"/>
      <c r="FQ53" s="138"/>
      <c r="FR53" s="138"/>
      <c r="FS53" s="138"/>
      <c r="FT53" s="138"/>
      <c r="FU53" s="138"/>
      <c r="FV53" s="138"/>
      <c r="FW53" s="138"/>
      <c r="FX53" s="138"/>
      <c r="FY53" s="138"/>
      <c r="FZ53" s="138"/>
      <c r="GA53" s="138"/>
      <c r="GB53" s="138"/>
      <c r="GC53" s="138"/>
      <c r="GD53" s="138"/>
      <c r="GE53" s="138"/>
      <c r="GF53" s="138"/>
      <c r="GG53" s="138"/>
      <c r="GH53" s="138"/>
      <c r="GI53" s="138"/>
      <c r="GJ53" s="138"/>
      <c r="GK53" s="138"/>
      <c r="GL53" s="138"/>
      <c r="GM53" s="138"/>
      <c r="GN53" s="138"/>
      <c r="GO53" s="138"/>
      <c r="GP53" s="138"/>
      <c r="GQ53" s="138"/>
      <c r="GR53" s="138"/>
      <c r="GS53" s="138"/>
      <c r="GT53" s="138"/>
      <c r="GU53" s="138"/>
      <c r="GV53" s="138"/>
      <c r="GW53" s="138"/>
      <c r="GX53" s="138"/>
      <c r="GY53" s="138"/>
      <c r="GZ53" s="138"/>
      <c r="HA53" s="138"/>
      <c r="HB53" s="138"/>
      <c r="HC53" s="138"/>
      <c r="HD53" s="138"/>
      <c r="HE53" s="138"/>
      <c r="HF53" s="138"/>
      <c r="HG53" s="138"/>
      <c r="HH53" s="138"/>
      <c r="HI53" s="138"/>
      <c r="HJ53" s="138"/>
      <c r="HK53" s="138"/>
      <c r="HL53" s="138"/>
      <c r="HM53" s="138"/>
      <c r="HN53" s="138"/>
      <c r="HO53" s="138"/>
      <c r="HP53" s="138"/>
      <c r="HQ53" s="138"/>
      <c r="HR53" s="138"/>
      <c r="HS53" s="138"/>
      <c r="HT53" s="138"/>
      <c r="HU53" s="138"/>
      <c r="HV53" s="138"/>
      <c r="HW53" s="138"/>
      <c r="HX53" s="138"/>
      <c r="HY53" s="138"/>
      <c r="HZ53" s="138"/>
      <c r="IA53" s="138"/>
      <c r="IB53" s="138"/>
      <c r="IC53" s="138"/>
      <c r="ID53" s="138"/>
      <c r="IE53" s="138"/>
      <c r="IF53" s="138"/>
      <c r="IG53" s="138"/>
      <c r="IH53" s="138"/>
      <c r="II53" s="138"/>
      <c r="IJ53" s="138"/>
      <c r="IK53" s="138"/>
      <c r="IL53" s="138"/>
      <c r="IM53" s="138"/>
      <c r="IN53" s="138"/>
      <c r="IO53" s="138"/>
      <c r="IP53" s="138"/>
      <c r="IQ53" s="138"/>
      <c r="IR53" s="138"/>
      <c r="IS53" s="138"/>
      <c r="IT53" s="138"/>
      <c r="IU53" s="138"/>
      <c r="IV53" s="138"/>
      <c r="IW53" s="138"/>
      <c r="IX53" s="138"/>
      <c r="IY53" s="138"/>
      <c r="IZ53" s="138"/>
      <c r="JA53" s="138"/>
      <c r="JB53" s="138"/>
      <c r="JC53" s="138"/>
      <c r="JD53" s="138"/>
      <c r="JE53" s="138"/>
      <c r="JF53" s="138"/>
      <c r="JG53" s="138"/>
      <c r="JH53" s="138"/>
      <c r="JI53" s="138"/>
      <c r="JJ53" s="138"/>
      <c r="JK53" s="138"/>
      <c r="JL53" s="138"/>
      <c r="JM53" s="138"/>
      <c r="JN53" s="138"/>
      <c r="JO53" s="138"/>
      <c r="JP53" s="138"/>
    </row>
    <row r="54" spans="1:276" s="4" customFormat="1">
      <c r="A54" s="962"/>
      <c r="B54" s="963"/>
      <c r="C54" s="964"/>
      <c r="D54" s="964"/>
      <c r="E54" s="881"/>
      <c r="F54" s="881"/>
      <c r="G54" s="881"/>
      <c r="H54" s="881"/>
      <c r="I54" s="965"/>
      <c r="J54" s="881"/>
      <c r="K54" s="881"/>
      <c r="L54" s="881"/>
      <c r="M54" s="958"/>
      <c r="N54" s="959"/>
      <c r="O54" s="959"/>
      <c r="P54" s="960"/>
      <c r="Q54" s="881"/>
      <c r="R54" s="176"/>
      <c r="S54" s="958"/>
      <c r="T54" s="959"/>
      <c r="U54" s="960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  <c r="BE54" s="138"/>
      <c r="BF54" s="138"/>
      <c r="BG54" s="138"/>
      <c r="BH54" s="138"/>
      <c r="BI54" s="138"/>
      <c r="BJ54" s="138"/>
      <c r="BK54" s="138"/>
      <c r="BL54" s="138"/>
      <c r="BM54" s="138"/>
      <c r="BN54" s="138"/>
      <c r="BO54" s="138"/>
      <c r="BP54" s="138"/>
      <c r="BQ54" s="138"/>
      <c r="BR54" s="138"/>
      <c r="BS54" s="138"/>
      <c r="BT54" s="138"/>
      <c r="BU54" s="138"/>
      <c r="BV54" s="138"/>
      <c r="BW54" s="138"/>
      <c r="BX54" s="138"/>
      <c r="BY54" s="138"/>
      <c r="BZ54" s="138"/>
      <c r="CA54" s="138"/>
      <c r="CB54" s="138"/>
      <c r="CC54" s="138"/>
      <c r="CD54" s="138"/>
      <c r="CE54" s="138"/>
      <c r="CF54" s="138"/>
      <c r="CG54" s="138"/>
      <c r="CH54" s="138"/>
      <c r="CI54" s="138"/>
      <c r="CJ54" s="138"/>
      <c r="CK54" s="138"/>
      <c r="CL54" s="138"/>
      <c r="CM54" s="138"/>
      <c r="CN54" s="138"/>
      <c r="CO54" s="138"/>
      <c r="CP54" s="138"/>
      <c r="CQ54" s="138"/>
      <c r="CR54" s="138"/>
      <c r="CS54" s="138"/>
      <c r="CT54" s="138"/>
      <c r="CU54" s="138"/>
      <c r="CV54" s="138"/>
      <c r="CW54" s="138"/>
      <c r="CX54" s="138"/>
      <c r="CY54" s="138"/>
      <c r="CZ54" s="138"/>
      <c r="DA54" s="138"/>
      <c r="DB54" s="138"/>
      <c r="DC54" s="138"/>
      <c r="DD54" s="138"/>
      <c r="DE54" s="138"/>
      <c r="DF54" s="138"/>
      <c r="DG54" s="138"/>
      <c r="DH54" s="138"/>
      <c r="DI54" s="138"/>
      <c r="DJ54" s="138"/>
      <c r="DK54" s="138"/>
      <c r="DL54" s="138"/>
      <c r="DM54" s="138"/>
      <c r="DN54" s="138"/>
      <c r="DO54" s="138"/>
      <c r="DP54" s="138"/>
      <c r="DQ54" s="138"/>
      <c r="DR54" s="138"/>
      <c r="DS54" s="138"/>
      <c r="DT54" s="138"/>
      <c r="DU54" s="138"/>
      <c r="DV54" s="138"/>
      <c r="DW54" s="138"/>
      <c r="DX54" s="138"/>
      <c r="DY54" s="138"/>
      <c r="DZ54" s="138"/>
      <c r="EA54" s="138"/>
      <c r="EB54" s="138"/>
      <c r="EC54" s="138"/>
      <c r="ED54" s="138"/>
      <c r="EE54" s="126"/>
      <c r="EF54" s="138"/>
      <c r="EG54" s="138"/>
      <c r="EH54" s="138"/>
      <c r="EI54" s="138"/>
      <c r="EJ54" s="138"/>
      <c r="EK54" s="138"/>
      <c r="EL54" s="138"/>
      <c r="EM54" s="138"/>
      <c r="EN54" s="138"/>
      <c r="EO54" s="138"/>
      <c r="EP54" s="138"/>
      <c r="EQ54" s="138"/>
      <c r="ER54" s="138"/>
      <c r="ES54" s="138"/>
      <c r="ET54" s="138"/>
      <c r="EU54" s="138"/>
      <c r="EV54" s="138"/>
      <c r="EW54" s="138"/>
      <c r="EX54" s="138"/>
      <c r="EY54" s="138"/>
      <c r="EZ54" s="138"/>
      <c r="FA54" s="138"/>
      <c r="FB54" s="138"/>
      <c r="FC54" s="138"/>
      <c r="FD54" s="138"/>
      <c r="FE54" s="138"/>
      <c r="FF54" s="138"/>
      <c r="FG54" s="138"/>
      <c r="FH54" s="138"/>
      <c r="FI54" s="138"/>
      <c r="FJ54" s="138"/>
      <c r="FK54" s="138"/>
      <c r="FL54" s="138"/>
      <c r="FM54" s="138"/>
      <c r="FN54" s="138"/>
      <c r="FO54" s="138"/>
      <c r="FP54" s="138"/>
      <c r="FQ54" s="138"/>
      <c r="FR54" s="138"/>
      <c r="FS54" s="138"/>
      <c r="FT54" s="138"/>
      <c r="FU54" s="138"/>
      <c r="FV54" s="138"/>
      <c r="FW54" s="138"/>
      <c r="FX54" s="138"/>
      <c r="FY54" s="138"/>
      <c r="FZ54" s="138"/>
      <c r="GA54" s="138"/>
      <c r="GB54" s="138"/>
      <c r="GC54" s="138"/>
      <c r="GD54" s="138"/>
      <c r="GE54" s="138"/>
      <c r="GF54" s="138"/>
      <c r="GG54" s="138"/>
      <c r="GH54" s="138"/>
      <c r="GI54" s="138"/>
      <c r="GJ54" s="138"/>
      <c r="GK54" s="138"/>
      <c r="GL54" s="138"/>
      <c r="GM54" s="138"/>
      <c r="GN54" s="138"/>
      <c r="GO54" s="138"/>
      <c r="GP54" s="138"/>
      <c r="GQ54" s="138"/>
      <c r="GR54" s="138"/>
      <c r="GS54" s="138"/>
      <c r="GT54" s="138"/>
      <c r="GU54" s="138"/>
      <c r="GV54" s="138"/>
      <c r="GW54" s="138"/>
      <c r="GX54" s="138"/>
      <c r="GY54" s="138"/>
      <c r="GZ54" s="138"/>
      <c r="HA54" s="138"/>
      <c r="HB54" s="138"/>
      <c r="HC54" s="138"/>
      <c r="HD54" s="138"/>
      <c r="HE54" s="138"/>
      <c r="HF54" s="138"/>
      <c r="HG54" s="138"/>
      <c r="HH54" s="138"/>
      <c r="HI54" s="138"/>
      <c r="HJ54" s="138"/>
      <c r="HK54" s="138"/>
      <c r="HL54" s="138"/>
      <c r="HM54" s="138"/>
      <c r="HN54" s="138"/>
      <c r="HO54" s="138"/>
      <c r="HP54" s="138"/>
      <c r="HQ54" s="138"/>
      <c r="HR54" s="138"/>
      <c r="HS54" s="138"/>
      <c r="HT54" s="138"/>
      <c r="HU54" s="138"/>
      <c r="HV54" s="138"/>
      <c r="HW54" s="138"/>
      <c r="HX54" s="138"/>
      <c r="HY54" s="138"/>
      <c r="HZ54" s="138"/>
      <c r="IA54" s="138"/>
      <c r="IB54" s="138"/>
      <c r="IC54" s="138"/>
      <c r="ID54" s="138"/>
      <c r="IE54" s="138"/>
      <c r="IF54" s="138"/>
      <c r="IG54" s="138"/>
      <c r="IH54" s="138"/>
      <c r="II54" s="138"/>
      <c r="IJ54" s="138"/>
      <c r="IK54" s="138"/>
      <c r="IL54" s="138"/>
      <c r="IM54" s="138"/>
      <c r="IN54" s="138"/>
      <c r="IO54" s="138"/>
      <c r="IP54" s="138"/>
      <c r="IQ54" s="138"/>
      <c r="IR54" s="138"/>
      <c r="IS54" s="138"/>
      <c r="IT54" s="138"/>
      <c r="IU54" s="138"/>
      <c r="IV54" s="138"/>
      <c r="IW54" s="138"/>
      <c r="IX54" s="138"/>
      <c r="IY54" s="138"/>
      <c r="IZ54" s="138"/>
      <c r="JA54" s="138"/>
      <c r="JB54" s="138"/>
      <c r="JC54" s="138"/>
      <c r="JD54" s="138"/>
      <c r="JE54" s="138"/>
      <c r="JF54" s="138"/>
      <c r="JG54" s="138"/>
      <c r="JH54" s="138"/>
      <c r="JI54" s="138"/>
      <c r="JJ54" s="138"/>
      <c r="JK54" s="138"/>
      <c r="JL54" s="138"/>
      <c r="JM54" s="138"/>
      <c r="JN54" s="138"/>
      <c r="JO54" s="138"/>
      <c r="JP54" s="138"/>
    </row>
    <row r="55" spans="1:276" s="4" customFormat="1">
      <c r="A55" s="966"/>
      <c r="B55" s="963"/>
      <c r="C55" s="964"/>
      <c r="D55" s="964"/>
      <c r="E55" s="881"/>
      <c r="F55" s="881"/>
      <c r="G55" s="881"/>
      <c r="H55" s="881"/>
      <c r="I55" s="965"/>
      <c r="J55" s="881"/>
      <c r="K55" s="881"/>
      <c r="L55" s="881"/>
      <c r="M55" s="958"/>
      <c r="N55" s="959"/>
      <c r="O55" s="959"/>
      <c r="P55" s="960"/>
      <c r="Q55" s="881"/>
      <c r="R55" s="176"/>
      <c r="S55" s="958"/>
      <c r="T55" s="959"/>
      <c r="U55" s="960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76"/>
      <c r="AH55" s="176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K55" s="138"/>
      <c r="CL55" s="138"/>
      <c r="CM55" s="138"/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B55" s="138"/>
      <c r="EC55" s="138"/>
      <c r="ED55" s="138"/>
      <c r="EE55" s="126"/>
      <c r="EF55" s="138"/>
      <c r="EG55" s="138"/>
      <c r="EH55" s="138"/>
      <c r="EI55" s="138"/>
      <c r="EJ55" s="138"/>
      <c r="EK55" s="138"/>
      <c r="EL55" s="138"/>
      <c r="EM55" s="138"/>
      <c r="EN55" s="138"/>
      <c r="EO55" s="138"/>
      <c r="EP55" s="138"/>
      <c r="EQ55" s="138"/>
      <c r="ER55" s="138"/>
      <c r="ES55" s="138"/>
      <c r="ET55" s="138"/>
      <c r="EU55" s="138"/>
      <c r="EV55" s="138"/>
      <c r="EW55" s="138"/>
      <c r="EX55" s="138"/>
      <c r="EY55" s="138"/>
      <c r="EZ55" s="138"/>
      <c r="FA55" s="138"/>
      <c r="FB55" s="138"/>
      <c r="FC55" s="138"/>
      <c r="FD55" s="138"/>
      <c r="FE55" s="138"/>
      <c r="FF55" s="138"/>
      <c r="FG55" s="138"/>
      <c r="FH55" s="138"/>
      <c r="FI55" s="138"/>
      <c r="FJ55" s="138"/>
      <c r="FK55" s="138"/>
      <c r="FL55" s="138"/>
      <c r="FM55" s="138"/>
      <c r="FN55" s="138"/>
      <c r="FO55" s="138"/>
      <c r="FP55" s="138"/>
      <c r="FQ55" s="138"/>
      <c r="FR55" s="138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K55" s="138"/>
      <c r="GL55" s="138"/>
      <c r="GM55" s="138"/>
      <c r="GN55" s="138"/>
      <c r="GO55" s="138"/>
      <c r="GP55" s="138"/>
      <c r="GQ55" s="138"/>
      <c r="GR55" s="138"/>
      <c r="GS55" s="138"/>
      <c r="GT55" s="138"/>
      <c r="GU55" s="138"/>
      <c r="GV55" s="138"/>
      <c r="GW55" s="138"/>
      <c r="GX55" s="138"/>
      <c r="GY55" s="138"/>
      <c r="GZ55" s="138"/>
      <c r="HA55" s="138"/>
      <c r="HB55" s="138"/>
      <c r="HC55" s="138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IT55" s="138"/>
      <c r="IU55" s="138"/>
      <c r="IV55" s="138"/>
      <c r="IW55" s="138"/>
      <c r="IX55" s="138"/>
      <c r="IY55" s="138"/>
      <c r="IZ55" s="138"/>
      <c r="JA55" s="138"/>
      <c r="JB55" s="138"/>
      <c r="JC55" s="138"/>
      <c r="JD55" s="138"/>
      <c r="JE55" s="138"/>
      <c r="JF55" s="138"/>
      <c r="JG55" s="138"/>
      <c r="JH55" s="138"/>
      <c r="JI55" s="138"/>
      <c r="JJ55" s="138"/>
      <c r="JK55" s="138"/>
      <c r="JL55" s="138"/>
      <c r="JM55" s="138"/>
      <c r="JN55" s="138"/>
      <c r="JO55" s="138"/>
      <c r="JP55" s="138"/>
    </row>
    <row r="56" spans="1:276" s="4" customFormat="1">
      <c r="A56" s="966"/>
      <c r="B56" s="963"/>
      <c r="C56" s="964"/>
      <c r="D56" s="964"/>
      <c r="E56" s="881"/>
      <c r="F56" s="881"/>
      <c r="G56" s="881"/>
      <c r="H56" s="881"/>
      <c r="I56" s="965"/>
      <c r="J56" s="881"/>
      <c r="K56" s="881"/>
      <c r="L56" s="881"/>
      <c r="M56" s="958"/>
      <c r="N56" s="959"/>
      <c r="O56" s="959"/>
      <c r="P56" s="960"/>
      <c r="Q56" s="881"/>
      <c r="R56" s="176"/>
      <c r="S56" s="958"/>
      <c r="T56" s="959"/>
      <c r="U56" s="960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  <c r="AF56" s="176"/>
      <c r="AG56" s="176"/>
      <c r="AH56" s="176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  <c r="CK56" s="138"/>
      <c r="CL56" s="138"/>
      <c r="CM56" s="138"/>
      <c r="CN56" s="138"/>
      <c r="CO56" s="138"/>
      <c r="CP56" s="138"/>
      <c r="CQ56" s="138"/>
      <c r="CR56" s="138"/>
      <c r="CS56" s="138"/>
      <c r="CT56" s="138"/>
      <c r="CU56" s="138"/>
      <c r="CV56" s="138"/>
      <c r="CW56" s="138"/>
      <c r="CX56" s="138"/>
      <c r="CY56" s="138"/>
      <c r="CZ56" s="138"/>
      <c r="DA56" s="138"/>
      <c r="DB56" s="138"/>
      <c r="DC56" s="138"/>
      <c r="DD56" s="138"/>
      <c r="DE56" s="138"/>
      <c r="DF56" s="138"/>
      <c r="DG56" s="138"/>
      <c r="DH56" s="138"/>
      <c r="DI56" s="138"/>
      <c r="DJ56" s="138"/>
      <c r="DK56" s="138"/>
      <c r="DL56" s="138"/>
      <c r="DM56" s="138"/>
      <c r="DN56" s="138"/>
      <c r="DO56" s="138"/>
      <c r="DP56" s="138"/>
      <c r="DQ56" s="138"/>
      <c r="DR56" s="138"/>
      <c r="DS56" s="138"/>
      <c r="DT56" s="138"/>
      <c r="DU56" s="138"/>
      <c r="DV56" s="138"/>
      <c r="DW56" s="138"/>
      <c r="DX56" s="138"/>
      <c r="DY56" s="138"/>
      <c r="DZ56" s="138"/>
      <c r="EA56" s="138"/>
      <c r="EB56" s="138"/>
      <c r="EC56" s="138"/>
      <c r="ED56" s="138"/>
      <c r="EE56" s="126"/>
      <c r="EF56" s="138"/>
      <c r="EG56" s="138"/>
      <c r="EH56" s="138"/>
      <c r="EI56" s="138"/>
      <c r="EJ56" s="138"/>
      <c r="EK56" s="138"/>
      <c r="EL56" s="138"/>
      <c r="EM56" s="138"/>
      <c r="EN56" s="138"/>
      <c r="EO56" s="138"/>
      <c r="EP56" s="138"/>
      <c r="EQ56" s="138"/>
      <c r="ER56" s="138"/>
      <c r="ES56" s="138"/>
      <c r="ET56" s="138"/>
      <c r="EU56" s="138"/>
      <c r="EV56" s="138"/>
      <c r="EW56" s="138"/>
      <c r="EX56" s="138"/>
      <c r="EY56" s="138"/>
      <c r="EZ56" s="138"/>
      <c r="FA56" s="138"/>
      <c r="FB56" s="138"/>
      <c r="FC56" s="138"/>
      <c r="FD56" s="138"/>
      <c r="FE56" s="138"/>
      <c r="FF56" s="138"/>
      <c r="FG56" s="138"/>
      <c r="FH56" s="138"/>
      <c r="FI56" s="138"/>
      <c r="FJ56" s="138"/>
      <c r="FK56" s="138"/>
      <c r="FL56" s="138"/>
      <c r="FM56" s="138"/>
      <c r="FN56" s="138"/>
      <c r="FO56" s="138"/>
      <c r="FP56" s="138"/>
      <c r="FQ56" s="138"/>
      <c r="FR56" s="138"/>
      <c r="FS56" s="138"/>
      <c r="FT56" s="138"/>
      <c r="FU56" s="138"/>
      <c r="FV56" s="138"/>
      <c r="FW56" s="138"/>
      <c r="FX56" s="138"/>
      <c r="FY56" s="138"/>
      <c r="FZ56" s="138"/>
      <c r="GA56" s="138"/>
      <c r="GB56" s="138"/>
      <c r="GC56" s="138"/>
      <c r="GD56" s="138"/>
      <c r="GE56" s="138"/>
      <c r="GF56" s="138"/>
      <c r="GG56" s="138"/>
      <c r="GH56" s="138"/>
      <c r="GI56" s="138"/>
      <c r="GJ56" s="138"/>
      <c r="GK56" s="138"/>
      <c r="GL56" s="138"/>
      <c r="GM56" s="138"/>
      <c r="GN56" s="138"/>
      <c r="GO56" s="138"/>
      <c r="GP56" s="138"/>
      <c r="GQ56" s="138"/>
      <c r="GR56" s="138"/>
      <c r="GS56" s="138"/>
      <c r="GT56" s="138"/>
      <c r="GU56" s="138"/>
      <c r="GV56" s="138"/>
      <c r="GW56" s="138"/>
      <c r="GX56" s="138"/>
      <c r="GY56" s="138"/>
      <c r="GZ56" s="138"/>
      <c r="HA56" s="138"/>
      <c r="HB56" s="138"/>
      <c r="HC56" s="138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HT56" s="138"/>
      <c r="HU56" s="138"/>
      <c r="HV56" s="138"/>
      <c r="HW56" s="138"/>
      <c r="HX56" s="138"/>
      <c r="HY56" s="138"/>
      <c r="HZ56" s="138"/>
      <c r="IA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R56" s="138"/>
      <c r="IS56" s="138"/>
      <c r="IT56" s="138"/>
      <c r="IU56" s="138"/>
      <c r="IV56" s="138"/>
      <c r="IW56" s="138"/>
      <c r="IX56" s="138"/>
      <c r="IY56" s="138"/>
      <c r="IZ56" s="138"/>
      <c r="JA56" s="138"/>
      <c r="JB56" s="138"/>
      <c r="JC56" s="138"/>
      <c r="JD56" s="138"/>
      <c r="JE56" s="138"/>
      <c r="JF56" s="138"/>
      <c r="JG56" s="138"/>
      <c r="JH56" s="138"/>
      <c r="JI56" s="138"/>
      <c r="JJ56" s="138"/>
      <c r="JK56" s="138"/>
      <c r="JL56" s="138"/>
      <c r="JM56" s="138"/>
      <c r="JN56" s="138"/>
      <c r="JO56" s="138"/>
      <c r="JP56" s="138"/>
    </row>
    <row r="57" spans="1:276" s="4" customFormat="1">
      <c r="A57" s="966"/>
      <c r="B57" s="963"/>
      <c r="C57" s="964"/>
      <c r="D57" s="964"/>
      <c r="E57" s="881"/>
      <c r="F57" s="881"/>
      <c r="G57" s="881"/>
      <c r="H57" s="881"/>
      <c r="I57" s="965"/>
      <c r="J57" s="881"/>
      <c r="K57" s="881"/>
      <c r="L57" s="881"/>
      <c r="M57" s="958"/>
      <c r="N57" s="959"/>
      <c r="O57" s="959"/>
      <c r="P57" s="960"/>
      <c r="Q57" s="881"/>
      <c r="R57" s="176"/>
      <c r="S57" s="958"/>
      <c r="T57" s="959"/>
      <c r="U57" s="960"/>
      <c r="V57" s="176"/>
      <c r="W57" s="176"/>
      <c r="X57" s="176"/>
      <c r="Y57" s="176"/>
      <c r="Z57" s="176"/>
      <c r="AA57" s="176"/>
      <c r="AB57" s="176"/>
      <c r="AC57" s="176"/>
      <c r="AD57" s="176"/>
      <c r="AE57" s="176"/>
      <c r="AF57" s="176"/>
      <c r="AG57" s="176"/>
      <c r="AH57" s="176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  <c r="BJ57" s="138"/>
      <c r="BK57" s="138"/>
      <c r="BL57" s="138"/>
      <c r="BM57" s="138"/>
      <c r="BN57" s="138"/>
      <c r="BO57" s="138"/>
      <c r="BP57" s="138"/>
      <c r="BQ57" s="138"/>
      <c r="BR57" s="138"/>
      <c r="BS57" s="138"/>
      <c r="BT57" s="138"/>
      <c r="BU57" s="138"/>
      <c r="BV57" s="138"/>
      <c r="BW57" s="138"/>
      <c r="BX57" s="138"/>
      <c r="BY57" s="138"/>
      <c r="BZ57" s="138"/>
      <c r="CA57" s="138"/>
      <c r="CB57" s="138"/>
      <c r="CC57" s="138"/>
      <c r="CD57" s="138"/>
      <c r="CE57" s="138"/>
      <c r="CF57" s="138"/>
      <c r="CG57" s="138"/>
      <c r="CH57" s="138"/>
      <c r="CI57" s="138"/>
      <c r="CJ57" s="138"/>
      <c r="CK57" s="138"/>
      <c r="CL57" s="138"/>
      <c r="CM57" s="138"/>
      <c r="CN57" s="138"/>
      <c r="CO57" s="138"/>
      <c r="CP57" s="138"/>
      <c r="CQ57" s="138"/>
      <c r="CR57" s="138"/>
      <c r="CS57" s="138"/>
      <c r="CT57" s="138"/>
      <c r="CU57" s="138"/>
      <c r="CV57" s="138"/>
      <c r="CW57" s="138"/>
      <c r="CX57" s="138"/>
      <c r="CY57" s="138"/>
      <c r="CZ57" s="138"/>
      <c r="DA57" s="138"/>
      <c r="DB57" s="138"/>
      <c r="DC57" s="138"/>
      <c r="DD57" s="138"/>
      <c r="DE57" s="138"/>
      <c r="DF57" s="138"/>
      <c r="DG57" s="138"/>
      <c r="DH57" s="138"/>
      <c r="DI57" s="138"/>
      <c r="DJ57" s="138"/>
      <c r="DK57" s="138"/>
      <c r="DL57" s="138"/>
      <c r="DM57" s="138"/>
      <c r="DN57" s="138"/>
      <c r="DO57" s="138"/>
      <c r="DP57" s="138"/>
      <c r="DQ57" s="138"/>
      <c r="DR57" s="138"/>
      <c r="DS57" s="138"/>
      <c r="DT57" s="138"/>
      <c r="DU57" s="138"/>
      <c r="DV57" s="138"/>
      <c r="DW57" s="138"/>
      <c r="DX57" s="138"/>
      <c r="DY57" s="138"/>
      <c r="DZ57" s="138"/>
      <c r="EA57" s="138"/>
      <c r="EB57" s="138"/>
      <c r="EC57" s="138"/>
      <c r="ED57" s="138"/>
      <c r="EE57" s="126"/>
      <c r="EF57" s="138"/>
      <c r="EG57" s="138"/>
      <c r="EH57" s="138"/>
      <c r="EI57" s="138"/>
      <c r="EJ57" s="138"/>
      <c r="EK57" s="138"/>
      <c r="EL57" s="138"/>
      <c r="EM57" s="138"/>
      <c r="EN57" s="138"/>
      <c r="EO57" s="138"/>
      <c r="EP57" s="138"/>
      <c r="EQ57" s="138"/>
      <c r="ER57" s="138"/>
      <c r="ES57" s="138"/>
      <c r="ET57" s="138"/>
      <c r="EU57" s="138"/>
      <c r="EV57" s="138"/>
      <c r="EW57" s="138"/>
      <c r="EX57" s="138"/>
      <c r="EY57" s="138"/>
      <c r="EZ57" s="138"/>
      <c r="FA57" s="138"/>
      <c r="FB57" s="138"/>
      <c r="FC57" s="138"/>
      <c r="FD57" s="138"/>
      <c r="FE57" s="138"/>
      <c r="FF57" s="138"/>
      <c r="FG57" s="138"/>
      <c r="FH57" s="138"/>
      <c r="FI57" s="138"/>
      <c r="FJ57" s="138"/>
      <c r="FK57" s="138"/>
      <c r="FL57" s="138"/>
      <c r="FM57" s="138"/>
      <c r="FN57" s="138"/>
      <c r="FO57" s="138"/>
      <c r="FP57" s="138"/>
      <c r="FQ57" s="138"/>
      <c r="FR57" s="138"/>
      <c r="FS57" s="138"/>
      <c r="FT57" s="138"/>
      <c r="FU57" s="138"/>
      <c r="FV57" s="138"/>
      <c r="FW57" s="138"/>
      <c r="FX57" s="138"/>
      <c r="FY57" s="138"/>
      <c r="FZ57" s="138"/>
      <c r="GA57" s="138"/>
      <c r="GB57" s="138"/>
      <c r="GC57" s="138"/>
      <c r="GD57" s="138"/>
      <c r="GE57" s="138"/>
      <c r="GF57" s="138"/>
      <c r="GG57" s="138"/>
      <c r="GH57" s="138"/>
      <c r="GI57" s="138"/>
      <c r="GJ57" s="138"/>
      <c r="GK57" s="138"/>
      <c r="GL57" s="138"/>
      <c r="GM57" s="138"/>
      <c r="GN57" s="138"/>
      <c r="GO57" s="138"/>
      <c r="GP57" s="138"/>
      <c r="GQ57" s="138"/>
      <c r="GR57" s="138"/>
      <c r="GS57" s="138"/>
      <c r="GT57" s="138"/>
      <c r="GU57" s="138"/>
      <c r="GV57" s="138"/>
      <c r="GW57" s="138"/>
      <c r="GX57" s="138"/>
      <c r="GY57" s="138"/>
      <c r="GZ57" s="138"/>
      <c r="HA57" s="138"/>
      <c r="HB57" s="138"/>
      <c r="HC57" s="138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HT57" s="138"/>
      <c r="HU57" s="138"/>
      <c r="HV57" s="138"/>
      <c r="HW57" s="138"/>
      <c r="HX57" s="138"/>
      <c r="HY57" s="138"/>
      <c r="HZ57" s="138"/>
      <c r="IA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R57" s="138"/>
      <c r="IS57" s="138"/>
      <c r="IT57" s="138"/>
      <c r="IU57" s="138"/>
      <c r="IV57" s="138"/>
      <c r="IW57" s="138"/>
      <c r="IX57" s="138"/>
      <c r="IY57" s="138"/>
      <c r="IZ57" s="138"/>
      <c r="JA57" s="138"/>
      <c r="JB57" s="138"/>
      <c r="JC57" s="138"/>
      <c r="JD57" s="138"/>
      <c r="JE57" s="138"/>
      <c r="JF57" s="138"/>
      <c r="JG57" s="138"/>
      <c r="JH57" s="138"/>
      <c r="JI57" s="138"/>
      <c r="JJ57" s="138"/>
      <c r="JK57" s="138"/>
      <c r="JL57" s="138"/>
      <c r="JM57" s="138"/>
      <c r="JN57" s="138"/>
      <c r="JO57" s="138"/>
      <c r="JP57" s="138"/>
    </row>
    <row r="58" spans="1:276" s="4" customFormat="1">
      <c r="A58" s="966"/>
      <c r="B58" s="963"/>
      <c r="C58" s="964"/>
      <c r="D58" s="964"/>
      <c r="E58" s="881"/>
      <c r="F58" s="881"/>
      <c r="G58" s="881"/>
      <c r="H58" s="881"/>
      <c r="I58" s="965"/>
      <c r="J58" s="881"/>
      <c r="K58" s="881"/>
      <c r="L58" s="881"/>
      <c r="M58" s="958"/>
      <c r="N58" s="959"/>
      <c r="O58" s="959"/>
      <c r="P58" s="960"/>
      <c r="Q58" s="881"/>
      <c r="R58" s="176"/>
      <c r="S58" s="958"/>
      <c r="T58" s="959"/>
      <c r="U58" s="960"/>
      <c r="V58" s="176"/>
      <c r="W58" s="176"/>
      <c r="X58" s="176"/>
      <c r="Y58" s="176"/>
      <c r="Z58" s="176"/>
      <c r="AA58" s="176"/>
      <c r="AB58" s="176"/>
      <c r="AC58" s="176"/>
      <c r="AD58" s="176"/>
      <c r="AE58" s="176"/>
      <c r="AF58" s="176"/>
      <c r="AG58" s="176"/>
      <c r="AH58" s="176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  <c r="BJ58" s="138"/>
      <c r="BK58" s="138"/>
      <c r="BL58" s="138"/>
      <c r="BM58" s="138"/>
      <c r="BN58" s="138"/>
      <c r="BO58" s="138"/>
      <c r="BP58" s="138"/>
      <c r="BQ58" s="138"/>
      <c r="BR58" s="138"/>
      <c r="BS58" s="138"/>
      <c r="BT58" s="138"/>
      <c r="BU58" s="138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  <c r="CK58" s="138"/>
      <c r="CL58" s="138"/>
      <c r="CM58" s="138"/>
      <c r="CN58" s="138"/>
      <c r="CO58" s="138"/>
      <c r="CP58" s="138"/>
      <c r="CQ58" s="138"/>
      <c r="CR58" s="138"/>
      <c r="CS58" s="138"/>
      <c r="CT58" s="138"/>
      <c r="CU58" s="138"/>
      <c r="CV58" s="138"/>
      <c r="CW58" s="138"/>
      <c r="CX58" s="138"/>
      <c r="CY58" s="138"/>
      <c r="CZ58" s="138"/>
      <c r="DA58" s="138"/>
      <c r="DB58" s="138"/>
      <c r="DC58" s="138"/>
      <c r="DD58" s="138"/>
      <c r="DE58" s="138"/>
      <c r="DF58" s="138"/>
      <c r="DG58" s="138"/>
      <c r="DH58" s="138"/>
      <c r="DI58" s="138"/>
      <c r="DJ58" s="138"/>
      <c r="DK58" s="138"/>
      <c r="DL58" s="138"/>
      <c r="DM58" s="138"/>
      <c r="DN58" s="138"/>
      <c r="DO58" s="138"/>
      <c r="DP58" s="138"/>
      <c r="DQ58" s="138"/>
      <c r="DR58" s="138"/>
      <c r="DS58" s="138"/>
      <c r="DT58" s="138"/>
      <c r="DU58" s="138"/>
      <c r="DV58" s="138"/>
      <c r="DW58" s="138"/>
      <c r="DX58" s="138"/>
      <c r="DY58" s="138"/>
      <c r="DZ58" s="138"/>
      <c r="EA58" s="138"/>
      <c r="EB58" s="138"/>
      <c r="EC58" s="138"/>
      <c r="ED58" s="138"/>
      <c r="EE58" s="126"/>
      <c r="EF58" s="138"/>
      <c r="EG58" s="138"/>
      <c r="EH58" s="138"/>
      <c r="EI58" s="138"/>
      <c r="EJ58" s="138"/>
      <c r="EK58" s="138"/>
      <c r="EL58" s="138"/>
      <c r="EM58" s="138"/>
      <c r="EN58" s="138"/>
      <c r="EO58" s="138"/>
      <c r="EP58" s="138"/>
      <c r="EQ58" s="138"/>
      <c r="ER58" s="138"/>
      <c r="ES58" s="138"/>
      <c r="ET58" s="138"/>
      <c r="EU58" s="138"/>
      <c r="EV58" s="138"/>
      <c r="EW58" s="138"/>
      <c r="EX58" s="138"/>
      <c r="EY58" s="138"/>
      <c r="EZ58" s="138"/>
      <c r="FA58" s="138"/>
      <c r="FB58" s="138"/>
      <c r="FC58" s="138"/>
      <c r="FD58" s="138"/>
      <c r="FE58" s="138"/>
      <c r="FF58" s="138"/>
      <c r="FG58" s="138"/>
      <c r="FH58" s="138"/>
      <c r="FI58" s="138"/>
      <c r="FJ58" s="138"/>
      <c r="FK58" s="138"/>
      <c r="FL58" s="138"/>
      <c r="FM58" s="138"/>
      <c r="FN58" s="138"/>
      <c r="FO58" s="138"/>
      <c r="FP58" s="138"/>
      <c r="FQ58" s="138"/>
      <c r="FR58" s="138"/>
      <c r="FS58" s="138"/>
      <c r="FT58" s="138"/>
      <c r="FU58" s="138"/>
      <c r="FV58" s="138"/>
      <c r="FW58" s="138"/>
      <c r="FX58" s="138"/>
      <c r="FY58" s="138"/>
      <c r="FZ58" s="138"/>
      <c r="GA58" s="138"/>
      <c r="GB58" s="138"/>
      <c r="GC58" s="138"/>
      <c r="GD58" s="138"/>
      <c r="GE58" s="138"/>
      <c r="GF58" s="138"/>
      <c r="GG58" s="138"/>
      <c r="GH58" s="138"/>
      <c r="GI58" s="138"/>
      <c r="GJ58" s="138"/>
      <c r="GK58" s="138"/>
      <c r="GL58" s="138"/>
      <c r="GM58" s="138"/>
      <c r="GN58" s="138"/>
      <c r="GO58" s="138"/>
      <c r="GP58" s="138"/>
      <c r="GQ58" s="138"/>
      <c r="GR58" s="138"/>
      <c r="GS58" s="138"/>
      <c r="GT58" s="138"/>
      <c r="GU58" s="138"/>
      <c r="GV58" s="138"/>
      <c r="GW58" s="138"/>
      <c r="GX58" s="138"/>
      <c r="GY58" s="138"/>
      <c r="GZ58" s="138"/>
      <c r="HA58" s="138"/>
      <c r="HB58" s="138"/>
      <c r="HC58" s="138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HT58" s="138"/>
      <c r="HU58" s="138"/>
      <c r="HV58" s="138"/>
      <c r="HW58" s="138"/>
      <c r="HX58" s="138"/>
      <c r="HY58" s="138"/>
      <c r="HZ58" s="138"/>
      <c r="IA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R58" s="138"/>
      <c r="IS58" s="138"/>
      <c r="IT58" s="138"/>
      <c r="IU58" s="138"/>
      <c r="IV58" s="138"/>
      <c r="IW58" s="138"/>
      <c r="IX58" s="138"/>
      <c r="IY58" s="138"/>
      <c r="IZ58" s="138"/>
      <c r="JA58" s="138"/>
      <c r="JB58" s="138"/>
      <c r="JC58" s="138"/>
      <c r="JD58" s="138"/>
      <c r="JE58" s="138"/>
      <c r="JF58" s="138"/>
      <c r="JG58" s="138"/>
      <c r="JH58" s="138"/>
      <c r="JI58" s="138"/>
      <c r="JJ58" s="138"/>
      <c r="JK58" s="138"/>
      <c r="JL58" s="138"/>
      <c r="JM58" s="138"/>
      <c r="JN58" s="138"/>
      <c r="JO58" s="138"/>
      <c r="JP58" s="138"/>
    </row>
    <row r="59" spans="1:276" s="4" customFormat="1">
      <c r="A59" s="966"/>
      <c r="B59" s="963"/>
      <c r="C59" s="964"/>
      <c r="D59" s="964"/>
      <c r="E59" s="881"/>
      <c r="F59" s="881"/>
      <c r="G59" s="881"/>
      <c r="H59" s="881"/>
      <c r="I59" s="965"/>
      <c r="J59" s="881"/>
      <c r="K59" s="881"/>
      <c r="L59" s="881"/>
      <c r="M59" s="958"/>
      <c r="N59" s="959"/>
      <c r="O59" s="959"/>
      <c r="P59" s="960"/>
      <c r="Q59" s="881"/>
      <c r="R59" s="176"/>
      <c r="S59" s="958"/>
      <c r="T59" s="959"/>
      <c r="U59" s="960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  <c r="AF59" s="176"/>
      <c r="AG59" s="176"/>
      <c r="AH59" s="176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8"/>
      <c r="BH59" s="138"/>
      <c r="BI59" s="138"/>
      <c r="BJ59" s="138"/>
      <c r="BK59" s="138"/>
      <c r="BL59" s="138"/>
      <c r="BM59" s="138"/>
      <c r="BN59" s="138"/>
      <c r="BO59" s="138"/>
      <c r="BP59" s="138"/>
      <c r="BQ59" s="138"/>
      <c r="BR59" s="138"/>
      <c r="BS59" s="138"/>
      <c r="BT59" s="138"/>
      <c r="BU59" s="138"/>
      <c r="BV59" s="138"/>
      <c r="BW59" s="138"/>
      <c r="BX59" s="138"/>
      <c r="BY59" s="138"/>
      <c r="BZ59" s="138"/>
      <c r="CA59" s="138"/>
      <c r="CB59" s="138"/>
      <c r="CC59" s="138"/>
      <c r="CD59" s="138"/>
      <c r="CE59" s="138"/>
      <c r="CF59" s="138"/>
      <c r="CG59" s="138"/>
      <c r="CH59" s="138"/>
      <c r="CI59" s="138"/>
      <c r="CJ59" s="138"/>
      <c r="CK59" s="138"/>
      <c r="CL59" s="138"/>
      <c r="CM59" s="138"/>
      <c r="CN59" s="138"/>
      <c r="CO59" s="138"/>
      <c r="CP59" s="138"/>
      <c r="CQ59" s="138"/>
      <c r="CR59" s="138"/>
      <c r="CS59" s="138"/>
      <c r="CT59" s="138"/>
      <c r="CU59" s="138"/>
      <c r="CV59" s="138"/>
      <c r="CW59" s="138"/>
      <c r="CX59" s="138"/>
      <c r="CY59" s="138"/>
      <c r="CZ59" s="138"/>
      <c r="DA59" s="138"/>
      <c r="DB59" s="138"/>
      <c r="DC59" s="138"/>
      <c r="DD59" s="138"/>
      <c r="DE59" s="138"/>
      <c r="DF59" s="138"/>
      <c r="DG59" s="138"/>
      <c r="DH59" s="138"/>
      <c r="DI59" s="138"/>
      <c r="DJ59" s="138"/>
      <c r="DK59" s="138"/>
      <c r="DL59" s="138"/>
      <c r="DM59" s="138"/>
      <c r="DN59" s="138"/>
      <c r="DO59" s="138"/>
      <c r="DP59" s="138"/>
      <c r="DQ59" s="138"/>
      <c r="DR59" s="138"/>
      <c r="DS59" s="138"/>
      <c r="DT59" s="138"/>
      <c r="DU59" s="138"/>
      <c r="DV59" s="138"/>
      <c r="DW59" s="138"/>
      <c r="DX59" s="138"/>
      <c r="DY59" s="138"/>
      <c r="DZ59" s="138"/>
      <c r="EA59" s="138"/>
      <c r="EB59" s="138"/>
      <c r="EC59" s="138"/>
      <c r="ED59" s="138"/>
      <c r="EE59" s="126"/>
      <c r="EF59" s="138"/>
      <c r="EG59" s="138"/>
      <c r="EH59" s="138"/>
      <c r="EI59" s="138"/>
      <c r="EJ59" s="138"/>
      <c r="EK59" s="138"/>
      <c r="EL59" s="138"/>
      <c r="EM59" s="138"/>
      <c r="EN59" s="138"/>
      <c r="EO59" s="138"/>
      <c r="EP59" s="138"/>
      <c r="EQ59" s="138"/>
      <c r="ER59" s="138"/>
      <c r="ES59" s="138"/>
      <c r="ET59" s="138"/>
      <c r="EU59" s="138"/>
      <c r="EV59" s="138"/>
      <c r="EW59" s="138"/>
      <c r="EX59" s="138"/>
      <c r="EY59" s="138"/>
      <c r="EZ59" s="138"/>
      <c r="FA59" s="138"/>
      <c r="FB59" s="138"/>
      <c r="FC59" s="138"/>
      <c r="FD59" s="138"/>
      <c r="FE59" s="138"/>
      <c r="FF59" s="138"/>
      <c r="FG59" s="138"/>
      <c r="FH59" s="138"/>
      <c r="FI59" s="138"/>
      <c r="FJ59" s="138"/>
      <c r="FK59" s="138"/>
      <c r="FL59" s="138"/>
      <c r="FM59" s="138"/>
      <c r="FN59" s="138"/>
      <c r="FO59" s="138"/>
      <c r="FP59" s="138"/>
      <c r="FQ59" s="138"/>
      <c r="FR59" s="138"/>
      <c r="FS59" s="138"/>
      <c r="FT59" s="138"/>
      <c r="FU59" s="138"/>
      <c r="FV59" s="138"/>
      <c r="FW59" s="138"/>
      <c r="FX59" s="138"/>
      <c r="FY59" s="138"/>
      <c r="FZ59" s="138"/>
      <c r="GA59" s="138"/>
      <c r="GB59" s="138"/>
      <c r="GC59" s="138"/>
      <c r="GD59" s="138"/>
      <c r="GE59" s="138"/>
      <c r="GF59" s="138"/>
      <c r="GG59" s="138"/>
      <c r="GH59" s="138"/>
      <c r="GI59" s="138"/>
      <c r="GJ59" s="138"/>
      <c r="GK59" s="138"/>
      <c r="GL59" s="138"/>
      <c r="GM59" s="138"/>
      <c r="GN59" s="138"/>
      <c r="GO59" s="138"/>
      <c r="GP59" s="138"/>
      <c r="GQ59" s="138"/>
      <c r="GR59" s="138"/>
      <c r="GS59" s="138"/>
      <c r="GT59" s="138"/>
      <c r="GU59" s="138"/>
      <c r="GV59" s="138"/>
      <c r="GW59" s="138"/>
      <c r="GX59" s="138"/>
      <c r="GY59" s="138"/>
      <c r="GZ59" s="138"/>
      <c r="HA59" s="138"/>
      <c r="HB59" s="138"/>
      <c r="HC59" s="138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HT59" s="138"/>
      <c r="HU59" s="138"/>
      <c r="HV59" s="138"/>
      <c r="HW59" s="138"/>
      <c r="HX59" s="138"/>
      <c r="HY59" s="138"/>
      <c r="HZ59" s="138"/>
      <c r="IA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R59" s="138"/>
      <c r="IS59" s="138"/>
      <c r="IT59" s="138"/>
      <c r="IU59" s="138"/>
      <c r="IV59" s="138"/>
      <c r="IW59" s="138"/>
      <c r="IX59" s="138"/>
      <c r="IY59" s="138"/>
      <c r="IZ59" s="138"/>
      <c r="JA59" s="138"/>
      <c r="JB59" s="138"/>
      <c r="JC59" s="138"/>
      <c r="JD59" s="138"/>
      <c r="JE59" s="138"/>
      <c r="JF59" s="138"/>
      <c r="JG59" s="138"/>
      <c r="JH59" s="138"/>
      <c r="JI59" s="138"/>
      <c r="JJ59" s="138"/>
      <c r="JK59" s="138"/>
      <c r="JL59" s="138"/>
      <c r="JM59" s="138"/>
      <c r="JN59" s="138"/>
      <c r="JO59" s="138"/>
      <c r="JP59" s="138"/>
    </row>
    <row r="60" spans="1:276" s="4" customFormat="1">
      <c r="A60" s="966"/>
      <c r="B60" s="963"/>
      <c r="C60" s="964"/>
      <c r="D60" s="964"/>
      <c r="E60" s="881"/>
      <c r="F60" s="881"/>
      <c r="G60" s="881"/>
      <c r="H60" s="881"/>
      <c r="I60" s="965"/>
      <c r="J60" s="881"/>
      <c r="K60" s="881"/>
      <c r="L60" s="881"/>
      <c r="M60" s="958"/>
      <c r="N60" s="959"/>
      <c r="O60" s="959"/>
      <c r="P60" s="960"/>
      <c r="Q60" s="881"/>
      <c r="R60" s="176"/>
      <c r="S60" s="958"/>
      <c r="T60" s="959"/>
      <c r="U60" s="960"/>
      <c r="V60" s="176"/>
      <c r="W60" s="176"/>
      <c r="X60" s="176"/>
      <c r="Y60" s="176"/>
      <c r="Z60" s="176"/>
      <c r="AA60" s="176"/>
      <c r="AB60" s="176"/>
      <c r="AC60" s="176"/>
      <c r="AD60" s="176"/>
      <c r="AE60" s="176"/>
      <c r="AF60" s="176"/>
      <c r="AG60" s="176"/>
      <c r="AH60" s="176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8"/>
      <c r="BH60" s="138"/>
      <c r="BI60" s="138"/>
      <c r="BJ60" s="138"/>
      <c r="BK60" s="138"/>
      <c r="BL60" s="138"/>
      <c r="BM60" s="138"/>
      <c r="BN60" s="138"/>
      <c r="BO60" s="138"/>
      <c r="BP60" s="138"/>
      <c r="BQ60" s="138"/>
      <c r="BR60" s="138"/>
      <c r="BS60" s="138"/>
      <c r="BT60" s="138"/>
      <c r="BU60" s="138"/>
      <c r="BV60" s="138"/>
      <c r="BW60" s="138"/>
      <c r="BX60" s="138"/>
      <c r="BY60" s="138"/>
      <c r="BZ60" s="138"/>
      <c r="CA60" s="138"/>
      <c r="CB60" s="138"/>
      <c r="CC60" s="138"/>
      <c r="CD60" s="138"/>
      <c r="CE60" s="138"/>
      <c r="CF60" s="138"/>
      <c r="CG60" s="138"/>
      <c r="CH60" s="138"/>
      <c r="CI60" s="138"/>
      <c r="CJ60" s="138"/>
      <c r="CK60" s="138"/>
      <c r="CL60" s="138"/>
      <c r="CM60" s="138"/>
      <c r="CN60" s="138"/>
      <c r="CO60" s="138"/>
      <c r="CP60" s="138"/>
      <c r="CQ60" s="138"/>
      <c r="CR60" s="138"/>
      <c r="CS60" s="138"/>
      <c r="CT60" s="138"/>
      <c r="CU60" s="138"/>
      <c r="CV60" s="138"/>
      <c r="CW60" s="138"/>
      <c r="CX60" s="138"/>
      <c r="CY60" s="138"/>
      <c r="CZ60" s="138"/>
      <c r="DA60" s="138"/>
      <c r="DB60" s="138"/>
      <c r="DC60" s="138"/>
      <c r="DD60" s="138"/>
      <c r="DE60" s="138"/>
      <c r="DF60" s="138"/>
      <c r="DG60" s="138"/>
      <c r="DH60" s="138"/>
      <c r="DI60" s="138"/>
      <c r="DJ60" s="138"/>
      <c r="DK60" s="138"/>
      <c r="DL60" s="138"/>
      <c r="DM60" s="138"/>
      <c r="DN60" s="138"/>
      <c r="DO60" s="138"/>
      <c r="DP60" s="138"/>
      <c r="DQ60" s="138"/>
      <c r="DR60" s="138"/>
      <c r="DS60" s="138"/>
      <c r="DT60" s="138"/>
      <c r="DU60" s="138"/>
      <c r="DV60" s="138"/>
      <c r="DW60" s="138"/>
      <c r="DX60" s="138"/>
      <c r="DY60" s="138"/>
      <c r="DZ60" s="138"/>
      <c r="EA60" s="138"/>
      <c r="EB60" s="138"/>
      <c r="EC60" s="138"/>
      <c r="ED60" s="138"/>
      <c r="EE60" s="126"/>
      <c r="EF60" s="138"/>
      <c r="EG60" s="138"/>
      <c r="EH60" s="138"/>
      <c r="EI60" s="138"/>
      <c r="EJ60" s="138"/>
      <c r="EK60" s="138"/>
      <c r="EL60" s="138"/>
      <c r="EM60" s="138"/>
      <c r="EN60" s="138"/>
      <c r="EO60" s="138"/>
      <c r="EP60" s="138"/>
      <c r="EQ60" s="138"/>
      <c r="ER60" s="138"/>
      <c r="ES60" s="138"/>
      <c r="ET60" s="138"/>
      <c r="EU60" s="138"/>
      <c r="EV60" s="138"/>
      <c r="EW60" s="138"/>
      <c r="EX60" s="138"/>
      <c r="EY60" s="138"/>
      <c r="EZ60" s="138"/>
      <c r="FA60" s="138"/>
      <c r="FB60" s="138"/>
      <c r="FC60" s="138"/>
      <c r="FD60" s="138"/>
      <c r="FE60" s="138"/>
      <c r="FF60" s="138"/>
      <c r="FG60" s="138"/>
      <c r="FH60" s="138"/>
      <c r="FI60" s="138"/>
      <c r="FJ60" s="138"/>
      <c r="FK60" s="138"/>
      <c r="FL60" s="138"/>
      <c r="FM60" s="138"/>
      <c r="FN60" s="138"/>
      <c r="FO60" s="138"/>
      <c r="FP60" s="138"/>
      <c r="FQ60" s="138"/>
      <c r="FR60" s="138"/>
      <c r="FS60" s="138"/>
      <c r="FT60" s="138"/>
      <c r="FU60" s="138"/>
      <c r="FV60" s="138"/>
      <c r="FW60" s="138"/>
      <c r="FX60" s="138"/>
      <c r="FY60" s="138"/>
      <c r="FZ60" s="138"/>
      <c r="GA60" s="138"/>
      <c r="GB60" s="138"/>
      <c r="GC60" s="138"/>
      <c r="GD60" s="138"/>
      <c r="GE60" s="138"/>
      <c r="GF60" s="138"/>
      <c r="GG60" s="138"/>
      <c r="GH60" s="138"/>
      <c r="GI60" s="138"/>
      <c r="GJ60" s="138"/>
      <c r="GK60" s="138"/>
      <c r="GL60" s="138"/>
      <c r="GM60" s="138"/>
      <c r="GN60" s="138"/>
      <c r="GO60" s="138"/>
      <c r="GP60" s="138"/>
      <c r="GQ60" s="138"/>
      <c r="GR60" s="138"/>
      <c r="GS60" s="138"/>
      <c r="GT60" s="138"/>
      <c r="GU60" s="138"/>
      <c r="GV60" s="138"/>
      <c r="GW60" s="138"/>
      <c r="GX60" s="138"/>
      <c r="GY60" s="138"/>
      <c r="GZ60" s="138"/>
      <c r="HA60" s="138"/>
      <c r="HB60" s="138"/>
      <c r="HC60" s="138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HT60" s="138"/>
      <c r="HU60" s="138"/>
      <c r="HV60" s="138"/>
      <c r="HW60" s="138"/>
      <c r="HX60" s="138"/>
      <c r="HY60" s="138"/>
      <c r="HZ60" s="138"/>
      <c r="IA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R60" s="138"/>
      <c r="IS60" s="138"/>
      <c r="IT60" s="138"/>
      <c r="IU60" s="138"/>
      <c r="IV60" s="138"/>
      <c r="IW60" s="138"/>
      <c r="IX60" s="138"/>
      <c r="IY60" s="138"/>
      <c r="IZ60" s="138"/>
      <c r="JA60" s="138"/>
      <c r="JB60" s="138"/>
      <c r="JC60" s="138"/>
      <c r="JD60" s="138"/>
      <c r="JE60" s="138"/>
      <c r="JF60" s="138"/>
      <c r="JG60" s="138"/>
      <c r="JH60" s="138"/>
      <c r="JI60" s="138"/>
      <c r="JJ60" s="138"/>
      <c r="JK60" s="138"/>
      <c r="JL60" s="138"/>
      <c r="JM60" s="138"/>
      <c r="JN60" s="138"/>
      <c r="JO60" s="138"/>
      <c r="JP60" s="138"/>
    </row>
    <row r="61" spans="1:276" s="4" customFormat="1">
      <c r="A61" s="966"/>
      <c r="B61" s="963"/>
      <c r="C61" s="964"/>
      <c r="D61" s="964"/>
      <c r="E61" s="881"/>
      <c r="F61" s="881"/>
      <c r="G61" s="881"/>
      <c r="H61" s="881"/>
      <c r="I61" s="965"/>
      <c r="J61" s="881"/>
      <c r="K61" s="881"/>
      <c r="L61" s="881"/>
      <c r="M61" s="958"/>
      <c r="N61" s="959"/>
      <c r="O61" s="959"/>
      <c r="P61" s="960"/>
      <c r="Q61" s="881"/>
      <c r="R61" s="176"/>
      <c r="S61" s="958"/>
      <c r="T61" s="959"/>
      <c r="U61" s="960"/>
      <c r="V61" s="176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  <c r="AG61" s="176"/>
      <c r="AH61" s="176"/>
      <c r="AI61" s="138"/>
      <c r="AJ61" s="138"/>
      <c r="AK61" s="138"/>
      <c r="AL61" s="138"/>
      <c r="AM61" s="138"/>
      <c r="AN61" s="138"/>
      <c r="AO61" s="138"/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  <c r="BE61" s="138"/>
      <c r="BF61" s="138"/>
      <c r="BG61" s="138"/>
      <c r="BH61" s="138"/>
      <c r="BI61" s="138"/>
      <c r="BJ61" s="138"/>
      <c r="BK61" s="138"/>
      <c r="BL61" s="138"/>
      <c r="BM61" s="138"/>
      <c r="BN61" s="138"/>
      <c r="BO61" s="138"/>
      <c r="BP61" s="138"/>
      <c r="BQ61" s="138"/>
      <c r="BR61" s="138"/>
      <c r="BS61" s="138"/>
      <c r="BT61" s="138"/>
      <c r="BU61" s="138"/>
      <c r="BV61" s="138"/>
      <c r="BW61" s="138"/>
      <c r="BX61" s="138"/>
      <c r="BY61" s="138"/>
      <c r="BZ61" s="138"/>
      <c r="CA61" s="138"/>
      <c r="CB61" s="138"/>
      <c r="CC61" s="138"/>
      <c r="CD61" s="138"/>
      <c r="CE61" s="138"/>
      <c r="CF61" s="138"/>
      <c r="CG61" s="138"/>
      <c r="CH61" s="138"/>
      <c r="CI61" s="138"/>
      <c r="CJ61" s="138"/>
      <c r="CK61" s="138"/>
      <c r="CL61" s="138"/>
      <c r="CM61" s="138"/>
      <c r="CN61" s="138"/>
      <c r="CO61" s="138"/>
      <c r="CP61" s="138"/>
      <c r="CQ61" s="138"/>
      <c r="CR61" s="138"/>
      <c r="CS61" s="138"/>
      <c r="CT61" s="138"/>
      <c r="CU61" s="138"/>
      <c r="CV61" s="138"/>
      <c r="CW61" s="138"/>
      <c r="CX61" s="138"/>
      <c r="CY61" s="138"/>
      <c r="CZ61" s="138"/>
      <c r="DA61" s="138"/>
      <c r="DB61" s="138"/>
      <c r="DC61" s="138"/>
      <c r="DD61" s="138"/>
      <c r="DE61" s="138"/>
      <c r="DF61" s="138"/>
      <c r="DG61" s="138"/>
      <c r="DH61" s="138"/>
      <c r="DI61" s="138"/>
      <c r="DJ61" s="138"/>
      <c r="DK61" s="138"/>
      <c r="DL61" s="138"/>
      <c r="DM61" s="138"/>
      <c r="DN61" s="138"/>
      <c r="DO61" s="138"/>
      <c r="DP61" s="138"/>
      <c r="DQ61" s="138"/>
      <c r="DR61" s="138"/>
      <c r="DS61" s="138"/>
      <c r="DT61" s="138"/>
      <c r="DU61" s="138"/>
      <c r="DV61" s="138"/>
      <c r="DW61" s="138"/>
      <c r="DX61" s="138"/>
      <c r="DY61" s="138"/>
      <c r="DZ61" s="138"/>
      <c r="EA61" s="138"/>
      <c r="EB61" s="138"/>
      <c r="EC61" s="138"/>
      <c r="ED61" s="138"/>
      <c r="EE61" s="126"/>
      <c r="EF61" s="138"/>
      <c r="EG61" s="138"/>
      <c r="EH61" s="138"/>
      <c r="EI61" s="138"/>
      <c r="EJ61" s="138"/>
      <c r="EK61" s="138"/>
      <c r="EL61" s="138"/>
      <c r="EM61" s="138"/>
      <c r="EN61" s="138"/>
      <c r="EO61" s="138"/>
      <c r="EP61" s="138"/>
      <c r="EQ61" s="138"/>
      <c r="ER61" s="138"/>
      <c r="ES61" s="138"/>
      <c r="ET61" s="138"/>
      <c r="EU61" s="138"/>
      <c r="EV61" s="138"/>
      <c r="EW61" s="138"/>
      <c r="EX61" s="138"/>
      <c r="EY61" s="138"/>
      <c r="EZ61" s="138"/>
      <c r="FA61" s="138"/>
      <c r="FB61" s="138"/>
      <c r="FC61" s="138"/>
      <c r="FD61" s="138"/>
      <c r="FE61" s="138"/>
      <c r="FF61" s="138"/>
      <c r="FG61" s="138"/>
      <c r="FH61" s="138"/>
      <c r="FI61" s="138"/>
      <c r="FJ61" s="138"/>
      <c r="FK61" s="138"/>
      <c r="FL61" s="138"/>
      <c r="FM61" s="138"/>
      <c r="FN61" s="138"/>
      <c r="FO61" s="138"/>
      <c r="FP61" s="138"/>
      <c r="FQ61" s="138"/>
      <c r="FR61" s="138"/>
      <c r="FS61" s="138"/>
      <c r="FT61" s="138"/>
      <c r="FU61" s="138"/>
      <c r="FV61" s="138"/>
      <c r="FW61" s="138"/>
      <c r="FX61" s="138"/>
      <c r="FY61" s="138"/>
      <c r="FZ61" s="138"/>
      <c r="GA61" s="138"/>
      <c r="GB61" s="138"/>
      <c r="GC61" s="138"/>
      <c r="GD61" s="138"/>
      <c r="GE61" s="138"/>
      <c r="GF61" s="138"/>
      <c r="GG61" s="138"/>
      <c r="GH61" s="138"/>
      <c r="GI61" s="138"/>
      <c r="GJ61" s="138"/>
      <c r="GK61" s="138"/>
      <c r="GL61" s="138"/>
      <c r="GM61" s="138"/>
      <c r="GN61" s="138"/>
      <c r="GO61" s="138"/>
      <c r="GP61" s="138"/>
      <c r="GQ61" s="138"/>
      <c r="GR61" s="138"/>
      <c r="GS61" s="138"/>
      <c r="GT61" s="138"/>
      <c r="GU61" s="138"/>
      <c r="GV61" s="138"/>
      <c r="GW61" s="138"/>
      <c r="GX61" s="138"/>
      <c r="GY61" s="138"/>
      <c r="GZ61" s="138"/>
      <c r="HA61" s="138"/>
      <c r="HB61" s="138"/>
      <c r="HC61" s="138"/>
      <c r="HD61" s="138"/>
      <c r="HE61" s="138"/>
      <c r="HF61" s="138"/>
      <c r="HG61" s="138"/>
      <c r="HH61" s="138"/>
      <c r="HI61" s="138"/>
      <c r="HJ61" s="138"/>
      <c r="HK61" s="138"/>
      <c r="HL61" s="138"/>
      <c r="HM61" s="138"/>
      <c r="HN61" s="138"/>
      <c r="HO61" s="138"/>
      <c r="HP61" s="138"/>
      <c r="HQ61" s="138"/>
      <c r="HR61" s="138"/>
      <c r="HS61" s="138"/>
      <c r="HT61" s="138"/>
      <c r="HU61" s="138"/>
      <c r="HV61" s="138"/>
      <c r="HW61" s="138"/>
      <c r="HX61" s="138"/>
      <c r="HY61" s="138"/>
      <c r="HZ61" s="138"/>
      <c r="IA61" s="138"/>
      <c r="IB61" s="138"/>
      <c r="IC61" s="138"/>
      <c r="ID61" s="138"/>
      <c r="IE61" s="138"/>
      <c r="IF61" s="138"/>
      <c r="IG61" s="138"/>
      <c r="IH61" s="138"/>
      <c r="II61" s="138"/>
      <c r="IJ61" s="138"/>
      <c r="IK61" s="138"/>
      <c r="IL61" s="138"/>
      <c r="IM61" s="138"/>
      <c r="IN61" s="138"/>
      <c r="IO61" s="138"/>
      <c r="IP61" s="138"/>
      <c r="IQ61" s="138"/>
      <c r="IR61" s="138"/>
      <c r="IS61" s="138"/>
      <c r="IT61" s="138"/>
      <c r="IU61" s="138"/>
      <c r="IV61" s="138"/>
      <c r="IW61" s="138"/>
      <c r="IX61" s="138"/>
      <c r="IY61" s="138"/>
      <c r="IZ61" s="138"/>
      <c r="JA61" s="138"/>
      <c r="JB61" s="138"/>
      <c r="JC61" s="138"/>
      <c r="JD61" s="138"/>
      <c r="JE61" s="138"/>
      <c r="JF61" s="138"/>
      <c r="JG61" s="138"/>
      <c r="JH61" s="138"/>
      <c r="JI61" s="138"/>
      <c r="JJ61" s="138"/>
      <c r="JK61" s="138"/>
      <c r="JL61" s="138"/>
      <c r="JM61" s="138"/>
      <c r="JN61" s="138"/>
      <c r="JO61" s="138"/>
      <c r="JP61" s="138"/>
    </row>
    <row r="62" spans="1:276" s="4" customFormat="1">
      <c r="A62" s="966"/>
      <c r="B62" s="963"/>
      <c r="C62" s="964"/>
      <c r="D62" s="964"/>
      <c r="E62" s="881"/>
      <c r="F62" s="881"/>
      <c r="G62" s="881"/>
      <c r="H62" s="881"/>
      <c r="I62" s="965"/>
      <c r="J62" s="881"/>
      <c r="K62" s="881"/>
      <c r="L62" s="881"/>
      <c r="M62" s="958"/>
      <c r="N62" s="959"/>
      <c r="O62" s="959"/>
      <c r="P62" s="960"/>
      <c r="Q62" s="881"/>
      <c r="R62" s="176"/>
      <c r="S62" s="958"/>
      <c r="T62" s="959"/>
      <c r="U62" s="960"/>
      <c r="V62" s="176"/>
      <c r="W62" s="176"/>
      <c r="X62" s="176"/>
      <c r="Y62" s="176"/>
      <c r="Z62" s="176"/>
      <c r="AA62" s="176"/>
      <c r="AB62" s="176"/>
      <c r="AC62" s="176"/>
      <c r="AD62" s="176"/>
      <c r="AE62" s="176"/>
      <c r="AF62" s="176"/>
      <c r="AG62" s="176"/>
      <c r="AH62" s="176"/>
      <c r="AI62" s="138"/>
      <c r="AJ62" s="138"/>
      <c r="AK62" s="138"/>
      <c r="AL62" s="138"/>
      <c r="AM62" s="138"/>
      <c r="AN62" s="138"/>
      <c r="AO62" s="138"/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  <c r="BE62" s="138"/>
      <c r="BF62" s="138"/>
      <c r="BG62" s="138"/>
      <c r="BH62" s="138"/>
      <c r="BI62" s="138"/>
      <c r="BJ62" s="138"/>
      <c r="BK62" s="138"/>
      <c r="BL62" s="138"/>
      <c r="BM62" s="138"/>
      <c r="BN62" s="138"/>
      <c r="BO62" s="138"/>
      <c r="BP62" s="138"/>
      <c r="BQ62" s="138"/>
      <c r="BR62" s="138"/>
      <c r="BS62" s="138"/>
      <c r="BT62" s="138"/>
      <c r="BU62" s="138"/>
      <c r="BV62" s="138"/>
      <c r="BW62" s="138"/>
      <c r="BX62" s="138"/>
      <c r="BY62" s="138"/>
      <c r="BZ62" s="138"/>
      <c r="CA62" s="138"/>
      <c r="CB62" s="138"/>
      <c r="CC62" s="138"/>
      <c r="CD62" s="138"/>
      <c r="CE62" s="138"/>
      <c r="CF62" s="138"/>
      <c r="CG62" s="138"/>
      <c r="CH62" s="138"/>
      <c r="CI62" s="138"/>
      <c r="CJ62" s="138"/>
      <c r="CK62" s="138"/>
      <c r="CL62" s="138"/>
      <c r="CM62" s="138"/>
      <c r="CN62" s="138"/>
      <c r="CO62" s="138"/>
      <c r="CP62" s="138"/>
      <c r="CQ62" s="138"/>
      <c r="CR62" s="138"/>
      <c r="CS62" s="138"/>
      <c r="CT62" s="138"/>
      <c r="CU62" s="138"/>
      <c r="CV62" s="138"/>
      <c r="CW62" s="138"/>
      <c r="CX62" s="138"/>
      <c r="CY62" s="138"/>
      <c r="CZ62" s="138"/>
      <c r="DA62" s="138"/>
      <c r="DB62" s="138"/>
      <c r="DC62" s="138"/>
      <c r="DD62" s="138"/>
      <c r="DE62" s="138"/>
      <c r="DF62" s="138"/>
      <c r="DG62" s="138"/>
      <c r="DH62" s="138"/>
      <c r="DI62" s="138"/>
      <c r="DJ62" s="138"/>
      <c r="DK62" s="138"/>
      <c r="DL62" s="138"/>
      <c r="DM62" s="138"/>
      <c r="DN62" s="138"/>
      <c r="DO62" s="138"/>
      <c r="DP62" s="138"/>
      <c r="DQ62" s="138"/>
      <c r="DR62" s="138"/>
      <c r="DS62" s="138"/>
      <c r="DT62" s="138"/>
      <c r="DU62" s="138"/>
      <c r="DV62" s="138"/>
      <c r="DW62" s="138"/>
      <c r="DX62" s="138"/>
      <c r="DY62" s="138"/>
      <c r="DZ62" s="138"/>
      <c r="EA62" s="138"/>
      <c r="EB62" s="138"/>
      <c r="EC62" s="138"/>
      <c r="ED62" s="138"/>
      <c r="EE62" s="126"/>
      <c r="EF62" s="138"/>
      <c r="EG62" s="138"/>
      <c r="EH62" s="138"/>
      <c r="EI62" s="138"/>
      <c r="EJ62" s="138"/>
      <c r="EK62" s="138"/>
      <c r="EL62" s="138"/>
      <c r="EM62" s="138"/>
      <c r="EN62" s="138"/>
      <c r="EO62" s="138"/>
      <c r="EP62" s="138"/>
      <c r="EQ62" s="138"/>
      <c r="ER62" s="138"/>
      <c r="ES62" s="138"/>
      <c r="ET62" s="138"/>
      <c r="EU62" s="138"/>
      <c r="EV62" s="138"/>
      <c r="EW62" s="138"/>
      <c r="EX62" s="138"/>
      <c r="EY62" s="138"/>
      <c r="EZ62" s="138"/>
      <c r="FA62" s="138"/>
      <c r="FB62" s="138"/>
      <c r="FC62" s="138"/>
      <c r="FD62" s="138"/>
      <c r="FE62" s="138"/>
      <c r="FF62" s="138"/>
      <c r="FG62" s="138"/>
      <c r="FH62" s="138"/>
      <c r="FI62" s="138"/>
      <c r="FJ62" s="138"/>
      <c r="FK62" s="138"/>
      <c r="FL62" s="138"/>
      <c r="FM62" s="138"/>
      <c r="FN62" s="138"/>
      <c r="FO62" s="138"/>
      <c r="FP62" s="138"/>
      <c r="FQ62" s="138"/>
      <c r="FR62" s="138"/>
      <c r="FS62" s="138"/>
      <c r="FT62" s="138"/>
      <c r="FU62" s="138"/>
      <c r="FV62" s="138"/>
      <c r="FW62" s="138"/>
      <c r="FX62" s="138"/>
      <c r="FY62" s="138"/>
      <c r="FZ62" s="138"/>
      <c r="GA62" s="138"/>
      <c r="GB62" s="138"/>
      <c r="GC62" s="138"/>
      <c r="GD62" s="138"/>
      <c r="GE62" s="138"/>
      <c r="GF62" s="138"/>
      <c r="GG62" s="138"/>
      <c r="GH62" s="138"/>
      <c r="GI62" s="138"/>
      <c r="GJ62" s="138"/>
      <c r="GK62" s="138"/>
      <c r="GL62" s="138"/>
      <c r="GM62" s="138"/>
      <c r="GN62" s="138"/>
      <c r="GO62" s="138"/>
      <c r="GP62" s="138"/>
      <c r="GQ62" s="138"/>
      <c r="GR62" s="138"/>
      <c r="GS62" s="138"/>
      <c r="GT62" s="138"/>
      <c r="GU62" s="138"/>
      <c r="GV62" s="138"/>
      <c r="GW62" s="138"/>
      <c r="GX62" s="138"/>
      <c r="GY62" s="138"/>
      <c r="GZ62" s="138"/>
      <c r="HA62" s="138"/>
      <c r="HB62" s="138"/>
      <c r="HC62" s="138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HT62" s="138"/>
      <c r="HU62" s="138"/>
      <c r="HV62" s="138"/>
      <c r="HW62" s="138"/>
      <c r="HX62" s="138"/>
      <c r="HY62" s="138"/>
      <c r="HZ62" s="138"/>
      <c r="IA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R62" s="138"/>
      <c r="IS62" s="138"/>
      <c r="IT62" s="138"/>
      <c r="IU62" s="138"/>
      <c r="IV62" s="138"/>
      <c r="IW62" s="138"/>
      <c r="IX62" s="138"/>
      <c r="IY62" s="138"/>
      <c r="IZ62" s="138"/>
      <c r="JA62" s="138"/>
      <c r="JB62" s="138"/>
      <c r="JC62" s="138"/>
      <c r="JD62" s="138"/>
      <c r="JE62" s="138"/>
      <c r="JF62" s="138"/>
      <c r="JG62" s="138"/>
      <c r="JH62" s="138"/>
      <c r="JI62" s="138"/>
      <c r="JJ62" s="138"/>
      <c r="JK62" s="138"/>
      <c r="JL62" s="138"/>
      <c r="JM62" s="138"/>
      <c r="JN62" s="138"/>
      <c r="JO62" s="138"/>
      <c r="JP62" s="138"/>
    </row>
    <row r="63" spans="1:276" s="4" customFormat="1">
      <c r="A63" s="966"/>
      <c r="B63" s="963"/>
      <c r="C63" s="964"/>
      <c r="D63" s="964"/>
      <c r="E63" s="881"/>
      <c r="F63" s="881"/>
      <c r="G63" s="881"/>
      <c r="H63" s="881"/>
      <c r="I63" s="965"/>
      <c r="J63" s="881"/>
      <c r="K63" s="881"/>
      <c r="L63" s="881"/>
      <c r="M63" s="958"/>
      <c r="N63" s="959"/>
      <c r="O63" s="959"/>
      <c r="P63" s="960"/>
      <c r="Q63" s="881"/>
      <c r="R63" s="176"/>
      <c r="S63" s="958"/>
      <c r="T63" s="959"/>
      <c r="U63" s="960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76"/>
      <c r="AI63" s="138"/>
      <c r="AJ63" s="138"/>
      <c r="AK63" s="138"/>
      <c r="AL63" s="138"/>
      <c r="AM63" s="138"/>
      <c r="AN63" s="138"/>
      <c r="AO63" s="138"/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  <c r="BE63" s="138"/>
      <c r="BF63" s="138"/>
      <c r="BG63" s="138"/>
      <c r="BH63" s="138"/>
      <c r="BI63" s="138"/>
      <c r="BJ63" s="138"/>
      <c r="BK63" s="138"/>
      <c r="BL63" s="138"/>
      <c r="BM63" s="138"/>
      <c r="BN63" s="138"/>
      <c r="BO63" s="138"/>
      <c r="BP63" s="138"/>
      <c r="BQ63" s="138"/>
      <c r="BR63" s="138"/>
      <c r="BS63" s="138"/>
      <c r="BT63" s="138"/>
      <c r="BU63" s="138"/>
      <c r="BV63" s="138"/>
      <c r="BW63" s="138"/>
      <c r="BX63" s="138"/>
      <c r="BY63" s="138"/>
      <c r="BZ63" s="138"/>
      <c r="CA63" s="138"/>
      <c r="CB63" s="138"/>
      <c r="CC63" s="138"/>
      <c r="CD63" s="138"/>
      <c r="CE63" s="138"/>
      <c r="CF63" s="138"/>
      <c r="CG63" s="138"/>
      <c r="CH63" s="138"/>
      <c r="CI63" s="138"/>
      <c r="CJ63" s="138"/>
      <c r="CK63" s="138"/>
      <c r="CL63" s="138"/>
      <c r="CM63" s="138"/>
      <c r="CN63" s="138"/>
      <c r="CO63" s="138"/>
      <c r="CP63" s="138"/>
      <c r="CQ63" s="138"/>
      <c r="CR63" s="138"/>
      <c r="CS63" s="138"/>
      <c r="CT63" s="138"/>
      <c r="CU63" s="138"/>
      <c r="CV63" s="138"/>
      <c r="CW63" s="138"/>
      <c r="CX63" s="138"/>
      <c r="CY63" s="138"/>
      <c r="CZ63" s="138"/>
      <c r="DA63" s="138"/>
      <c r="DB63" s="138"/>
      <c r="DC63" s="138"/>
      <c r="DD63" s="138"/>
      <c r="DE63" s="138"/>
      <c r="DF63" s="138"/>
      <c r="DG63" s="138"/>
      <c r="DH63" s="138"/>
      <c r="DI63" s="138"/>
      <c r="DJ63" s="138"/>
      <c r="DK63" s="138"/>
      <c r="DL63" s="138"/>
      <c r="DM63" s="138"/>
      <c r="DN63" s="138"/>
      <c r="DO63" s="138"/>
      <c r="DP63" s="138"/>
      <c r="DQ63" s="138"/>
      <c r="DR63" s="138"/>
      <c r="DS63" s="138"/>
      <c r="DT63" s="138"/>
      <c r="DU63" s="138"/>
      <c r="DV63" s="138"/>
      <c r="DW63" s="138"/>
      <c r="DX63" s="138"/>
      <c r="DY63" s="138"/>
      <c r="DZ63" s="138"/>
      <c r="EA63" s="138"/>
      <c r="EB63" s="138"/>
      <c r="EC63" s="138"/>
      <c r="ED63" s="138"/>
      <c r="EE63" s="126"/>
      <c r="EF63" s="138"/>
      <c r="EG63" s="138"/>
      <c r="EH63" s="138"/>
      <c r="EI63" s="138"/>
      <c r="EJ63" s="138"/>
      <c r="EK63" s="138"/>
      <c r="EL63" s="138"/>
      <c r="EM63" s="138"/>
      <c r="EN63" s="138"/>
      <c r="EO63" s="138"/>
      <c r="EP63" s="138"/>
      <c r="EQ63" s="138"/>
      <c r="ER63" s="138"/>
      <c r="ES63" s="138"/>
      <c r="ET63" s="138"/>
      <c r="EU63" s="138"/>
      <c r="EV63" s="138"/>
      <c r="EW63" s="138"/>
      <c r="EX63" s="138"/>
      <c r="EY63" s="138"/>
      <c r="EZ63" s="138"/>
      <c r="FA63" s="138"/>
      <c r="FB63" s="138"/>
      <c r="FC63" s="138"/>
      <c r="FD63" s="138"/>
      <c r="FE63" s="138"/>
      <c r="FF63" s="138"/>
      <c r="FG63" s="138"/>
      <c r="FH63" s="138"/>
      <c r="FI63" s="138"/>
      <c r="FJ63" s="138"/>
      <c r="FK63" s="138"/>
      <c r="FL63" s="138"/>
      <c r="FM63" s="138"/>
      <c r="FN63" s="138"/>
      <c r="FO63" s="138"/>
      <c r="FP63" s="138"/>
      <c r="FQ63" s="138"/>
      <c r="FR63" s="138"/>
      <c r="FS63" s="138"/>
      <c r="FT63" s="138"/>
      <c r="FU63" s="138"/>
      <c r="FV63" s="138"/>
      <c r="FW63" s="138"/>
      <c r="FX63" s="138"/>
      <c r="FY63" s="138"/>
      <c r="FZ63" s="138"/>
      <c r="GA63" s="138"/>
      <c r="GB63" s="138"/>
      <c r="GC63" s="138"/>
      <c r="GD63" s="138"/>
      <c r="GE63" s="138"/>
      <c r="GF63" s="138"/>
      <c r="GG63" s="138"/>
      <c r="GH63" s="138"/>
      <c r="GI63" s="138"/>
      <c r="GJ63" s="138"/>
      <c r="GK63" s="138"/>
      <c r="GL63" s="138"/>
      <c r="GM63" s="138"/>
      <c r="GN63" s="138"/>
      <c r="GO63" s="138"/>
      <c r="GP63" s="138"/>
      <c r="GQ63" s="138"/>
      <c r="GR63" s="138"/>
      <c r="GS63" s="138"/>
      <c r="GT63" s="138"/>
      <c r="GU63" s="138"/>
      <c r="GV63" s="138"/>
      <c r="GW63" s="138"/>
      <c r="GX63" s="138"/>
      <c r="GY63" s="138"/>
      <c r="GZ63" s="138"/>
      <c r="HA63" s="138"/>
      <c r="HB63" s="138"/>
      <c r="HC63" s="138"/>
      <c r="HD63" s="138"/>
      <c r="HE63" s="138"/>
      <c r="HF63" s="138"/>
      <c r="HG63" s="138"/>
      <c r="HH63" s="138"/>
      <c r="HI63" s="138"/>
      <c r="HJ63" s="138"/>
      <c r="HK63" s="138"/>
      <c r="HL63" s="138"/>
      <c r="HM63" s="138"/>
      <c r="HN63" s="138"/>
      <c r="HO63" s="138"/>
      <c r="HP63" s="138"/>
      <c r="HQ63" s="138"/>
      <c r="HR63" s="138"/>
      <c r="HS63" s="138"/>
      <c r="HT63" s="138"/>
      <c r="HU63" s="138"/>
      <c r="HV63" s="138"/>
      <c r="HW63" s="138"/>
      <c r="HX63" s="138"/>
      <c r="HY63" s="138"/>
      <c r="HZ63" s="138"/>
      <c r="IA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R63" s="138"/>
      <c r="IS63" s="138"/>
      <c r="IT63" s="138"/>
      <c r="IU63" s="138"/>
      <c r="IV63" s="138"/>
      <c r="IW63" s="138"/>
      <c r="IX63" s="138"/>
      <c r="IY63" s="138"/>
      <c r="IZ63" s="138"/>
      <c r="JA63" s="138"/>
      <c r="JB63" s="138"/>
      <c r="JC63" s="138"/>
      <c r="JD63" s="138"/>
      <c r="JE63" s="138"/>
      <c r="JF63" s="138"/>
      <c r="JG63" s="138"/>
      <c r="JH63" s="138"/>
      <c r="JI63" s="138"/>
      <c r="JJ63" s="138"/>
      <c r="JK63" s="138"/>
      <c r="JL63" s="138"/>
      <c r="JM63" s="138"/>
      <c r="JN63" s="138"/>
      <c r="JO63" s="138"/>
      <c r="JP63" s="138"/>
    </row>
    <row r="64" spans="1:276" s="4" customFormat="1">
      <c r="A64" s="966"/>
      <c r="B64" s="963"/>
      <c r="C64" s="964"/>
      <c r="D64" s="964"/>
      <c r="E64" s="881"/>
      <c r="F64" s="881"/>
      <c r="G64" s="881"/>
      <c r="H64" s="881"/>
      <c r="I64" s="965"/>
      <c r="J64" s="881"/>
      <c r="K64" s="881"/>
      <c r="L64" s="881"/>
      <c r="M64" s="958"/>
      <c r="N64" s="959"/>
      <c r="O64" s="959"/>
      <c r="P64" s="960"/>
      <c r="Q64" s="881"/>
      <c r="R64" s="176"/>
      <c r="S64" s="958"/>
      <c r="T64" s="959"/>
      <c r="U64" s="960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176"/>
      <c r="AI64" s="138"/>
      <c r="AJ64" s="138"/>
      <c r="AK64" s="138"/>
      <c r="AL64" s="138"/>
      <c r="AM64" s="138"/>
      <c r="AN64" s="138"/>
      <c r="AO64" s="138"/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  <c r="BE64" s="138"/>
      <c r="BF64" s="138"/>
      <c r="BG64" s="138"/>
      <c r="BH64" s="138"/>
      <c r="BI64" s="138"/>
      <c r="BJ64" s="138"/>
      <c r="BK64" s="138"/>
      <c r="BL64" s="138"/>
      <c r="BM64" s="138"/>
      <c r="BN64" s="138"/>
      <c r="BO64" s="138"/>
      <c r="BP64" s="138"/>
      <c r="BQ64" s="138"/>
      <c r="BR64" s="138"/>
      <c r="BS64" s="138"/>
      <c r="BT64" s="138"/>
      <c r="BU64" s="138"/>
      <c r="BV64" s="138"/>
      <c r="BW64" s="138"/>
      <c r="BX64" s="138"/>
      <c r="BY64" s="138"/>
      <c r="BZ64" s="138"/>
      <c r="CA64" s="138"/>
      <c r="CB64" s="138"/>
      <c r="CC64" s="138"/>
      <c r="CD64" s="138"/>
      <c r="CE64" s="138"/>
      <c r="CF64" s="138"/>
      <c r="CG64" s="138"/>
      <c r="CH64" s="138"/>
      <c r="CI64" s="138"/>
      <c r="CJ64" s="138"/>
      <c r="CK64" s="138"/>
      <c r="CL64" s="138"/>
      <c r="CM64" s="138"/>
      <c r="CN64" s="138"/>
      <c r="CO64" s="138"/>
      <c r="CP64" s="138"/>
      <c r="CQ64" s="138"/>
      <c r="CR64" s="138"/>
      <c r="CS64" s="138"/>
      <c r="CT64" s="138"/>
      <c r="CU64" s="138"/>
      <c r="CV64" s="138"/>
      <c r="CW64" s="138"/>
      <c r="CX64" s="138"/>
      <c r="CY64" s="138"/>
      <c r="CZ64" s="138"/>
      <c r="DA64" s="138"/>
      <c r="DB64" s="138"/>
      <c r="DC64" s="138"/>
      <c r="DD64" s="138"/>
      <c r="DE64" s="138"/>
      <c r="DF64" s="138"/>
      <c r="DG64" s="138"/>
      <c r="DH64" s="138"/>
      <c r="DI64" s="138"/>
      <c r="DJ64" s="138"/>
      <c r="DK64" s="138"/>
      <c r="DL64" s="138"/>
      <c r="DM64" s="138"/>
      <c r="DN64" s="138"/>
      <c r="DO64" s="138"/>
      <c r="DP64" s="138"/>
      <c r="DQ64" s="138"/>
      <c r="DR64" s="138"/>
      <c r="DS64" s="138"/>
      <c r="DT64" s="138"/>
      <c r="DU64" s="138"/>
      <c r="DV64" s="138"/>
      <c r="DW64" s="138"/>
      <c r="DX64" s="138"/>
      <c r="DY64" s="138"/>
      <c r="DZ64" s="138"/>
      <c r="EA64" s="138"/>
      <c r="EB64" s="138"/>
      <c r="EC64" s="138"/>
      <c r="ED64" s="138"/>
      <c r="EE64" s="126"/>
      <c r="EF64" s="138"/>
      <c r="EG64" s="138"/>
      <c r="EH64" s="138"/>
      <c r="EI64" s="138"/>
      <c r="EJ64" s="138"/>
      <c r="EK64" s="138"/>
      <c r="EL64" s="138"/>
      <c r="EM64" s="138"/>
      <c r="EN64" s="138"/>
      <c r="EO64" s="138"/>
      <c r="EP64" s="138"/>
      <c r="EQ64" s="138"/>
      <c r="ER64" s="138"/>
      <c r="ES64" s="138"/>
      <c r="ET64" s="138"/>
      <c r="EU64" s="138"/>
      <c r="EV64" s="138"/>
      <c r="EW64" s="138"/>
      <c r="EX64" s="138"/>
      <c r="EY64" s="138"/>
      <c r="EZ64" s="138"/>
      <c r="FA64" s="138"/>
      <c r="FB64" s="138"/>
      <c r="FC64" s="138"/>
      <c r="FD64" s="138"/>
      <c r="FE64" s="138"/>
      <c r="FF64" s="138"/>
      <c r="FG64" s="138"/>
      <c r="FH64" s="138"/>
      <c r="FI64" s="138"/>
      <c r="FJ64" s="138"/>
      <c r="FK64" s="138"/>
      <c r="FL64" s="138"/>
      <c r="FM64" s="138"/>
      <c r="FN64" s="138"/>
      <c r="FO64" s="138"/>
      <c r="FP64" s="138"/>
      <c r="FQ64" s="138"/>
      <c r="FR64" s="138"/>
      <c r="FS64" s="138"/>
      <c r="FT64" s="138"/>
      <c r="FU64" s="138"/>
      <c r="FV64" s="138"/>
      <c r="FW64" s="138"/>
      <c r="FX64" s="138"/>
      <c r="FY64" s="138"/>
      <c r="FZ64" s="138"/>
      <c r="GA64" s="138"/>
      <c r="GB64" s="138"/>
      <c r="GC64" s="138"/>
      <c r="GD64" s="138"/>
      <c r="GE64" s="138"/>
      <c r="GF64" s="138"/>
      <c r="GG64" s="138"/>
      <c r="GH64" s="138"/>
      <c r="GI64" s="138"/>
      <c r="GJ64" s="138"/>
      <c r="GK64" s="138"/>
      <c r="GL64" s="138"/>
      <c r="GM64" s="138"/>
      <c r="GN64" s="138"/>
      <c r="GO64" s="138"/>
      <c r="GP64" s="138"/>
      <c r="GQ64" s="138"/>
      <c r="GR64" s="138"/>
      <c r="GS64" s="138"/>
      <c r="GT64" s="138"/>
      <c r="GU64" s="138"/>
      <c r="GV64" s="138"/>
      <c r="GW64" s="138"/>
      <c r="GX64" s="138"/>
      <c r="GY64" s="138"/>
      <c r="GZ64" s="138"/>
      <c r="HA64" s="138"/>
      <c r="HB64" s="138"/>
      <c r="HC64" s="138"/>
      <c r="HD64" s="138"/>
      <c r="HE64" s="138"/>
      <c r="HF64" s="138"/>
      <c r="HG64" s="138"/>
      <c r="HH64" s="138"/>
      <c r="HI64" s="138"/>
      <c r="HJ64" s="138"/>
      <c r="HK64" s="138"/>
      <c r="HL64" s="138"/>
      <c r="HM64" s="138"/>
      <c r="HN64" s="138"/>
      <c r="HO64" s="138"/>
      <c r="HP64" s="138"/>
      <c r="HQ64" s="138"/>
      <c r="HR64" s="138"/>
      <c r="HS64" s="138"/>
      <c r="HT64" s="138"/>
      <c r="HU64" s="138"/>
      <c r="HV64" s="138"/>
      <c r="HW64" s="138"/>
      <c r="HX64" s="138"/>
      <c r="HY64" s="138"/>
      <c r="HZ64" s="138"/>
      <c r="IA64" s="138"/>
      <c r="IB64" s="138"/>
      <c r="IC64" s="138"/>
      <c r="ID64" s="138"/>
      <c r="IE64" s="138"/>
      <c r="IF64" s="138"/>
      <c r="IG64" s="138"/>
      <c r="IH64" s="138"/>
      <c r="II64" s="138"/>
      <c r="IJ64" s="138"/>
      <c r="IK64" s="138"/>
      <c r="IL64" s="138"/>
      <c r="IM64" s="138"/>
      <c r="IN64" s="138"/>
      <c r="IO64" s="138"/>
      <c r="IP64" s="138"/>
      <c r="IQ64" s="138"/>
      <c r="IR64" s="138"/>
      <c r="IS64" s="138"/>
      <c r="IT64" s="138"/>
      <c r="IU64" s="138"/>
      <c r="IV64" s="138"/>
      <c r="IW64" s="138"/>
      <c r="IX64" s="138"/>
      <c r="IY64" s="138"/>
      <c r="IZ64" s="138"/>
      <c r="JA64" s="138"/>
      <c r="JB64" s="138"/>
      <c r="JC64" s="138"/>
      <c r="JD64" s="138"/>
      <c r="JE64" s="138"/>
      <c r="JF64" s="138"/>
      <c r="JG64" s="138"/>
      <c r="JH64" s="138"/>
      <c r="JI64" s="138"/>
      <c r="JJ64" s="138"/>
      <c r="JK64" s="138"/>
      <c r="JL64" s="138"/>
      <c r="JM64" s="138"/>
      <c r="JN64" s="138"/>
      <c r="JO64" s="138"/>
      <c r="JP64" s="138"/>
    </row>
    <row r="65" spans="1:276" s="4" customFormat="1">
      <c r="A65" s="966"/>
      <c r="B65" s="963"/>
      <c r="C65" s="964"/>
      <c r="D65" s="964"/>
      <c r="E65" s="881"/>
      <c r="F65" s="881"/>
      <c r="G65" s="881"/>
      <c r="H65" s="881"/>
      <c r="I65" s="965"/>
      <c r="J65" s="881"/>
      <c r="K65" s="881"/>
      <c r="L65" s="881"/>
      <c r="M65" s="958"/>
      <c r="N65" s="959"/>
      <c r="O65" s="959"/>
      <c r="P65" s="960"/>
      <c r="Q65" s="881"/>
      <c r="R65" s="176"/>
      <c r="S65" s="958"/>
      <c r="T65" s="959"/>
      <c r="U65" s="960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  <c r="AF65" s="176"/>
      <c r="AG65" s="176"/>
      <c r="AH65" s="176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  <c r="BF65" s="138"/>
      <c r="BG65" s="138"/>
      <c r="BH65" s="138"/>
      <c r="BI65" s="138"/>
      <c r="BJ65" s="138"/>
      <c r="BK65" s="138"/>
      <c r="BL65" s="138"/>
      <c r="BM65" s="138"/>
      <c r="BN65" s="138"/>
      <c r="BO65" s="138"/>
      <c r="BP65" s="138"/>
      <c r="BQ65" s="138"/>
      <c r="BR65" s="138"/>
      <c r="BS65" s="138"/>
      <c r="BT65" s="138"/>
      <c r="BU65" s="138"/>
      <c r="BV65" s="138"/>
      <c r="BW65" s="138"/>
      <c r="BX65" s="138"/>
      <c r="BY65" s="138"/>
      <c r="BZ65" s="138"/>
      <c r="CA65" s="138"/>
      <c r="CB65" s="138"/>
      <c r="CC65" s="138"/>
      <c r="CD65" s="138"/>
      <c r="CE65" s="138"/>
      <c r="CF65" s="138"/>
      <c r="CG65" s="138"/>
      <c r="CH65" s="138"/>
      <c r="CI65" s="138"/>
      <c r="CJ65" s="138"/>
      <c r="CK65" s="138"/>
      <c r="CL65" s="138"/>
      <c r="CM65" s="138"/>
      <c r="CN65" s="138"/>
      <c r="CO65" s="138"/>
      <c r="CP65" s="138"/>
      <c r="CQ65" s="138"/>
      <c r="CR65" s="138"/>
      <c r="CS65" s="138"/>
      <c r="CT65" s="138"/>
      <c r="CU65" s="138"/>
      <c r="CV65" s="138"/>
      <c r="CW65" s="138"/>
      <c r="CX65" s="138"/>
      <c r="CY65" s="138"/>
      <c r="CZ65" s="138"/>
      <c r="DA65" s="138"/>
      <c r="DB65" s="138"/>
      <c r="DC65" s="138"/>
      <c r="DD65" s="138"/>
      <c r="DE65" s="138"/>
      <c r="DF65" s="138"/>
      <c r="DG65" s="138"/>
      <c r="DH65" s="138"/>
      <c r="DI65" s="138"/>
      <c r="DJ65" s="138"/>
      <c r="DK65" s="138"/>
      <c r="DL65" s="138"/>
      <c r="DM65" s="138"/>
      <c r="DN65" s="138"/>
      <c r="DO65" s="138"/>
      <c r="DP65" s="138"/>
      <c r="DQ65" s="138"/>
      <c r="DR65" s="138"/>
      <c r="DS65" s="138"/>
      <c r="DT65" s="138"/>
      <c r="DU65" s="138"/>
      <c r="DV65" s="138"/>
      <c r="DW65" s="138"/>
      <c r="DX65" s="138"/>
      <c r="DY65" s="138"/>
      <c r="DZ65" s="138"/>
      <c r="EA65" s="138"/>
      <c r="EB65" s="138"/>
      <c r="EC65" s="138"/>
      <c r="ED65" s="138"/>
      <c r="EE65" s="126"/>
      <c r="EF65" s="138"/>
      <c r="EG65" s="138"/>
      <c r="EH65" s="138"/>
      <c r="EI65" s="138"/>
      <c r="EJ65" s="138"/>
      <c r="EK65" s="138"/>
      <c r="EL65" s="138"/>
      <c r="EM65" s="138"/>
      <c r="EN65" s="138"/>
      <c r="EO65" s="138"/>
      <c r="EP65" s="138"/>
      <c r="EQ65" s="138"/>
      <c r="ER65" s="138"/>
      <c r="ES65" s="138"/>
      <c r="ET65" s="138"/>
      <c r="EU65" s="138"/>
      <c r="EV65" s="138"/>
      <c r="EW65" s="138"/>
      <c r="EX65" s="138"/>
      <c r="EY65" s="138"/>
      <c r="EZ65" s="138"/>
      <c r="FA65" s="138"/>
      <c r="FB65" s="138"/>
      <c r="FC65" s="138"/>
      <c r="FD65" s="138"/>
      <c r="FE65" s="138"/>
      <c r="FF65" s="138"/>
      <c r="FG65" s="138"/>
      <c r="FH65" s="138"/>
      <c r="FI65" s="138"/>
      <c r="FJ65" s="138"/>
      <c r="FK65" s="138"/>
      <c r="FL65" s="138"/>
      <c r="FM65" s="138"/>
      <c r="FN65" s="138"/>
      <c r="FO65" s="138"/>
      <c r="FP65" s="138"/>
      <c r="FQ65" s="138"/>
      <c r="FR65" s="138"/>
      <c r="FS65" s="138"/>
      <c r="FT65" s="138"/>
      <c r="FU65" s="138"/>
      <c r="FV65" s="138"/>
      <c r="FW65" s="138"/>
      <c r="FX65" s="138"/>
      <c r="FY65" s="138"/>
      <c r="FZ65" s="138"/>
      <c r="GA65" s="138"/>
      <c r="GB65" s="138"/>
      <c r="GC65" s="138"/>
      <c r="GD65" s="138"/>
      <c r="GE65" s="138"/>
      <c r="GF65" s="138"/>
      <c r="GG65" s="138"/>
      <c r="GH65" s="138"/>
      <c r="GI65" s="138"/>
      <c r="GJ65" s="138"/>
      <c r="GK65" s="138"/>
      <c r="GL65" s="138"/>
      <c r="GM65" s="138"/>
      <c r="GN65" s="138"/>
      <c r="GO65" s="138"/>
      <c r="GP65" s="138"/>
      <c r="GQ65" s="138"/>
      <c r="GR65" s="138"/>
      <c r="GS65" s="138"/>
      <c r="GT65" s="138"/>
      <c r="GU65" s="138"/>
      <c r="GV65" s="138"/>
      <c r="GW65" s="138"/>
      <c r="GX65" s="138"/>
      <c r="GY65" s="138"/>
      <c r="GZ65" s="138"/>
      <c r="HA65" s="138"/>
      <c r="HB65" s="138"/>
      <c r="HC65" s="138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HT65" s="138"/>
      <c r="HU65" s="138"/>
      <c r="HV65" s="138"/>
      <c r="HW65" s="138"/>
      <c r="HX65" s="138"/>
      <c r="HY65" s="138"/>
      <c r="HZ65" s="138"/>
      <c r="IA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R65" s="138"/>
      <c r="IS65" s="138"/>
      <c r="IT65" s="138"/>
      <c r="IU65" s="138"/>
      <c r="IV65" s="138"/>
      <c r="IW65" s="138"/>
      <c r="IX65" s="138"/>
      <c r="IY65" s="138"/>
      <c r="IZ65" s="138"/>
      <c r="JA65" s="138"/>
      <c r="JB65" s="138"/>
      <c r="JC65" s="138"/>
      <c r="JD65" s="138"/>
      <c r="JE65" s="138"/>
      <c r="JF65" s="138"/>
      <c r="JG65" s="138"/>
      <c r="JH65" s="138"/>
      <c r="JI65" s="138"/>
      <c r="JJ65" s="138"/>
      <c r="JK65" s="138"/>
      <c r="JL65" s="138"/>
      <c r="JM65" s="138"/>
      <c r="JN65" s="138"/>
      <c r="JO65" s="138"/>
      <c r="JP65" s="138"/>
    </row>
    <row r="66" spans="1:276" s="4" customFormat="1">
      <c r="A66" s="966"/>
      <c r="B66" s="963"/>
      <c r="C66" s="964"/>
      <c r="D66" s="964"/>
      <c r="E66" s="881"/>
      <c r="F66" s="881"/>
      <c r="G66" s="881"/>
      <c r="H66" s="881"/>
      <c r="I66" s="965"/>
      <c r="J66" s="881"/>
      <c r="K66" s="881"/>
      <c r="L66" s="881"/>
      <c r="M66" s="958"/>
      <c r="N66" s="959"/>
      <c r="O66" s="959"/>
      <c r="P66" s="960"/>
      <c r="Q66" s="881"/>
      <c r="R66" s="176"/>
      <c r="S66" s="958"/>
      <c r="T66" s="959"/>
      <c r="U66" s="960"/>
      <c r="V66" s="176"/>
      <c r="W66" s="176"/>
      <c r="X66" s="176"/>
      <c r="Y66" s="176"/>
      <c r="Z66" s="176"/>
      <c r="AA66" s="176"/>
      <c r="AB66" s="176"/>
      <c r="AC66" s="176"/>
      <c r="AD66" s="176"/>
      <c r="AE66" s="176"/>
      <c r="AF66" s="176"/>
      <c r="AG66" s="176"/>
      <c r="AH66" s="176"/>
      <c r="AI66" s="138"/>
      <c r="AJ66" s="138"/>
      <c r="AK66" s="138"/>
      <c r="AL66" s="138"/>
      <c r="AM66" s="138"/>
      <c r="AN66" s="138"/>
      <c r="AO66" s="138"/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  <c r="BE66" s="138"/>
      <c r="BF66" s="138"/>
      <c r="BG66" s="138"/>
      <c r="BH66" s="138"/>
      <c r="BI66" s="138"/>
      <c r="BJ66" s="138"/>
      <c r="BK66" s="138"/>
      <c r="BL66" s="138"/>
      <c r="BM66" s="138"/>
      <c r="BN66" s="138"/>
      <c r="BO66" s="138"/>
      <c r="BP66" s="138"/>
      <c r="BQ66" s="138"/>
      <c r="BR66" s="138"/>
      <c r="BS66" s="138"/>
      <c r="BT66" s="138"/>
      <c r="BU66" s="138"/>
      <c r="BV66" s="138"/>
      <c r="BW66" s="138"/>
      <c r="BX66" s="138"/>
      <c r="BY66" s="138"/>
      <c r="BZ66" s="138"/>
      <c r="CA66" s="138"/>
      <c r="CB66" s="138"/>
      <c r="CC66" s="138"/>
      <c r="CD66" s="138"/>
      <c r="CE66" s="138"/>
      <c r="CF66" s="138"/>
      <c r="CG66" s="138"/>
      <c r="CH66" s="138"/>
      <c r="CI66" s="138"/>
      <c r="CJ66" s="138"/>
      <c r="CK66" s="138"/>
      <c r="CL66" s="138"/>
      <c r="CM66" s="138"/>
      <c r="CN66" s="138"/>
      <c r="CO66" s="138"/>
      <c r="CP66" s="138"/>
      <c r="CQ66" s="138"/>
      <c r="CR66" s="138"/>
      <c r="CS66" s="138"/>
      <c r="CT66" s="138"/>
      <c r="CU66" s="138"/>
      <c r="CV66" s="138"/>
      <c r="CW66" s="138"/>
      <c r="CX66" s="138"/>
      <c r="CY66" s="138"/>
      <c r="CZ66" s="138"/>
      <c r="DA66" s="138"/>
      <c r="DB66" s="138"/>
      <c r="DC66" s="138"/>
      <c r="DD66" s="138"/>
      <c r="DE66" s="138"/>
      <c r="DF66" s="138"/>
      <c r="DG66" s="138"/>
      <c r="DH66" s="138"/>
      <c r="DI66" s="138"/>
      <c r="DJ66" s="138"/>
      <c r="DK66" s="138"/>
      <c r="DL66" s="138"/>
      <c r="DM66" s="138"/>
      <c r="DN66" s="138"/>
      <c r="DO66" s="138"/>
      <c r="DP66" s="138"/>
      <c r="DQ66" s="138"/>
      <c r="DR66" s="138"/>
      <c r="DS66" s="138"/>
      <c r="DT66" s="138"/>
      <c r="DU66" s="138"/>
      <c r="DV66" s="138"/>
      <c r="DW66" s="138"/>
      <c r="DX66" s="138"/>
      <c r="DY66" s="138"/>
      <c r="DZ66" s="138"/>
      <c r="EA66" s="138"/>
      <c r="EB66" s="138"/>
      <c r="EC66" s="138"/>
      <c r="ED66" s="138"/>
      <c r="EE66" s="126"/>
      <c r="EF66" s="138"/>
      <c r="EG66" s="138"/>
      <c r="EH66" s="138"/>
      <c r="EI66" s="138"/>
      <c r="EJ66" s="138"/>
      <c r="EK66" s="138"/>
      <c r="EL66" s="138"/>
      <c r="EM66" s="138"/>
      <c r="EN66" s="138"/>
      <c r="EO66" s="138"/>
      <c r="EP66" s="138"/>
      <c r="EQ66" s="138"/>
      <c r="ER66" s="138"/>
      <c r="ES66" s="138"/>
      <c r="ET66" s="138"/>
      <c r="EU66" s="138"/>
      <c r="EV66" s="138"/>
      <c r="EW66" s="138"/>
      <c r="EX66" s="138"/>
      <c r="EY66" s="138"/>
      <c r="EZ66" s="138"/>
      <c r="FA66" s="138"/>
      <c r="FB66" s="138"/>
      <c r="FC66" s="138"/>
      <c r="FD66" s="138"/>
      <c r="FE66" s="138"/>
      <c r="FF66" s="138"/>
      <c r="FG66" s="138"/>
      <c r="FH66" s="138"/>
      <c r="FI66" s="138"/>
      <c r="FJ66" s="138"/>
      <c r="FK66" s="138"/>
      <c r="FL66" s="138"/>
      <c r="FM66" s="138"/>
      <c r="FN66" s="138"/>
      <c r="FO66" s="138"/>
      <c r="FP66" s="138"/>
      <c r="FQ66" s="138"/>
      <c r="FR66" s="138"/>
      <c r="FS66" s="138"/>
      <c r="FT66" s="138"/>
      <c r="FU66" s="138"/>
      <c r="FV66" s="138"/>
      <c r="FW66" s="138"/>
      <c r="FX66" s="138"/>
      <c r="FY66" s="138"/>
      <c r="FZ66" s="138"/>
      <c r="GA66" s="138"/>
      <c r="GB66" s="138"/>
      <c r="GC66" s="138"/>
      <c r="GD66" s="138"/>
      <c r="GE66" s="138"/>
      <c r="GF66" s="138"/>
      <c r="GG66" s="138"/>
      <c r="GH66" s="138"/>
      <c r="GI66" s="138"/>
      <c r="GJ66" s="138"/>
      <c r="GK66" s="138"/>
      <c r="GL66" s="138"/>
      <c r="GM66" s="138"/>
      <c r="GN66" s="138"/>
      <c r="GO66" s="138"/>
      <c r="GP66" s="138"/>
      <c r="GQ66" s="138"/>
      <c r="GR66" s="138"/>
      <c r="GS66" s="138"/>
      <c r="GT66" s="138"/>
      <c r="GU66" s="138"/>
      <c r="GV66" s="138"/>
      <c r="GW66" s="138"/>
      <c r="GX66" s="138"/>
      <c r="GY66" s="138"/>
      <c r="GZ66" s="138"/>
      <c r="HA66" s="138"/>
      <c r="HB66" s="138"/>
      <c r="HC66" s="138"/>
      <c r="HD66" s="138"/>
      <c r="HE66" s="138"/>
      <c r="HF66" s="138"/>
      <c r="HG66" s="138"/>
      <c r="HH66" s="138"/>
      <c r="HI66" s="138"/>
      <c r="HJ66" s="138"/>
      <c r="HK66" s="138"/>
      <c r="HL66" s="138"/>
      <c r="HM66" s="138"/>
      <c r="HN66" s="138"/>
      <c r="HO66" s="138"/>
      <c r="HP66" s="138"/>
      <c r="HQ66" s="138"/>
      <c r="HR66" s="138"/>
      <c r="HS66" s="138"/>
      <c r="HT66" s="138"/>
      <c r="HU66" s="138"/>
      <c r="HV66" s="138"/>
      <c r="HW66" s="138"/>
      <c r="HX66" s="138"/>
      <c r="HY66" s="138"/>
      <c r="HZ66" s="138"/>
      <c r="IA66" s="138"/>
      <c r="IB66" s="138"/>
      <c r="IC66" s="138"/>
      <c r="ID66" s="138"/>
      <c r="IE66" s="138"/>
      <c r="IF66" s="138"/>
      <c r="IG66" s="138"/>
      <c r="IH66" s="138"/>
      <c r="II66" s="138"/>
      <c r="IJ66" s="138"/>
      <c r="IK66" s="138"/>
      <c r="IL66" s="138"/>
      <c r="IM66" s="138"/>
      <c r="IN66" s="138"/>
      <c r="IO66" s="138"/>
      <c r="IP66" s="138"/>
      <c r="IQ66" s="138"/>
      <c r="IR66" s="138"/>
      <c r="IS66" s="138"/>
      <c r="IT66" s="138"/>
      <c r="IU66" s="138"/>
      <c r="IV66" s="138"/>
      <c r="IW66" s="138"/>
      <c r="IX66" s="138"/>
      <c r="IY66" s="138"/>
      <c r="IZ66" s="138"/>
      <c r="JA66" s="138"/>
      <c r="JB66" s="138"/>
      <c r="JC66" s="138"/>
      <c r="JD66" s="138"/>
      <c r="JE66" s="138"/>
      <c r="JF66" s="138"/>
      <c r="JG66" s="138"/>
      <c r="JH66" s="138"/>
      <c r="JI66" s="138"/>
      <c r="JJ66" s="138"/>
      <c r="JK66" s="138"/>
      <c r="JL66" s="138"/>
      <c r="JM66" s="138"/>
      <c r="JN66" s="138"/>
      <c r="JO66" s="138"/>
      <c r="JP66" s="138"/>
    </row>
    <row r="67" spans="1:276" s="4" customFormat="1">
      <c r="A67" s="966"/>
      <c r="B67" s="963"/>
      <c r="C67" s="964"/>
      <c r="D67" s="964"/>
      <c r="E67" s="881"/>
      <c r="F67" s="881"/>
      <c r="G67" s="881"/>
      <c r="H67" s="881"/>
      <c r="I67" s="965"/>
      <c r="J67" s="881"/>
      <c r="K67" s="881"/>
      <c r="L67" s="881"/>
      <c r="M67" s="958"/>
      <c r="N67" s="959"/>
      <c r="O67" s="959"/>
      <c r="P67" s="960"/>
      <c r="Q67" s="881"/>
      <c r="R67" s="176"/>
      <c r="S67" s="958"/>
      <c r="T67" s="959"/>
      <c r="U67" s="960"/>
      <c r="V67" s="176"/>
      <c r="W67" s="176"/>
      <c r="X67" s="176"/>
      <c r="Y67" s="176"/>
      <c r="Z67" s="176"/>
      <c r="AA67" s="176"/>
      <c r="AB67" s="176"/>
      <c r="AC67" s="176"/>
      <c r="AD67" s="176"/>
      <c r="AE67" s="176"/>
      <c r="AF67" s="176"/>
      <c r="AG67" s="176"/>
      <c r="AH67" s="176"/>
      <c r="AI67" s="138"/>
      <c r="AJ67" s="138"/>
      <c r="AK67" s="138"/>
      <c r="AL67" s="138"/>
      <c r="AM67" s="138"/>
      <c r="AN67" s="138"/>
      <c r="AO67" s="138"/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  <c r="BE67" s="138"/>
      <c r="BF67" s="138"/>
      <c r="BG67" s="138"/>
      <c r="BH67" s="138"/>
      <c r="BI67" s="138"/>
      <c r="BJ67" s="138"/>
      <c r="BK67" s="138"/>
      <c r="BL67" s="138"/>
      <c r="BM67" s="138"/>
      <c r="BN67" s="138"/>
      <c r="BO67" s="138"/>
      <c r="BP67" s="138"/>
      <c r="BQ67" s="138"/>
      <c r="BR67" s="138"/>
      <c r="BS67" s="138"/>
      <c r="BT67" s="138"/>
      <c r="BU67" s="138"/>
      <c r="BV67" s="138"/>
      <c r="BW67" s="138"/>
      <c r="BX67" s="138"/>
      <c r="BY67" s="138"/>
      <c r="BZ67" s="138"/>
      <c r="CA67" s="138"/>
      <c r="CB67" s="138"/>
      <c r="CC67" s="138"/>
      <c r="CD67" s="138"/>
      <c r="CE67" s="138"/>
      <c r="CF67" s="138"/>
      <c r="CG67" s="138"/>
      <c r="CH67" s="138"/>
      <c r="CI67" s="138"/>
      <c r="CJ67" s="138"/>
      <c r="CK67" s="138"/>
      <c r="CL67" s="138"/>
      <c r="CM67" s="138"/>
      <c r="CN67" s="138"/>
      <c r="CO67" s="138"/>
      <c r="CP67" s="138"/>
      <c r="CQ67" s="138"/>
      <c r="CR67" s="138"/>
      <c r="CS67" s="138"/>
      <c r="CT67" s="138"/>
      <c r="CU67" s="138"/>
      <c r="CV67" s="138"/>
      <c r="CW67" s="138"/>
      <c r="CX67" s="138"/>
      <c r="CY67" s="138"/>
      <c r="CZ67" s="138"/>
      <c r="DA67" s="138"/>
      <c r="DB67" s="138"/>
      <c r="DC67" s="138"/>
      <c r="DD67" s="138"/>
      <c r="DE67" s="138"/>
      <c r="DF67" s="138"/>
      <c r="DG67" s="138"/>
      <c r="DH67" s="138"/>
      <c r="DI67" s="138"/>
      <c r="DJ67" s="138"/>
      <c r="DK67" s="138"/>
      <c r="DL67" s="138"/>
      <c r="DM67" s="138"/>
      <c r="DN67" s="138"/>
      <c r="DO67" s="138"/>
      <c r="DP67" s="138"/>
      <c r="DQ67" s="138"/>
      <c r="DR67" s="138"/>
      <c r="DS67" s="138"/>
      <c r="DT67" s="138"/>
      <c r="DU67" s="138"/>
      <c r="DV67" s="138"/>
      <c r="DW67" s="138"/>
      <c r="DX67" s="138"/>
      <c r="DY67" s="138"/>
      <c r="DZ67" s="138"/>
      <c r="EA67" s="138"/>
      <c r="EB67" s="138"/>
      <c r="EC67" s="138"/>
      <c r="ED67" s="138"/>
      <c r="EE67" s="126"/>
      <c r="EF67" s="138"/>
      <c r="EG67" s="138"/>
      <c r="EH67" s="138"/>
      <c r="EI67" s="138"/>
      <c r="EJ67" s="138"/>
      <c r="EK67" s="138"/>
      <c r="EL67" s="138"/>
      <c r="EM67" s="138"/>
      <c r="EN67" s="138"/>
      <c r="EO67" s="138"/>
      <c r="EP67" s="138"/>
      <c r="EQ67" s="138"/>
      <c r="ER67" s="138"/>
      <c r="ES67" s="138"/>
      <c r="ET67" s="138"/>
      <c r="EU67" s="138"/>
      <c r="EV67" s="138"/>
      <c r="EW67" s="138"/>
      <c r="EX67" s="138"/>
      <c r="EY67" s="138"/>
      <c r="EZ67" s="138"/>
      <c r="FA67" s="138"/>
      <c r="FB67" s="138"/>
      <c r="FC67" s="138"/>
      <c r="FD67" s="138"/>
      <c r="FE67" s="138"/>
      <c r="FF67" s="138"/>
      <c r="FG67" s="138"/>
      <c r="FH67" s="138"/>
      <c r="FI67" s="138"/>
      <c r="FJ67" s="138"/>
      <c r="FK67" s="138"/>
      <c r="FL67" s="138"/>
      <c r="FM67" s="138"/>
      <c r="FN67" s="138"/>
      <c r="FO67" s="138"/>
      <c r="FP67" s="138"/>
      <c r="FQ67" s="138"/>
      <c r="FR67" s="138"/>
      <c r="FS67" s="138"/>
      <c r="FT67" s="138"/>
      <c r="FU67" s="138"/>
      <c r="FV67" s="138"/>
      <c r="FW67" s="138"/>
      <c r="FX67" s="138"/>
      <c r="FY67" s="138"/>
      <c r="FZ67" s="138"/>
      <c r="GA67" s="138"/>
      <c r="GB67" s="138"/>
      <c r="GC67" s="138"/>
      <c r="GD67" s="138"/>
      <c r="GE67" s="138"/>
      <c r="GF67" s="138"/>
      <c r="GG67" s="138"/>
      <c r="GH67" s="138"/>
      <c r="GI67" s="138"/>
      <c r="GJ67" s="138"/>
      <c r="GK67" s="138"/>
      <c r="GL67" s="138"/>
      <c r="GM67" s="138"/>
      <c r="GN67" s="138"/>
      <c r="GO67" s="138"/>
      <c r="GP67" s="138"/>
      <c r="GQ67" s="138"/>
      <c r="GR67" s="138"/>
      <c r="GS67" s="138"/>
      <c r="GT67" s="138"/>
      <c r="GU67" s="138"/>
      <c r="GV67" s="138"/>
      <c r="GW67" s="138"/>
      <c r="GX67" s="138"/>
      <c r="GY67" s="138"/>
      <c r="GZ67" s="138"/>
      <c r="HA67" s="138"/>
      <c r="HB67" s="138"/>
      <c r="HC67" s="138"/>
      <c r="HD67" s="138"/>
      <c r="HE67" s="138"/>
      <c r="HF67" s="138"/>
      <c r="HG67" s="138"/>
      <c r="HH67" s="138"/>
      <c r="HI67" s="138"/>
      <c r="HJ67" s="138"/>
      <c r="HK67" s="138"/>
      <c r="HL67" s="138"/>
      <c r="HM67" s="138"/>
      <c r="HN67" s="138"/>
      <c r="HO67" s="138"/>
      <c r="HP67" s="138"/>
      <c r="HQ67" s="138"/>
      <c r="HR67" s="138"/>
      <c r="HS67" s="138"/>
      <c r="HT67" s="138"/>
      <c r="HU67" s="138"/>
      <c r="HV67" s="138"/>
      <c r="HW67" s="138"/>
      <c r="HX67" s="138"/>
      <c r="HY67" s="138"/>
      <c r="HZ67" s="138"/>
      <c r="IA67" s="138"/>
      <c r="IB67" s="138"/>
      <c r="IC67" s="138"/>
      <c r="ID67" s="138"/>
      <c r="IE67" s="138"/>
      <c r="IF67" s="138"/>
      <c r="IG67" s="138"/>
      <c r="IH67" s="138"/>
      <c r="II67" s="138"/>
      <c r="IJ67" s="138"/>
      <c r="IK67" s="138"/>
      <c r="IL67" s="138"/>
      <c r="IM67" s="138"/>
      <c r="IN67" s="138"/>
      <c r="IO67" s="138"/>
      <c r="IP67" s="138"/>
      <c r="IQ67" s="138"/>
      <c r="IR67" s="138"/>
      <c r="IS67" s="138"/>
      <c r="IT67" s="138"/>
      <c r="IU67" s="138"/>
      <c r="IV67" s="138"/>
      <c r="IW67" s="138"/>
      <c r="IX67" s="138"/>
      <c r="IY67" s="138"/>
      <c r="IZ67" s="138"/>
      <c r="JA67" s="138"/>
      <c r="JB67" s="138"/>
      <c r="JC67" s="138"/>
      <c r="JD67" s="138"/>
      <c r="JE67" s="138"/>
      <c r="JF67" s="138"/>
      <c r="JG67" s="138"/>
      <c r="JH67" s="138"/>
      <c r="JI67" s="138"/>
      <c r="JJ67" s="138"/>
      <c r="JK67" s="138"/>
      <c r="JL67" s="138"/>
      <c r="JM67" s="138"/>
      <c r="JN67" s="138"/>
      <c r="JO67" s="138"/>
      <c r="JP67" s="138"/>
    </row>
    <row r="68" spans="1:276" s="4" customFormat="1">
      <c r="A68" s="966"/>
      <c r="B68" s="963"/>
      <c r="C68" s="964"/>
      <c r="D68" s="964"/>
      <c r="E68" s="881"/>
      <c r="F68" s="881"/>
      <c r="G68" s="881"/>
      <c r="H68" s="881"/>
      <c r="I68" s="965"/>
      <c r="J68" s="881"/>
      <c r="K68" s="881"/>
      <c r="L68" s="881"/>
      <c r="M68" s="958"/>
      <c r="N68" s="959"/>
      <c r="O68" s="959"/>
      <c r="P68" s="960"/>
      <c r="Q68" s="881"/>
      <c r="R68" s="176"/>
      <c r="S68" s="958"/>
      <c r="T68" s="959"/>
      <c r="U68" s="960"/>
      <c r="V68" s="176"/>
      <c r="W68" s="176"/>
      <c r="X68" s="176"/>
      <c r="Y68" s="176"/>
      <c r="Z68" s="176"/>
      <c r="AA68" s="176"/>
      <c r="AB68" s="176"/>
      <c r="AC68" s="176"/>
      <c r="AD68" s="176"/>
      <c r="AE68" s="176"/>
      <c r="AF68" s="176"/>
      <c r="AG68" s="176"/>
      <c r="AH68" s="176"/>
      <c r="AI68" s="138"/>
      <c r="AJ68" s="138"/>
      <c r="AK68" s="138"/>
      <c r="AL68" s="138"/>
      <c r="AM68" s="138"/>
      <c r="AN68" s="138"/>
      <c r="AO68" s="138"/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  <c r="BE68" s="138"/>
      <c r="BF68" s="138"/>
      <c r="BG68" s="138"/>
      <c r="BH68" s="138"/>
      <c r="BI68" s="138"/>
      <c r="BJ68" s="138"/>
      <c r="BK68" s="138"/>
      <c r="BL68" s="138"/>
      <c r="BM68" s="138"/>
      <c r="BN68" s="138"/>
      <c r="BO68" s="138"/>
      <c r="BP68" s="138"/>
      <c r="BQ68" s="138"/>
      <c r="BR68" s="138"/>
      <c r="BS68" s="138"/>
      <c r="BT68" s="138"/>
      <c r="BU68" s="138"/>
      <c r="BV68" s="138"/>
      <c r="BW68" s="138"/>
      <c r="BX68" s="138"/>
      <c r="BY68" s="138"/>
      <c r="BZ68" s="138"/>
      <c r="CA68" s="138"/>
      <c r="CB68" s="138"/>
      <c r="CC68" s="138"/>
      <c r="CD68" s="138"/>
      <c r="CE68" s="138"/>
      <c r="CF68" s="138"/>
      <c r="CG68" s="138"/>
      <c r="CH68" s="138"/>
      <c r="CI68" s="138"/>
      <c r="CJ68" s="138"/>
      <c r="CK68" s="138"/>
      <c r="CL68" s="138"/>
      <c r="CM68" s="138"/>
      <c r="CN68" s="138"/>
      <c r="CO68" s="138"/>
      <c r="CP68" s="138"/>
      <c r="CQ68" s="138"/>
      <c r="CR68" s="138"/>
      <c r="CS68" s="138"/>
      <c r="CT68" s="138"/>
      <c r="CU68" s="138"/>
      <c r="CV68" s="138"/>
      <c r="CW68" s="138"/>
      <c r="CX68" s="138"/>
      <c r="CY68" s="138"/>
      <c r="CZ68" s="138"/>
      <c r="DA68" s="138"/>
      <c r="DB68" s="138"/>
      <c r="DC68" s="138"/>
      <c r="DD68" s="138"/>
      <c r="DE68" s="138"/>
      <c r="DF68" s="138"/>
      <c r="DG68" s="138"/>
      <c r="DH68" s="138"/>
      <c r="DI68" s="138"/>
      <c r="DJ68" s="138"/>
      <c r="DK68" s="138"/>
      <c r="DL68" s="138"/>
      <c r="DM68" s="138"/>
      <c r="DN68" s="138"/>
      <c r="DO68" s="138"/>
      <c r="DP68" s="138"/>
      <c r="DQ68" s="138"/>
      <c r="DR68" s="138"/>
      <c r="DS68" s="138"/>
      <c r="DT68" s="138"/>
      <c r="DU68" s="138"/>
      <c r="DV68" s="138"/>
      <c r="DW68" s="138"/>
      <c r="DX68" s="138"/>
      <c r="DY68" s="138"/>
      <c r="DZ68" s="138"/>
      <c r="EA68" s="138"/>
      <c r="EB68" s="138"/>
      <c r="EC68" s="138"/>
      <c r="ED68" s="138"/>
      <c r="EE68" s="126"/>
      <c r="EF68" s="138"/>
      <c r="EG68" s="138"/>
      <c r="EH68" s="138"/>
      <c r="EI68" s="138"/>
      <c r="EJ68" s="138"/>
      <c r="EK68" s="138"/>
      <c r="EL68" s="138"/>
      <c r="EM68" s="138"/>
      <c r="EN68" s="138"/>
      <c r="EO68" s="138"/>
      <c r="EP68" s="138"/>
      <c r="EQ68" s="138"/>
      <c r="ER68" s="138"/>
      <c r="ES68" s="138"/>
      <c r="ET68" s="138"/>
      <c r="EU68" s="138"/>
      <c r="EV68" s="138"/>
      <c r="EW68" s="138"/>
      <c r="EX68" s="138"/>
      <c r="EY68" s="138"/>
      <c r="EZ68" s="138"/>
      <c r="FA68" s="138"/>
      <c r="FB68" s="138"/>
      <c r="FC68" s="138"/>
      <c r="FD68" s="138"/>
      <c r="FE68" s="138"/>
      <c r="FF68" s="138"/>
      <c r="FG68" s="138"/>
      <c r="FH68" s="138"/>
      <c r="FI68" s="138"/>
      <c r="FJ68" s="138"/>
      <c r="FK68" s="138"/>
      <c r="FL68" s="138"/>
      <c r="FM68" s="138"/>
      <c r="FN68" s="138"/>
      <c r="FO68" s="138"/>
      <c r="FP68" s="138"/>
      <c r="FQ68" s="138"/>
      <c r="FR68" s="138"/>
      <c r="FS68" s="138"/>
      <c r="FT68" s="138"/>
      <c r="FU68" s="138"/>
      <c r="FV68" s="138"/>
      <c r="FW68" s="138"/>
      <c r="FX68" s="138"/>
      <c r="FY68" s="138"/>
      <c r="FZ68" s="138"/>
      <c r="GA68" s="138"/>
      <c r="GB68" s="138"/>
      <c r="GC68" s="138"/>
      <c r="GD68" s="138"/>
      <c r="GE68" s="138"/>
      <c r="GF68" s="138"/>
      <c r="GG68" s="138"/>
      <c r="GH68" s="138"/>
      <c r="GI68" s="138"/>
      <c r="GJ68" s="138"/>
      <c r="GK68" s="138"/>
      <c r="GL68" s="138"/>
      <c r="GM68" s="138"/>
      <c r="GN68" s="138"/>
      <c r="GO68" s="138"/>
      <c r="GP68" s="138"/>
      <c r="GQ68" s="138"/>
      <c r="GR68" s="138"/>
      <c r="GS68" s="138"/>
      <c r="GT68" s="138"/>
      <c r="GU68" s="138"/>
      <c r="GV68" s="138"/>
      <c r="GW68" s="138"/>
      <c r="GX68" s="138"/>
      <c r="GY68" s="138"/>
      <c r="GZ68" s="138"/>
      <c r="HA68" s="138"/>
      <c r="HB68" s="138"/>
      <c r="HC68" s="138"/>
      <c r="HD68" s="138"/>
      <c r="HE68" s="138"/>
      <c r="HF68" s="138"/>
      <c r="HG68" s="138"/>
      <c r="HH68" s="138"/>
      <c r="HI68" s="138"/>
      <c r="HJ68" s="138"/>
      <c r="HK68" s="138"/>
      <c r="HL68" s="138"/>
      <c r="HM68" s="138"/>
      <c r="HN68" s="138"/>
      <c r="HO68" s="138"/>
      <c r="HP68" s="138"/>
      <c r="HQ68" s="138"/>
      <c r="HR68" s="138"/>
      <c r="HS68" s="138"/>
      <c r="HT68" s="138"/>
      <c r="HU68" s="138"/>
      <c r="HV68" s="138"/>
      <c r="HW68" s="138"/>
      <c r="HX68" s="138"/>
      <c r="HY68" s="138"/>
      <c r="HZ68" s="138"/>
      <c r="IA68" s="138"/>
      <c r="IB68" s="138"/>
      <c r="IC68" s="138"/>
      <c r="ID68" s="138"/>
      <c r="IE68" s="138"/>
      <c r="IF68" s="138"/>
      <c r="IG68" s="138"/>
      <c r="IH68" s="138"/>
      <c r="II68" s="138"/>
      <c r="IJ68" s="138"/>
      <c r="IK68" s="138"/>
      <c r="IL68" s="138"/>
      <c r="IM68" s="138"/>
      <c r="IN68" s="138"/>
      <c r="IO68" s="138"/>
      <c r="IP68" s="138"/>
      <c r="IQ68" s="138"/>
      <c r="IR68" s="138"/>
      <c r="IS68" s="138"/>
      <c r="IT68" s="138"/>
      <c r="IU68" s="138"/>
      <c r="IV68" s="138"/>
      <c r="IW68" s="138"/>
      <c r="IX68" s="138"/>
      <c r="IY68" s="138"/>
      <c r="IZ68" s="138"/>
      <c r="JA68" s="138"/>
      <c r="JB68" s="138"/>
      <c r="JC68" s="138"/>
      <c r="JD68" s="138"/>
      <c r="JE68" s="138"/>
      <c r="JF68" s="138"/>
      <c r="JG68" s="138"/>
      <c r="JH68" s="138"/>
      <c r="JI68" s="138"/>
      <c r="JJ68" s="138"/>
      <c r="JK68" s="138"/>
      <c r="JL68" s="138"/>
      <c r="JM68" s="138"/>
      <c r="JN68" s="138"/>
      <c r="JO68" s="138"/>
      <c r="JP68" s="138"/>
    </row>
    <row r="69" spans="1:276" s="4" customFormat="1">
      <c r="A69" s="966"/>
      <c r="B69" s="963"/>
      <c r="C69" s="964"/>
      <c r="D69" s="964"/>
      <c r="E69" s="881"/>
      <c r="F69" s="881"/>
      <c r="G69" s="881"/>
      <c r="H69" s="881"/>
      <c r="I69" s="965"/>
      <c r="J69" s="881"/>
      <c r="K69" s="881"/>
      <c r="L69" s="881"/>
      <c r="M69" s="958"/>
      <c r="N69" s="959"/>
      <c r="O69" s="959"/>
      <c r="P69" s="960"/>
      <c r="Q69" s="881"/>
      <c r="R69" s="176"/>
      <c r="S69" s="958"/>
      <c r="T69" s="959"/>
      <c r="U69" s="960"/>
      <c r="V69" s="176"/>
      <c r="W69" s="176"/>
      <c r="X69" s="176"/>
      <c r="Y69" s="176"/>
      <c r="Z69" s="176"/>
      <c r="AA69" s="176"/>
      <c r="AB69" s="176"/>
      <c r="AC69" s="176"/>
      <c r="AD69" s="176"/>
      <c r="AE69" s="176"/>
      <c r="AF69" s="176"/>
      <c r="AG69" s="176"/>
      <c r="AH69" s="176"/>
      <c r="AI69" s="138"/>
      <c r="AJ69" s="138"/>
      <c r="AK69" s="138"/>
      <c r="AL69" s="138"/>
      <c r="AM69" s="138"/>
      <c r="AN69" s="138"/>
      <c r="AO69" s="138"/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  <c r="BE69" s="138"/>
      <c r="BF69" s="138"/>
      <c r="BG69" s="138"/>
      <c r="BH69" s="138"/>
      <c r="BI69" s="138"/>
      <c r="BJ69" s="138"/>
      <c r="BK69" s="138"/>
      <c r="BL69" s="138"/>
      <c r="BM69" s="138"/>
      <c r="BN69" s="138"/>
      <c r="BO69" s="138"/>
      <c r="BP69" s="138"/>
      <c r="BQ69" s="138"/>
      <c r="BR69" s="138"/>
      <c r="BS69" s="138"/>
      <c r="BT69" s="138"/>
      <c r="BU69" s="138"/>
      <c r="BV69" s="138"/>
      <c r="BW69" s="138"/>
      <c r="BX69" s="138"/>
      <c r="BY69" s="138"/>
      <c r="BZ69" s="138"/>
      <c r="CA69" s="138"/>
      <c r="CB69" s="138"/>
      <c r="CC69" s="138"/>
      <c r="CD69" s="138"/>
      <c r="CE69" s="138"/>
      <c r="CF69" s="138"/>
      <c r="CG69" s="138"/>
      <c r="CH69" s="138"/>
      <c r="CI69" s="138"/>
      <c r="CJ69" s="138"/>
      <c r="CK69" s="138"/>
      <c r="CL69" s="138"/>
      <c r="CM69" s="138"/>
      <c r="CN69" s="138"/>
      <c r="CO69" s="138"/>
      <c r="CP69" s="138"/>
      <c r="CQ69" s="138"/>
      <c r="CR69" s="138"/>
      <c r="CS69" s="138"/>
      <c r="CT69" s="138"/>
      <c r="CU69" s="138"/>
      <c r="CV69" s="138"/>
      <c r="CW69" s="138"/>
      <c r="CX69" s="138"/>
      <c r="CY69" s="138"/>
      <c r="CZ69" s="138"/>
      <c r="DA69" s="138"/>
      <c r="DB69" s="138"/>
      <c r="DC69" s="138"/>
      <c r="DD69" s="138"/>
      <c r="DE69" s="138"/>
      <c r="DF69" s="138"/>
      <c r="DG69" s="138"/>
      <c r="DH69" s="138"/>
      <c r="DI69" s="138"/>
      <c r="DJ69" s="138"/>
      <c r="DK69" s="138"/>
      <c r="DL69" s="138"/>
      <c r="DM69" s="138"/>
      <c r="DN69" s="138"/>
      <c r="DO69" s="138"/>
      <c r="DP69" s="138"/>
      <c r="DQ69" s="138"/>
      <c r="DR69" s="138"/>
      <c r="DS69" s="138"/>
      <c r="DT69" s="138"/>
      <c r="DU69" s="138"/>
      <c r="DV69" s="138"/>
      <c r="DW69" s="138"/>
      <c r="DX69" s="138"/>
      <c r="DY69" s="138"/>
      <c r="DZ69" s="138"/>
      <c r="EA69" s="138"/>
      <c r="EB69" s="138"/>
      <c r="EC69" s="138"/>
      <c r="ED69" s="138"/>
      <c r="EE69" s="126"/>
      <c r="EF69" s="138"/>
      <c r="EG69" s="138"/>
      <c r="EH69" s="138"/>
      <c r="EI69" s="138"/>
      <c r="EJ69" s="138"/>
      <c r="EK69" s="138"/>
      <c r="EL69" s="138"/>
      <c r="EM69" s="138"/>
      <c r="EN69" s="138"/>
      <c r="EO69" s="138"/>
      <c r="EP69" s="138"/>
      <c r="EQ69" s="138"/>
      <c r="ER69" s="138"/>
      <c r="ES69" s="138"/>
      <c r="ET69" s="138"/>
      <c r="EU69" s="138"/>
      <c r="EV69" s="138"/>
      <c r="EW69" s="138"/>
      <c r="EX69" s="138"/>
      <c r="EY69" s="138"/>
      <c r="EZ69" s="138"/>
      <c r="FA69" s="138"/>
      <c r="FB69" s="138"/>
      <c r="FC69" s="138"/>
      <c r="FD69" s="138"/>
      <c r="FE69" s="138"/>
      <c r="FF69" s="138"/>
      <c r="FG69" s="138"/>
      <c r="FH69" s="138"/>
      <c r="FI69" s="138"/>
      <c r="FJ69" s="138"/>
      <c r="FK69" s="138"/>
      <c r="FL69" s="138"/>
      <c r="FM69" s="138"/>
      <c r="FN69" s="138"/>
      <c r="FO69" s="138"/>
      <c r="FP69" s="138"/>
      <c r="FQ69" s="138"/>
      <c r="FR69" s="138"/>
      <c r="FS69" s="138"/>
      <c r="FT69" s="138"/>
      <c r="FU69" s="138"/>
      <c r="FV69" s="138"/>
      <c r="FW69" s="138"/>
      <c r="FX69" s="138"/>
      <c r="FY69" s="138"/>
      <c r="FZ69" s="138"/>
      <c r="GA69" s="138"/>
      <c r="GB69" s="138"/>
      <c r="GC69" s="138"/>
      <c r="GD69" s="138"/>
      <c r="GE69" s="138"/>
      <c r="GF69" s="138"/>
      <c r="GG69" s="138"/>
      <c r="GH69" s="138"/>
      <c r="GI69" s="138"/>
      <c r="GJ69" s="138"/>
      <c r="GK69" s="138"/>
      <c r="GL69" s="138"/>
      <c r="GM69" s="138"/>
      <c r="GN69" s="138"/>
      <c r="GO69" s="138"/>
      <c r="GP69" s="138"/>
      <c r="GQ69" s="138"/>
      <c r="GR69" s="138"/>
      <c r="GS69" s="138"/>
      <c r="GT69" s="138"/>
      <c r="GU69" s="138"/>
      <c r="GV69" s="138"/>
      <c r="GW69" s="138"/>
      <c r="GX69" s="138"/>
      <c r="GY69" s="138"/>
      <c r="GZ69" s="138"/>
      <c r="HA69" s="138"/>
      <c r="HB69" s="138"/>
      <c r="HC69" s="138"/>
      <c r="HD69" s="138"/>
      <c r="HE69" s="138"/>
      <c r="HF69" s="138"/>
      <c r="HG69" s="138"/>
      <c r="HH69" s="138"/>
      <c r="HI69" s="138"/>
      <c r="HJ69" s="138"/>
      <c r="HK69" s="138"/>
      <c r="HL69" s="138"/>
      <c r="HM69" s="138"/>
      <c r="HN69" s="138"/>
      <c r="HO69" s="138"/>
      <c r="HP69" s="138"/>
      <c r="HQ69" s="138"/>
      <c r="HR69" s="138"/>
      <c r="HS69" s="138"/>
      <c r="HT69" s="138"/>
      <c r="HU69" s="138"/>
      <c r="HV69" s="138"/>
      <c r="HW69" s="138"/>
      <c r="HX69" s="138"/>
      <c r="HY69" s="138"/>
      <c r="HZ69" s="138"/>
      <c r="IA69" s="138"/>
      <c r="IB69" s="138"/>
      <c r="IC69" s="138"/>
      <c r="ID69" s="138"/>
      <c r="IE69" s="138"/>
      <c r="IF69" s="138"/>
      <c r="IG69" s="138"/>
      <c r="IH69" s="138"/>
      <c r="II69" s="138"/>
      <c r="IJ69" s="138"/>
      <c r="IK69" s="138"/>
      <c r="IL69" s="138"/>
      <c r="IM69" s="138"/>
      <c r="IN69" s="138"/>
      <c r="IO69" s="138"/>
      <c r="IP69" s="138"/>
      <c r="IQ69" s="138"/>
      <c r="IR69" s="138"/>
      <c r="IS69" s="138"/>
      <c r="IT69" s="138"/>
      <c r="IU69" s="138"/>
      <c r="IV69" s="138"/>
      <c r="IW69" s="138"/>
      <c r="IX69" s="138"/>
      <c r="IY69" s="138"/>
      <c r="IZ69" s="138"/>
      <c r="JA69" s="138"/>
      <c r="JB69" s="138"/>
      <c r="JC69" s="138"/>
      <c r="JD69" s="138"/>
      <c r="JE69" s="138"/>
      <c r="JF69" s="138"/>
      <c r="JG69" s="138"/>
      <c r="JH69" s="138"/>
      <c r="JI69" s="138"/>
      <c r="JJ69" s="138"/>
      <c r="JK69" s="138"/>
      <c r="JL69" s="138"/>
      <c r="JM69" s="138"/>
      <c r="JN69" s="138"/>
      <c r="JO69" s="138"/>
      <c r="JP69" s="138"/>
    </row>
    <row r="70" spans="1:276" s="4" customFormat="1">
      <c r="A70" s="966"/>
      <c r="B70" s="963"/>
      <c r="C70" s="964"/>
      <c r="D70" s="964"/>
      <c r="E70" s="881"/>
      <c r="F70" s="881"/>
      <c r="G70" s="881"/>
      <c r="H70" s="881"/>
      <c r="I70" s="965"/>
      <c r="J70" s="881"/>
      <c r="K70" s="881"/>
      <c r="L70" s="881"/>
      <c r="M70" s="958"/>
      <c r="N70" s="959"/>
      <c r="O70" s="959"/>
      <c r="P70" s="960"/>
      <c r="Q70" s="881"/>
      <c r="R70" s="176"/>
      <c r="S70" s="958"/>
      <c r="T70" s="959"/>
      <c r="U70" s="960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76"/>
      <c r="AI70" s="138"/>
      <c r="AJ70" s="138"/>
      <c r="AK70" s="138"/>
      <c r="AL70" s="138"/>
      <c r="AM70" s="138"/>
      <c r="AN70" s="138"/>
      <c r="AO70" s="138"/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  <c r="BE70" s="138"/>
      <c r="BF70" s="138"/>
      <c r="BG70" s="138"/>
      <c r="BH70" s="138"/>
      <c r="BI70" s="138"/>
      <c r="BJ70" s="138"/>
      <c r="BK70" s="138"/>
      <c r="BL70" s="138"/>
      <c r="BM70" s="138"/>
      <c r="BN70" s="138"/>
      <c r="BO70" s="138"/>
      <c r="BP70" s="138"/>
      <c r="BQ70" s="138"/>
      <c r="BR70" s="138"/>
      <c r="BS70" s="138"/>
      <c r="BT70" s="138"/>
      <c r="BU70" s="138"/>
      <c r="BV70" s="138"/>
      <c r="BW70" s="138"/>
      <c r="BX70" s="138"/>
      <c r="BY70" s="138"/>
      <c r="BZ70" s="138"/>
      <c r="CA70" s="138"/>
      <c r="CB70" s="138"/>
      <c r="CC70" s="138"/>
      <c r="CD70" s="138"/>
      <c r="CE70" s="138"/>
      <c r="CF70" s="138"/>
      <c r="CG70" s="138"/>
      <c r="CH70" s="138"/>
      <c r="CI70" s="138"/>
      <c r="CJ70" s="138"/>
      <c r="CK70" s="138"/>
      <c r="CL70" s="138"/>
      <c r="CM70" s="138"/>
      <c r="CN70" s="138"/>
      <c r="CO70" s="138"/>
      <c r="CP70" s="138"/>
      <c r="CQ70" s="138"/>
      <c r="CR70" s="138"/>
      <c r="CS70" s="138"/>
      <c r="CT70" s="138"/>
      <c r="CU70" s="138"/>
      <c r="CV70" s="138"/>
      <c r="CW70" s="138"/>
      <c r="CX70" s="138"/>
      <c r="CY70" s="138"/>
      <c r="CZ70" s="138"/>
      <c r="DA70" s="138"/>
      <c r="DB70" s="138"/>
      <c r="DC70" s="138"/>
      <c r="DD70" s="138"/>
      <c r="DE70" s="138"/>
      <c r="DF70" s="138"/>
      <c r="DG70" s="138"/>
      <c r="DH70" s="138"/>
      <c r="DI70" s="138"/>
      <c r="DJ70" s="138"/>
      <c r="DK70" s="138"/>
      <c r="DL70" s="138"/>
      <c r="DM70" s="138"/>
      <c r="DN70" s="138"/>
      <c r="DO70" s="138"/>
      <c r="DP70" s="138"/>
      <c r="DQ70" s="138"/>
      <c r="DR70" s="138"/>
      <c r="DS70" s="138"/>
      <c r="DT70" s="138"/>
      <c r="DU70" s="138"/>
      <c r="DV70" s="138"/>
      <c r="DW70" s="138"/>
      <c r="DX70" s="138"/>
      <c r="DY70" s="138"/>
      <c r="DZ70" s="138"/>
      <c r="EA70" s="138"/>
      <c r="EB70" s="138"/>
      <c r="EC70" s="138"/>
      <c r="ED70" s="138"/>
      <c r="EE70" s="126"/>
      <c r="EF70" s="138"/>
      <c r="EG70" s="138"/>
      <c r="EH70" s="138"/>
      <c r="EI70" s="138"/>
      <c r="EJ70" s="138"/>
      <c r="EK70" s="138"/>
      <c r="EL70" s="138"/>
      <c r="EM70" s="138"/>
      <c r="EN70" s="138"/>
      <c r="EO70" s="138"/>
      <c r="EP70" s="138"/>
      <c r="EQ70" s="138"/>
      <c r="ER70" s="138"/>
      <c r="ES70" s="138"/>
      <c r="ET70" s="138"/>
      <c r="EU70" s="138"/>
      <c r="EV70" s="138"/>
      <c r="EW70" s="138"/>
      <c r="EX70" s="138"/>
      <c r="EY70" s="138"/>
      <c r="EZ70" s="138"/>
      <c r="FA70" s="138"/>
      <c r="FB70" s="138"/>
      <c r="FC70" s="138"/>
      <c r="FD70" s="138"/>
      <c r="FE70" s="138"/>
      <c r="FF70" s="138"/>
      <c r="FG70" s="138"/>
      <c r="FH70" s="138"/>
      <c r="FI70" s="138"/>
      <c r="FJ70" s="138"/>
      <c r="FK70" s="138"/>
      <c r="FL70" s="138"/>
      <c r="FM70" s="138"/>
      <c r="FN70" s="138"/>
      <c r="FO70" s="138"/>
      <c r="FP70" s="138"/>
      <c r="FQ70" s="138"/>
      <c r="FR70" s="138"/>
      <c r="FS70" s="138"/>
      <c r="FT70" s="138"/>
      <c r="FU70" s="138"/>
      <c r="FV70" s="138"/>
      <c r="FW70" s="138"/>
      <c r="FX70" s="138"/>
      <c r="FY70" s="138"/>
      <c r="FZ70" s="138"/>
      <c r="GA70" s="138"/>
      <c r="GB70" s="138"/>
      <c r="GC70" s="138"/>
      <c r="GD70" s="138"/>
      <c r="GE70" s="138"/>
      <c r="GF70" s="138"/>
      <c r="GG70" s="138"/>
      <c r="GH70" s="138"/>
      <c r="GI70" s="138"/>
      <c r="GJ70" s="138"/>
      <c r="GK70" s="138"/>
      <c r="GL70" s="138"/>
      <c r="GM70" s="138"/>
      <c r="GN70" s="138"/>
      <c r="GO70" s="138"/>
      <c r="GP70" s="138"/>
      <c r="GQ70" s="138"/>
      <c r="GR70" s="138"/>
      <c r="GS70" s="138"/>
      <c r="GT70" s="138"/>
      <c r="GU70" s="138"/>
      <c r="GV70" s="138"/>
      <c r="GW70" s="138"/>
      <c r="GX70" s="138"/>
      <c r="GY70" s="138"/>
      <c r="GZ70" s="138"/>
      <c r="HA70" s="138"/>
      <c r="HB70" s="138"/>
      <c r="HC70" s="138"/>
      <c r="HD70" s="138"/>
      <c r="HE70" s="138"/>
      <c r="HF70" s="138"/>
      <c r="HG70" s="138"/>
      <c r="HH70" s="138"/>
      <c r="HI70" s="138"/>
      <c r="HJ70" s="138"/>
      <c r="HK70" s="138"/>
      <c r="HL70" s="138"/>
      <c r="HM70" s="138"/>
      <c r="HN70" s="138"/>
      <c r="HO70" s="138"/>
      <c r="HP70" s="138"/>
      <c r="HQ70" s="138"/>
      <c r="HR70" s="138"/>
      <c r="HS70" s="138"/>
      <c r="HT70" s="138"/>
      <c r="HU70" s="138"/>
      <c r="HV70" s="138"/>
      <c r="HW70" s="138"/>
      <c r="HX70" s="138"/>
      <c r="HY70" s="138"/>
      <c r="HZ70" s="138"/>
      <c r="IA70" s="138"/>
      <c r="IB70" s="138"/>
      <c r="IC70" s="138"/>
      <c r="ID70" s="138"/>
      <c r="IE70" s="138"/>
      <c r="IF70" s="138"/>
      <c r="IG70" s="138"/>
      <c r="IH70" s="138"/>
      <c r="II70" s="138"/>
      <c r="IJ70" s="138"/>
      <c r="IK70" s="138"/>
      <c r="IL70" s="138"/>
      <c r="IM70" s="138"/>
      <c r="IN70" s="138"/>
      <c r="IO70" s="138"/>
      <c r="IP70" s="138"/>
      <c r="IQ70" s="138"/>
      <c r="IR70" s="138"/>
      <c r="IS70" s="138"/>
      <c r="IT70" s="138"/>
      <c r="IU70" s="138"/>
      <c r="IV70" s="138"/>
      <c r="IW70" s="138"/>
      <c r="IX70" s="138"/>
      <c r="IY70" s="138"/>
      <c r="IZ70" s="138"/>
      <c r="JA70" s="138"/>
      <c r="JB70" s="138"/>
      <c r="JC70" s="138"/>
      <c r="JD70" s="138"/>
      <c r="JE70" s="138"/>
      <c r="JF70" s="138"/>
      <c r="JG70" s="138"/>
      <c r="JH70" s="138"/>
      <c r="JI70" s="138"/>
      <c r="JJ70" s="138"/>
      <c r="JK70" s="138"/>
      <c r="JL70" s="138"/>
      <c r="JM70" s="138"/>
      <c r="JN70" s="138"/>
      <c r="JO70" s="138"/>
      <c r="JP70" s="138"/>
    </row>
    <row r="71" spans="1:276" s="4" customFormat="1">
      <c r="A71" s="966"/>
      <c r="B71" s="963"/>
      <c r="C71" s="964"/>
      <c r="D71" s="964"/>
      <c r="E71" s="881"/>
      <c r="F71" s="881"/>
      <c r="G71" s="881"/>
      <c r="H71" s="881"/>
      <c r="I71" s="965"/>
      <c r="J71" s="881"/>
      <c r="K71" s="881"/>
      <c r="L71" s="881"/>
      <c r="M71" s="958"/>
      <c r="N71" s="959"/>
      <c r="O71" s="959"/>
      <c r="P71" s="960"/>
      <c r="Q71" s="881"/>
      <c r="R71" s="176"/>
      <c r="S71" s="958"/>
      <c r="T71" s="959"/>
      <c r="U71" s="960"/>
      <c r="V71" s="176"/>
      <c r="W71" s="176"/>
      <c r="X71" s="176"/>
      <c r="Y71" s="176"/>
      <c r="Z71" s="176"/>
      <c r="AA71" s="176"/>
      <c r="AB71" s="176"/>
      <c r="AC71" s="176"/>
      <c r="AD71" s="176"/>
      <c r="AE71" s="176"/>
      <c r="AF71" s="176"/>
      <c r="AG71" s="176"/>
      <c r="AH71" s="176"/>
      <c r="AI71" s="138"/>
      <c r="AJ71" s="138"/>
      <c r="AK71" s="138"/>
      <c r="AL71" s="138"/>
      <c r="AM71" s="138"/>
      <c r="AN71" s="138"/>
      <c r="AO71" s="138"/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  <c r="BE71" s="138"/>
      <c r="BF71" s="138"/>
      <c r="BG71" s="138"/>
      <c r="BH71" s="138"/>
      <c r="BI71" s="138"/>
      <c r="BJ71" s="138"/>
      <c r="BK71" s="138"/>
      <c r="BL71" s="138"/>
      <c r="BM71" s="138"/>
      <c r="BN71" s="138"/>
      <c r="BO71" s="138"/>
      <c r="BP71" s="138"/>
      <c r="BQ71" s="138"/>
      <c r="BR71" s="138"/>
      <c r="BS71" s="138"/>
      <c r="BT71" s="138"/>
      <c r="BU71" s="138"/>
      <c r="BV71" s="138"/>
      <c r="BW71" s="138"/>
      <c r="BX71" s="138"/>
      <c r="BY71" s="138"/>
      <c r="BZ71" s="138"/>
      <c r="CA71" s="138"/>
      <c r="CB71" s="138"/>
      <c r="CC71" s="138"/>
      <c r="CD71" s="138"/>
      <c r="CE71" s="138"/>
      <c r="CF71" s="138"/>
      <c r="CG71" s="138"/>
      <c r="CH71" s="138"/>
      <c r="CI71" s="138"/>
      <c r="CJ71" s="138"/>
      <c r="CK71" s="138"/>
      <c r="CL71" s="138"/>
      <c r="CM71" s="138"/>
      <c r="CN71" s="138"/>
      <c r="CO71" s="138"/>
      <c r="CP71" s="138"/>
      <c r="CQ71" s="138"/>
      <c r="CR71" s="138"/>
      <c r="CS71" s="138"/>
      <c r="CT71" s="138"/>
      <c r="CU71" s="138"/>
      <c r="CV71" s="138"/>
      <c r="CW71" s="138"/>
      <c r="CX71" s="138"/>
      <c r="CY71" s="138"/>
      <c r="CZ71" s="138"/>
      <c r="DA71" s="138"/>
      <c r="DB71" s="138"/>
      <c r="DC71" s="138"/>
      <c r="DD71" s="138"/>
      <c r="DE71" s="138"/>
      <c r="DF71" s="138"/>
      <c r="DG71" s="138"/>
      <c r="DH71" s="138"/>
      <c r="DI71" s="138"/>
      <c r="DJ71" s="138"/>
      <c r="DK71" s="138"/>
      <c r="DL71" s="138"/>
      <c r="DM71" s="138"/>
      <c r="DN71" s="138"/>
      <c r="DO71" s="138"/>
      <c r="DP71" s="138"/>
      <c r="DQ71" s="138"/>
      <c r="DR71" s="138"/>
      <c r="DS71" s="138"/>
      <c r="DT71" s="138"/>
      <c r="DU71" s="138"/>
      <c r="DV71" s="138"/>
      <c r="DW71" s="138"/>
      <c r="DX71" s="138"/>
      <c r="DY71" s="138"/>
      <c r="DZ71" s="138"/>
      <c r="EA71" s="138"/>
      <c r="EB71" s="138"/>
      <c r="EC71" s="138"/>
      <c r="ED71" s="138"/>
      <c r="EE71" s="126"/>
      <c r="EF71" s="138"/>
      <c r="EG71" s="138"/>
      <c r="EH71" s="138"/>
      <c r="EI71" s="138"/>
      <c r="EJ71" s="138"/>
      <c r="EK71" s="138"/>
      <c r="EL71" s="138"/>
      <c r="EM71" s="138"/>
      <c r="EN71" s="138"/>
      <c r="EO71" s="138"/>
      <c r="EP71" s="138"/>
      <c r="EQ71" s="138"/>
      <c r="ER71" s="138"/>
      <c r="ES71" s="138"/>
      <c r="ET71" s="138"/>
      <c r="EU71" s="138"/>
      <c r="EV71" s="138"/>
      <c r="EW71" s="138"/>
      <c r="EX71" s="138"/>
      <c r="EY71" s="138"/>
      <c r="EZ71" s="138"/>
      <c r="FA71" s="138"/>
      <c r="FB71" s="138"/>
      <c r="FC71" s="138"/>
      <c r="FD71" s="138"/>
      <c r="FE71" s="138"/>
      <c r="FF71" s="138"/>
      <c r="FG71" s="138"/>
      <c r="FH71" s="138"/>
      <c r="FI71" s="138"/>
      <c r="FJ71" s="138"/>
      <c r="FK71" s="138"/>
      <c r="FL71" s="138"/>
      <c r="FM71" s="138"/>
      <c r="FN71" s="138"/>
      <c r="FO71" s="138"/>
      <c r="FP71" s="138"/>
      <c r="FQ71" s="138"/>
      <c r="FR71" s="138"/>
      <c r="FS71" s="138"/>
      <c r="FT71" s="138"/>
      <c r="FU71" s="138"/>
      <c r="FV71" s="138"/>
      <c r="FW71" s="138"/>
      <c r="FX71" s="138"/>
      <c r="FY71" s="138"/>
      <c r="FZ71" s="138"/>
      <c r="GA71" s="138"/>
      <c r="GB71" s="138"/>
      <c r="GC71" s="138"/>
      <c r="GD71" s="138"/>
      <c r="GE71" s="138"/>
      <c r="GF71" s="138"/>
      <c r="GG71" s="138"/>
      <c r="GH71" s="138"/>
      <c r="GI71" s="138"/>
      <c r="GJ71" s="138"/>
      <c r="GK71" s="138"/>
      <c r="GL71" s="138"/>
      <c r="GM71" s="138"/>
      <c r="GN71" s="138"/>
      <c r="GO71" s="138"/>
      <c r="GP71" s="138"/>
      <c r="GQ71" s="138"/>
      <c r="GR71" s="138"/>
      <c r="GS71" s="138"/>
      <c r="GT71" s="138"/>
      <c r="GU71" s="138"/>
      <c r="GV71" s="138"/>
      <c r="GW71" s="138"/>
      <c r="GX71" s="138"/>
      <c r="GY71" s="138"/>
      <c r="GZ71" s="138"/>
      <c r="HA71" s="138"/>
      <c r="HB71" s="138"/>
      <c r="HC71" s="138"/>
      <c r="HD71" s="138"/>
      <c r="HE71" s="138"/>
      <c r="HF71" s="138"/>
      <c r="HG71" s="138"/>
      <c r="HH71" s="138"/>
      <c r="HI71" s="138"/>
      <c r="HJ71" s="138"/>
      <c r="HK71" s="138"/>
      <c r="HL71" s="138"/>
      <c r="HM71" s="138"/>
      <c r="HN71" s="138"/>
      <c r="HO71" s="138"/>
      <c r="HP71" s="138"/>
      <c r="HQ71" s="138"/>
      <c r="HR71" s="138"/>
      <c r="HS71" s="138"/>
      <c r="HT71" s="138"/>
      <c r="HU71" s="138"/>
      <c r="HV71" s="138"/>
      <c r="HW71" s="138"/>
      <c r="HX71" s="138"/>
      <c r="HY71" s="138"/>
      <c r="HZ71" s="138"/>
      <c r="IA71" s="138"/>
      <c r="IB71" s="138"/>
      <c r="IC71" s="138"/>
      <c r="ID71" s="138"/>
      <c r="IE71" s="138"/>
      <c r="IF71" s="138"/>
      <c r="IG71" s="138"/>
      <c r="IH71" s="138"/>
      <c r="II71" s="138"/>
      <c r="IJ71" s="138"/>
      <c r="IK71" s="138"/>
      <c r="IL71" s="138"/>
      <c r="IM71" s="138"/>
      <c r="IN71" s="138"/>
      <c r="IO71" s="138"/>
      <c r="IP71" s="138"/>
      <c r="IQ71" s="138"/>
      <c r="IR71" s="138"/>
      <c r="IS71" s="138"/>
      <c r="IT71" s="138"/>
      <c r="IU71" s="138"/>
      <c r="IV71" s="138"/>
      <c r="IW71" s="138"/>
      <c r="IX71" s="138"/>
      <c r="IY71" s="138"/>
      <c r="IZ71" s="138"/>
      <c r="JA71" s="138"/>
      <c r="JB71" s="138"/>
      <c r="JC71" s="138"/>
      <c r="JD71" s="138"/>
      <c r="JE71" s="138"/>
      <c r="JF71" s="138"/>
      <c r="JG71" s="138"/>
      <c r="JH71" s="138"/>
      <c r="JI71" s="138"/>
      <c r="JJ71" s="138"/>
      <c r="JK71" s="138"/>
      <c r="JL71" s="138"/>
      <c r="JM71" s="138"/>
      <c r="JN71" s="138"/>
      <c r="JO71" s="138"/>
      <c r="JP71" s="138"/>
    </row>
    <row r="72" spans="1:276" s="4" customFormat="1">
      <c r="A72" s="966"/>
      <c r="B72" s="963"/>
      <c r="C72" s="964"/>
      <c r="D72" s="964"/>
      <c r="E72" s="881"/>
      <c r="F72" s="881"/>
      <c r="G72" s="881"/>
      <c r="H72" s="881"/>
      <c r="I72" s="965"/>
      <c r="J72" s="881"/>
      <c r="K72" s="881"/>
      <c r="L72" s="881"/>
      <c r="M72" s="958"/>
      <c r="N72" s="959"/>
      <c r="O72" s="959"/>
      <c r="P72" s="960"/>
      <c r="Q72" s="881"/>
      <c r="R72" s="176"/>
      <c r="S72" s="958"/>
      <c r="T72" s="959"/>
      <c r="U72" s="960"/>
      <c r="V72" s="176"/>
      <c r="W72" s="176"/>
      <c r="X72" s="176"/>
      <c r="Y72" s="176"/>
      <c r="Z72" s="176"/>
      <c r="AA72" s="176"/>
      <c r="AB72" s="176"/>
      <c r="AC72" s="176"/>
      <c r="AD72" s="176"/>
      <c r="AE72" s="176"/>
      <c r="AF72" s="176"/>
      <c r="AG72" s="176"/>
      <c r="AH72" s="176"/>
      <c r="AI72" s="138"/>
      <c r="AJ72" s="138"/>
      <c r="AK72" s="138"/>
      <c r="AL72" s="138"/>
      <c r="AM72" s="138"/>
      <c r="AN72" s="138"/>
      <c r="AO72" s="138"/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  <c r="BE72" s="138"/>
      <c r="BF72" s="138"/>
      <c r="BG72" s="138"/>
      <c r="BH72" s="138"/>
      <c r="BI72" s="138"/>
      <c r="BJ72" s="138"/>
      <c r="BK72" s="138"/>
      <c r="BL72" s="138"/>
      <c r="BM72" s="138"/>
      <c r="BN72" s="138"/>
      <c r="BO72" s="138"/>
      <c r="BP72" s="138"/>
      <c r="BQ72" s="138"/>
      <c r="BR72" s="138"/>
      <c r="BS72" s="138"/>
      <c r="BT72" s="138"/>
      <c r="BU72" s="138"/>
      <c r="BV72" s="138"/>
      <c r="BW72" s="138"/>
      <c r="BX72" s="138"/>
      <c r="BY72" s="138"/>
      <c r="BZ72" s="138"/>
      <c r="CA72" s="138"/>
      <c r="CB72" s="138"/>
      <c r="CC72" s="138"/>
      <c r="CD72" s="138"/>
      <c r="CE72" s="138"/>
      <c r="CF72" s="138"/>
      <c r="CG72" s="138"/>
      <c r="CH72" s="138"/>
      <c r="CI72" s="138"/>
      <c r="CJ72" s="138"/>
      <c r="CK72" s="138"/>
      <c r="CL72" s="138"/>
      <c r="CM72" s="138"/>
      <c r="CN72" s="138"/>
      <c r="CO72" s="138"/>
      <c r="CP72" s="138"/>
      <c r="CQ72" s="138"/>
      <c r="CR72" s="138"/>
      <c r="CS72" s="138"/>
      <c r="CT72" s="138"/>
      <c r="CU72" s="138"/>
      <c r="CV72" s="138"/>
      <c r="CW72" s="138"/>
      <c r="CX72" s="138"/>
      <c r="CY72" s="138"/>
      <c r="CZ72" s="138"/>
      <c r="DA72" s="138"/>
      <c r="DB72" s="138"/>
      <c r="DC72" s="138"/>
      <c r="DD72" s="138"/>
      <c r="DE72" s="138"/>
      <c r="DF72" s="138"/>
      <c r="DG72" s="138"/>
      <c r="DH72" s="138"/>
      <c r="DI72" s="138"/>
      <c r="DJ72" s="138"/>
      <c r="DK72" s="138"/>
      <c r="DL72" s="138"/>
      <c r="DM72" s="138"/>
      <c r="DN72" s="138"/>
      <c r="DO72" s="138"/>
      <c r="DP72" s="138"/>
      <c r="DQ72" s="138"/>
      <c r="DR72" s="138"/>
      <c r="DS72" s="138"/>
      <c r="DT72" s="138"/>
      <c r="DU72" s="138"/>
      <c r="DV72" s="138"/>
      <c r="DW72" s="138"/>
      <c r="DX72" s="138"/>
      <c r="DY72" s="138"/>
      <c r="DZ72" s="138"/>
      <c r="EA72" s="138"/>
      <c r="EB72" s="138"/>
      <c r="EC72" s="138"/>
      <c r="ED72" s="138"/>
      <c r="EE72" s="126"/>
      <c r="EF72" s="138"/>
      <c r="EG72" s="138"/>
      <c r="EH72" s="138"/>
      <c r="EI72" s="138"/>
      <c r="EJ72" s="138"/>
      <c r="EK72" s="138"/>
      <c r="EL72" s="138"/>
      <c r="EM72" s="138"/>
      <c r="EN72" s="138"/>
      <c r="EO72" s="138"/>
      <c r="EP72" s="138"/>
      <c r="EQ72" s="138"/>
      <c r="ER72" s="138"/>
      <c r="ES72" s="138"/>
      <c r="ET72" s="138"/>
      <c r="EU72" s="138"/>
      <c r="EV72" s="138"/>
      <c r="EW72" s="138"/>
      <c r="EX72" s="138"/>
      <c r="EY72" s="138"/>
      <c r="EZ72" s="138"/>
      <c r="FA72" s="138"/>
      <c r="FB72" s="138"/>
      <c r="FC72" s="138"/>
      <c r="FD72" s="138"/>
      <c r="FE72" s="138"/>
      <c r="FF72" s="138"/>
      <c r="FG72" s="138"/>
      <c r="FH72" s="138"/>
      <c r="FI72" s="138"/>
      <c r="FJ72" s="138"/>
      <c r="FK72" s="138"/>
      <c r="FL72" s="138"/>
      <c r="FM72" s="138"/>
      <c r="FN72" s="138"/>
      <c r="FO72" s="138"/>
      <c r="FP72" s="138"/>
      <c r="FQ72" s="138"/>
      <c r="FR72" s="138"/>
      <c r="FS72" s="138"/>
      <c r="FT72" s="138"/>
      <c r="FU72" s="138"/>
      <c r="FV72" s="138"/>
      <c r="FW72" s="138"/>
      <c r="FX72" s="138"/>
      <c r="FY72" s="138"/>
      <c r="FZ72" s="138"/>
      <c r="GA72" s="138"/>
      <c r="GB72" s="138"/>
      <c r="GC72" s="138"/>
      <c r="GD72" s="138"/>
      <c r="GE72" s="138"/>
      <c r="GF72" s="138"/>
      <c r="GG72" s="138"/>
      <c r="GH72" s="138"/>
      <c r="GI72" s="138"/>
      <c r="GJ72" s="138"/>
      <c r="GK72" s="138"/>
      <c r="GL72" s="138"/>
      <c r="GM72" s="138"/>
      <c r="GN72" s="138"/>
      <c r="GO72" s="138"/>
      <c r="GP72" s="138"/>
      <c r="GQ72" s="138"/>
      <c r="GR72" s="138"/>
      <c r="GS72" s="138"/>
      <c r="GT72" s="138"/>
      <c r="GU72" s="138"/>
      <c r="GV72" s="138"/>
      <c r="GW72" s="138"/>
      <c r="GX72" s="138"/>
      <c r="GY72" s="138"/>
      <c r="GZ72" s="138"/>
      <c r="HA72" s="138"/>
      <c r="HB72" s="138"/>
      <c r="HC72" s="138"/>
      <c r="HD72" s="138"/>
      <c r="HE72" s="138"/>
      <c r="HF72" s="138"/>
      <c r="HG72" s="138"/>
      <c r="HH72" s="138"/>
      <c r="HI72" s="138"/>
      <c r="HJ72" s="138"/>
      <c r="HK72" s="138"/>
      <c r="HL72" s="138"/>
      <c r="HM72" s="138"/>
      <c r="HN72" s="138"/>
      <c r="HO72" s="138"/>
      <c r="HP72" s="138"/>
      <c r="HQ72" s="138"/>
      <c r="HR72" s="138"/>
      <c r="HS72" s="138"/>
      <c r="HT72" s="138"/>
      <c r="HU72" s="138"/>
      <c r="HV72" s="138"/>
      <c r="HW72" s="138"/>
      <c r="HX72" s="138"/>
      <c r="HY72" s="138"/>
      <c r="HZ72" s="138"/>
      <c r="IA72" s="138"/>
      <c r="IB72" s="138"/>
      <c r="IC72" s="138"/>
      <c r="ID72" s="138"/>
      <c r="IE72" s="138"/>
      <c r="IF72" s="138"/>
      <c r="IG72" s="138"/>
      <c r="IH72" s="138"/>
      <c r="II72" s="138"/>
      <c r="IJ72" s="138"/>
      <c r="IK72" s="138"/>
      <c r="IL72" s="138"/>
      <c r="IM72" s="138"/>
      <c r="IN72" s="138"/>
      <c r="IO72" s="138"/>
      <c r="IP72" s="138"/>
      <c r="IQ72" s="138"/>
      <c r="IR72" s="138"/>
      <c r="IS72" s="138"/>
      <c r="IT72" s="138"/>
      <c r="IU72" s="138"/>
      <c r="IV72" s="138"/>
      <c r="IW72" s="138"/>
      <c r="IX72" s="138"/>
      <c r="IY72" s="138"/>
      <c r="IZ72" s="138"/>
      <c r="JA72" s="138"/>
      <c r="JB72" s="138"/>
      <c r="JC72" s="138"/>
      <c r="JD72" s="138"/>
      <c r="JE72" s="138"/>
      <c r="JF72" s="138"/>
      <c r="JG72" s="138"/>
      <c r="JH72" s="138"/>
      <c r="JI72" s="138"/>
      <c r="JJ72" s="138"/>
      <c r="JK72" s="138"/>
      <c r="JL72" s="138"/>
      <c r="JM72" s="138"/>
      <c r="JN72" s="138"/>
      <c r="JO72" s="138"/>
      <c r="JP72" s="138"/>
    </row>
    <row r="73" spans="1:276" s="4" customFormat="1">
      <c r="A73" s="966"/>
      <c r="B73" s="963"/>
      <c r="C73" s="964"/>
      <c r="D73" s="964"/>
      <c r="E73" s="881"/>
      <c r="F73" s="881"/>
      <c r="G73" s="881"/>
      <c r="H73" s="881"/>
      <c r="I73" s="965"/>
      <c r="J73" s="881"/>
      <c r="K73" s="881"/>
      <c r="L73" s="881"/>
      <c r="M73" s="958"/>
      <c r="N73" s="959"/>
      <c r="O73" s="959"/>
      <c r="P73" s="960"/>
      <c r="Q73" s="881"/>
      <c r="R73" s="176"/>
      <c r="S73" s="958"/>
      <c r="T73" s="959"/>
      <c r="U73" s="960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176"/>
      <c r="AI73" s="138"/>
      <c r="AJ73" s="138"/>
      <c r="AK73" s="138"/>
      <c r="AL73" s="138"/>
      <c r="AM73" s="138"/>
      <c r="AN73" s="138"/>
      <c r="AO73" s="138"/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  <c r="BE73" s="138"/>
      <c r="BF73" s="138"/>
      <c r="BG73" s="138"/>
      <c r="BH73" s="138"/>
      <c r="BI73" s="138"/>
      <c r="BJ73" s="138"/>
      <c r="BK73" s="138"/>
      <c r="BL73" s="138"/>
      <c r="BM73" s="138"/>
      <c r="BN73" s="138"/>
      <c r="BO73" s="138"/>
      <c r="BP73" s="138"/>
      <c r="BQ73" s="138"/>
      <c r="BR73" s="138"/>
      <c r="BS73" s="138"/>
      <c r="BT73" s="138"/>
      <c r="BU73" s="138"/>
      <c r="BV73" s="138"/>
      <c r="BW73" s="138"/>
      <c r="BX73" s="138"/>
      <c r="BY73" s="138"/>
      <c r="BZ73" s="138"/>
      <c r="CA73" s="138"/>
      <c r="CB73" s="138"/>
      <c r="CC73" s="138"/>
      <c r="CD73" s="138"/>
      <c r="CE73" s="138"/>
      <c r="CF73" s="138"/>
      <c r="CG73" s="138"/>
      <c r="CH73" s="138"/>
      <c r="CI73" s="138"/>
      <c r="CJ73" s="138"/>
      <c r="CK73" s="138"/>
      <c r="CL73" s="138"/>
      <c r="CM73" s="138"/>
      <c r="CN73" s="138"/>
      <c r="CO73" s="138"/>
      <c r="CP73" s="138"/>
      <c r="CQ73" s="138"/>
      <c r="CR73" s="138"/>
      <c r="CS73" s="138"/>
      <c r="CT73" s="138"/>
      <c r="CU73" s="138"/>
      <c r="CV73" s="138"/>
      <c r="CW73" s="138"/>
      <c r="CX73" s="138"/>
      <c r="CY73" s="138"/>
      <c r="CZ73" s="138"/>
      <c r="DA73" s="138"/>
      <c r="DB73" s="138"/>
      <c r="DC73" s="138"/>
      <c r="DD73" s="138"/>
      <c r="DE73" s="138"/>
      <c r="DF73" s="138"/>
      <c r="DG73" s="138"/>
      <c r="DH73" s="138"/>
      <c r="DI73" s="138"/>
      <c r="DJ73" s="138"/>
      <c r="DK73" s="138"/>
      <c r="DL73" s="138"/>
      <c r="DM73" s="138"/>
      <c r="DN73" s="138"/>
      <c r="DO73" s="138"/>
      <c r="DP73" s="138"/>
      <c r="DQ73" s="138"/>
      <c r="DR73" s="138"/>
      <c r="DS73" s="138"/>
      <c r="DT73" s="138"/>
      <c r="DU73" s="138"/>
      <c r="DV73" s="138"/>
      <c r="DW73" s="138"/>
      <c r="DX73" s="138"/>
      <c r="DY73" s="138"/>
      <c r="DZ73" s="138"/>
      <c r="EA73" s="138"/>
      <c r="EB73" s="138"/>
      <c r="EC73" s="138"/>
      <c r="ED73" s="138"/>
      <c r="EE73" s="126"/>
      <c r="EF73" s="138"/>
      <c r="EG73" s="138"/>
      <c r="EH73" s="138"/>
      <c r="EI73" s="138"/>
      <c r="EJ73" s="138"/>
      <c r="EK73" s="138"/>
      <c r="EL73" s="138"/>
      <c r="EM73" s="138"/>
      <c r="EN73" s="138"/>
      <c r="EO73" s="138"/>
      <c r="EP73" s="138"/>
      <c r="EQ73" s="138"/>
      <c r="ER73" s="138"/>
      <c r="ES73" s="138"/>
      <c r="ET73" s="138"/>
      <c r="EU73" s="138"/>
      <c r="EV73" s="138"/>
      <c r="EW73" s="138"/>
      <c r="EX73" s="138"/>
      <c r="EY73" s="138"/>
      <c r="EZ73" s="138"/>
      <c r="FA73" s="138"/>
      <c r="FB73" s="138"/>
      <c r="FC73" s="138"/>
      <c r="FD73" s="138"/>
      <c r="FE73" s="138"/>
      <c r="FF73" s="138"/>
      <c r="FG73" s="138"/>
      <c r="FH73" s="138"/>
      <c r="FI73" s="138"/>
      <c r="FJ73" s="138"/>
      <c r="FK73" s="138"/>
      <c r="FL73" s="138"/>
      <c r="FM73" s="138"/>
      <c r="FN73" s="138"/>
      <c r="FO73" s="138"/>
      <c r="FP73" s="138"/>
      <c r="FQ73" s="138"/>
      <c r="FR73" s="138"/>
      <c r="FS73" s="138"/>
      <c r="FT73" s="138"/>
      <c r="FU73" s="138"/>
      <c r="FV73" s="138"/>
      <c r="FW73" s="138"/>
      <c r="FX73" s="138"/>
      <c r="FY73" s="138"/>
      <c r="FZ73" s="138"/>
      <c r="GA73" s="138"/>
      <c r="GB73" s="138"/>
      <c r="GC73" s="138"/>
      <c r="GD73" s="138"/>
      <c r="GE73" s="138"/>
      <c r="GF73" s="138"/>
      <c r="GG73" s="138"/>
      <c r="GH73" s="138"/>
      <c r="GI73" s="138"/>
      <c r="GJ73" s="138"/>
      <c r="GK73" s="138"/>
      <c r="GL73" s="138"/>
      <c r="GM73" s="138"/>
      <c r="GN73" s="138"/>
      <c r="GO73" s="138"/>
      <c r="GP73" s="138"/>
      <c r="GQ73" s="138"/>
      <c r="GR73" s="138"/>
      <c r="GS73" s="138"/>
      <c r="GT73" s="138"/>
      <c r="GU73" s="138"/>
      <c r="GV73" s="138"/>
      <c r="GW73" s="138"/>
      <c r="GX73" s="138"/>
      <c r="GY73" s="138"/>
      <c r="GZ73" s="138"/>
      <c r="HA73" s="138"/>
      <c r="HB73" s="138"/>
      <c r="HC73" s="138"/>
      <c r="HD73" s="138"/>
      <c r="HE73" s="138"/>
      <c r="HF73" s="138"/>
      <c r="HG73" s="138"/>
      <c r="HH73" s="138"/>
      <c r="HI73" s="138"/>
      <c r="HJ73" s="138"/>
      <c r="HK73" s="138"/>
      <c r="HL73" s="138"/>
      <c r="HM73" s="138"/>
      <c r="HN73" s="138"/>
      <c r="HO73" s="138"/>
      <c r="HP73" s="138"/>
      <c r="HQ73" s="138"/>
      <c r="HR73" s="138"/>
      <c r="HS73" s="138"/>
      <c r="HT73" s="138"/>
      <c r="HU73" s="138"/>
      <c r="HV73" s="138"/>
      <c r="HW73" s="138"/>
      <c r="HX73" s="138"/>
      <c r="HY73" s="138"/>
      <c r="HZ73" s="138"/>
      <c r="IA73" s="138"/>
      <c r="IB73" s="138"/>
      <c r="IC73" s="138"/>
      <c r="ID73" s="138"/>
      <c r="IE73" s="138"/>
      <c r="IF73" s="138"/>
      <c r="IG73" s="138"/>
      <c r="IH73" s="138"/>
      <c r="II73" s="138"/>
      <c r="IJ73" s="138"/>
      <c r="IK73" s="138"/>
      <c r="IL73" s="138"/>
      <c r="IM73" s="138"/>
      <c r="IN73" s="138"/>
      <c r="IO73" s="138"/>
      <c r="IP73" s="138"/>
      <c r="IQ73" s="138"/>
      <c r="IR73" s="138"/>
      <c r="IS73" s="138"/>
      <c r="IT73" s="138"/>
      <c r="IU73" s="138"/>
      <c r="IV73" s="138"/>
      <c r="IW73" s="138"/>
      <c r="IX73" s="138"/>
      <c r="IY73" s="138"/>
      <c r="IZ73" s="138"/>
      <c r="JA73" s="138"/>
      <c r="JB73" s="138"/>
      <c r="JC73" s="138"/>
      <c r="JD73" s="138"/>
      <c r="JE73" s="138"/>
      <c r="JF73" s="138"/>
      <c r="JG73" s="138"/>
      <c r="JH73" s="138"/>
      <c r="JI73" s="138"/>
      <c r="JJ73" s="138"/>
      <c r="JK73" s="138"/>
      <c r="JL73" s="138"/>
      <c r="JM73" s="138"/>
      <c r="JN73" s="138"/>
      <c r="JO73" s="138"/>
      <c r="JP73" s="138"/>
    </row>
    <row r="74" spans="1:276" s="4" customFormat="1">
      <c r="A74" s="966"/>
      <c r="B74" s="963"/>
      <c r="C74" s="964"/>
      <c r="D74" s="964"/>
      <c r="E74" s="881"/>
      <c r="F74" s="881"/>
      <c r="G74" s="881"/>
      <c r="H74" s="881"/>
      <c r="I74" s="965"/>
      <c r="J74" s="881"/>
      <c r="K74" s="881"/>
      <c r="L74" s="881"/>
      <c r="M74" s="958"/>
      <c r="N74" s="959"/>
      <c r="O74" s="959"/>
      <c r="P74" s="960"/>
      <c r="Q74" s="881"/>
      <c r="R74" s="176"/>
      <c r="S74" s="958"/>
      <c r="T74" s="959"/>
      <c r="U74" s="960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76"/>
      <c r="AH74" s="176"/>
      <c r="AI74" s="138"/>
      <c r="AJ74" s="138"/>
      <c r="AK74" s="138"/>
      <c r="AL74" s="138"/>
      <c r="AM74" s="138"/>
      <c r="AN74" s="138"/>
      <c r="AO74" s="138"/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  <c r="BE74" s="138"/>
      <c r="BF74" s="138"/>
      <c r="BG74" s="138"/>
      <c r="BH74" s="138"/>
      <c r="BI74" s="138"/>
      <c r="BJ74" s="138"/>
      <c r="BK74" s="138"/>
      <c r="BL74" s="138"/>
      <c r="BM74" s="138"/>
      <c r="BN74" s="138"/>
      <c r="BO74" s="138"/>
      <c r="BP74" s="138"/>
      <c r="BQ74" s="138"/>
      <c r="BR74" s="138"/>
      <c r="BS74" s="138"/>
      <c r="BT74" s="138"/>
      <c r="BU74" s="138"/>
      <c r="BV74" s="138"/>
      <c r="BW74" s="138"/>
      <c r="BX74" s="138"/>
      <c r="BY74" s="138"/>
      <c r="BZ74" s="138"/>
      <c r="CA74" s="138"/>
      <c r="CB74" s="138"/>
      <c r="CC74" s="138"/>
      <c r="CD74" s="138"/>
      <c r="CE74" s="138"/>
      <c r="CF74" s="138"/>
      <c r="CG74" s="138"/>
      <c r="CH74" s="138"/>
      <c r="CI74" s="138"/>
      <c r="CJ74" s="138"/>
      <c r="CK74" s="138"/>
      <c r="CL74" s="138"/>
      <c r="CM74" s="138"/>
      <c r="CN74" s="138"/>
      <c r="CO74" s="138"/>
      <c r="CP74" s="138"/>
      <c r="CQ74" s="138"/>
      <c r="CR74" s="138"/>
      <c r="CS74" s="138"/>
      <c r="CT74" s="138"/>
      <c r="CU74" s="138"/>
      <c r="CV74" s="138"/>
      <c r="CW74" s="138"/>
      <c r="CX74" s="138"/>
      <c r="CY74" s="138"/>
      <c r="CZ74" s="138"/>
      <c r="DA74" s="138"/>
      <c r="DB74" s="138"/>
      <c r="DC74" s="138"/>
      <c r="DD74" s="138"/>
      <c r="DE74" s="138"/>
      <c r="DF74" s="138"/>
      <c r="DG74" s="138"/>
      <c r="DH74" s="138"/>
      <c r="DI74" s="138"/>
      <c r="DJ74" s="138"/>
      <c r="DK74" s="138"/>
      <c r="DL74" s="138"/>
      <c r="DM74" s="138"/>
      <c r="DN74" s="138"/>
      <c r="DO74" s="138"/>
      <c r="DP74" s="138"/>
      <c r="DQ74" s="138"/>
      <c r="DR74" s="138"/>
      <c r="DS74" s="138"/>
      <c r="DT74" s="138"/>
      <c r="DU74" s="138"/>
      <c r="DV74" s="138"/>
      <c r="DW74" s="138"/>
      <c r="DX74" s="138"/>
      <c r="DY74" s="138"/>
      <c r="DZ74" s="138"/>
      <c r="EA74" s="138"/>
      <c r="EB74" s="138"/>
      <c r="EC74" s="138"/>
      <c r="ED74" s="138"/>
      <c r="EE74" s="126"/>
      <c r="EF74" s="138"/>
      <c r="EG74" s="138"/>
      <c r="EH74" s="138"/>
      <c r="EI74" s="138"/>
      <c r="EJ74" s="138"/>
      <c r="EK74" s="138"/>
      <c r="EL74" s="138"/>
      <c r="EM74" s="138"/>
      <c r="EN74" s="138"/>
      <c r="EO74" s="138"/>
      <c r="EP74" s="138"/>
      <c r="EQ74" s="138"/>
      <c r="ER74" s="138"/>
      <c r="ES74" s="138"/>
      <c r="ET74" s="138"/>
      <c r="EU74" s="138"/>
      <c r="EV74" s="138"/>
      <c r="EW74" s="138"/>
      <c r="EX74" s="138"/>
      <c r="EY74" s="138"/>
      <c r="EZ74" s="138"/>
      <c r="FA74" s="138"/>
      <c r="FB74" s="138"/>
      <c r="FC74" s="138"/>
      <c r="FD74" s="138"/>
      <c r="FE74" s="138"/>
      <c r="FF74" s="138"/>
      <c r="FG74" s="138"/>
      <c r="FH74" s="138"/>
      <c r="FI74" s="138"/>
      <c r="FJ74" s="138"/>
      <c r="FK74" s="138"/>
      <c r="FL74" s="138"/>
      <c r="FM74" s="138"/>
      <c r="FN74" s="138"/>
      <c r="FO74" s="138"/>
      <c r="FP74" s="138"/>
      <c r="FQ74" s="138"/>
      <c r="FR74" s="138"/>
      <c r="FS74" s="138"/>
      <c r="FT74" s="138"/>
      <c r="FU74" s="138"/>
      <c r="FV74" s="138"/>
      <c r="FW74" s="138"/>
      <c r="FX74" s="138"/>
      <c r="FY74" s="138"/>
      <c r="FZ74" s="138"/>
      <c r="GA74" s="138"/>
      <c r="GB74" s="138"/>
      <c r="GC74" s="138"/>
      <c r="GD74" s="138"/>
      <c r="GE74" s="138"/>
      <c r="GF74" s="138"/>
      <c r="GG74" s="138"/>
      <c r="GH74" s="138"/>
      <c r="GI74" s="138"/>
      <c r="GJ74" s="138"/>
      <c r="GK74" s="138"/>
      <c r="GL74" s="138"/>
      <c r="GM74" s="138"/>
      <c r="GN74" s="138"/>
      <c r="GO74" s="138"/>
      <c r="GP74" s="138"/>
      <c r="GQ74" s="138"/>
      <c r="GR74" s="138"/>
      <c r="GS74" s="138"/>
      <c r="GT74" s="138"/>
      <c r="GU74" s="138"/>
      <c r="GV74" s="138"/>
      <c r="GW74" s="138"/>
      <c r="GX74" s="138"/>
      <c r="GY74" s="138"/>
      <c r="GZ74" s="138"/>
      <c r="HA74" s="138"/>
      <c r="HB74" s="138"/>
      <c r="HC74" s="138"/>
      <c r="HD74" s="138"/>
      <c r="HE74" s="138"/>
      <c r="HF74" s="138"/>
      <c r="HG74" s="138"/>
      <c r="HH74" s="138"/>
      <c r="HI74" s="138"/>
      <c r="HJ74" s="138"/>
      <c r="HK74" s="138"/>
      <c r="HL74" s="138"/>
      <c r="HM74" s="138"/>
      <c r="HN74" s="138"/>
      <c r="HO74" s="138"/>
      <c r="HP74" s="138"/>
      <c r="HQ74" s="138"/>
      <c r="HR74" s="138"/>
      <c r="HS74" s="138"/>
      <c r="HT74" s="138"/>
      <c r="HU74" s="138"/>
      <c r="HV74" s="138"/>
      <c r="HW74" s="138"/>
      <c r="HX74" s="138"/>
      <c r="HY74" s="138"/>
      <c r="HZ74" s="138"/>
      <c r="IA74" s="138"/>
      <c r="IB74" s="138"/>
      <c r="IC74" s="138"/>
      <c r="ID74" s="138"/>
      <c r="IE74" s="138"/>
      <c r="IF74" s="138"/>
      <c r="IG74" s="138"/>
      <c r="IH74" s="138"/>
      <c r="II74" s="138"/>
      <c r="IJ74" s="138"/>
      <c r="IK74" s="138"/>
      <c r="IL74" s="138"/>
      <c r="IM74" s="138"/>
      <c r="IN74" s="138"/>
      <c r="IO74" s="138"/>
      <c r="IP74" s="138"/>
      <c r="IQ74" s="138"/>
      <c r="IR74" s="138"/>
      <c r="IS74" s="138"/>
      <c r="IT74" s="138"/>
      <c r="IU74" s="138"/>
      <c r="IV74" s="138"/>
      <c r="IW74" s="138"/>
      <c r="IX74" s="138"/>
      <c r="IY74" s="138"/>
      <c r="IZ74" s="138"/>
      <c r="JA74" s="138"/>
      <c r="JB74" s="138"/>
      <c r="JC74" s="138"/>
      <c r="JD74" s="138"/>
      <c r="JE74" s="138"/>
      <c r="JF74" s="138"/>
      <c r="JG74" s="138"/>
      <c r="JH74" s="138"/>
      <c r="JI74" s="138"/>
      <c r="JJ74" s="138"/>
      <c r="JK74" s="138"/>
      <c r="JL74" s="138"/>
      <c r="JM74" s="138"/>
      <c r="JN74" s="138"/>
      <c r="JO74" s="138"/>
      <c r="JP74" s="138"/>
    </row>
    <row r="75" spans="1:276" s="4" customFormat="1">
      <c r="A75" s="966"/>
      <c r="B75" s="963"/>
      <c r="C75" s="964"/>
      <c r="D75" s="964"/>
      <c r="E75" s="881"/>
      <c r="F75" s="881"/>
      <c r="G75" s="881"/>
      <c r="H75" s="881"/>
      <c r="I75" s="965"/>
      <c r="J75" s="881"/>
      <c r="K75" s="881"/>
      <c r="L75" s="881"/>
      <c r="M75" s="958"/>
      <c r="N75" s="959"/>
      <c r="O75" s="959"/>
      <c r="P75" s="960"/>
      <c r="Q75" s="881"/>
      <c r="R75" s="176"/>
      <c r="S75" s="958"/>
      <c r="T75" s="959"/>
      <c r="U75" s="960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76"/>
      <c r="AH75" s="176"/>
      <c r="AI75" s="138"/>
      <c r="AJ75" s="138"/>
      <c r="AK75" s="138"/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  <c r="BE75" s="138"/>
      <c r="BF75" s="138"/>
      <c r="BG75" s="138"/>
      <c r="BH75" s="138"/>
      <c r="BI75" s="138"/>
      <c r="BJ75" s="138"/>
      <c r="BK75" s="138"/>
      <c r="BL75" s="138"/>
      <c r="BM75" s="138"/>
      <c r="BN75" s="138"/>
      <c r="BO75" s="138"/>
      <c r="BP75" s="138"/>
      <c r="BQ75" s="138"/>
      <c r="BR75" s="138"/>
      <c r="BS75" s="138"/>
      <c r="BT75" s="138"/>
      <c r="BU75" s="138"/>
      <c r="BV75" s="138"/>
      <c r="BW75" s="138"/>
      <c r="BX75" s="138"/>
      <c r="BY75" s="138"/>
      <c r="BZ75" s="138"/>
      <c r="CA75" s="138"/>
      <c r="CB75" s="138"/>
      <c r="CC75" s="138"/>
      <c r="CD75" s="138"/>
      <c r="CE75" s="138"/>
      <c r="CF75" s="138"/>
      <c r="CG75" s="138"/>
      <c r="CH75" s="138"/>
      <c r="CI75" s="138"/>
      <c r="CJ75" s="138"/>
      <c r="CK75" s="138"/>
      <c r="CL75" s="138"/>
      <c r="CM75" s="138"/>
      <c r="CN75" s="138"/>
      <c r="CO75" s="138"/>
      <c r="CP75" s="138"/>
      <c r="CQ75" s="138"/>
      <c r="CR75" s="138"/>
      <c r="CS75" s="138"/>
      <c r="CT75" s="138"/>
      <c r="CU75" s="138"/>
      <c r="CV75" s="138"/>
      <c r="CW75" s="138"/>
      <c r="CX75" s="138"/>
      <c r="CY75" s="138"/>
      <c r="CZ75" s="138"/>
      <c r="DA75" s="138"/>
      <c r="DB75" s="138"/>
      <c r="DC75" s="138"/>
      <c r="DD75" s="138"/>
      <c r="DE75" s="138"/>
      <c r="DF75" s="138"/>
      <c r="DG75" s="138"/>
      <c r="DH75" s="138"/>
      <c r="DI75" s="138"/>
      <c r="DJ75" s="138"/>
      <c r="DK75" s="138"/>
      <c r="DL75" s="138"/>
      <c r="DM75" s="138"/>
      <c r="DN75" s="138"/>
      <c r="DO75" s="138"/>
      <c r="DP75" s="138"/>
      <c r="DQ75" s="138"/>
      <c r="DR75" s="138"/>
      <c r="DS75" s="138"/>
      <c r="DT75" s="138"/>
      <c r="DU75" s="138"/>
      <c r="DV75" s="138"/>
      <c r="DW75" s="138"/>
      <c r="DX75" s="138"/>
      <c r="DY75" s="138"/>
      <c r="DZ75" s="138"/>
      <c r="EA75" s="138"/>
      <c r="EB75" s="138"/>
      <c r="EC75" s="138"/>
      <c r="ED75" s="138"/>
      <c r="EE75" s="126"/>
      <c r="EF75" s="138"/>
      <c r="EG75" s="138"/>
      <c r="EH75" s="138"/>
      <c r="EI75" s="138"/>
      <c r="EJ75" s="138"/>
      <c r="EK75" s="138"/>
      <c r="EL75" s="138"/>
      <c r="EM75" s="138"/>
      <c r="EN75" s="138"/>
      <c r="EO75" s="138"/>
      <c r="EP75" s="138"/>
      <c r="EQ75" s="138"/>
      <c r="ER75" s="138"/>
      <c r="ES75" s="138"/>
      <c r="ET75" s="138"/>
      <c r="EU75" s="138"/>
      <c r="EV75" s="138"/>
      <c r="EW75" s="138"/>
      <c r="EX75" s="138"/>
      <c r="EY75" s="138"/>
      <c r="EZ75" s="138"/>
      <c r="FA75" s="138"/>
      <c r="FB75" s="138"/>
      <c r="FC75" s="138"/>
      <c r="FD75" s="138"/>
      <c r="FE75" s="138"/>
      <c r="FF75" s="138"/>
      <c r="FG75" s="138"/>
      <c r="FH75" s="138"/>
      <c r="FI75" s="138"/>
      <c r="FJ75" s="138"/>
      <c r="FK75" s="138"/>
      <c r="FL75" s="138"/>
      <c r="FM75" s="138"/>
      <c r="FN75" s="138"/>
      <c r="FO75" s="138"/>
      <c r="FP75" s="138"/>
      <c r="FQ75" s="138"/>
      <c r="FR75" s="138"/>
      <c r="FS75" s="138"/>
      <c r="FT75" s="138"/>
      <c r="FU75" s="138"/>
      <c r="FV75" s="138"/>
      <c r="FW75" s="138"/>
      <c r="FX75" s="138"/>
      <c r="FY75" s="138"/>
      <c r="FZ75" s="138"/>
      <c r="GA75" s="138"/>
      <c r="GB75" s="138"/>
      <c r="GC75" s="138"/>
      <c r="GD75" s="138"/>
      <c r="GE75" s="138"/>
      <c r="GF75" s="138"/>
      <c r="GG75" s="138"/>
      <c r="GH75" s="138"/>
      <c r="GI75" s="138"/>
      <c r="GJ75" s="138"/>
      <c r="GK75" s="138"/>
      <c r="GL75" s="138"/>
      <c r="GM75" s="138"/>
      <c r="GN75" s="138"/>
      <c r="GO75" s="138"/>
      <c r="GP75" s="138"/>
      <c r="GQ75" s="138"/>
      <c r="GR75" s="138"/>
      <c r="GS75" s="138"/>
      <c r="GT75" s="138"/>
      <c r="GU75" s="138"/>
      <c r="GV75" s="138"/>
      <c r="GW75" s="138"/>
      <c r="GX75" s="138"/>
      <c r="GY75" s="138"/>
      <c r="GZ75" s="138"/>
      <c r="HA75" s="138"/>
      <c r="HB75" s="138"/>
      <c r="HC75" s="138"/>
      <c r="HD75" s="138"/>
      <c r="HE75" s="138"/>
      <c r="HF75" s="138"/>
      <c r="HG75" s="138"/>
      <c r="HH75" s="138"/>
      <c r="HI75" s="138"/>
      <c r="HJ75" s="138"/>
      <c r="HK75" s="138"/>
      <c r="HL75" s="138"/>
      <c r="HM75" s="138"/>
      <c r="HN75" s="138"/>
      <c r="HO75" s="138"/>
      <c r="HP75" s="138"/>
      <c r="HQ75" s="138"/>
      <c r="HR75" s="138"/>
      <c r="HS75" s="138"/>
      <c r="HT75" s="138"/>
      <c r="HU75" s="138"/>
      <c r="HV75" s="138"/>
      <c r="HW75" s="138"/>
      <c r="HX75" s="138"/>
      <c r="HY75" s="138"/>
      <c r="HZ75" s="138"/>
      <c r="IA75" s="138"/>
      <c r="IB75" s="138"/>
      <c r="IC75" s="138"/>
      <c r="ID75" s="138"/>
      <c r="IE75" s="138"/>
      <c r="IF75" s="138"/>
      <c r="IG75" s="138"/>
      <c r="IH75" s="138"/>
      <c r="II75" s="138"/>
      <c r="IJ75" s="138"/>
      <c r="IK75" s="138"/>
      <c r="IL75" s="138"/>
      <c r="IM75" s="138"/>
      <c r="IN75" s="138"/>
      <c r="IO75" s="138"/>
      <c r="IP75" s="138"/>
      <c r="IQ75" s="138"/>
      <c r="IR75" s="138"/>
      <c r="IS75" s="138"/>
      <c r="IT75" s="138"/>
      <c r="IU75" s="138"/>
      <c r="IV75" s="138"/>
      <c r="IW75" s="138"/>
      <c r="IX75" s="138"/>
      <c r="IY75" s="138"/>
      <c r="IZ75" s="138"/>
      <c r="JA75" s="138"/>
      <c r="JB75" s="138"/>
      <c r="JC75" s="138"/>
      <c r="JD75" s="138"/>
      <c r="JE75" s="138"/>
      <c r="JF75" s="138"/>
      <c r="JG75" s="138"/>
      <c r="JH75" s="138"/>
      <c r="JI75" s="138"/>
      <c r="JJ75" s="138"/>
      <c r="JK75" s="138"/>
      <c r="JL75" s="138"/>
      <c r="JM75" s="138"/>
      <c r="JN75" s="138"/>
      <c r="JO75" s="138"/>
      <c r="JP75" s="138"/>
    </row>
    <row r="76" spans="1:276" s="4" customFormat="1">
      <c r="A76" s="962"/>
      <c r="B76" s="963"/>
      <c r="C76" s="964"/>
      <c r="D76" s="964"/>
      <c r="E76" s="881"/>
      <c r="F76" s="881"/>
      <c r="G76" s="881"/>
      <c r="H76" s="881"/>
      <c r="I76" s="965"/>
      <c r="J76" s="881"/>
      <c r="K76" s="881"/>
      <c r="L76" s="881"/>
      <c r="M76" s="1065"/>
      <c r="N76" s="959"/>
      <c r="O76" s="1066"/>
      <c r="P76" s="1067"/>
      <c r="Q76" s="881"/>
      <c r="R76" s="176"/>
      <c r="S76" s="958"/>
      <c r="T76" s="959"/>
      <c r="U76" s="960"/>
      <c r="V76" s="176"/>
      <c r="W76" s="176"/>
      <c r="X76" s="176"/>
      <c r="Y76" s="176"/>
      <c r="Z76" s="176"/>
      <c r="AA76" s="176"/>
      <c r="AB76" s="176"/>
      <c r="AC76" s="176"/>
      <c r="AD76" s="176"/>
      <c r="AE76" s="176"/>
      <c r="AF76" s="176"/>
      <c r="AG76" s="176"/>
      <c r="AH76" s="176"/>
      <c r="AI76" s="138"/>
      <c r="AJ76" s="138"/>
      <c r="AK76" s="138"/>
      <c r="AL76" s="138"/>
      <c r="AM76" s="138"/>
      <c r="AN76" s="138"/>
      <c r="AO76" s="138"/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  <c r="BE76" s="138"/>
      <c r="BF76" s="138"/>
      <c r="BG76" s="138"/>
      <c r="BH76" s="138"/>
      <c r="BI76" s="138"/>
      <c r="BJ76" s="138"/>
      <c r="BK76" s="138"/>
      <c r="BL76" s="138"/>
      <c r="BM76" s="138"/>
      <c r="BN76" s="138"/>
      <c r="BO76" s="138"/>
      <c r="BP76" s="138"/>
      <c r="BQ76" s="138"/>
      <c r="BR76" s="138"/>
      <c r="BS76" s="138"/>
      <c r="BT76" s="138"/>
      <c r="BU76" s="138"/>
      <c r="BV76" s="138"/>
      <c r="BW76" s="138"/>
      <c r="BX76" s="138"/>
      <c r="BY76" s="138"/>
      <c r="BZ76" s="138"/>
      <c r="CA76" s="138"/>
      <c r="CB76" s="138"/>
      <c r="CC76" s="138"/>
      <c r="CD76" s="138"/>
      <c r="CE76" s="138"/>
      <c r="CF76" s="138"/>
      <c r="CG76" s="138"/>
      <c r="CH76" s="138"/>
      <c r="CI76" s="138"/>
      <c r="CJ76" s="138"/>
      <c r="CK76" s="138"/>
      <c r="CL76" s="138"/>
      <c r="CM76" s="138"/>
      <c r="CN76" s="138"/>
      <c r="CO76" s="138"/>
      <c r="CP76" s="138"/>
      <c r="CQ76" s="138"/>
      <c r="CR76" s="138"/>
      <c r="CS76" s="138"/>
      <c r="CT76" s="138"/>
      <c r="CU76" s="138"/>
      <c r="CV76" s="138"/>
      <c r="CW76" s="138"/>
      <c r="CX76" s="138"/>
      <c r="CY76" s="138"/>
      <c r="CZ76" s="138"/>
      <c r="DA76" s="138"/>
      <c r="DB76" s="138"/>
      <c r="DC76" s="138"/>
      <c r="DD76" s="138"/>
      <c r="DE76" s="138"/>
      <c r="DF76" s="138"/>
      <c r="DG76" s="138"/>
      <c r="DH76" s="138"/>
      <c r="DI76" s="138"/>
      <c r="DJ76" s="138"/>
      <c r="DK76" s="138"/>
      <c r="DL76" s="138"/>
      <c r="DM76" s="138"/>
      <c r="DN76" s="138"/>
      <c r="DO76" s="138"/>
      <c r="DP76" s="138"/>
      <c r="DQ76" s="138"/>
      <c r="DR76" s="138"/>
      <c r="DS76" s="138"/>
      <c r="DT76" s="138"/>
      <c r="DU76" s="138"/>
      <c r="DV76" s="138"/>
      <c r="DW76" s="138"/>
      <c r="DX76" s="138"/>
      <c r="DY76" s="138"/>
      <c r="DZ76" s="138"/>
      <c r="EA76" s="138"/>
      <c r="EB76" s="138"/>
      <c r="EC76" s="138"/>
      <c r="ED76" s="138"/>
      <c r="EE76" s="126"/>
      <c r="EF76" s="138"/>
      <c r="EG76" s="138"/>
      <c r="EH76" s="138"/>
      <c r="EI76" s="138"/>
      <c r="EJ76" s="138"/>
      <c r="EK76" s="138"/>
      <c r="EL76" s="138"/>
      <c r="EM76" s="138"/>
      <c r="EN76" s="138"/>
      <c r="EO76" s="138"/>
      <c r="EP76" s="138"/>
      <c r="EQ76" s="138"/>
      <c r="ER76" s="138"/>
      <c r="ES76" s="138"/>
      <c r="ET76" s="138"/>
      <c r="EU76" s="138"/>
      <c r="EV76" s="138"/>
      <c r="EW76" s="138"/>
      <c r="EX76" s="138"/>
      <c r="EY76" s="138"/>
      <c r="EZ76" s="138"/>
      <c r="FA76" s="138"/>
      <c r="FB76" s="138"/>
      <c r="FC76" s="138"/>
      <c r="FD76" s="138"/>
      <c r="FE76" s="138"/>
      <c r="FF76" s="138"/>
      <c r="FG76" s="138"/>
      <c r="FH76" s="138"/>
      <c r="FI76" s="138"/>
      <c r="FJ76" s="138"/>
      <c r="FK76" s="138"/>
      <c r="FL76" s="138"/>
      <c r="FM76" s="138"/>
      <c r="FN76" s="138"/>
      <c r="FO76" s="138"/>
      <c r="FP76" s="138"/>
      <c r="FQ76" s="138"/>
      <c r="FR76" s="138"/>
      <c r="FS76" s="138"/>
      <c r="FT76" s="138"/>
      <c r="FU76" s="138"/>
      <c r="FV76" s="138"/>
      <c r="FW76" s="138"/>
      <c r="FX76" s="138"/>
      <c r="FY76" s="138"/>
      <c r="FZ76" s="138"/>
      <c r="GA76" s="138"/>
      <c r="GB76" s="138"/>
      <c r="GC76" s="138"/>
      <c r="GD76" s="138"/>
      <c r="GE76" s="138"/>
      <c r="GF76" s="138"/>
      <c r="GG76" s="138"/>
      <c r="GH76" s="138"/>
      <c r="GI76" s="138"/>
      <c r="GJ76" s="138"/>
      <c r="GK76" s="138"/>
      <c r="GL76" s="138"/>
      <c r="GM76" s="138"/>
      <c r="GN76" s="138"/>
      <c r="GO76" s="138"/>
      <c r="GP76" s="138"/>
      <c r="GQ76" s="138"/>
      <c r="GR76" s="138"/>
      <c r="GS76" s="138"/>
      <c r="GT76" s="138"/>
      <c r="GU76" s="138"/>
      <c r="GV76" s="138"/>
      <c r="GW76" s="138"/>
      <c r="GX76" s="138"/>
      <c r="GY76" s="138"/>
      <c r="GZ76" s="138"/>
      <c r="HA76" s="138"/>
      <c r="HB76" s="138"/>
      <c r="HC76" s="138"/>
      <c r="HD76" s="138"/>
      <c r="HE76" s="138"/>
      <c r="HF76" s="138"/>
      <c r="HG76" s="138"/>
      <c r="HH76" s="138"/>
      <c r="HI76" s="138"/>
      <c r="HJ76" s="138"/>
      <c r="HK76" s="138"/>
      <c r="HL76" s="138"/>
      <c r="HM76" s="138"/>
      <c r="HN76" s="138"/>
      <c r="HO76" s="138"/>
      <c r="HP76" s="138"/>
      <c r="HQ76" s="138"/>
      <c r="HR76" s="138"/>
      <c r="HS76" s="138"/>
      <c r="HT76" s="138"/>
      <c r="HU76" s="138"/>
      <c r="HV76" s="138"/>
      <c r="HW76" s="138"/>
      <c r="HX76" s="138"/>
      <c r="HY76" s="138"/>
      <c r="HZ76" s="138"/>
      <c r="IA76" s="138"/>
      <c r="IB76" s="138"/>
      <c r="IC76" s="138"/>
      <c r="ID76" s="138"/>
      <c r="IE76" s="138"/>
      <c r="IF76" s="138"/>
      <c r="IG76" s="138"/>
      <c r="IH76" s="138"/>
      <c r="II76" s="138"/>
      <c r="IJ76" s="138"/>
      <c r="IK76" s="138"/>
      <c r="IL76" s="138"/>
      <c r="IM76" s="138"/>
      <c r="IN76" s="138"/>
      <c r="IO76" s="138"/>
      <c r="IP76" s="138"/>
      <c r="IQ76" s="138"/>
      <c r="IR76" s="138"/>
      <c r="IS76" s="138"/>
      <c r="IT76" s="138"/>
      <c r="IU76" s="138"/>
      <c r="IV76" s="138"/>
      <c r="IW76" s="138"/>
      <c r="IX76" s="138"/>
      <c r="IY76" s="138"/>
      <c r="IZ76" s="138"/>
      <c r="JA76" s="138"/>
      <c r="JB76" s="138"/>
      <c r="JC76" s="138"/>
      <c r="JD76" s="138"/>
      <c r="JE76" s="138"/>
      <c r="JF76" s="138"/>
      <c r="JG76" s="138"/>
      <c r="JH76" s="138"/>
      <c r="JI76" s="138"/>
      <c r="JJ76" s="138"/>
      <c r="JK76" s="138"/>
      <c r="JL76" s="138"/>
      <c r="JM76" s="138"/>
      <c r="JN76" s="138"/>
      <c r="JO76" s="138"/>
      <c r="JP76" s="138"/>
    </row>
    <row r="77" spans="1:276" s="4" customFormat="1">
      <c r="A77" s="1068"/>
      <c r="B77" s="1069"/>
      <c r="C77" s="1069"/>
      <c r="D77" s="1069"/>
      <c r="E77" s="1069"/>
      <c r="F77" s="1069"/>
      <c r="G77" s="1069"/>
      <c r="H77" s="1069"/>
      <c r="I77" s="1069"/>
      <c r="J77" s="1069"/>
      <c r="K77" s="882"/>
      <c r="L77" s="881"/>
      <c r="M77" s="881"/>
      <c r="N77" s="881"/>
      <c r="O77" s="881"/>
      <c r="P77" s="965"/>
      <c r="Q77" s="881"/>
      <c r="R77" s="176"/>
      <c r="S77" s="958"/>
      <c r="T77" s="959"/>
      <c r="U77" s="960"/>
      <c r="V77" s="176"/>
      <c r="W77" s="176"/>
      <c r="X77" s="176"/>
      <c r="Y77" s="176"/>
      <c r="Z77" s="176"/>
      <c r="AA77" s="176"/>
      <c r="AB77" s="176"/>
      <c r="AC77" s="176"/>
      <c r="AD77" s="176"/>
      <c r="AE77" s="176"/>
      <c r="AF77" s="176"/>
      <c r="AG77" s="176"/>
      <c r="AH77" s="176"/>
      <c r="AI77" s="138"/>
      <c r="AJ77" s="138"/>
      <c r="AK77" s="138"/>
      <c r="AL77" s="138"/>
      <c r="AM77" s="138"/>
      <c r="AN77" s="138"/>
      <c r="AO77" s="138"/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  <c r="BE77" s="138"/>
      <c r="BF77" s="138"/>
      <c r="BG77" s="138"/>
      <c r="BH77" s="138"/>
      <c r="BI77" s="138"/>
      <c r="BJ77" s="138"/>
      <c r="BK77" s="138"/>
      <c r="BL77" s="138"/>
      <c r="BM77" s="138"/>
      <c r="BN77" s="138"/>
      <c r="BO77" s="138"/>
      <c r="BP77" s="138"/>
      <c r="BQ77" s="138"/>
      <c r="BR77" s="138"/>
      <c r="BS77" s="138"/>
      <c r="BT77" s="138"/>
      <c r="BU77" s="138"/>
      <c r="BV77" s="138"/>
      <c r="BW77" s="138"/>
      <c r="BX77" s="138"/>
      <c r="BY77" s="138"/>
      <c r="BZ77" s="138"/>
      <c r="CA77" s="138"/>
      <c r="CB77" s="138"/>
      <c r="CC77" s="138"/>
      <c r="CD77" s="138"/>
      <c r="CE77" s="138"/>
      <c r="CF77" s="138"/>
      <c r="CG77" s="138"/>
      <c r="CH77" s="138"/>
      <c r="CI77" s="138"/>
      <c r="CJ77" s="138"/>
      <c r="CK77" s="138"/>
      <c r="CL77" s="138"/>
      <c r="CM77" s="138"/>
      <c r="CN77" s="138"/>
      <c r="CO77" s="138"/>
      <c r="CP77" s="138"/>
      <c r="CQ77" s="138"/>
      <c r="CR77" s="138"/>
      <c r="CS77" s="138"/>
      <c r="CT77" s="138"/>
      <c r="CU77" s="138"/>
      <c r="CV77" s="138"/>
      <c r="CW77" s="138"/>
      <c r="CX77" s="138"/>
      <c r="CY77" s="138"/>
      <c r="CZ77" s="138"/>
      <c r="DA77" s="138"/>
      <c r="DB77" s="138"/>
      <c r="DC77" s="138"/>
      <c r="DD77" s="138"/>
      <c r="DE77" s="138"/>
      <c r="DF77" s="138"/>
      <c r="DG77" s="138"/>
      <c r="DH77" s="138"/>
      <c r="DI77" s="138"/>
      <c r="DJ77" s="138"/>
      <c r="DK77" s="138"/>
      <c r="DL77" s="138"/>
      <c r="DM77" s="138"/>
      <c r="DN77" s="138"/>
      <c r="DO77" s="138"/>
      <c r="DP77" s="138"/>
      <c r="DQ77" s="138"/>
      <c r="DR77" s="138"/>
      <c r="DS77" s="138"/>
      <c r="DT77" s="138"/>
      <c r="DU77" s="138"/>
      <c r="DV77" s="138"/>
      <c r="DW77" s="138"/>
      <c r="DX77" s="138"/>
      <c r="DY77" s="138"/>
      <c r="DZ77" s="138"/>
      <c r="EA77" s="138"/>
      <c r="EB77" s="138"/>
      <c r="EC77" s="138"/>
      <c r="ED77" s="138"/>
      <c r="EE77" s="126"/>
      <c r="EF77" s="138"/>
      <c r="EG77" s="138"/>
      <c r="EH77" s="138"/>
      <c r="EI77" s="138"/>
      <c r="EJ77" s="138"/>
      <c r="EK77" s="138"/>
      <c r="EL77" s="138"/>
      <c r="EM77" s="138"/>
      <c r="EN77" s="138"/>
      <c r="EO77" s="138"/>
      <c r="EP77" s="138"/>
      <c r="EQ77" s="138"/>
      <c r="ER77" s="138"/>
      <c r="ES77" s="138"/>
      <c r="ET77" s="138"/>
      <c r="EU77" s="138"/>
      <c r="EV77" s="138"/>
      <c r="EW77" s="138"/>
      <c r="EX77" s="138"/>
      <c r="EY77" s="138"/>
      <c r="EZ77" s="138"/>
      <c r="FA77" s="138"/>
      <c r="FB77" s="138"/>
      <c r="FC77" s="138"/>
      <c r="FD77" s="138"/>
      <c r="FE77" s="138"/>
      <c r="FF77" s="138"/>
      <c r="FG77" s="138"/>
      <c r="FH77" s="138"/>
      <c r="FI77" s="138"/>
      <c r="FJ77" s="138"/>
      <c r="FK77" s="138"/>
      <c r="FL77" s="138"/>
      <c r="FM77" s="138"/>
      <c r="FN77" s="138"/>
      <c r="FO77" s="138"/>
      <c r="FP77" s="138"/>
      <c r="FQ77" s="138"/>
      <c r="FR77" s="138"/>
      <c r="FS77" s="138"/>
      <c r="FT77" s="138"/>
      <c r="FU77" s="138"/>
      <c r="FV77" s="138"/>
      <c r="FW77" s="138"/>
      <c r="FX77" s="138"/>
      <c r="FY77" s="138"/>
      <c r="FZ77" s="138"/>
      <c r="GA77" s="138"/>
      <c r="GB77" s="138"/>
      <c r="GC77" s="138"/>
      <c r="GD77" s="138"/>
      <c r="GE77" s="138"/>
      <c r="GF77" s="138"/>
      <c r="GG77" s="138"/>
      <c r="GH77" s="138"/>
      <c r="GI77" s="138"/>
      <c r="GJ77" s="138"/>
      <c r="GK77" s="138"/>
      <c r="GL77" s="138"/>
      <c r="GM77" s="138"/>
      <c r="GN77" s="138"/>
      <c r="GO77" s="138"/>
      <c r="GP77" s="138"/>
      <c r="GQ77" s="138"/>
      <c r="GR77" s="138"/>
      <c r="GS77" s="138"/>
      <c r="GT77" s="138"/>
      <c r="GU77" s="138"/>
      <c r="GV77" s="138"/>
      <c r="GW77" s="138"/>
      <c r="GX77" s="138"/>
      <c r="GY77" s="138"/>
      <c r="GZ77" s="138"/>
      <c r="HA77" s="138"/>
      <c r="HB77" s="138"/>
      <c r="HC77" s="138"/>
      <c r="HD77" s="138"/>
      <c r="HE77" s="138"/>
      <c r="HF77" s="138"/>
      <c r="HG77" s="138"/>
      <c r="HH77" s="138"/>
      <c r="HI77" s="138"/>
      <c r="HJ77" s="138"/>
      <c r="HK77" s="138"/>
      <c r="HL77" s="138"/>
      <c r="HM77" s="138"/>
      <c r="HN77" s="138"/>
      <c r="HO77" s="138"/>
      <c r="HP77" s="138"/>
      <c r="HQ77" s="138"/>
      <c r="HR77" s="138"/>
      <c r="HS77" s="138"/>
      <c r="HT77" s="138"/>
      <c r="HU77" s="138"/>
      <c r="HV77" s="138"/>
      <c r="HW77" s="138"/>
      <c r="HX77" s="138"/>
      <c r="HY77" s="138"/>
      <c r="HZ77" s="138"/>
      <c r="IA77" s="138"/>
      <c r="IB77" s="138"/>
      <c r="IC77" s="138"/>
      <c r="ID77" s="138"/>
      <c r="IE77" s="138"/>
      <c r="IF77" s="138"/>
      <c r="IG77" s="138"/>
      <c r="IH77" s="138"/>
      <c r="II77" s="138"/>
      <c r="IJ77" s="138"/>
      <c r="IK77" s="138"/>
      <c r="IL77" s="138"/>
      <c r="IM77" s="138"/>
      <c r="IN77" s="138"/>
      <c r="IO77" s="138"/>
      <c r="IP77" s="138"/>
      <c r="IQ77" s="138"/>
      <c r="IR77" s="138"/>
      <c r="IS77" s="138"/>
      <c r="IT77" s="138"/>
      <c r="IU77" s="138"/>
      <c r="IV77" s="138"/>
      <c r="IW77" s="138"/>
      <c r="IX77" s="138"/>
      <c r="IY77" s="138"/>
      <c r="IZ77" s="138"/>
      <c r="JA77" s="138"/>
      <c r="JB77" s="138"/>
      <c r="JC77" s="138"/>
      <c r="JD77" s="138"/>
      <c r="JE77" s="138"/>
      <c r="JF77" s="138"/>
      <c r="JG77" s="138"/>
      <c r="JH77" s="138"/>
      <c r="JI77" s="138"/>
      <c r="JJ77" s="138"/>
      <c r="JK77" s="138"/>
      <c r="JL77" s="138"/>
      <c r="JM77" s="138"/>
      <c r="JN77" s="138"/>
      <c r="JO77" s="138"/>
      <c r="JP77" s="138"/>
    </row>
    <row r="78" spans="1:276" s="4" customFormat="1">
      <c r="A78" s="138"/>
      <c r="B78" s="138"/>
      <c r="C78" s="138"/>
      <c r="D78" s="138"/>
      <c r="E78" s="138"/>
      <c r="F78" s="138"/>
      <c r="G78" s="966"/>
      <c r="H78" s="963"/>
      <c r="I78" s="964"/>
      <c r="J78" s="881"/>
      <c r="K78" s="881"/>
      <c r="L78" s="881"/>
      <c r="M78" s="881"/>
      <c r="N78" s="881"/>
      <c r="O78" s="881"/>
      <c r="P78" s="965"/>
      <c r="Q78" s="881"/>
      <c r="R78" s="138"/>
      <c r="S78" s="958"/>
      <c r="T78" s="959"/>
      <c r="U78" s="960"/>
      <c r="V78" s="138"/>
      <c r="W78" s="138"/>
      <c r="X78" s="138"/>
      <c r="Y78" s="138"/>
      <c r="Z78" s="138"/>
      <c r="AA78" s="138"/>
      <c r="AB78" s="138"/>
      <c r="AC78" s="138"/>
      <c r="AD78" s="138"/>
      <c r="AE78" s="138"/>
      <c r="AF78" s="138"/>
      <c r="AG78" s="138"/>
      <c r="AH78" s="138"/>
      <c r="AI78" s="138"/>
      <c r="AJ78" s="138"/>
      <c r="AK78" s="138"/>
      <c r="AL78" s="138"/>
      <c r="AM78" s="138"/>
      <c r="AN78" s="138"/>
      <c r="AO78" s="138"/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  <c r="BE78" s="138"/>
      <c r="BF78" s="138"/>
      <c r="BG78" s="138"/>
      <c r="BH78" s="138"/>
      <c r="BI78" s="138"/>
      <c r="BJ78" s="138"/>
      <c r="BK78" s="138"/>
      <c r="BL78" s="138"/>
      <c r="BM78" s="138"/>
      <c r="BN78" s="138"/>
      <c r="BO78" s="138"/>
      <c r="BP78" s="138"/>
      <c r="BQ78" s="138"/>
      <c r="BR78" s="138"/>
      <c r="BS78" s="138"/>
      <c r="BT78" s="138"/>
      <c r="BU78" s="138"/>
      <c r="BV78" s="138"/>
      <c r="BW78" s="138"/>
      <c r="BX78" s="138"/>
      <c r="BY78" s="138"/>
      <c r="BZ78" s="138"/>
      <c r="CA78" s="138"/>
      <c r="CB78" s="138"/>
      <c r="CC78" s="138"/>
      <c r="CD78" s="138"/>
      <c r="CE78" s="138"/>
      <c r="CF78" s="138"/>
      <c r="CG78" s="138"/>
      <c r="CH78" s="138"/>
      <c r="CI78" s="138"/>
      <c r="CJ78" s="138"/>
      <c r="CK78" s="138"/>
      <c r="CL78" s="138"/>
      <c r="CM78" s="138"/>
      <c r="CN78" s="138"/>
      <c r="CO78" s="138"/>
      <c r="CP78" s="138"/>
      <c r="CQ78" s="138"/>
      <c r="CR78" s="138"/>
      <c r="CS78" s="138"/>
      <c r="CT78" s="138"/>
      <c r="CU78" s="138"/>
      <c r="CV78" s="138"/>
      <c r="CW78" s="138"/>
      <c r="CX78" s="138"/>
      <c r="CY78" s="138"/>
      <c r="CZ78" s="138"/>
      <c r="DA78" s="138"/>
      <c r="DB78" s="138"/>
      <c r="DC78" s="138"/>
      <c r="DD78" s="138"/>
      <c r="DE78" s="138"/>
      <c r="DF78" s="138"/>
      <c r="DG78" s="138"/>
      <c r="DH78" s="138"/>
      <c r="DI78" s="138"/>
      <c r="DJ78" s="138"/>
      <c r="DK78" s="138"/>
      <c r="DL78" s="138"/>
      <c r="DM78" s="138"/>
      <c r="DN78" s="138"/>
      <c r="DO78" s="138"/>
      <c r="DP78" s="138"/>
      <c r="DQ78" s="138"/>
      <c r="DR78" s="138"/>
      <c r="DS78" s="138"/>
      <c r="DT78" s="138"/>
      <c r="DU78" s="138"/>
      <c r="DV78" s="138"/>
      <c r="DW78" s="138"/>
      <c r="DX78" s="138"/>
      <c r="DY78" s="138"/>
      <c r="DZ78" s="138"/>
      <c r="EA78" s="138"/>
      <c r="EB78" s="138"/>
      <c r="EC78" s="138"/>
      <c r="ED78" s="138"/>
      <c r="EE78" s="126"/>
      <c r="EF78" s="138"/>
      <c r="EG78" s="138"/>
      <c r="EH78" s="138"/>
      <c r="EI78" s="138"/>
      <c r="EJ78" s="138"/>
      <c r="EK78" s="138"/>
      <c r="EL78" s="138"/>
      <c r="EM78" s="138"/>
      <c r="EN78" s="138"/>
      <c r="EO78" s="138"/>
      <c r="EP78" s="138"/>
      <c r="EQ78" s="138"/>
      <c r="ER78" s="138"/>
      <c r="ES78" s="138"/>
      <c r="ET78" s="138"/>
      <c r="EU78" s="138"/>
      <c r="EV78" s="138"/>
      <c r="EW78" s="138"/>
      <c r="EX78" s="138"/>
      <c r="EY78" s="138"/>
      <c r="EZ78" s="138"/>
      <c r="FA78" s="138"/>
      <c r="FB78" s="138"/>
      <c r="FC78" s="138"/>
      <c r="FD78" s="138"/>
      <c r="FE78" s="138"/>
      <c r="FF78" s="138"/>
      <c r="FG78" s="138"/>
      <c r="FH78" s="138"/>
      <c r="FI78" s="138"/>
      <c r="FJ78" s="138"/>
      <c r="FK78" s="138"/>
      <c r="FL78" s="138"/>
      <c r="FM78" s="138"/>
      <c r="FN78" s="138"/>
      <c r="FO78" s="138"/>
      <c r="FP78" s="138"/>
      <c r="FQ78" s="138"/>
      <c r="FR78" s="138"/>
      <c r="FS78" s="138"/>
      <c r="FT78" s="138"/>
      <c r="FU78" s="138"/>
      <c r="FV78" s="138"/>
      <c r="FW78" s="138"/>
      <c r="FX78" s="138"/>
      <c r="FY78" s="138"/>
      <c r="FZ78" s="138"/>
      <c r="GA78" s="138"/>
      <c r="GB78" s="138"/>
      <c r="GC78" s="138"/>
      <c r="GD78" s="138"/>
      <c r="GE78" s="138"/>
      <c r="GF78" s="138"/>
      <c r="GG78" s="138"/>
      <c r="GH78" s="138"/>
      <c r="GI78" s="138"/>
      <c r="GJ78" s="138"/>
      <c r="GK78" s="138"/>
      <c r="GL78" s="138"/>
      <c r="GM78" s="138"/>
      <c r="GN78" s="138"/>
      <c r="GO78" s="138"/>
      <c r="GP78" s="138"/>
      <c r="GQ78" s="138"/>
      <c r="GR78" s="138"/>
      <c r="GS78" s="138"/>
      <c r="GT78" s="138"/>
      <c r="GU78" s="138"/>
      <c r="GV78" s="138"/>
      <c r="GW78" s="138"/>
      <c r="GX78" s="138"/>
      <c r="GY78" s="138"/>
      <c r="GZ78" s="138"/>
      <c r="HA78" s="138"/>
      <c r="HB78" s="138"/>
      <c r="HC78" s="138"/>
      <c r="HD78" s="138"/>
      <c r="HE78" s="138"/>
      <c r="HF78" s="138"/>
      <c r="HG78" s="138"/>
      <c r="HH78" s="138"/>
      <c r="HI78" s="138"/>
      <c r="HJ78" s="138"/>
      <c r="HK78" s="138"/>
      <c r="HL78" s="138"/>
      <c r="HM78" s="138"/>
      <c r="HN78" s="138"/>
      <c r="HO78" s="138"/>
      <c r="HP78" s="138"/>
      <c r="HQ78" s="138"/>
      <c r="HR78" s="138"/>
      <c r="HS78" s="138"/>
      <c r="HT78" s="138"/>
      <c r="HU78" s="138"/>
      <c r="HV78" s="138"/>
      <c r="HW78" s="138"/>
      <c r="HX78" s="138"/>
      <c r="HY78" s="138"/>
      <c r="HZ78" s="138"/>
      <c r="IA78" s="138"/>
      <c r="IB78" s="138"/>
      <c r="IC78" s="138"/>
      <c r="ID78" s="138"/>
      <c r="IE78" s="138"/>
      <c r="IF78" s="138"/>
      <c r="IG78" s="138"/>
      <c r="IH78" s="138"/>
      <c r="II78" s="138"/>
      <c r="IJ78" s="138"/>
      <c r="IK78" s="138"/>
      <c r="IL78" s="138"/>
      <c r="IM78" s="138"/>
      <c r="IN78" s="138"/>
      <c r="IO78" s="138"/>
      <c r="IP78" s="138"/>
      <c r="IQ78" s="138"/>
      <c r="IR78" s="138"/>
      <c r="IS78" s="138"/>
      <c r="IT78" s="138"/>
      <c r="IU78" s="138"/>
      <c r="IV78" s="138"/>
      <c r="IW78" s="138"/>
      <c r="IX78" s="138"/>
      <c r="IY78" s="138"/>
      <c r="IZ78" s="138"/>
      <c r="JA78" s="138"/>
      <c r="JB78" s="138"/>
      <c r="JC78" s="138"/>
      <c r="JD78" s="138"/>
      <c r="JE78" s="138"/>
      <c r="JF78" s="138"/>
      <c r="JG78" s="138"/>
      <c r="JH78" s="138"/>
      <c r="JI78" s="138"/>
      <c r="JJ78" s="138"/>
      <c r="JK78" s="138"/>
      <c r="JL78" s="138"/>
      <c r="JM78" s="138"/>
      <c r="JN78" s="138"/>
      <c r="JO78" s="138"/>
      <c r="JP78" s="138"/>
    </row>
    <row r="79" spans="1:276" s="4" customFormat="1">
      <c r="A79" s="138"/>
      <c r="B79" s="138"/>
      <c r="C79" s="138"/>
      <c r="D79" s="138"/>
      <c r="E79" s="138"/>
      <c r="F79" s="138"/>
      <c r="G79" s="966"/>
      <c r="H79" s="963"/>
      <c r="I79" s="964"/>
      <c r="J79" s="881"/>
      <c r="K79" s="881"/>
      <c r="L79" s="881"/>
      <c r="M79" s="881"/>
      <c r="N79" s="881"/>
      <c r="O79" s="881"/>
      <c r="P79" s="965"/>
      <c r="Q79" s="881"/>
      <c r="R79" s="138"/>
      <c r="S79" s="958"/>
      <c r="T79" s="959"/>
      <c r="U79" s="960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  <c r="BE79" s="138"/>
      <c r="BF79" s="138"/>
      <c r="BG79" s="138"/>
      <c r="BH79" s="138"/>
      <c r="BI79" s="138"/>
      <c r="BJ79" s="138"/>
      <c r="BK79" s="138"/>
      <c r="BL79" s="138"/>
      <c r="BM79" s="138"/>
      <c r="BN79" s="138"/>
      <c r="BO79" s="138"/>
      <c r="BP79" s="138"/>
      <c r="BQ79" s="138"/>
      <c r="BR79" s="138"/>
      <c r="BS79" s="138"/>
      <c r="BT79" s="138"/>
      <c r="BU79" s="138"/>
      <c r="BV79" s="138"/>
      <c r="BW79" s="138"/>
      <c r="BX79" s="138"/>
      <c r="BY79" s="138"/>
      <c r="BZ79" s="138"/>
      <c r="CA79" s="138"/>
      <c r="CB79" s="138"/>
      <c r="CC79" s="138"/>
      <c r="CD79" s="138"/>
      <c r="CE79" s="138"/>
      <c r="CF79" s="138"/>
      <c r="CG79" s="138"/>
      <c r="CH79" s="138"/>
      <c r="CI79" s="138"/>
      <c r="CJ79" s="138"/>
      <c r="CK79" s="138"/>
      <c r="CL79" s="138"/>
      <c r="CM79" s="138"/>
      <c r="CN79" s="138"/>
      <c r="CO79" s="138"/>
      <c r="CP79" s="138"/>
      <c r="CQ79" s="138"/>
      <c r="CR79" s="138"/>
      <c r="CS79" s="138"/>
      <c r="CT79" s="138"/>
      <c r="CU79" s="138"/>
      <c r="CV79" s="138"/>
      <c r="CW79" s="138"/>
      <c r="CX79" s="138"/>
      <c r="CY79" s="138"/>
      <c r="CZ79" s="138"/>
      <c r="DA79" s="138"/>
      <c r="DB79" s="138"/>
      <c r="DC79" s="138"/>
      <c r="DD79" s="138"/>
      <c r="DE79" s="138"/>
      <c r="DF79" s="138"/>
      <c r="DG79" s="138"/>
      <c r="DH79" s="138"/>
      <c r="DI79" s="138"/>
      <c r="DJ79" s="138"/>
      <c r="DK79" s="138"/>
      <c r="DL79" s="138"/>
      <c r="DM79" s="138"/>
      <c r="DN79" s="138"/>
      <c r="DO79" s="138"/>
      <c r="DP79" s="138"/>
      <c r="DQ79" s="138"/>
      <c r="DR79" s="138"/>
      <c r="DS79" s="138"/>
      <c r="DT79" s="138"/>
      <c r="DU79" s="138"/>
      <c r="DV79" s="138"/>
      <c r="DW79" s="138"/>
      <c r="DX79" s="138"/>
      <c r="DY79" s="138"/>
      <c r="DZ79" s="138"/>
      <c r="EA79" s="138"/>
      <c r="EB79" s="138"/>
      <c r="EC79" s="138"/>
      <c r="ED79" s="138"/>
      <c r="EE79" s="126"/>
      <c r="EF79" s="138"/>
      <c r="EG79" s="138"/>
      <c r="EH79" s="138"/>
      <c r="EI79" s="138"/>
      <c r="EJ79" s="138"/>
      <c r="EK79" s="138"/>
      <c r="EL79" s="138"/>
      <c r="EM79" s="138"/>
      <c r="EN79" s="138"/>
      <c r="EO79" s="138"/>
      <c r="EP79" s="138"/>
      <c r="EQ79" s="138"/>
      <c r="ER79" s="138"/>
      <c r="ES79" s="138"/>
      <c r="ET79" s="138"/>
      <c r="EU79" s="138"/>
      <c r="EV79" s="138"/>
      <c r="EW79" s="138"/>
      <c r="EX79" s="138"/>
      <c r="EY79" s="138"/>
      <c r="EZ79" s="138"/>
      <c r="FA79" s="138"/>
      <c r="FB79" s="138"/>
      <c r="FC79" s="138"/>
      <c r="FD79" s="138"/>
      <c r="FE79" s="138"/>
      <c r="FF79" s="138"/>
      <c r="FG79" s="138"/>
      <c r="FH79" s="138"/>
      <c r="FI79" s="138"/>
      <c r="FJ79" s="138"/>
      <c r="FK79" s="138"/>
      <c r="FL79" s="138"/>
      <c r="FM79" s="138"/>
      <c r="FN79" s="138"/>
      <c r="FO79" s="138"/>
      <c r="FP79" s="138"/>
      <c r="FQ79" s="138"/>
      <c r="FR79" s="138"/>
      <c r="FS79" s="138"/>
      <c r="FT79" s="138"/>
      <c r="FU79" s="138"/>
      <c r="FV79" s="138"/>
      <c r="FW79" s="138"/>
      <c r="FX79" s="138"/>
      <c r="FY79" s="138"/>
      <c r="FZ79" s="138"/>
      <c r="GA79" s="138"/>
      <c r="GB79" s="138"/>
      <c r="GC79" s="138"/>
      <c r="GD79" s="138"/>
      <c r="GE79" s="138"/>
      <c r="GF79" s="138"/>
      <c r="GG79" s="138"/>
      <c r="GH79" s="138"/>
      <c r="GI79" s="138"/>
      <c r="GJ79" s="138"/>
      <c r="GK79" s="138"/>
      <c r="GL79" s="138"/>
      <c r="GM79" s="138"/>
      <c r="GN79" s="138"/>
      <c r="GO79" s="138"/>
      <c r="GP79" s="138"/>
      <c r="GQ79" s="138"/>
      <c r="GR79" s="138"/>
      <c r="GS79" s="138"/>
      <c r="GT79" s="138"/>
      <c r="GU79" s="138"/>
      <c r="GV79" s="138"/>
      <c r="GW79" s="138"/>
      <c r="GX79" s="138"/>
      <c r="GY79" s="138"/>
      <c r="GZ79" s="138"/>
      <c r="HA79" s="138"/>
      <c r="HB79" s="138"/>
      <c r="HC79" s="138"/>
      <c r="HD79" s="138"/>
      <c r="HE79" s="138"/>
      <c r="HF79" s="138"/>
      <c r="HG79" s="138"/>
      <c r="HH79" s="138"/>
      <c r="HI79" s="138"/>
      <c r="HJ79" s="138"/>
      <c r="HK79" s="138"/>
      <c r="HL79" s="138"/>
      <c r="HM79" s="138"/>
      <c r="HN79" s="138"/>
      <c r="HO79" s="138"/>
      <c r="HP79" s="138"/>
      <c r="HQ79" s="138"/>
      <c r="HR79" s="138"/>
      <c r="HS79" s="138"/>
      <c r="HT79" s="138"/>
      <c r="HU79" s="138"/>
      <c r="HV79" s="138"/>
      <c r="HW79" s="138"/>
      <c r="HX79" s="138"/>
      <c r="HY79" s="138"/>
      <c r="HZ79" s="138"/>
      <c r="IA79" s="138"/>
      <c r="IB79" s="138"/>
      <c r="IC79" s="138"/>
      <c r="ID79" s="138"/>
      <c r="IE79" s="138"/>
      <c r="IF79" s="138"/>
      <c r="IG79" s="138"/>
      <c r="IH79" s="138"/>
      <c r="II79" s="138"/>
      <c r="IJ79" s="138"/>
      <c r="IK79" s="138"/>
      <c r="IL79" s="138"/>
      <c r="IM79" s="138"/>
      <c r="IN79" s="138"/>
      <c r="IO79" s="138"/>
      <c r="IP79" s="138"/>
      <c r="IQ79" s="138"/>
      <c r="IR79" s="138"/>
      <c r="IS79" s="138"/>
      <c r="IT79" s="138"/>
      <c r="IU79" s="138"/>
      <c r="IV79" s="138"/>
      <c r="IW79" s="138"/>
      <c r="IX79" s="138"/>
      <c r="IY79" s="138"/>
      <c r="IZ79" s="138"/>
      <c r="JA79" s="138"/>
      <c r="JB79" s="138"/>
      <c r="JC79" s="138"/>
      <c r="JD79" s="138"/>
      <c r="JE79" s="138"/>
      <c r="JF79" s="138"/>
      <c r="JG79" s="138"/>
      <c r="JH79" s="138"/>
      <c r="JI79" s="138"/>
      <c r="JJ79" s="138"/>
      <c r="JK79" s="138"/>
      <c r="JL79" s="138"/>
      <c r="JM79" s="138"/>
      <c r="JN79" s="138"/>
      <c r="JO79" s="138"/>
      <c r="JP79" s="138"/>
    </row>
    <row r="80" spans="1:276" s="4" customFormat="1">
      <c r="A80" s="138"/>
      <c r="B80" s="138"/>
      <c r="C80" s="138"/>
      <c r="D80" s="138"/>
      <c r="E80" s="138"/>
      <c r="F80" s="138"/>
      <c r="G80" s="966"/>
      <c r="H80" s="963"/>
      <c r="I80" s="964"/>
      <c r="J80" s="881"/>
      <c r="K80" s="881"/>
      <c r="L80" s="881"/>
      <c r="M80" s="881"/>
      <c r="N80" s="881"/>
      <c r="O80" s="881"/>
      <c r="P80" s="965"/>
      <c r="Q80" s="881"/>
      <c r="R80" s="138"/>
      <c r="S80" s="958"/>
      <c r="T80" s="959"/>
      <c r="U80" s="960"/>
      <c r="V80" s="138"/>
      <c r="W80" s="138"/>
      <c r="X80" s="138"/>
      <c r="Y80" s="138"/>
      <c r="Z80" s="138"/>
      <c r="AA80" s="138"/>
      <c r="AB80" s="138"/>
      <c r="AC80" s="138"/>
      <c r="AD80" s="138"/>
      <c r="AE80" s="138"/>
      <c r="AF80" s="138"/>
      <c r="AG80" s="138"/>
      <c r="AH80" s="138"/>
      <c r="AI80" s="138"/>
      <c r="AJ80" s="138"/>
      <c r="AK80" s="138"/>
      <c r="AL80" s="138"/>
      <c r="AM80" s="138"/>
      <c r="AN80" s="138"/>
      <c r="AO80" s="138"/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  <c r="BE80" s="138"/>
      <c r="BF80" s="138"/>
      <c r="BG80" s="138"/>
      <c r="BH80" s="138"/>
      <c r="BI80" s="138"/>
      <c r="BJ80" s="138"/>
      <c r="BK80" s="138"/>
      <c r="BL80" s="138"/>
      <c r="BM80" s="138"/>
      <c r="BN80" s="138"/>
      <c r="BO80" s="138"/>
      <c r="BP80" s="138"/>
      <c r="BQ80" s="138"/>
      <c r="BR80" s="138"/>
      <c r="BS80" s="138"/>
      <c r="BT80" s="138"/>
      <c r="BU80" s="138"/>
      <c r="BV80" s="138"/>
      <c r="BW80" s="138"/>
      <c r="BX80" s="138"/>
      <c r="BY80" s="138"/>
      <c r="BZ80" s="138"/>
      <c r="CA80" s="138"/>
      <c r="CB80" s="138"/>
      <c r="CC80" s="138"/>
      <c r="CD80" s="138"/>
      <c r="CE80" s="138"/>
      <c r="CF80" s="138"/>
      <c r="CG80" s="138"/>
      <c r="CH80" s="138"/>
      <c r="CI80" s="138"/>
      <c r="CJ80" s="138"/>
      <c r="CK80" s="138"/>
      <c r="CL80" s="138"/>
      <c r="CM80" s="138"/>
      <c r="CN80" s="138"/>
      <c r="CO80" s="138"/>
      <c r="CP80" s="138"/>
      <c r="CQ80" s="138"/>
      <c r="CR80" s="138"/>
      <c r="CS80" s="138"/>
      <c r="CT80" s="138"/>
      <c r="CU80" s="138"/>
      <c r="CV80" s="138"/>
      <c r="CW80" s="138"/>
      <c r="CX80" s="138"/>
      <c r="CY80" s="138"/>
      <c r="CZ80" s="138"/>
      <c r="DA80" s="138"/>
      <c r="DB80" s="138"/>
      <c r="DC80" s="138"/>
      <c r="DD80" s="138"/>
      <c r="DE80" s="138"/>
      <c r="DF80" s="138"/>
      <c r="DG80" s="138"/>
      <c r="DH80" s="138"/>
      <c r="DI80" s="138"/>
      <c r="DJ80" s="138"/>
      <c r="DK80" s="138"/>
      <c r="DL80" s="138"/>
      <c r="DM80" s="138"/>
      <c r="DN80" s="138"/>
      <c r="DO80" s="138"/>
      <c r="DP80" s="138"/>
      <c r="DQ80" s="138"/>
      <c r="DR80" s="138"/>
      <c r="DS80" s="138"/>
      <c r="DT80" s="138"/>
      <c r="DU80" s="138"/>
      <c r="DV80" s="138"/>
      <c r="DW80" s="138"/>
      <c r="DX80" s="138"/>
      <c r="DY80" s="138"/>
      <c r="DZ80" s="138"/>
      <c r="EA80" s="138"/>
      <c r="EB80" s="138"/>
      <c r="EC80" s="138"/>
      <c r="ED80" s="138"/>
      <c r="EE80" s="126"/>
      <c r="EF80" s="138"/>
      <c r="EG80" s="138"/>
      <c r="EH80" s="138"/>
      <c r="EI80" s="138"/>
      <c r="EJ80" s="138"/>
      <c r="EK80" s="138"/>
      <c r="EL80" s="138"/>
      <c r="EM80" s="138"/>
      <c r="EN80" s="138"/>
      <c r="EO80" s="138"/>
      <c r="EP80" s="138"/>
      <c r="EQ80" s="138"/>
      <c r="ER80" s="138"/>
      <c r="ES80" s="138"/>
      <c r="ET80" s="138"/>
      <c r="EU80" s="138"/>
      <c r="EV80" s="138"/>
      <c r="EW80" s="138"/>
      <c r="EX80" s="138"/>
      <c r="EY80" s="138"/>
      <c r="EZ80" s="138"/>
      <c r="FA80" s="138"/>
      <c r="FB80" s="138"/>
      <c r="FC80" s="138"/>
      <c r="FD80" s="138"/>
      <c r="FE80" s="138"/>
      <c r="FF80" s="138"/>
      <c r="FG80" s="138"/>
      <c r="FH80" s="138"/>
      <c r="FI80" s="138"/>
      <c r="FJ80" s="138"/>
      <c r="FK80" s="138"/>
      <c r="FL80" s="138"/>
      <c r="FM80" s="138"/>
      <c r="FN80" s="138"/>
      <c r="FO80" s="138"/>
      <c r="FP80" s="138"/>
      <c r="FQ80" s="138"/>
      <c r="FR80" s="138"/>
      <c r="FS80" s="138"/>
      <c r="FT80" s="138"/>
      <c r="FU80" s="138"/>
      <c r="FV80" s="138"/>
      <c r="FW80" s="138"/>
      <c r="FX80" s="138"/>
      <c r="FY80" s="138"/>
      <c r="FZ80" s="138"/>
      <c r="GA80" s="138"/>
      <c r="GB80" s="138"/>
      <c r="GC80" s="138"/>
      <c r="GD80" s="138"/>
      <c r="GE80" s="138"/>
      <c r="GF80" s="138"/>
      <c r="GG80" s="138"/>
      <c r="GH80" s="138"/>
      <c r="GI80" s="138"/>
      <c r="GJ80" s="138"/>
      <c r="GK80" s="138"/>
      <c r="GL80" s="138"/>
      <c r="GM80" s="138"/>
      <c r="GN80" s="138"/>
      <c r="GO80" s="138"/>
      <c r="GP80" s="138"/>
      <c r="GQ80" s="138"/>
      <c r="GR80" s="138"/>
      <c r="GS80" s="138"/>
      <c r="GT80" s="138"/>
      <c r="GU80" s="138"/>
      <c r="GV80" s="138"/>
      <c r="GW80" s="138"/>
      <c r="GX80" s="138"/>
      <c r="GY80" s="138"/>
      <c r="GZ80" s="138"/>
      <c r="HA80" s="138"/>
      <c r="HB80" s="138"/>
      <c r="HC80" s="138"/>
      <c r="HD80" s="138"/>
      <c r="HE80" s="138"/>
      <c r="HF80" s="138"/>
      <c r="HG80" s="138"/>
      <c r="HH80" s="138"/>
      <c r="HI80" s="138"/>
      <c r="HJ80" s="138"/>
      <c r="HK80" s="138"/>
      <c r="HL80" s="138"/>
      <c r="HM80" s="138"/>
      <c r="HN80" s="138"/>
      <c r="HO80" s="138"/>
      <c r="HP80" s="138"/>
      <c r="HQ80" s="138"/>
      <c r="HR80" s="138"/>
      <c r="HS80" s="138"/>
      <c r="HT80" s="138"/>
      <c r="HU80" s="138"/>
      <c r="HV80" s="138"/>
      <c r="HW80" s="138"/>
      <c r="HX80" s="138"/>
      <c r="HY80" s="138"/>
      <c r="HZ80" s="138"/>
      <c r="IA80" s="138"/>
      <c r="IB80" s="138"/>
      <c r="IC80" s="138"/>
      <c r="ID80" s="138"/>
      <c r="IE80" s="138"/>
      <c r="IF80" s="138"/>
      <c r="IG80" s="138"/>
      <c r="IH80" s="138"/>
      <c r="II80" s="138"/>
      <c r="IJ80" s="138"/>
      <c r="IK80" s="138"/>
      <c r="IL80" s="138"/>
      <c r="IM80" s="138"/>
      <c r="IN80" s="138"/>
      <c r="IO80" s="138"/>
      <c r="IP80" s="138"/>
      <c r="IQ80" s="138"/>
      <c r="IR80" s="138"/>
      <c r="IS80" s="138"/>
      <c r="IT80" s="138"/>
      <c r="IU80" s="138"/>
      <c r="IV80" s="138"/>
      <c r="IW80" s="138"/>
      <c r="IX80" s="138"/>
      <c r="IY80" s="138"/>
      <c r="IZ80" s="138"/>
      <c r="JA80" s="138"/>
      <c r="JB80" s="138"/>
      <c r="JC80" s="138"/>
      <c r="JD80" s="138"/>
      <c r="JE80" s="138"/>
      <c r="JF80" s="138"/>
      <c r="JG80" s="138"/>
      <c r="JH80" s="138"/>
      <c r="JI80" s="138"/>
      <c r="JJ80" s="138"/>
      <c r="JK80" s="138"/>
      <c r="JL80" s="138"/>
      <c r="JM80" s="138"/>
      <c r="JN80" s="138"/>
      <c r="JO80" s="138"/>
      <c r="JP80" s="138"/>
    </row>
    <row r="81" spans="1:276" s="4" customFormat="1">
      <c r="A81" s="138"/>
      <c r="B81" s="138"/>
      <c r="C81" s="138"/>
      <c r="D81" s="138"/>
      <c r="E81" s="138"/>
      <c r="F81" s="138"/>
      <c r="G81" s="966"/>
      <c r="H81" s="963"/>
      <c r="I81" s="964"/>
      <c r="J81" s="881"/>
      <c r="K81" s="881"/>
      <c r="L81" s="881"/>
      <c r="M81" s="881"/>
      <c r="N81" s="881"/>
      <c r="O81" s="881"/>
      <c r="P81" s="965"/>
      <c r="Q81" s="881"/>
      <c r="R81" s="138"/>
      <c r="S81" s="958"/>
      <c r="T81" s="959"/>
      <c r="U81" s="960"/>
      <c r="V81" s="138"/>
      <c r="W81" s="138"/>
      <c r="X81" s="138"/>
      <c r="Y81" s="138"/>
      <c r="Z81" s="138"/>
      <c r="AA81" s="138"/>
      <c r="AB81" s="138"/>
      <c r="AC81" s="138"/>
      <c r="AD81" s="138"/>
      <c r="AE81" s="138"/>
      <c r="AF81" s="138"/>
      <c r="AG81" s="138"/>
      <c r="AH81" s="138"/>
      <c r="AI81" s="138"/>
      <c r="AJ81" s="138"/>
      <c r="AK81" s="138"/>
      <c r="AL81" s="138"/>
      <c r="AM81" s="138"/>
      <c r="AN81" s="138"/>
      <c r="AO81" s="138"/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  <c r="BE81" s="138"/>
      <c r="BF81" s="138"/>
      <c r="BG81" s="138"/>
      <c r="BH81" s="138"/>
      <c r="BI81" s="138"/>
      <c r="BJ81" s="138"/>
      <c r="BK81" s="138"/>
      <c r="BL81" s="138"/>
      <c r="BM81" s="138"/>
      <c r="BN81" s="138"/>
      <c r="BO81" s="138"/>
      <c r="BP81" s="138"/>
      <c r="BQ81" s="138"/>
      <c r="BR81" s="138"/>
      <c r="BS81" s="138"/>
      <c r="BT81" s="138"/>
      <c r="BU81" s="138"/>
      <c r="BV81" s="138"/>
      <c r="BW81" s="138"/>
      <c r="BX81" s="138"/>
      <c r="BY81" s="138"/>
      <c r="BZ81" s="138"/>
      <c r="CA81" s="138"/>
      <c r="CB81" s="138"/>
      <c r="CC81" s="138"/>
      <c r="CD81" s="138"/>
      <c r="CE81" s="138"/>
      <c r="CF81" s="138"/>
      <c r="CG81" s="138"/>
      <c r="CH81" s="138"/>
      <c r="CI81" s="138"/>
      <c r="CJ81" s="138"/>
      <c r="CK81" s="138"/>
      <c r="CL81" s="138"/>
      <c r="CM81" s="138"/>
      <c r="CN81" s="138"/>
      <c r="CO81" s="138"/>
      <c r="CP81" s="138"/>
      <c r="CQ81" s="138"/>
      <c r="CR81" s="138"/>
      <c r="CS81" s="138"/>
      <c r="CT81" s="138"/>
      <c r="CU81" s="138"/>
      <c r="CV81" s="138"/>
      <c r="CW81" s="138"/>
      <c r="CX81" s="138"/>
      <c r="CY81" s="138"/>
      <c r="CZ81" s="138"/>
      <c r="DA81" s="138"/>
      <c r="DB81" s="138"/>
      <c r="DC81" s="138"/>
      <c r="DD81" s="138"/>
      <c r="DE81" s="138"/>
      <c r="DF81" s="138"/>
      <c r="DG81" s="138"/>
      <c r="DH81" s="138"/>
      <c r="DI81" s="138"/>
      <c r="DJ81" s="138"/>
      <c r="DK81" s="138"/>
      <c r="DL81" s="138"/>
      <c r="DM81" s="138"/>
      <c r="DN81" s="138"/>
      <c r="DO81" s="138"/>
      <c r="DP81" s="138"/>
      <c r="DQ81" s="138"/>
      <c r="DR81" s="138"/>
      <c r="DS81" s="138"/>
      <c r="DT81" s="138"/>
      <c r="DU81" s="138"/>
      <c r="DV81" s="138"/>
      <c r="DW81" s="138"/>
      <c r="DX81" s="138"/>
      <c r="DY81" s="138"/>
      <c r="DZ81" s="138"/>
      <c r="EA81" s="138"/>
      <c r="EB81" s="138"/>
      <c r="EC81" s="138"/>
      <c r="ED81" s="138"/>
      <c r="EE81" s="126"/>
      <c r="EF81" s="138"/>
      <c r="EG81" s="138"/>
      <c r="EH81" s="138"/>
      <c r="EI81" s="138"/>
      <c r="EJ81" s="138"/>
      <c r="EK81" s="138"/>
      <c r="EL81" s="138"/>
      <c r="EM81" s="138"/>
      <c r="EN81" s="138"/>
      <c r="EO81" s="138"/>
      <c r="EP81" s="138"/>
      <c r="EQ81" s="138"/>
      <c r="ER81" s="138"/>
      <c r="ES81" s="138"/>
      <c r="ET81" s="138"/>
      <c r="EU81" s="138"/>
      <c r="EV81" s="138"/>
      <c r="EW81" s="138"/>
      <c r="EX81" s="138"/>
      <c r="EY81" s="138"/>
      <c r="EZ81" s="138"/>
      <c r="FA81" s="138"/>
      <c r="FB81" s="138"/>
      <c r="FC81" s="138"/>
      <c r="FD81" s="138"/>
      <c r="FE81" s="138"/>
      <c r="FF81" s="138"/>
      <c r="FG81" s="138"/>
      <c r="FH81" s="138"/>
      <c r="FI81" s="138"/>
      <c r="FJ81" s="138"/>
      <c r="FK81" s="138"/>
      <c r="FL81" s="138"/>
      <c r="FM81" s="138"/>
      <c r="FN81" s="138"/>
      <c r="FO81" s="138"/>
      <c r="FP81" s="138"/>
      <c r="FQ81" s="138"/>
      <c r="FR81" s="138"/>
      <c r="FS81" s="138"/>
      <c r="FT81" s="138"/>
      <c r="FU81" s="138"/>
      <c r="FV81" s="138"/>
      <c r="FW81" s="138"/>
      <c r="FX81" s="138"/>
      <c r="FY81" s="138"/>
      <c r="FZ81" s="138"/>
      <c r="GA81" s="138"/>
      <c r="GB81" s="138"/>
      <c r="GC81" s="138"/>
      <c r="GD81" s="138"/>
      <c r="GE81" s="138"/>
      <c r="GF81" s="138"/>
      <c r="GG81" s="138"/>
      <c r="GH81" s="138"/>
      <c r="GI81" s="138"/>
      <c r="GJ81" s="138"/>
      <c r="GK81" s="138"/>
      <c r="GL81" s="138"/>
      <c r="GM81" s="138"/>
      <c r="GN81" s="138"/>
      <c r="GO81" s="138"/>
      <c r="GP81" s="138"/>
      <c r="GQ81" s="138"/>
      <c r="GR81" s="138"/>
      <c r="GS81" s="138"/>
      <c r="GT81" s="138"/>
      <c r="GU81" s="138"/>
      <c r="GV81" s="138"/>
      <c r="GW81" s="138"/>
      <c r="GX81" s="138"/>
      <c r="GY81" s="138"/>
      <c r="GZ81" s="138"/>
      <c r="HA81" s="138"/>
      <c r="HB81" s="138"/>
      <c r="HC81" s="138"/>
      <c r="HD81" s="138"/>
      <c r="HE81" s="138"/>
      <c r="HF81" s="138"/>
      <c r="HG81" s="138"/>
      <c r="HH81" s="138"/>
      <c r="HI81" s="138"/>
      <c r="HJ81" s="138"/>
      <c r="HK81" s="138"/>
      <c r="HL81" s="138"/>
      <c r="HM81" s="138"/>
      <c r="HN81" s="138"/>
      <c r="HO81" s="138"/>
      <c r="HP81" s="138"/>
      <c r="HQ81" s="138"/>
      <c r="HR81" s="138"/>
      <c r="HS81" s="138"/>
      <c r="HT81" s="138"/>
      <c r="HU81" s="138"/>
      <c r="HV81" s="138"/>
      <c r="HW81" s="138"/>
      <c r="HX81" s="138"/>
      <c r="HY81" s="138"/>
      <c r="HZ81" s="138"/>
      <c r="IA81" s="138"/>
      <c r="IB81" s="138"/>
      <c r="IC81" s="138"/>
      <c r="ID81" s="138"/>
      <c r="IE81" s="138"/>
      <c r="IF81" s="138"/>
      <c r="IG81" s="138"/>
      <c r="IH81" s="138"/>
      <c r="II81" s="138"/>
      <c r="IJ81" s="138"/>
      <c r="IK81" s="138"/>
      <c r="IL81" s="138"/>
      <c r="IM81" s="138"/>
      <c r="IN81" s="138"/>
      <c r="IO81" s="138"/>
      <c r="IP81" s="138"/>
      <c r="IQ81" s="138"/>
      <c r="IR81" s="138"/>
      <c r="IS81" s="138"/>
      <c r="IT81" s="138"/>
      <c r="IU81" s="138"/>
      <c r="IV81" s="138"/>
      <c r="IW81" s="138"/>
      <c r="IX81" s="138"/>
      <c r="IY81" s="138"/>
      <c r="IZ81" s="138"/>
      <c r="JA81" s="138"/>
      <c r="JB81" s="138"/>
      <c r="JC81" s="138"/>
      <c r="JD81" s="138"/>
      <c r="JE81" s="138"/>
      <c r="JF81" s="138"/>
      <c r="JG81" s="138"/>
      <c r="JH81" s="138"/>
      <c r="JI81" s="138"/>
      <c r="JJ81" s="138"/>
      <c r="JK81" s="138"/>
      <c r="JL81" s="138"/>
      <c r="JM81" s="138"/>
      <c r="JN81" s="138"/>
      <c r="JO81" s="138"/>
      <c r="JP81" s="138"/>
    </row>
    <row r="82" spans="1:276" s="4" customFormat="1">
      <c r="A82" s="138"/>
      <c r="B82" s="138"/>
      <c r="C82" s="138"/>
      <c r="D82" s="138"/>
      <c r="E82" s="138"/>
      <c r="F82" s="138"/>
      <c r="G82" s="966"/>
      <c r="H82" s="963"/>
      <c r="I82" s="964"/>
      <c r="J82" s="881"/>
      <c r="K82" s="881"/>
      <c r="L82" s="881"/>
      <c r="M82" s="881"/>
      <c r="N82" s="881"/>
      <c r="O82" s="881"/>
      <c r="P82" s="965"/>
      <c r="Q82" s="881"/>
      <c r="R82" s="138"/>
      <c r="S82" s="958"/>
      <c r="T82" s="959"/>
      <c r="U82" s="960"/>
      <c r="V82" s="138"/>
      <c r="W82" s="138"/>
      <c r="X82" s="138"/>
      <c r="Y82" s="138"/>
      <c r="Z82" s="138"/>
      <c r="AA82" s="138"/>
      <c r="AB82" s="138"/>
      <c r="AC82" s="138"/>
      <c r="AD82" s="138"/>
      <c r="AE82" s="138"/>
      <c r="AF82" s="138"/>
      <c r="AG82" s="138"/>
      <c r="AH82" s="138"/>
      <c r="AI82" s="138"/>
      <c r="AJ82" s="138"/>
      <c r="AK82" s="138"/>
      <c r="AL82" s="138"/>
      <c r="AM82" s="138"/>
      <c r="AN82" s="138"/>
      <c r="AO82" s="138"/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  <c r="BE82" s="138"/>
      <c r="BF82" s="138"/>
      <c r="BG82" s="138"/>
      <c r="BH82" s="138"/>
      <c r="BI82" s="138"/>
      <c r="BJ82" s="138"/>
      <c r="BK82" s="138"/>
      <c r="BL82" s="138"/>
      <c r="BM82" s="138"/>
      <c r="BN82" s="138"/>
      <c r="BO82" s="138"/>
      <c r="BP82" s="138"/>
      <c r="BQ82" s="138"/>
      <c r="BR82" s="138"/>
      <c r="BS82" s="138"/>
      <c r="BT82" s="138"/>
      <c r="BU82" s="138"/>
      <c r="BV82" s="138"/>
      <c r="BW82" s="138"/>
      <c r="BX82" s="138"/>
      <c r="BY82" s="138"/>
      <c r="BZ82" s="138"/>
      <c r="CA82" s="138"/>
      <c r="CB82" s="138"/>
      <c r="CC82" s="138"/>
      <c r="CD82" s="138"/>
      <c r="CE82" s="138"/>
      <c r="CF82" s="138"/>
      <c r="CG82" s="138"/>
      <c r="CH82" s="138"/>
      <c r="CI82" s="138"/>
      <c r="CJ82" s="138"/>
      <c r="CK82" s="138"/>
      <c r="CL82" s="138"/>
      <c r="CM82" s="138"/>
      <c r="CN82" s="138"/>
      <c r="CO82" s="138"/>
      <c r="CP82" s="138"/>
      <c r="CQ82" s="138"/>
      <c r="CR82" s="138"/>
      <c r="CS82" s="138"/>
      <c r="CT82" s="138"/>
      <c r="CU82" s="138"/>
      <c r="CV82" s="138"/>
      <c r="CW82" s="138"/>
      <c r="CX82" s="138"/>
      <c r="CY82" s="138"/>
      <c r="CZ82" s="138"/>
      <c r="DA82" s="138"/>
      <c r="DB82" s="138"/>
      <c r="DC82" s="138"/>
      <c r="DD82" s="138"/>
      <c r="DE82" s="138"/>
      <c r="DF82" s="138"/>
      <c r="DG82" s="138"/>
      <c r="DH82" s="138"/>
      <c r="DI82" s="138"/>
      <c r="DJ82" s="138"/>
      <c r="DK82" s="138"/>
      <c r="DL82" s="138"/>
      <c r="DM82" s="138"/>
      <c r="DN82" s="138"/>
      <c r="DO82" s="138"/>
      <c r="DP82" s="138"/>
      <c r="DQ82" s="138"/>
      <c r="DR82" s="138"/>
      <c r="DS82" s="138"/>
      <c r="DT82" s="138"/>
      <c r="DU82" s="138"/>
      <c r="DV82" s="138"/>
      <c r="DW82" s="138"/>
      <c r="DX82" s="138"/>
      <c r="DY82" s="138"/>
      <c r="DZ82" s="138"/>
      <c r="EA82" s="138"/>
      <c r="EB82" s="138"/>
      <c r="EC82" s="138"/>
      <c r="ED82" s="138"/>
      <c r="EE82" s="126"/>
      <c r="EF82" s="138"/>
      <c r="EG82" s="138"/>
      <c r="EH82" s="138"/>
      <c r="EI82" s="138"/>
      <c r="EJ82" s="138"/>
      <c r="EK82" s="138"/>
      <c r="EL82" s="138"/>
      <c r="EM82" s="138"/>
      <c r="EN82" s="138"/>
      <c r="EO82" s="138"/>
      <c r="EP82" s="138"/>
      <c r="EQ82" s="138"/>
      <c r="ER82" s="138"/>
      <c r="ES82" s="138"/>
      <c r="ET82" s="138"/>
      <c r="EU82" s="138"/>
      <c r="EV82" s="138"/>
      <c r="EW82" s="138"/>
      <c r="EX82" s="138"/>
      <c r="EY82" s="138"/>
      <c r="EZ82" s="138"/>
      <c r="FA82" s="138"/>
      <c r="FB82" s="138"/>
      <c r="FC82" s="138"/>
      <c r="FD82" s="138"/>
      <c r="FE82" s="138"/>
      <c r="FF82" s="138"/>
      <c r="FG82" s="138"/>
      <c r="FH82" s="138"/>
      <c r="FI82" s="138"/>
      <c r="FJ82" s="138"/>
      <c r="FK82" s="138"/>
      <c r="FL82" s="138"/>
      <c r="FM82" s="138"/>
      <c r="FN82" s="138"/>
      <c r="FO82" s="138"/>
      <c r="FP82" s="138"/>
      <c r="FQ82" s="138"/>
      <c r="FR82" s="138"/>
      <c r="FS82" s="138"/>
      <c r="FT82" s="138"/>
      <c r="FU82" s="138"/>
      <c r="FV82" s="138"/>
      <c r="FW82" s="138"/>
      <c r="FX82" s="138"/>
      <c r="FY82" s="138"/>
      <c r="FZ82" s="138"/>
      <c r="GA82" s="138"/>
      <c r="GB82" s="138"/>
      <c r="GC82" s="138"/>
      <c r="GD82" s="138"/>
      <c r="GE82" s="138"/>
      <c r="GF82" s="138"/>
      <c r="GG82" s="138"/>
      <c r="GH82" s="138"/>
      <c r="GI82" s="138"/>
      <c r="GJ82" s="138"/>
      <c r="GK82" s="138"/>
      <c r="GL82" s="138"/>
      <c r="GM82" s="138"/>
      <c r="GN82" s="138"/>
      <c r="GO82" s="138"/>
      <c r="GP82" s="138"/>
      <c r="GQ82" s="138"/>
      <c r="GR82" s="138"/>
      <c r="GS82" s="138"/>
      <c r="GT82" s="138"/>
      <c r="GU82" s="138"/>
      <c r="GV82" s="138"/>
      <c r="GW82" s="138"/>
      <c r="GX82" s="138"/>
      <c r="GY82" s="138"/>
      <c r="GZ82" s="138"/>
      <c r="HA82" s="138"/>
      <c r="HB82" s="138"/>
      <c r="HC82" s="138"/>
      <c r="HD82" s="138"/>
      <c r="HE82" s="138"/>
      <c r="HF82" s="138"/>
      <c r="HG82" s="138"/>
      <c r="HH82" s="138"/>
      <c r="HI82" s="138"/>
      <c r="HJ82" s="138"/>
      <c r="HK82" s="138"/>
      <c r="HL82" s="138"/>
      <c r="HM82" s="138"/>
      <c r="HN82" s="138"/>
      <c r="HO82" s="138"/>
      <c r="HP82" s="138"/>
      <c r="HQ82" s="138"/>
      <c r="HR82" s="138"/>
      <c r="HS82" s="138"/>
      <c r="HT82" s="138"/>
      <c r="HU82" s="138"/>
      <c r="HV82" s="138"/>
      <c r="HW82" s="138"/>
      <c r="HX82" s="138"/>
      <c r="HY82" s="138"/>
      <c r="HZ82" s="138"/>
      <c r="IA82" s="138"/>
      <c r="IB82" s="138"/>
      <c r="IC82" s="138"/>
      <c r="ID82" s="138"/>
      <c r="IE82" s="138"/>
      <c r="IF82" s="138"/>
      <c r="IG82" s="138"/>
      <c r="IH82" s="138"/>
      <c r="II82" s="138"/>
      <c r="IJ82" s="138"/>
      <c r="IK82" s="138"/>
      <c r="IL82" s="138"/>
      <c r="IM82" s="138"/>
      <c r="IN82" s="138"/>
      <c r="IO82" s="138"/>
      <c r="IP82" s="138"/>
      <c r="IQ82" s="138"/>
      <c r="IR82" s="138"/>
      <c r="IS82" s="138"/>
      <c r="IT82" s="138"/>
      <c r="IU82" s="138"/>
      <c r="IV82" s="138"/>
      <c r="IW82" s="138"/>
      <c r="IX82" s="138"/>
      <c r="IY82" s="138"/>
      <c r="IZ82" s="138"/>
      <c r="JA82" s="138"/>
      <c r="JB82" s="138"/>
      <c r="JC82" s="138"/>
      <c r="JD82" s="138"/>
      <c r="JE82" s="138"/>
      <c r="JF82" s="138"/>
      <c r="JG82" s="138"/>
      <c r="JH82" s="138"/>
      <c r="JI82" s="138"/>
      <c r="JJ82" s="138"/>
      <c r="JK82" s="138"/>
      <c r="JL82" s="138"/>
      <c r="JM82" s="138"/>
      <c r="JN82" s="138"/>
      <c r="JO82" s="138"/>
      <c r="JP82" s="138"/>
    </row>
    <row r="83" spans="1:276" s="4" customFormat="1">
      <c r="A83" s="138"/>
      <c r="B83" s="138"/>
      <c r="C83" s="138"/>
      <c r="D83" s="138"/>
      <c r="E83" s="138"/>
      <c r="F83" s="138"/>
      <c r="G83" s="966"/>
      <c r="H83" s="963"/>
      <c r="I83" s="964"/>
      <c r="J83" s="881"/>
      <c r="K83" s="881"/>
      <c r="L83" s="881"/>
      <c r="M83" s="881"/>
      <c r="N83" s="881"/>
      <c r="O83" s="881"/>
      <c r="P83" s="965"/>
      <c r="Q83" s="881"/>
      <c r="R83" s="138"/>
      <c r="S83" s="958"/>
      <c r="T83" s="959"/>
      <c r="U83" s="960"/>
      <c r="V83" s="138"/>
      <c r="W83" s="138"/>
      <c r="X83" s="138"/>
      <c r="Y83" s="138"/>
      <c r="Z83" s="138"/>
      <c r="AA83" s="138"/>
      <c r="AB83" s="138"/>
      <c r="AC83" s="138"/>
      <c r="AD83" s="138"/>
      <c r="AE83" s="138"/>
      <c r="AF83" s="138"/>
      <c r="AG83" s="138"/>
      <c r="AH83" s="138"/>
      <c r="AI83" s="138"/>
      <c r="AJ83" s="138"/>
      <c r="AK83" s="138"/>
      <c r="AL83" s="138"/>
      <c r="AM83" s="138"/>
      <c r="AN83" s="138"/>
      <c r="AO83" s="138"/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  <c r="BE83" s="138"/>
      <c r="BF83" s="138"/>
      <c r="BG83" s="138"/>
      <c r="BH83" s="138"/>
      <c r="BI83" s="138"/>
      <c r="BJ83" s="138"/>
      <c r="BK83" s="138"/>
      <c r="BL83" s="138"/>
      <c r="BM83" s="138"/>
      <c r="BN83" s="138"/>
      <c r="BO83" s="138"/>
      <c r="BP83" s="138"/>
      <c r="BQ83" s="138"/>
      <c r="BR83" s="138"/>
      <c r="BS83" s="138"/>
      <c r="BT83" s="138"/>
      <c r="BU83" s="138"/>
      <c r="BV83" s="138"/>
      <c r="BW83" s="138"/>
      <c r="BX83" s="138"/>
      <c r="BY83" s="138"/>
      <c r="BZ83" s="138"/>
      <c r="CA83" s="138"/>
      <c r="CB83" s="138"/>
      <c r="CC83" s="138"/>
      <c r="CD83" s="138"/>
      <c r="CE83" s="138"/>
      <c r="CF83" s="138"/>
      <c r="CG83" s="138"/>
      <c r="CH83" s="138"/>
      <c r="CI83" s="138"/>
      <c r="CJ83" s="138"/>
      <c r="CK83" s="138"/>
      <c r="CL83" s="138"/>
      <c r="CM83" s="138"/>
      <c r="CN83" s="138"/>
      <c r="CO83" s="138"/>
      <c r="CP83" s="138"/>
      <c r="CQ83" s="138"/>
      <c r="CR83" s="138"/>
      <c r="CS83" s="138"/>
      <c r="CT83" s="138"/>
      <c r="CU83" s="138"/>
      <c r="CV83" s="138"/>
      <c r="CW83" s="138"/>
      <c r="CX83" s="138"/>
      <c r="CY83" s="138"/>
      <c r="CZ83" s="138"/>
      <c r="DA83" s="138"/>
      <c r="DB83" s="138"/>
      <c r="DC83" s="138"/>
      <c r="DD83" s="138"/>
      <c r="DE83" s="138"/>
      <c r="DF83" s="138"/>
      <c r="DG83" s="138"/>
      <c r="DH83" s="138"/>
      <c r="DI83" s="138"/>
      <c r="DJ83" s="138"/>
      <c r="DK83" s="138"/>
      <c r="DL83" s="138"/>
      <c r="DM83" s="138"/>
      <c r="DN83" s="138"/>
      <c r="DO83" s="138"/>
      <c r="DP83" s="138"/>
      <c r="DQ83" s="138"/>
      <c r="DR83" s="138"/>
      <c r="DS83" s="138"/>
      <c r="DT83" s="138"/>
      <c r="DU83" s="138"/>
      <c r="DV83" s="138"/>
      <c r="DW83" s="138"/>
      <c r="DX83" s="138"/>
      <c r="DY83" s="138"/>
      <c r="DZ83" s="138"/>
      <c r="EA83" s="138"/>
      <c r="EB83" s="138"/>
      <c r="EC83" s="138"/>
      <c r="ED83" s="138"/>
      <c r="EE83" s="126"/>
      <c r="EF83" s="138"/>
      <c r="EG83" s="138"/>
      <c r="EH83" s="138"/>
      <c r="EI83" s="138"/>
      <c r="EJ83" s="138"/>
      <c r="EK83" s="138"/>
      <c r="EL83" s="138"/>
      <c r="EM83" s="138"/>
      <c r="EN83" s="138"/>
      <c r="EO83" s="138"/>
      <c r="EP83" s="138"/>
      <c r="EQ83" s="138"/>
      <c r="ER83" s="138"/>
      <c r="ES83" s="138"/>
      <c r="ET83" s="138"/>
      <c r="EU83" s="138"/>
      <c r="EV83" s="138"/>
      <c r="EW83" s="138"/>
      <c r="EX83" s="138"/>
      <c r="EY83" s="138"/>
      <c r="EZ83" s="138"/>
      <c r="FA83" s="138"/>
      <c r="FB83" s="138"/>
      <c r="FC83" s="138"/>
      <c r="FD83" s="138"/>
      <c r="FE83" s="138"/>
      <c r="FF83" s="138"/>
      <c r="FG83" s="138"/>
      <c r="FH83" s="138"/>
      <c r="FI83" s="138"/>
      <c r="FJ83" s="138"/>
      <c r="FK83" s="138"/>
      <c r="FL83" s="138"/>
      <c r="FM83" s="138"/>
      <c r="FN83" s="138"/>
      <c r="FO83" s="138"/>
      <c r="FP83" s="138"/>
      <c r="FQ83" s="138"/>
      <c r="FR83" s="138"/>
      <c r="FS83" s="138"/>
      <c r="FT83" s="138"/>
      <c r="FU83" s="138"/>
      <c r="FV83" s="138"/>
      <c r="FW83" s="138"/>
      <c r="FX83" s="138"/>
      <c r="FY83" s="138"/>
      <c r="FZ83" s="138"/>
      <c r="GA83" s="138"/>
      <c r="GB83" s="138"/>
      <c r="GC83" s="138"/>
      <c r="GD83" s="138"/>
      <c r="GE83" s="138"/>
      <c r="GF83" s="138"/>
      <c r="GG83" s="138"/>
      <c r="GH83" s="138"/>
      <c r="GI83" s="138"/>
      <c r="GJ83" s="138"/>
      <c r="GK83" s="138"/>
      <c r="GL83" s="138"/>
      <c r="GM83" s="138"/>
      <c r="GN83" s="138"/>
      <c r="GO83" s="138"/>
      <c r="GP83" s="138"/>
      <c r="GQ83" s="138"/>
      <c r="GR83" s="138"/>
      <c r="GS83" s="138"/>
      <c r="GT83" s="138"/>
      <c r="GU83" s="138"/>
      <c r="GV83" s="138"/>
      <c r="GW83" s="138"/>
      <c r="GX83" s="138"/>
      <c r="GY83" s="138"/>
      <c r="GZ83" s="138"/>
      <c r="HA83" s="138"/>
      <c r="HB83" s="138"/>
      <c r="HC83" s="138"/>
      <c r="HD83" s="138"/>
      <c r="HE83" s="138"/>
      <c r="HF83" s="138"/>
      <c r="HG83" s="138"/>
      <c r="HH83" s="138"/>
      <c r="HI83" s="138"/>
      <c r="HJ83" s="138"/>
      <c r="HK83" s="138"/>
      <c r="HL83" s="138"/>
      <c r="HM83" s="138"/>
      <c r="HN83" s="138"/>
      <c r="HO83" s="138"/>
      <c r="HP83" s="138"/>
      <c r="HQ83" s="138"/>
      <c r="HR83" s="138"/>
      <c r="HS83" s="138"/>
      <c r="HT83" s="138"/>
      <c r="HU83" s="138"/>
      <c r="HV83" s="138"/>
      <c r="HW83" s="138"/>
      <c r="HX83" s="138"/>
      <c r="HY83" s="138"/>
      <c r="HZ83" s="138"/>
      <c r="IA83" s="138"/>
      <c r="IB83" s="138"/>
      <c r="IC83" s="138"/>
      <c r="ID83" s="138"/>
      <c r="IE83" s="138"/>
      <c r="IF83" s="138"/>
      <c r="IG83" s="138"/>
      <c r="IH83" s="138"/>
      <c r="II83" s="138"/>
      <c r="IJ83" s="138"/>
      <c r="IK83" s="138"/>
      <c r="IL83" s="138"/>
      <c r="IM83" s="138"/>
      <c r="IN83" s="138"/>
      <c r="IO83" s="138"/>
      <c r="IP83" s="138"/>
      <c r="IQ83" s="138"/>
      <c r="IR83" s="138"/>
      <c r="IS83" s="138"/>
      <c r="IT83" s="138"/>
      <c r="IU83" s="138"/>
      <c r="IV83" s="138"/>
      <c r="IW83" s="138"/>
      <c r="IX83" s="138"/>
      <c r="IY83" s="138"/>
      <c r="IZ83" s="138"/>
      <c r="JA83" s="138"/>
      <c r="JB83" s="138"/>
      <c r="JC83" s="138"/>
      <c r="JD83" s="138"/>
      <c r="JE83" s="138"/>
      <c r="JF83" s="138"/>
      <c r="JG83" s="138"/>
      <c r="JH83" s="138"/>
      <c r="JI83" s="138"/>
      <c r="JJ83" s="138"/>
      <c r="JK83" s="138"/>
      <c r="JL83" s="138"/>
      <c r="JM83" s="138"/>
      <c r="JN83" s="138"/>
      <c r="JO83" s="138"/>
      <c r="JP83" s="138"/>
    </row>
    <row r="84" spans="1:276" s="4" customFormat="1">
      <c r="A84" s="138"/>
      <c r="B84" s="138"/>
      <c r="C84" s="138"/>
      <c r="D84" s="138"/>
      <c r="E84" s="138"/>
      <c r="F84" s="138"/>
      <c r="G84" s="966"/>
      <c r="H84" s="963"/>
      <c r="I84" s="964"/>
      <c r="J84" s="881"/>
      <c r="K84" s="881"/>
      <c r="L84" s="881"/>
      <c r="M84" s="881"/>
      <c r="N84" s="881"/>
      <c r="O84" s="881"/>
      <c r="P84" s="965"/>
      <c r="Q84" s="881"/>
      <c r="R84" s="138"/>
      <c r="S84" s="958"/>
      <c r="T84" s="959"/>
      <c r="U84" s="960"/>
      <c r="V84" s="138"/>
      <c r="W84" s="138"/>
      <c r="X84" s="138"/>
      <c r="Y84" s="138"/>
      <c r="Z84" s="138"/>
      <c r="AA84" s="138"/>
      <c r="AB84" s="138"/>
      <c r="AC84" s="138"/>
      <c r="AD84" s="138"/>
      <c r="AE84" s="138"/>
      <c r="AF84" s="138"/>
      <c r="AG84" s="138"/>
      <c r="AH84" s="138"/>
      <c r="AI84" s="138"/>
      <c r="AJ84" s="138"/>
      <c r="AK84" s="138"/>
      <c r="AL84" s="138"/>
      <c r="AM84" s="138"/>
      <c r="AN84" s="138"/>
      <c r="AO84" s="138"/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  <c r="BE84" s="138"/>
      <c r="BF84" s="138"/>
      <c r="BG84" s="138"/>
      <c r="BH84" s="138"/>
      <c r="BI84" s="138"/>
      <c r="BJ84" s="138"/>
      <c r="BK84" s="138"/>
      <c r="BL84" s="138"/>
      <c r="BM84" s="138"/>
      <c r="BN84" s="138"/>
      <c r="BO84" s="138"/>
      <c r="BP84" s="138"/>
      <c r="BQ84" s="138"/>
      <c r="BR84" s="138"/>
      <c r="BS84" s="138"/>
      <c r="BT84" s="138"/>
      <c r="BU84" s="138"/>
      <c r="BV84" s="138"/>
      <c r="BW84" s="138"/>
      <c r="BX84" s="138"/>
      <c r="BY84" s="138"/>
      <c r="BZ84" s="138"/>
      <c r="CA84" s="138"/>
      <c r="CB84" s="138"/>
      <c r="CC84" s="138"/>
      <c r="CD84" s="138"/>
      <c r="CE84" s="138"/>
      <c r="CF84" s="138"/>
      <c r="CG84" s="138"/>
      <c r="CH84" s="138"/>
      <c r="CI84" s="138"/>
      <c r="CJ84" s="138"/>
      <c r="CK84" s="138"/>
      <c r="CL84" s="138"/>
      <c r="CM84" s="138"/>
      <c r="CN84" s="138"/>
      <c r="CO84" s="138"/>
      <c r="CP84" s="138"/>
      <c r="CQ84" s="138"/>
      <c r="CR84" s="138"/>
      <c r="CS84" s="138"/>
      <c r="CT84" s="138"/>
      <c r="CU84" s="138"/>
      <c r="CV84" s="138"/>
      <c r="CW84" s="138"/>
      <c r="CX84" s="138"/>
      <c r="CY84" s="138"/>
      <c r="CZ84" s="138"/>
      <c r="DA84" s="138"/>
      <c r="DB84" s="138"/>
      <c r="DC84" s="138"/>
      <c r="DD84" s="138"/>
      <c r="DE84" s="138"/>
      <c r="DF84" s="138"/>
      <c r="DG84" s="138"/>
      <c r="DH84" s="138"/>
      <c r="DI84" s="138"/>
      <c r="DJ84" s="138"/>
      <c r="DK84" s="138"/>
      <c r="DL84" s="138"/>
      <c r="DM84" s="138"/>
      <c r="DN84" s="138"/>
      <c r="DO84" s="138"/>
      <c r="DP84" s="138"/>
      <c r="DQ84" s="138"/>
      <c r="DR84" s="138"/>
      <c r="DS84" s="138"/>
      <c r="DT84" s="138"/>
      <c r="DU84" s="138"/>
      <c r="DV84" s="138"/>
      <c r="DW84" s="138"/>
      <c r="DX84" s="138"/>
      <c r="DY84" s="138"/>
      <c r="DZ84" s="138"/>
      <c r="EA84" s="138"/>
      <c r="EB84" s="138"/>
      <c r="EC84" s="138"/>
      <c r="ED84" s="138"/>
      <c r="EE84" s="126"/>
      <c r="EF84" s="138"/>
      <c r="EG84" s="138"/>
      <c r="EH84" s="138"/>
      <c r="EI84" s="138"/>
      <c r="EJ84" s="138"/>
      <c r="EK84" s="138"/>
      <c r="EL84" s="138"/>
      <c r="EM84" s="138"/>
      <c r="EN84" s="138"/>
      <c r="EO84" s="138"/>
      <c r="EP84" s="138"/>
      <c r="EQ84" s="138"/>
      <c r="ER84" s="138"/>
      <c r="ES84" s="138"/>
      <c r="ET84" s="138"/>
      <c r="EU84" s="138"/>
      <c r="EV84" s="138"/>
      <c r="EW84" s="138"/>
      <c r="EX84" s="138"/>
      <c r="EY84" s="138"/>
      <c r="EZ84" s="138"/>
      <c r="FA84" s="138"/>
      <c r="FB84" s="138"/>
      <c r="FC84" s="138"/>
      <c r="FD84" s="138"/>
      <c r="FE84" s="138"/>
      <c r="FF84" s="138"/>
      <c r="FG84" s="138"/>
      <c r="FH84" s="138"/>
      <c r="FI84" s="138"/>
      <c r="FJ84" s="138"/>
      <c r="FK84" s="138"/>
      <c r="FL84" s="138"/>
      <c r="FM84" s="138"/>
      <c r="FN84" s="138"/>
      <c r="FO84" s="138"/>
      <c r="FP84" s="138"/>
      <c r="FQ84" s="138"/>
      <c r="FR84" s="138"/>
      <c r="FS84" s="138"/>
      <c r="FT84" s="138"/>
      <c r="FU84" s="138"/>
      <c r="FV84" s="138"/>
      <c r="FW84" s="138"/>
      <c r="FX84" s="138"/>
      <c r="FY84" s="138"/>
      <c r="FZ84" s="138"/>
      <c r="GA84" s="138"/>
      <c r="GB84" s="138"/>
      <c r="GC84" s="138"/>
      <c r="GD84" s="138"/>
      <c r="GE84" s="138"/>
      <c r="GF84" s="138"/>
      <c r="GG84" s="138"/>
      <c r="GH84" s="138"/>
      <c r="GI84" s="138"/>
      <c r="GJ84" s="138"/>
      <c r="GK84" s="138"/>
      <c r="GL84" s="138"/>
      <c r="GM84" s="138"/>
      <c r="GN84" s="138"/>
      <c r="GO84" s="138"/>
      <c r="GP84" s="138"/>
      <c r="GQ84" s="138"/>
      <c r="GR84" s="138"/>
      <c r="GS84" s="138"/>
      <c r="GT84" s="138"/>
      <c r="GU84" s="138"/>
      <c r="GV84" s="138"/>
      <c r="GW84" s="138"/>
      <c r="GX84" s="138"/>
      <c r="GY84" s="138"/>
      <c r="GZ84" s="138"/>
      <c r="HA84" s="138"/>
      <c r="HB84" s="138"/>
      <c r="HC84" s="138"/>
      <c r="HD84" s="138"/>
      <c r="HE84" s="138"/>
      <c r="HF84" s="138"/>
      <c r="HG84" s="138"/>
      <c r="HH84" s="138"/>
      <c r="HI84" s="138"/>
      <c r="HJ84" s="138"/>
      <c r="HK84" s="138"/>
      <c r="HL84" s="138"/>
      <c r="HM84" s="138"/>
      <c r="HN84" s="138"/>
      <c r="HO84" s="138"/>
      <c r="HP84" s="138"/>
      <c r="HQ84" s="138"/>
      <c r="HR84" s="138"/>
      <c r="HS84" s="138"/>
      <c r="HT84" s="138"/>
      <c r="HU84" s="138"/>
      <c r="HV84" s="138"/>
      <c r="HW84" s="138"/>
      <c r="HX84" s="138"/>
      <c r="HY84" s="138"/>
      <c r="HZ84" s="138"/>
      <c r="IA84" s="138"/>
      <c r="IB84" s="138"/>
      <c r="IC84" s="138"/>
      <c r="ID84" s="138"/>
      <c r="IE84" s="138"/>
      <c r="IF84" s="138"/>
      <c r="IG84" s="138"/>
      <c r="IH84" s="138"/>
      <c r="II84" s="138"/>
      <c r="IJ84" s="138"/>
      <c r="IK84" s="138"/>
      <c r="IL84" s="138"/>
      <c r="IM84" s="138"/>
      <c r="IN84" s="138"/>
      <c r="IO84" s="138"/>
      <c r="IP84" s="138"/>
      <c r="IQ84" s="138"/>
      <c r="IR84" s="138"/>
      <c r="IS84" s="138"/>
      <c r="IT84" s="138"/>
      <c r="IU84" s="138"/>
      <c r="IV84" s="138"/>
      <c r="IW84" s="138"/>
      <c r="IX84" s="138"/>
      <c r="IY84" s="138"/>
      <c r="IZ84" s="138"/>
      <c r="JA84" s="138"/>
      <c r="JB84" s="138"/>
      <c r="JC84" s="138"/>
      <c r="JD84" s="138"/>
      <c r="JE84" s="138"/>
      <c r="JF84" s="138"/>
      <c r="JG84" s="138"/>
      <c r="JH84" s="138"/>
      <c r="JI84" s="138"/>
      <c r="JJ84" s="138"/>
      <c r="JK84" s="138"/>
      <c r="JL84" s="138"/>
      <c r="JM84" s="138"/>
      <c r="JN84" s="138"/>
      <c r="JO84" s="138"/>
      <c r="JP84" s="138"/>
    </row>
    <row r="85" spans="1:276" s="4" customFormat="1">
      <c r="A85" s="138"/>
      <c r="B85" s="138"/>
      <c r="C85" s="138"/>
      <c r="D85" s="138"/>
      <c r="E85" s="138"/>
      <c r="F85" s="138"/>
      <c r="G85" s="966"/>
      <c r="H85" s="963"/>
      <c r="I85" s="964"/>
      <c r="J85" s="881"/>
      <c r="K85" s="881"/>
      <c r="L85" s="881"/>
      <c r="M85" s="881"/>
      <c r="N85" s="881"/>
      <c r="O85" s="881"/>
      <c r="P85" s="965"/>
      <c r="Q85" s="881"/>
      <c r="R85" s="138"/>
      <c r="S85" s="958"/>
      <c r="T85" s="959"/>
      <c r="U85" s="960"/>
      <c r="V85" s="138"/>
      <c r="W85" s="138"/>
      <c r="X85" s="138"/>
      <c r="Y85" s="138"/>
      <c r="Z85" s="138"/>
      <c r="AA85" s="138"/>
      <c r="AB85" s="138"/>
      <c r="AC85" s="138"/>
      <c r="AD85" s="138"/>
      <c r="AE85" s="138"/>
      <c r="AF85" s="138"/>
      <c r="AG85" s="138"/>
      <c r="AH85" s="138"/>
      <c r="AI85" s="138"/>
      <c r="AJ85" s="138"/>
      <c r="AK85" s="138"/>
      <c r="AL85" s="138"/>
      <c r="AM85" s="138"/>
      <c r="AN85" s="138"/>
      <c r="AO85" s="138"/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  <c r="BE85" s="138"/>
      <c r="BF85" s="138"/>
      <c r="BG85" s="138"/>
      <c r="BH85" s="138"/>
      <c r="BI85" s="138"/>
      <c r="BJ85" s="138"/>
      <c r="BK85" s="138"/>
      <c r="BL85" s="138"/>
      <c r="BM85" s="138"/>
      <c r="BN85" s="138"/>
      <c r="BO85" s="138"/>
      <c r="BP85" s="138"/>
      <c r="BQ85" s="138"/>
      <c r="BR85" s="138"/>
      <c r="BS85" s="138"/>
      <c r="BT85" s="138"/>
      <c r="BU85" s="138"/>
      <c r="BV85" s="138"/>
      <c r="BW85" s="138"/>
      <c r="BX85" s="138"/>
      <c r="BY85" s="138"/>
      <c r="BZ85" s="138"/>
      <c r="CA85" s="138"/>
      <c r="CB85" s="138"/>
      <c r="CC85" s="138"/>
      <c r="CD85" s="138"/>
      <c r="CE85" s="138"/>
      <c r="CF85" s="138"/>
      <c r="CG85" s="138"/>
      <c r="CH85" s="138"/>
      <c r="CI85" s="138"/>
      <c r="CJ85" s="138"/>
      <c r="CK85" s="138"/>
      <c r="CL85" s="138"/>
      <c r="CM85" s="138"/>
      <c r="CN85" s="138"/>
      <c r="CO85" s="138"/>
      <c r="CP85" s="138"/>
      <c r="CQ85" s="138"/>
      <c r="CR85" s="138"/>
      <c r="CS85" s="138"/>
      <c r="CT85" s="138"/>
      <c r="CU85" s="138"/>
      <c r="CV85" s="138"/>
      <c r="CW85" s="138"/>
      <c r="CX85" s="138"/>
      <c r="CY85" s="138"/>
      <c r="CZ85" s="138"/>
      <c r="DA85" s="138"/>
      <c r="DB85" s="138"/>
      <c r="DC85" s="138"/>
      <c r="DD85" s="138"/>
      <c r="DE85" s="138"/>
      <c r="DF85" s="138"/>
      <c r="DG85" s="138"/>
      <c r="DH85" s="138"/>
      <c r="DI85" s="138"/>
      <c r="DJ85" s="138"/>
      <c r="DK85" s="138"/>
      <c r="DL85" s="138"/>
      <c r="DM85" s="138"/>
      <c r="DN85" s="138"/>
      <c r="DO85" s="138"/>
      <c r="DP85" s="138"/>
      <c r="DQ85" s="138"/>
      <c r="DR85" s="138"/>
      <c r="DS85" s="138"/>
      <c r="DT85" s="138"/>
      <c r="DU85" s="138"/>
      <c r="DV85" s="138"/>
      <c r="DW85" s="138"/>
      <c r="DX85" s="138"/>
      <c r="DY85" s="138"/>
      <c r="DZ85" s="138"/>
      <c r="EA85" s="138"/>
      <c r="EB85" s="138"/>
      <c r="EC85" s="138"/>
      <c r="ED85" s="138"/>
      <c r="EE85" s="126"/>
      <c r="EF85" s="138"/>
      <c r="EG85" s="138"/>
      <c r="EH85" s="138"/>
      <c r="EI85" s="138"/>
      <c r="EJ85" s="138"/>
      <c r="EK85" s="138"/>
      <c r="EL85" s="138"/>
      <c r="EM85" s="138"/>
      <c r="EN85" s="138"/>
      <c r="EO85" s="138"/>
      <c r="EP85" s="138"/>
      <c r="EQ85" s="138"/>
      <c r="ER85" s="138"/>
      <c r="ES85" s="138"/>
      <c r="ET85" s="138"/>
      <c r="EU85" s="138"/>
      <c r="EV85" s="138"/>
      <c r="EW85" s="138"/>
      <c r="EX85" s="138"/>
      <c r="EY85" s="138"/>
      <c r="EZ85" s="138"/>
      <c r="FA85" s="138"/>
      <c r="FB85" s="138"/>
      <c r="FC85" s="138"/>
      <c r="FD85" s="138"/>
      <c r="FE85" s="138"/>
      <c r="FF85" s="138"/>
      <c r="FG85" s="138"/>
      <c r="FH85" s="138"/>
      <c r="FI85" s="138"/>
      <c r="FJ85" s="138"/>
      <c r="FK85" s="138"/>
      <c r="FL85" s="138"/>
      <c r="FM85" s="138"/>
      <c r="FN85" s="138"/>
      <c r="FO85" s="138"/>
      <c r="FP85" s="138"/>
      <c r="FQ85" s="138"/>
      <c r="FR85" s="138"/>
      <c r="FS85" s="138"/>
      <c r="FT85" s="138"/>
      <c r="FU85" s="138"/>
      <c r="FV85" s="138"/>
      <c r="FW85" s="138"/>
      <c r="FX85" s="138"/>
      <c r="FY85" s="138"/>
      <c r="FZ85" s="138"/>
      <c r="GA85" s="138"/>
      <c r="GB85" s="138"/>
      <c r="GC85" s="138"/>
      <c r="GD85" s="138"/>
      <c r="GE85" s="138"/>
      <c r="GF85" s="138"/>
      <c r="GG85" s="138"/>
      <c r="GH85" s="138"/>
      <c r="GI85" s="138"/>
      <c r="GJ85" s="138"/>
      <c r="GK85" s="138"/>
      <c r="GL85" s="138"/>
      <c r="GM85" s="138"/>
      <c r="GN85" s="138"/>
      <c r="GO85" s="138"/>
      <c r="GP85" s="138"/>
      <c r="GQ85" s="138"/>
      <c r="GR85" s="138"/>
      <c r="GS85" s="138"/>
      <c r="GT85" s="138"/>
      <c r="GU85" s="138"/>
      <c r="GV85" s="138"/>
      <c r="GW85" s="138"/>
      <c r="GX85" s="138"/>
      <c r="GY85" s="138"/>
      <c r="GZ85" s="138"/>
      <c r="HA85" s="138"/>
      <c r="HB85" s="138"/>
      <c r="HC85" s="138"/>
      <c r="HD85" s="138"/>
      <c r="HE85" s="138"/>
      <c r="HF85" s="138"/>
      <c r="HG85" s="138"/>
      <c r="HH85" s="138"/>
      <c r="HI85" s="138"/>
      <c r="HJ85" s="138"/>
      <c r="HK85" s="138"/>
      <c r="HL85" s="138"/>
      <c r="HM85" s="138"/>
      <c r="HN85" s="138"/>
      <c r="HO85" s="138"/>
      <c r="HP85" s="138"/>
      <c r="HQ85" s="138"/>
      <c r="HR85" s="138"/>
      <c r="HS85" s="138"/>
      <c r="HT85" s="138"/>
      <c r="HU85" s="138"/>
      <c r="HV85" s="138"/>
      <c r="HW85" s="138"/>
      <c r="HX85" s="138"/>
      <c r="HY85" s="138"/>
      <c r="HZ85" s="138"/>
      <c r="IA85" s="138"/>
      <c r="IB85" s="138"/>
      <c r="IC85" s="138"/>
      <c r="ID85" s="138"/>
      <c r="IE85" s="138"/>
      <c r="IF85" s="138"/>
      <c r="IG85" s="138"/>
      <c r="IH85" s="138"/>
      <c r="II85" s="138"/>
      <c r="IJ85" s="138"/>
      <c r="IK85" s="138"/>
      <c r="IL85" s="138"/>
      <c r="IM85" s="138"/>
      <c r="IN85" s="138"/>
      <c r="IO85" s="138"/>
      <c r="IP85" s="138"/>
      <c r="IQ85" s="138"/>
      <c r="IR85" s="138"/>
      <c r="IS85" s="138"/>
      <c r="IT85" s="138"/>
      <c r="IU85" s="138"/>
      <c r="IV85" s="138"/>
      <c r="IW85" s="138"/>
      <c r="IX85" s="138"/>
      <c r="IY85" s="138"/>
      <c r="IZ85" s="138"/>
      <c r="JA85" s="138"/>
      <c r="JB85" s="138"/>
      <c r="JC85" s="138"/>
      <c r="JD85" s="138"/>
      <c r="JE85" s="138"/>
      <c r="JF85" s="138"/>
      <c r="JG85" s="138"/>
      <c r="JH85" s="138"/>
      <c r="JI85" s="138"/>
      <c r="JJ85" s="138"/>
      <c r="JK85" s="138"/>
      <c r="JL85" s="138"/>
      <c r="JM85" s="138"/>
      <c r="JN85" s="138"/>
      <c r="JO85" s="138"/>
      <c r="JP85" s="138"/>
    </row>
    <row r="86" spans="1:276" s="4" customFormat="1">
      <c r="A86" s="138"/>
      <c r="B86" s="138"/>
      <c r="C86" s="138"/>
      <c r="D86" s="138"/>
      <c r="E86" s="138"/>
      <c r="F86" s="138"/>
      <c r="G86" s="966"/>
      <c r="H86" s="963"/>
      <c r="I86" s="964"/>
      <c r="J86" s="881"/>
      <c r="K86" s="881"/>
      <c r="L86" s="881"/>
      <c r="M86" s="881"/>
      <c r="N86" s="881"/>
      <c r="O86" s="881"/>
      <c r="P86" s="965"/>
      <c r="Q86" s="881"/>
      <c r="R86" s="138"/>
      <c r="S86" s="958"/>
      <c r="T86" s="959"/>
      <c r="U86" s="960"/>
      <c r="V86" s="138"/>
      <c r="W86" s="138"/>
      <c r="X86" s="138"/>
      <c r="Y86" s="138"/>
      <c r="Z86" s="138"/>
      <c r="AA86" s="138"/>
      <c r="AB86" s="138"/>
      <c r="AC86" s="138"/>
      <c r="AD86" s="138"/>
      <c r="AE86" s="138"/>
      <c r="AF86" s="138"/>
      <c r="AG86" s="138"/>
      <c r="AH86" s="138"/>
      <c r="AI86" s="138"/>
      <c r="AJ86" s="138"/>
      <c r="AK86" s="138"/>
      <c r="AL86" s="138"/>
      <c r="AM86" s="138"/>
      <c r="AN86" s="138"/>
      <c r="AO86" s="138"/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  <c r="BE86" s="138"/>
      <c r="BF86" s="138"/>
      <c r="BG86" s="138"/>
      <c r="BH86" s="138"/>
      <c r="BI86" s="138"/>
      <c r="BJ86" s="138"/>
      <c r="BK86" s="138"/>
      <c r="BL86" s="138"/>
      <c r="BM86" s="138"/>
      <c r="BN86" s="138"/>
      <c r="BO86" s="138"/>
      <c r="BP86" s="138"/>
      <c r="BQ86" s="138"/>
      <c r="BR86" s="138"/>
      <c r="BS86" s="138"/>
      <c r="BT86" s="138"/>
      <c r="BU86" s="138"/>
      <c r="BV86" s="138"/>
      <c r="BW86" s="138"/>
      <c r="BX86" s="138"/>
      <c r="BY86" s="138"/>
      <c r="BZ86" s="138"/>
      <c r="CA86" s="138"/>
      <c r="CB86" s="138"/>
      <c r="CC86" s="138"/>
      <c r="CD86" s="138"/>
      <c r="CE86" s="138"/>
      <c r="CF86" s="138"/>
      <c r="CG86" s="138"/>
      <c r="CH86" s="138"/>
      <c r="CI86" s="138"/>
      <c r="CJ86" s="138"/>
      <c r="CK86" s="138"/>
      <c r="CL86" s="138"/>
      <c r="CM86" s="138"/>
      <c r="CN86" s="138"/>
      <c r="CO86" s="138"/>
      <c r="CP86" s="138"/>
      <c r="CQ86" s="138"/>
      <c r="CR86" s="138"/>
      <c r="CS86" s="138"/>
      <c r="CT86" s="138"/>
      <c r="CU86" s="138"/>
      <c r="CV86" s="138"/>
      <c r="CW86" s="138"/>
      <c r="CX86" s="138"/>
      <c r="CY86" s="138"/>
      <c r="CZ86" s="138"/>
      <c r="DA86" s="138"/>
      <c r="DB86" s="138"/>
      <c r="DC86" s="138"/>
      <c r="DD86" s="138"/>
      <c r="DE86" s="138"/>
      <c r="DF86" s="138"/>
      <c r="DG86" s="138"/>
      <c r="DH86" s="138"/>
      <c r="DI86" s="138"/>
      <c r="DJ86" s="138"/>
      <c r="DK86" s="138"/>
      <c r="DL86" s="138"/>
      <c r="DM86" s="138"/>
      <c r="DN86" s="138"/>
      <c r="DO86" s="138"/>
      <c r="DP86" s="138"/>
      <c r="DQ86" s="138"/>
      <c r="DR86" s="138"/>
      <c r="DS86" s="138"/>
      <c r="DT86" s="138"/>
      <c r="DU86" s="138"/>
      <c r="DV86" s="138"/>
      <c r="DW86" s="138"/>
      <c r="DX86" s="138"/>
      <c r="DY86" s="138"/>
      <c r="DZ86" s="138"/>
      <c r="EA86" s="138"/>
      <c r="EB86" s="138"/>
      <c r="EC86" s="138"/>
      <c r="ED86" s="138"/>
      <c r="EE86" s="126"/>
      <c r="EF86" s="138"/>
      <c r="EG86" s="138"/>
      <c r="EH86" s="138"/>
      <c r="EI86" s="138"/>
      <c r="EJ86" s="138"/>
      <c r="EK86" s="138"/>
      <c r="EL86" s="138"/>
      <c r="EM86" s="138"/>
      <c r="EN86" s="138"/>
      <c r="EO86" s="138"/>
      <c r="EP86" s="138"/>
      <c r="EQ86" s="138"/>
      <c r="ER86" s="138"/>
      <c r="ES86" s="138"/>
      <c r="ET86" s="138"/>
      <c r="EU86" s="138"/>
      <c r="EV86" s="138"/>
      <c r="EW86" s="138"/>
      <c r="EX86" s="138"/>
      <c r="EY86" s="138"/>
      <c r="EZ86" s="138"/>
      <c r="FA86" s="138"/>
      <c r="FB86" s="138"/>
      <c r="FC86" s="138"/>
      <c r="FD86" s="138"/>
      <c r="FE86" s="138"/>
      <c r="FF86" s="138"/>
      <c r="FG86" s="138"/>
      <c r="FH86" s="138"/>
      <c r="FI86" s="138"/>
      <c r="FJ86" s="138"/>
      <c r="FK86" s="138"/>
      <c r="FL86" s="138"/>
      <c r="FM86" s="138"/>
      <c r="FN86" s="138"/>
      <c r="FO86" s="138"/>
      <c r="FP86" s="138"/>
      <c r="FQ86" s="138"/>
      <c r="FR86" s="138"/>
      <c r="FS86" s="138"/>
      <c r="FT86" s="138"/>
      <c r="FU86" s="138"/>
      <c r="FV86" s="138"/>
      <c r="FW86" s="138"/>
      <c r="FX86" s="138"/>
      <c r="FY86" s="138"/>
      <c r="FZ86" s="138"/>
      <c r="GA86" s="138"/>
      <c r="GB86" s="138"/>
      <c r="GC86" s="138"/>
      <c r="GD86" s="138"/>
      <c r="GE86" s="138"/>
      <c r="GF86" s="138"/>
      <c r="GG86" s="138"/>
      <c r="GH86" s="138"/>
      <c r="GI86" s="138"/>
      <c r="GJ86" s="138"/>
      <c r="GK86" s="138"/>
      <c r="GL86" s="138"/>
      <c r="GM86" s="138"/>
      <c r="GN86" s="138"/>
      <c r="GO86" s="138"/>
      <c r="GP86" s="138"/>
      <c r="GQ86" s="138"/>
      <c r="GR86" s="138"/>
      <c r="GS86" s="138"/>
      <c r="GT86" s="138"/>
      <c r="GU86" s="138"/>
      <c r="GV86" s="138"/>
      <c r="GW86" s="138"/>
      <c r="GX86" s="138"/>
      <c r="GY86" s="138"/>
      <c r="GZ86" s="138"/>
      <c r="HA86" s="138"/>
      <c r="HB86" s="138"/>
      <c r="HC86" s="138"/>
      <c r="HD86" s="138"/>
      <c r="HE86" s="138"/>
      <c r="HF86" s="138"/>
      <c r="HG86" s="138"/>
      <c r="HH86" s="138"/>
      <c r="HI86" s="138"/>
      <c r="HJ86" s="138"/>
      <c r="HK86" s="138"/>
      <c r="HL86" s="138"/>
      <c r="HM86" s="138"/>
      <c r="HN86" s="138"/>
      <c r="HO86" s="138"/>
      <c r="HP86" s="138"/>
      <c r="HQ86" s="138"/>
      <c r="HR86" s="138"/>
      <c r="HS86" s="138"/>
      <c r="HT86" s="138"/>
      <c r="HU86" s="138"/>
      <c r="HV86" s="138"/>
      <c r="HW86" s="138"/>
      <c r="HX86" s="138"/>
      <c r="HY86" s="138"/>
      <c r="HZ86" s="138"/>
      <c r="IA86" s="138"/>
      <c r="IB86" s="138"/>
      <c r="IC86" s="138"/>
      <c r="ID86" s="138"/>
      <c r="IE86" s="138"/>
      <c r="IF86" s="138"/>
      <c r="IG86" s="138"/>
      <c r="IH86" s="138"/>
      <c r="II86" s="138"/>
      <c r="IJ86" s="138"/>
      <c r="IK86" s="138"/>
      <c r="IL86" s="138"/>
      <c r="IM86" s="138"/>
      <c r="IN86" s="138"/>
      <c r="IO86" s="138"/>
      <c r="IP86" s="138"/>
      <c r="IQ86" s="138"/>
      <c r="IR86" s="138"/>
      <c r="IS86" s="138"/>
      <c r="IT86" s="138"/>
      <c r="IU86" s="138"/>
      <c r="IV86" s="138"/>
      <c r="IW86" s="138"/>
      <c r="IX86" s="138"/>
      <c r="IY86" s="138"/>
      <c r="IZ86" s="138"/>
      <c r="JA86" s="138"/>
      <c r="JB86" s="138"/>
      <c r="JC86" s="138"/>
      <c r="JD86" s="138"/>
      <c r="JE86" s="138"/>
      <c r="JF86" s="138"/>
      <c r="JG86" s="138"/>
      <c r="JH86" s="138"/>
      <c r="JI86" s="138"/>
      <c r="JJ86" s="138"/>
      <c r="JK86" s="138"/>
      <c r="JL86" s="138"/>
      <c r="JM86" s="138"/>
      <c r="JN86" s="138"/>
      <c r="JO86" s="138"/>
      <c r="JP86" s="138"/>
    </row>
    <row r="87" spans="1:276" s="4" customFormat="1">
      <c r="A87" s="138"/>
      <c r="B87" s="138"/>
      <c r="C87" s="138"/>
      <c r="D87" s="138"/>
      <c r="E87" s="138"/>
      <c r="F87" s="138"/>
      <c r="G87" s="966"/>
      <c r="H87" s="963"/>
      <c r="I87" s="964"/>
      <c r="J87" s="881"/>
      <c r="K87" s="881"/>
      <c r="L87" s="881"/>
      <c r="M87" s="881"/>
      <c r="N87" s="881"/>
      <c r="O87" s="881"/>
      <c r="P87" s="965"/>
      <c r="Q87" s="881"/>
      <c r="R87" s="138"/>
      <c r="S87" s="958"/>
      <c r="T87" s="959"/>
      <c r="U87" s="960"/>
      <c r="V87" s="138"/>
      <c r="W87" s="138"/>
      <c r="X87" s="138"/>
      <c r="Y87" s="138"/>
      <c r="Z87" s="138"/>
      <c r="AA87" s="138"/>
      <c r="AB87" s="138"/>
      <c r="AC87" s="138"/>
      <c r="AD87" s="138"/>
      <c r="AE87" s="138"/>
      <c r="AF87" s="138"/>
      <c r="AG87" s="138"/>
      <c r="AH87" s="138"/>
      <c r="AI87" s="138"/>
      <c r="AJ87" s="138"/>
      <c r="AK87" s="138"/>
      <c r="AL87" s="138"/>
      <c r="AM87" s="138"/>
      <c r="AN87" s="138"/>
      <c r="AO87" s="138"/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  <c r="BE87" s="138"/>
      <c r="BF87" s="138"/>
      <c r="BG87" s="138"/>
      <c r="BH87" s="138"/>
      <c r="BI87" s="138"/>
      <c r="BJ87" s="138"/>
      <c r="BK87" s="138"/>
      <c r="BL87" s="138"/>
      <c r="BM87" s="138"/>
      <c r="BN87" s="138"/>
      <c r="BO87" s="138"/>
      <c r="BP87" s="138"/>
      <c r="BQ87" s="138"/>
      <c r="BR87" s="138"/>
      <c r="BS87" s="138"/>
      <c r="BT87" s="138"/>
      <c r="BU87" s="138"/>
      <c r="BV87" s="138"/>
      <c r="BW87" s="138"/>
      <c r="BX87" s="138"/>
      <c r="BY87" s="138"/>
      <c r="BZ87" s="138"/>
      <c r="CA87" s="138"/>
      <c r="CB87" s="138"/>
      <c r="CC87" s="138"/>
      <c r="CD87" s="138"/>
      <c r="CE87" s="138"/>
      <c r="CF87" s="138"/>
      <c r="CG87" s="138"/>
      <c r="CH87" s="138"/>
      <c r="CI87" s="138"/>
      <c r="CJ87" s="138"/>
      <c r="CK87" s="138"/>
      <c r="CL87" s="138"/>
      <c r="CM87" s="138"/>
      <c r="CN87" s="138"/>
      <c r="CO87" s="138"/>
      <c r="CP87" s="138"/>
      <c r="CQ87" s="138"/>
      <c r="CR87" s="138"/>
      <c r="CS87" s="138"/>
      <c r="CT87" s="138"/>
      <c r="CU87" s="138"/>
      <c r="CV87" s="138"/>
      <c r="CW87" s="138"/>
      <c r="CX87" s="138"/>
      <c r="CY87" s="138"/>
      <c r="CZ87" s="138"/>
      <c r="DA87" s="138"/>
      <c r="DB87" s="138"/>
      <c r="DC87" s="138"/>
      <c r="DD87" s="138"/>
      <c r="DE87" s="138"/>
      <c r="DF87" s="138"/>
      <c r="DG87" s="138"/>
      <c r="DH87" s="138"/>
      <c r="DI87" s="138"/>
      <c r="DJ87" s="138"/>
      <c r="DK87" s="138"/>
      <c r="DL87" s="138"/>
      <c r="DM87" s="138"/>
      <c r="DN87" s="138"/>
      <c r="DO87" s="138"/>
      <c r="DP87" s="138"/>
      <c r="DQ87" s="138"/>
      <c r="DR87" s="138"/>
      <c r="DS87" s="138"/>
      <c r="DT87" s="138"/>
      <c r="DU87" s="138"/>
      <c r="DV87" s="138"/>
      <c r="DW87" s="138"/>
      <c r="DX87" s="138"/>
      <c r="DY87" s="138"/>
      <c r="DZ87" s="138"/>
      <c r="EA87" s="138"/>
      <c r="EB87" s="138"/>
      <c r="EC87" s="138"/>
      <c r="ED87" s="138"/>
      <c r="EE87" s="126"/>
      <c r="EF87" s="138"/>
      <c r="EG87" s="138"/>
      <c r="EH87" s="138"/>
      <c r="EI87" s="138"/>
      <c r="EJ87" s="138"/>
      <c r="EK87" s="138"/>
      <c r="EL87" s="138"/>
      <c r="EM87" s="138"/>
      <c r="EN87" s="138"/>
      <c r="EO87" s="138"/>
      <c r="EP87" s="138"/>
      <c r="EQ87" s="138"/>
      <c r="ER87" s="138"/>
      <c r="ES87" s="138"/>
      <c r="ET87" s="138"/>
      <c r="EU87" s="138"/>
      <c r="EV87" s="138"/>
      <c r="EW87" s="138"/>
      <c r="EX87" s="138"/>
      <c r="EY87" s="138"/>
      <c r="EZ87" s="138"/>
      <c r="FA87" s="138"/>
      <c r="FB87" s="138"/>
      <c r="FC87" s="138"/>
      <c r="FD87" s="138"/>
      <c r="FE87" s="138"/>
      <c r="FF87" s="138"/>
      <c r="FG87" s="138"/>
      <c r="FH87" s="138"/>
      <c r="FI87" s="138"/>
      <c r="FJ87" s="138"/>
      <c r="FK87" s="138"/>
      <c r="FL87" s="138"/>
      <c r="FM87" s="138"/>
      <c r="FN87" s="138"/>
      <c r="FO87" s="138"/>
      <c r="FP87" s="138"/>
      <c r="FQ87" s="138"/>
      <c r="FR87" s="138"/>
      <c r="FS87" s="138"/>
      <c r="FT87" s="138"/>
      <c r="FU87" s="138"/>
      <c r="FV87" s="138"/>
      <c r="FW87" s="138"/>
      <c r="FX87" s="138"/>
      <c r="FY87" s="138"/>
      <c r="FZ87" s="138"/>
      <c r="GA87" s="138"/>
      <c r="GB87" s="138"/>
      <c r="GC87" s="138"/>
      <c r="GD87" s="138"/>
      <c r="GE87" s="138"/>
      <c r="GF87" s="138"/>
      <c r="GG87" s="138"/>
      <c r="GH87" s="138"/>
      <c r="GI87" s="138"/>
      <c r="GJ87" s="138"/>
      <c r="GK87" s="138"/>
      <c r="GL87" s="138"/>
      <c r="GM87" s="138"/>
      <c r="GN87" s="138"/>
      <c r="GO87" s="138"/>
      <c r="GP87" s="138"/>
      <c r="GQ87" s="138"/>
      <c r="GR87" s="138"/>
      <c r="GS87" s="138"/>
      <c r="GT87" s="138"/>
      <c r="GU87" s="138"/>
      <c r="GV87" s="138"/>
      <c r="GW87" s="138"/>
      <c r="GX87" s="138"/>
      <c r="GY87" s="138"/>
      <c r="GZ87" s="138"/>
      <c r="HA87" s="138"/>
      <c r="HB87" s="138"/>
      <c r="HC87" s="138"/>
      <c r="HD87" s="138"/>
      <c r="HE87" s="138"/>
      <c r="HF87" s="138"/>
      <c r="HG87" s="138"/>
      <c r="HH87" s="138"/>
      <c r="HI87" s="138"/>
      <c r="HJ87" s="138"/>
      <c r="HK87" s="138"/>
      <c r="HL87" s="138"/>
      <c r="HM87" s="138"/>
      <c r="HN87" s="138"/>
      <c r="HO87" s="138"/>
      <c r="HP87" s="138"/>
      <c r="HQ87" s="138"/>
      <c r="HR87" s="138"/>
      <c r="HS87" s="138"/>
      <c r="HT87" s="138"/>
      <c r="HU87" s="138"/>
      <c r="HV87" s="138"/>
      <c r="HW87" s="138"/>
      <c r="HX87" s="138"/>
      <c r="HY87" s="138"/>
      <c r="HZ87" s="138"/>
      <c r="IA87" s="138"/>
      <c r="IB87" s="138"/>
      <c r="IC87" s="138"/>
      <c r="ID87" s="138"/>
      <c r="IE87" s="138"/>
      <c r="IF87" s="138"/>
      <c r="IG87" s="138"/>
      <c r="IH87" s="138"/>
      <c r="II87" s="138"/>
      <c r="IJ87" s="138"/>
      <c r="IK87" s="138"/>
      <c r="IL87" s="138"/>
      <c r="IM87" s="138"/>
      <c r="IN87" s="138"/>
      <c r="IO87" s="138"/>
      <c r="IP87" s="138"/>
      <c r="IQ87" s="138"/>
      <c r="IR87" s="138"/>
      <c r="IS87" s="138"/>
      <c r="IT87" s="138"/>
      <c r="IU87" s="138"/>
      <c r="IV87" s="138"/>
      <c r="IW87" s="138"/>
      <c r="IX87" s="138"/>
      <c r="IY87" s="138"/>
      <c r="IZ87" s="138"/>
      <c r="JA87" s="138"/>
      <c r="JB87" s="138"/>
      <c r="JC87" s="138"/>
      <c r="JD87" s="138"/>
      <c r="JE87" s="138"/>
      <c r="JF87" s="138"/>
      <c r="JG87" s="138"/>
      <c r="JH87" s="138"/>
      <c r="JI87" s="138"/>
      <c r="JJ87" s="138"/>
      <c r="JK87" s="138"/>
      <c r="JL87" s="138"/>
      <c r="JM87" s="138"/>
      <c r="JN87" s="138"/>
      <c r="JO87" s="138"/>
      <c r="JP87" s="138"/>
    </row>
    <row r="88" spans="1:276" s="4" customFormat="1">
      <c r="A88" s="138"/>
      <c r="B88" s="138"/>
      <c r="C88" s="138"/>
      <c r="D88" s="138"/>
      <c r="E88" s="138"/>
      <c r="F88" s="138"/>
      <c r="G88" s="966"/>
      <c r="H88" s="963"/>
      <c r="I88" s="964"/>
      <c r="J88" s="881"/>
      <c r="K88" s="881"/>
      <c r="L88" s="881"/>
      <c r="M88" s="881"/>
      <c r="N88" s="881"/>
      <c r="O88" s="881"/>
      <c r="P88" s="965"/>
      <c r="Q88" s="881"/>
      <c r="R88" s="138"/>
      <c r="S88" s="958"/>
      <c r="T88" s="959"/>
      <c r="U88" s="960"/>
      <c r="V88" s="138"/>
      <c r="W88" s="138"/>
      <c r="X88" s="138"/>
      <c r="Y88" s="138"/>
      <c r="Z88" s="138"/>
      <c r="AA88" s="138"/>
      <c r="AB88" s="138"/>
      <c r="AC88" s="138"/>
      <c r="AD88" s="138"/>
      <c r="AE88" s="138"/>
      <c r="AF88" s="138"/>
      <c r="AG88" s="138"/>
      <c r="AH88" s="138"/>
      <c r="AI88" s="138"/>
      <c r="AJ88" s="138"/>
      <c r="AK88" s="138"/>
      <c r="AL88" s="138"/>
      <c r="AM88" s="138"/>
      <c r="AN88" s="138"/>
      <c r="AO88" s="138"/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  <c r="BE88" s="138"/>
      <c r="BF88" s="138"/>
      <c r="BG88" s="138"/>
      <c r="BH88" s="138"/>
      <c r="BI88" s="138"/>
      <c r="BJ88" s="138"/>
      <c r="BK88" s="138"/>
      <c r="BL88" s="138"/>
      <c r="BM88" s="138"/>
      <c r="BN88" s="138"/>
      <c r="BO88" s="138"/>
      <c r="BP88" s="138"/>
      <c r="BQ88" s="138"/>
      <c r="BR88" s="138"/>
      <c r="BS88" s="138"/>
      <c r="BT88" s="138"/>
      <c r="BU88" s="138"/>
      <c r="BV88" s="138"/>
      <c r="BW88" s="138"/>
      <c r="BX88" s="138"/>
      <c r="BY88" s="138"/>
      <c r="BZ88" s="138"/>
      <c r="CA88" s="138"/>
      <c r="CB88" s="138"/>
      <c r="CC88" s="138"/>
      <c r="CD88" s="138"/>
      <c r="CE88" s="138"/>
      <c r="CF88" s="138"/>
      <c r="CG88" s="138"/>
      <c r="CH88" s="138"/>
      <c r="CI88" s="138"/>
      <c r="CJ88" s="138"/>
      <c r="CK88" s="138"/>
      <c r="CL88" s="138"/>
      <c r="CM88" s="138"/>
      <c r="CN88" s="138"/>
      <c r="CO88" s="138"/>
      <c r="CP88" s="138"/>
      <c r="CQ88" s="138"/>
      <c r="CR88" s="138"/>
      <c r="CS88" s="138"/>
      <c r="CT88" s="138"/>
      <c r="CU88" s="138"/>
      <c r="CV88" s="138"/>
      <c r="CW88" s="138"/>
      <c r="CX88" s="138"/>
      <c r="CY88" s="138"/>
      <c r="CZ88" s="138"/>
      <c r="DA88" s="138"/>
      <c r="DB88" s="138"/>
      <c r="DC88" s="138"/>
      <c r="DD88" s="138"/>
      <c r="DE88" s="138"/>
      <c r="DF88" s="138"/>
      <c r="DG88" s="138"/>
      <c r="DH88" s="138"/>
      <c r="DI88" s="138"/>
      <c r="DJ88" s="138"/>
      <c r="DK88" s="138"/>
      <c r="DL88" s="138"/>
      <c r="DM88" s="138"/>
      <c r="DN88" s="138"/>
      <c r="DO88" s="138"/>
      <c r="DP88" s="138"/>
      <c r="DQ88" s="138"/>
      <c r="DR88" s="138"/>
      <c r="DS88" s="138"/>
      <c r="DT88" s="138"/>
      <c r="DU88" s="138"/>
      <c r="DV88" s="138"/>
      <c r="DW88" s="138"/>
      <c r="DX88" s="138"/>
      <c r="DY88" s="138"/>
      <c r="DZ88" s="138"/>
      <c r="EA88" s="138"/>
      <c r="EB88" s="138"/>
      <c r="EC88" s="138"/>
      <c r="ED88" s="138"/>
      <c r="EE88" s="126"/>
      <c r="EF88" s="138"/>
      <c r="EG88" s="138"/>
      <c r="EH88" s="138"/>
      <c r="EI88" s="138"/>
      <c r="EJ88" s="138"/>
      <c r="EK88" s="138"/>
      <c r="EL88" s="138"/>
      <c r="EM88" s="138"/>
      <c r="EN88" s="138"/>
      <c r="EO88" s="138"/>
      <c r="EP88" s="138"/>
      <c r="EQ88" s="138"/>
      <c r="ER88" s="138"/>
      <c r="ES88" s="138"/>
      <c r="ET88" s="138"/>
      <c r="EU88" s="138"/>
      <c r="EV88" s="138"/>
      <c r="EW88" s="138"/>
      <c r="EX88" s="138"/>
      <c r="EY88" s="138"/>
      <c r="EZ88" s="138"/>
      <c r="FA88" s="138"/>
      <c r="FB88" s="138"/>
      <c r="FC88" s="138"/>
      <c r="FD88" s="138"/>
      <c r="FE88" s="138"/>
      <c r="FF88" s="138"/>
      <c r="FG88" s="138"/>
      <c r="FH88" s="138"/>
      <c r="FI88" s="138"/>
      <c r="FJ88" s="138"/>
      <c r="FK88" s="138"/>
      <c r="FL88" s="138"/>
      <c r="FM88" s="138"/>
      <c r="FN88" s="138"/>
      <c r="FO88" s="138"/>
      <c r="FP88" s="138"/>
      <c r="FQ88" s="138"/>
      <c r="FR88" s="138"/>
      <c r="FS88" s="138"/>
      <c r="FT88" s="138"/>
      <c r="FU88" s="138"/>
      <c r="FV88" s="138"/>
      <c r="FW88" s="138"/>
      <c r="FX88" s="138"/>
      <c r="FY88" s="138"/>
      <c r="FZ88" s="138"/>
      <c r="GA88" s="138"/>
      <c r="GB88" s="138"/>
      <c r="GC88" s="138"/>
      <c r="GD88" s="138"/>
      <c r="GE88" s="138"/>
      <c r="GF88" s="138"/>
      <c r="GG88" s="138"/>
      <c r="GH88" s="138"/>
      <c r="GI88" s="138"/>
      <c r="GJ88" s="138"/>
      <c r="GK88" s="138"/>
      <c r="GL88" s="138"/>
      <c r="GM88" s="138"/>
      <c r="GN88" s="138"/>
      <c r="GO88" s="138"/>
      <c r="GP88" s="138"/>
      <c r="GQ88" s="138"/>
      <c r="GR88" s="138"/>
      <c r="GS88" s="138"/>
      <c r="GT88" s="138"/>
      <c r="GU88" s="138"/>
      <c r="GV88" s="138"/>
      <c r="GW88" s="138"/>
      <c r="GX88" s="138"/>
      <c r="GY88" s="138"/>
      <c r="GZ88" s="138"/>
      <c r="HA88" s="138"/>
      <c r="HB88" s="138"/>
      <c r="HC88" s="138"/>
      <c r="HD88" s="138"/>
      <c r="HE88" s="138"/>
      <c r="HF88" s="138"/>
      <c r="HG88" s="138"/>
      <c r="HH88" s="138"/>
      <c r="HI88" s="138"/>
      <c r="HJ88" s="138"/>
      <c r="HK88" s="138"/>
      <c r="HL88" s="138"/>
      <c r="HM88" s="138"/>
      <c r="HN88" s="138"/>
      <c r="HO88" s="138"/>
      <c r="HP88" s="138"/>
      <c r="HQ88" s="138"/>
      <c r="HR88" s="138"/>
      <c r="HS88" s="138"/>
      <c r="HT88" s="138"/>
      <c r="HU88" s="138"/>
      <c r="HV88" s="138"/>
      <c r="HW88" s="138"/>
      <c r="HX88" s="138"/>
      <c r="HY88" s="138"/>
      <c r="HZ88" s="138"/>
      <c r="IA88" s="138"/>
      <c r="IB88" s="138"/>
      <c r="IC88" s="138"/>
      <c r="ID88" s="138"/>
      <c r="IE88" s="138"/>
      <c r="IF88" s="138"/>
      <c r="IG88" s="138"/>
      <c r="IH88" s="138"/>
      <c r="II88" s="138"/>
      <c r="IJ88" s="138"/>
      <c r="IK88" s="138"/>
      <c r="IL88" s="138"/>
      <c r="IM88" s="138"/>
      <c r="IN88" s="138"/>
      <c r="IO88" s="138"/>
      <c r="IP88" s="138"/>
      <c r="IQ88" s="138"/>
      <c r="IR88" s="138"/>
      <c r="IS88" s="138"/>
      <c r="IT88" s="138"/>
      <c r="IU88" s="138"/>
      <c r="IV88" s="138"/>
      <c r="IW88" s="138"/>
      <c r="IX88" s="138"/>
      <c r="IY88" s="138"/>
      <c r="IZ88" s="138"/>
      <c r="JA88" s="138"/>
      <c r="JB88" s="138"/>
      <c r="JC88" s="138"/>
      <c r="JD88" s="138"/>
      <c r="JE88" s="138"/>
      <c r="JF88" s="138"/>
      <c r="JG88" s="138"/>
      <c r="JH88" s="138"/>
      <c r="JI88" s="138"/>
      <c r="JJ88" s="138"/>
      <c r="JK88" s="138"/>
      <c r="JL88" s="138"/>
      <c r="JM88" s="138"/>
      <c r="JN88" s="138"/>
      <c r="JO88" s="138"/>
      <c r="JP88" s="138"/>
    </row>
    <row r="89" spans="1:276" s="4" customFormat="1">
      <c r="A89" s="138"/>
      <c r="B89" s="138"/>
      <c r="C89" s="138"/>
      <c r="D89" s="138"/>
      <c r="E89" s="138"/>
      <c r="F89" s="138"/>
      <c r="G89" s="966"/>
      <c r="H89" s="963"/>
      <c r="I89" s="964"/>
      <c r="J89" s="881"/>
      <c r="K89" s="881"/>
      <c r="L89" s="881"/>
      <c r="M89" s="881"/>
      <c r="N89" s="881"/>
      <c r="O89" s="881"/>
      <c r="P89" s="965"/>
      <c r="Q89" s="881"/>
      <c r="R89" s="138"/>
      <c r="S89" s="958"/>
      <c r="T89" s="959"/>
      <c r="U89" s="960"/>
      <c r="V89" s="138"/>
      <c r="W89" s="138"/>
      <c r="X89" s="138"/>
      <c r="Y89" s="138"/>
      <c r="Z89" s="138"/>
      <c r="AA89" s="138"/>
      <c r="AB89" s="138"/>
      <c r="AC89" s="138"/>
      <c r="AD89" s="138"/>
      <c r="AE89" s="138"/>
      <c r="AF89" s="138"/>
      <c r="AG89" s="138"/>
      <c r="AH89" s="138"/>
      <c r="AI89" s="138"/>
      <c r="AJ89" s="138"/>
      <c r="AK89" s="138"/>
      <c r="AL89" s="138"/>
      <c r="AM89" s="138"/>
      <c r="AN89" s="138"/>
      <c r="AO89" s="138"/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  <c r="BE89" s="138"/>
      <c r="BF89" s="138"/>
      <c r="BG89" s="138"/>
      <c r="BH89" s="138"/>
      <c r="BI89" s="138"/>
      <c r="BJ89" s="138"/>
      <c r="BK89" s="138"/>
      <c r="BL89" s="138"/>
      <c r="BM89" s="138"/>
      <c r="BN89" s="138"/>
      <c r="BO89" s="138"/>
      <c r="BP89" s="138"/>
      <c r="BQ89" s="138"/>
      <c r="BR89" s="138"/>
      <c r="BS89" s="138"/>
      <c r="BT89" s="138"/>
      <c r="BU89" s="138"/>
      <c r="BV89" s="138"/>
      <c r="BW89" s="138"/>
      <c r="BX89" s="138"/>
      <c r="BY89" s="138"/>
      <c r="BZ89" s="138"/>
      <c r="CA89" s="138"/>
      <c r="CB89" s="138"/>
      <c r="CC89" s="138"/>
      <c r="CD89" s="138"/>
      <c r="CE89" s="138"/>
      <c r="CF89" s="138"/>
      <c r="CG89" s="138"/>
      <c r="CH89" s="138"/>
      <c r="CI89" s="138"/>
      <c r="CJ89" s="138"/>
      <c r="CK89" s="138"/>
      <c r="CL89" s="138"/>
      <c r="CM89" s="138"/>
      <c r="CN89" s="138"/>
      <c r="CO89" s="138"/>
      <c r="CP89" s="138"/>
      <c r="CQ89" s="138"/>
      <c r="CR89" s="138"/>
      <c r="CS89" s="138"/>
      <c r="CT89" s="138"/>
      <c r="CU89" s="138"/>
      <c r="CV89" s="138"/>
      <c r="CW89" s="138"/>
      <c r="CX89" s="138"/>
      <c r="CY89" s="138"/>
      <c r="CZ89" s="138"/>
      <c r="DA89" s="138"/>
      <c r="DB89" s="138"/>
      <c r="DC89" s="138"/>
      <c r="DD89" s="138"/>
      <c r="DE89" s="138"/>
      <c r="DF89" s="138"/>
      <c r="DG89" s="138"/>
      <c r="DH89" s="138"/>
      <c r="DI89" s="138"/>
      <c r="DJ89" s="138"/>
      <c r="DK89" s="138"/>
      <c r="DL89" s="138"/>
      <c r="DM89" s="138"/>
      <c r="DN89" s="138"/>
      <c r="DO89" s="138"/>
      <c r="DP89" s="138"/>
      <c r="DQ89" s="138"/>
      <c r="DR89" s="138"/>
      <c r="DS89" s="138"/>
      <c r="DT89" s="138"/>
      <c r="DU89" s="138"/>
      <c r="DV89" s="138"/>
      <c r="DW89" s="138"/>
      <c r="DX89" s="138"/>
      <c r="DY89" s="138"/>
      <c r="DZ89" s="138"/>
      <c r="EA89" s="138"/>
      <c r="EB89" s="138"/>
      <c r="EC89" s="138"/>
      <c r="ED89" s="138"/>
      <c r="EE89" s="126"/>
      <c r="EF89" s="138"/>
      <c r="EG89" s="138"/>
      <c r="EH89" s="138"/>
      <c r="EI89" s="138"/>
      <c r="EJ89" s="138"/>
      <c r="EK89" s="138"/>
      <c r="EL89" s="138"/>
      <c r="EM89" s="138"/>
      <c r="EN89" s="138"/>
      <c r="EO89" s="138"/>
      <c r="EP89" s="138"/>
      <c r="EQ89" s="138"/>
      <c r="ER89" s="138"/>
      <c r="ES89" s="138"/>
      <c r="ET89" s="138"/>
      <c r="EU89" s="138"/>
      <c r="EV89" s="138"/>
      <c r="EW89" s="138"/>
      <c r="EX89" s="138"/>
      <c r="EY89" s="138"/>
      <c r="EZ89" s="138"/>
      <c r="FA89" s="138"/>
      <c r="FB89" s="138"/>
      <c r="FC89" s="138"/>
      <c r="FD89" s="138"/>
      <c r="FE89" s="138"/>
      <c r="FF89" s="138"/>
      <c r="FG89" s="138"/>
      <c r="FH89" s="138"/>
      <c r="FI89" s="138"/>
      <c r="FJ89" s="138"/>
      <c r="FK89" s="138"/>
      <c r="FL89" s="138"/>
      <c r="FM89" s="138"/>
      <c r="FN89" s="138"/>
      <c r="FO89" s="138"/>
      <c r="FP89" s="138"/>
      <c r="FQ89" s="138"/>
      <c r="FR89" s="138"/>
      <c r="FS89" s="138"/>
      <c r="FT89" s="138"/>
      <c r="FU89" s="138"/>
      <c r="FV89" s="138"/>
      <c r="FW89" s="138"/>
      <c r="FX89" s="138"/>
      <c r="FY89" s="138"/>
      <c r="FZ89" s="138"/>
      <c r="GA89" s="138"/>
      <c r="GB89" s="138"/>
      <c r="GC89" s="138"/>
      <c r="GD89" s="138"/>
      <c r="GE89" s="138"/>
      <c r="GF89" s="138"/>
      <c r="GG89" s="138"/>
      <c r="GH89" s="138"/>
      <c r="GI89" s="138"/>
      <c r="GJ89" s="138"/>
      <c r="GK89" s="138"/>
      <c r="GL89" s="138"/>
      <c r="GM89" s="138"/>
      <c r="GN89" s="138"/>
      <c r="GO89" s="138"/>
      <c r="GP89" s="138"/>
      <c r="GQ89" s="138"/>
      <c r="GR89" s="138"/>
      <c r="GS89" s="138"/>
      <c r="GT89" s="138"/>
      <c r="GU89" s="138"/>
      <c r="GV89" s="138"/>
      <c r="GW89" s="138"/>
      <c r="GX89" s="138"/>
      <c r="GY89" s="138"/>
      <c r="GZ89" s="138"/>
      <c r="HA89" s="138"/>
      <c r="HB89" s="138"/>
      <c r="HC89" s="138"/>
      <c r="HD89" s="138"/>
      <c r="HE89" s="138"/>
      <c r="HF89" s="138"/>
      <c r="HG89" s="138"/>
      <c r="HH89" s="138"/>
      <c r="HI89" s="138"/>
      <c r="HJ89" s="138"/>
      <c r="HK89" s="138"/>
      <c r="HL89" s="138"/>
      <c r="HM89" s="138"/>
      <c r="HN89" s="138"/>
      <c r="HO89" s="138"/>
      <c r="HP89" s="138"/>
      <c r="HQ89" s="138"/>
      <c r="HR89" s="138"/>
      <c r="HS89" s="138"/>
      <c r="HT89" s="138"/>
      <c r="HU89" s="138"/>
      <c r="HV89" s="138"/>
      <c r="HW89" s="138"/>
      <c r="HX89" s="138"/>
      <c r="HY89" s="138"/>
      <c r="HZ89" s="138"/>
      <c r="IA89" s="138"/>
      <c r="IB89" s="138"/>
      <c r="IC89" s="138"/>
      <c r="ID89" s="138"/>
      <c r="IE89" s="138"/>
      <c r="IF89" s="138"/>
      <c r="IG89" s="138"/>
      <c r="IH89" s="138"/>
      <c r="II89" s="138"/>
      <c r="IJ89" s="138"/>
      <c r="IK89" s="138"/>
      <c r="IL89" s="138"/>
      <c r="IM89" s="138"/>
      <c r="IN89" s="138"/>
      <c r="IO89" s="138"/>
      <c r="IP89" s="138"/>
      <c r="IQ89" s="138"/>
      <c r="IR89" s="138"/>
      <c r="IS89" s="138"/>
      <c r="IT89" s="138"/>
      <c r="IU89" s="138"/>
      <c r="IV89" s="138"/>
      <c r="IW89" s="138"/>
      <c r="IX89" s="138"/>
      <c r="IY89" s="138"/>
      <c r="IZ89" s="138"/>
      <c r="JA89" s="138"/>
      <c r="JB89" s="138"/>
      <c r="JC89" s="138"/>
      <c r="JD89" s="138"/>
      <c r="JE89" s="138"/>
      <c r="JF89" s="138"/>
      <c r="JG89" s="138"/>
      <c r="JH89" s="138"/>
      <c r="JI89" s="138"/>
      <c r="JJ89" s="138"/>
      <c r="JK89" s="138"/>
      <c r="JL89" s="138"/>
      <c r="JM89" s="138"/>
      <c r="JN89" s="138"/>
      <c r="JO89" s="138"/>
      <c r="JP89" s="138"/>
    </row>
    <row r="90" spans="1:276" s="4" customFormat="1">
      <c r="A90" s="138"/>
      <c r="B90" s="138"/>
      <c r="C90" s="138"/>
      <c r="D90" s="138"/>
      <c r="E90" s="138"/>
      <c r="F90" s="138"/>
      <c r="G90" s="966"/>
      <c r="H90" s="963"/>
      <c r="I90" s="964"/>
      <c r="J90" s="881"/>
      <c r="K90" s="881"/>
      <c r="L90" s="881"/>
      <c r="M90" s="881"/>
      <c r="N90" s="881"/>
      <c r="O90" s="881"/>
      <c r="P90" s="965"/>
      <c r="Q90" s="881"/>
      <c r="R90" s="138"/>
      <c r="S90" s="958"/>
      <c r="T90" s="959"/>
      <c r="U90" s="960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  <c r="BE90" s="138"/>
      <c r="BF90" s="138"/>
      <c r="BG90" s="138"/>
      <c r="BH90" s="138"/>
      <c r="BI90" s="138"/>
      <c r="BJ90" s="138"/>
      <c r="BK90" s="138"/>
      <c r="BL90" s="138"/>
      <c r="BM90" s="138"/>
      <c r="BN90" s="138"/>
      <c r="BO90" s="138"/>
      <c r="BP90" s="138"/>
      <c r="BQ90" s="138"/>
      <c r="BR90" s="138"/>
      <c r="BS90" s="138"/>
      <c r="BT90" s="138"/>
      <c r="BU90" s="138"/>
      <c r="BV90" s="138"/>
      <c r="BW90" s="138"/>
      <c r="BX90" s="138"/>
      <c r="BY90" s="138"/>
      <c r="BZ90" s="138"/>
      <c r="CA90" s="138"/>
      <c r="CB90" s="138"/>
      <c r="CC90" s="138"/>
      <c r="CD90" s="138"/>
      <c r="CE90" s="138"/>
      <c r="CF90" s="138"/>
      <c r="CG90" s="138"/>
      <c r="CH90" s="138"/>
      <c r="CI90" s="138"/>
      <c r="CJ90" s="138"/>
      <c r="CK90" s="138"/>
      <c r="CL90" s="138"/>
      <c r="CM90" s="138"/>
      <c r="CN90" s="138"/>
      <c r="CO90" s="138"/>
      <c r="CP90" s="138"/>
      <c r="CQ90" s="138"/>
      <c r="CR90" s="138"/>
      <c r="CS90" s="138"/>
      <c r="CT90" s="138"/>
      <c r="CU90" s="138"/>
      <c r="CV90" s="138"/>
      <c r="CW90" s="138"/>
      <c r="CX90" s="138"/>
      <c r="CY90" s="138"/>
      <c r="CZ90" s="138"/>
      <c r="DA90" s="138"/>
      <c r="DB90" s="138"/>
      <c r="DC90" s="138"/>
      <c r="DD90" s="138"/>
      <c r="DE90" s="138"/>
      <c r="DF90" s="138"/>
      <c r="DG90" s="138"/>
      <c r="DH90" s="138"/>
      <c r="DI90" s="138"/>
      <c r="DJ90" s="138"/>
      <c r="DK90" s="138"/>
      <c r="DL90" s="138"/>
      <c r="DM90" s="138"/>
      <c r="DN90" s="138"/>
      <c r="DO90" s="138"/>
      <c r="DP90" s="138"/>
      <c r="DQ90" s="138"/>
      <c r="DR90" s="138"/>
      <c r="DS90" s="138"/>
      <c r="DT90" s="138"/>
      <c r="DU90" s="138"/>
      <c r="DV90" s="138"/>
      <c r="DW90" s="138"/>
      <c r="DX90" s="138"/>
      <c r="DY90" s="138"/>
      <c r="DZ90" s="138"/>
      <c r="EA90" s="138"/>
      <c r="EB90" s="138"/>
      <c r="EC90" s="138"/>
      <c r="ED90" s="138"/>
      <c r="EE90" s="126"/>
      <c r="EF90" s="138"/>
      <c r="EG90" s="138"/>
      <c r="EH90" s="138"/>
      <c r="EI90" s="138"/>
      <c r="EJ90" s="138"/>
      <c r="EK90" s="138"/>
      <c r="EL90" s="138"/>
      <c r="EM90" s="138"/>
      <c r="EN90" s="138"/>
      <c r="EO90" s="138"/>
      <c r="EP90" s="138"/>
      <c r="EQ90" s="138"/>
      <c r="ER90" s="138"/>
      <c r="ES90" s="138"/>
      <c r="ET90" s="138"/>
      <c r="EU90" s="138"/>
      <c r="EV90" s="138"/>
      <c r="EW90" s="138"/>
      <c r="EX90" s="138"/>
      <c r="EY90" s="138"/>
      <c r="EZ90" s="138"/>
      <c r="FA90" s="138"/>
      <c r="FB90" s="138"/>
      <c r="FC90" s="138"/>
      <c r="FD90" s="138"/>
      <c r="FE90" s="138"/>
      <c r="FF90" s="138"/>
      <c r="FG90" s="138"/>
      <c r="FH90" s="138"/>
      <c r="FI90" s="138"/>
      <c r="FJ90" s="138"/>
      <c r="FK90" s="138"/>
      <c r="FL90" s="138"/>
      <c r="FM90" s="138"/>
      <c r="FN90" s="138"/>
      <c r="FO90" s="138"/>
      <c r="FP90" s="138"/>
      <c r="FQ90" s="138"/>
      <c r="FR90" s="138"/>
      <c r="FS90" s="138"/>
      <c r="FT90" s="138"/>
      <c r="FU90" s="138"/>
      <c r="FV90" s="138"/>
      <c r="FW90" s="138"/>
      <c r="FX90" s="138"/>
      <c r="FY90" s="138"/>
      <c r="FZ90" s="138"/>
      <c r="GA90" s="138"/>
      <c r="GB90" s="138"/>
      <c r="GC90" s="138"/>
      <c r="GD90" s="138"/>
      <c r="GE90" s="138"/>
      <c r="GF90" s="138"/>
      <c r="GG90" s="138"/>
      <c r="GH90" s="138"/>
      <c r="GI90" s="138"/>
      <c r="GJ90" s="138"/>
      <c r="GK90" s="138"/>
      <c r="GL90" s="138"/>
      <c r="GM90" s="138"/>
      <c r="GN90" s="138"/>
      <c r="GO90" s="138"/>
      <c r="GP90" s="138"/>
      <c r="GQ90" s="138"/>
      <c r="GR90" s="138"/>
      <c r="GS90" s="138"/>
      <c r="GT90" s="138"/>
      <c r="GU90" s="138"/>
      <c r="GV90" s="138"/>
      <c r="GW90" s="138"/>
      <c r="GX90" s="138"/>
      <c r="GY90" s="138"/>
      <c r="GZ90" s="138"/>
      <c r="HA90" s="138"/>
      <c r="HB90" s="138"/>
      <c r="HC90" s="138"/>
      <c r="HD90" s="138"/>
      <c r="HE90" s="138"/>
      <c r="HF90" s="138"/>
      <c r="HG90" s="138"/>
      <c r="HH90" s="138"/>
      <c r="HI90" s="138"/>
      <c r="HJ90" s="138"/>
      <c r="HK90" s="138"/>
      <c r="HL90" s="138"/>
      <c r="HM90" s="138"/>
      <c r="HN90" s="138"/>
      <c r="HO90" s="138"/>
      <c r="HP90" s="138"/>
      <c r="HQ90" s="138"/>
      <c r="HR90" s="138"/>
      <c r="HS90" s="138"/>
      <c r="HT90" s="138"/>
      <c r="HU90" s="138"/>
      <c r="HV90" s="138"/>
      <c r="HW90" s="138"/>
      <c r="HX90" s="138"/>
      <c r="HY90" s="138"/>
      <c r="HZ90" s="138"/>
      <c r="IA90" s="138"/>
      <c r="IB90" s="138"/>
      <c r="IC90" s="138"/>
      <c r="ID90" s="138"/>
      <c r="IE90" s="138"/>
      <c r="IF90" s="138"/>
      <c r="IG90" s="138"/>
      <c r="IH90" s="138"/>
      <c r="II90" s="138"/>
      <c r="IJ90" s="138"/>
      <c r="IK90" s="138"/>
      <c r="IL90" s="138"/>
      <c r="IM90" s="138"/>
      <c r="IN90" s="138"/>
      <c r="IO90" s="138"/>
      <c r="IP90" s="138"/>
      <c r="IQ90" s="138"/>
      <c r="IR90" s="138"/>
      <c r="IS90" s="138"/>
      <c r="IT90" s="138"/>
      <c r="IU90" s="138"/>
      <c r="IV90" s="138"/>
      <c r="IW90" s="138"/>
      <c r="IX90" s="138"/>
      <c r="IY90" s="138"/>
      <c r="IZ90" s="138"/>
      <c r="JA90" s="138"/>
      <c r="JB90" s="138"/>
      <c r="JC90" s="138"/>
      <c r="JD90" s="138"/>
      <c r="JE90" s="138"/>
      <c r="JF90" s="138"/>
      <c r="JG90" s="138"/>
      <c r="JH90" s="138"/>
      <c r="JI90" s="138"/>
      <c r="JJ90" s="138"/>
      <c r="JK90" s="138"/>
      <c r="JL90" s="138"/>
      <c r="JM90" s="138"/>
      <c r="JN90" s="138"/>
      <c r="JO90" s="138"/>
      <c r="JP90" s="138"/>
    </row>
    <row r="91" spans="1:276" s="4" customFormat="1">
      <c r="A91" s="138"/>
      <c r="B91" s="138"/>
      <c r="C91" s="138"/>
      <c r="D91" s="138"/>
      <c r="E91" s="138"/>
      <c r="F91" s="138"/>
      <c r="G91" s="966"/>
      <c r="H91" s="963"/>
      <c r="I91" s="964"/>
      <c r="J91" s="881"/>
      <c r="K91" s="881"/>
      <c r="L91" s="881"/>
      <c r="M91" s="881"/>
      <c r="N91" s="881"/>
      <c r="O91" s="881"/>
      <c r="P91" s="965"/>
      <c r="Q91" s="881"/>
      <c r="R91" s="138"/>
      <c r="S91" s="958"/>
      <c r="T91" s="959"/>
      <c r="U91" s="960"/>
      <c r="V91" s="138"/>
      <c r="W91" s="138"/>
      <c r="X91" s="138"/>
      <c r="Y91" s="138"/>
      <c r="Z91" s="138"/>
      <c r="AA91" s="138"/>
      <c r="AB91" s="138"/>
      <c r="AC91" s="138"/>
      <c r="AD91" s="138"/>
      <c r="AE91" s="138"/>
      <c r="AF91" s="138"/>
      <c r="AG91" s="138"/>
      <c r="AH91" s="138"/>
      <c r="AI91" s="138"/>
      <c r="AJ91" s="138"/>
      <c r="AK91" s="138"/>
      <c r="AL91" s="138"/>
      <c r="AM91" s="138"/>
      <c r="AN91" s="138"/>
      <c r="AO91" s="138"/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  <c r="BE91" s="138"/>
      <c r="BF91" s="138"/>
      <c r="BG91" s="138"/>
      <c r="BH91" s="138"/>
      <c r="BI91" s="138"/>
      <c r="BJ91" s="138"/>
      <c r="BK91" s="138"/>
      <c r="BL91" s="138"/>
      <c r="BM91" s="138"/>
      <c r="BN91" s="138"/>
      <c r="BO91" s="138"/>
      <c r="BP91" s="138"/>
      <c r="BQ91" s="138"/>
      <c r="BR91" s="138"/>
      <c r="BS91" s="138"/>
      <c r="BT91" s="138"/>
      <c r="BU91" s="138"/>
      <c r="BV91" s="138"/>
      <c r="BW91" s="138"/>
      <c r="BX91" s="138"/>
      <c r="BY91" s="138"/>
      <c r="BZ91" s="138"/>
      <c r="CA91" s="138"/>
      <c r="CB91" s="138"/>
      <c r="CC91" s="138"/>
      <c r="CD91" s="138"/>
      <c r="CE91" s="138"/>
      <c r="CF91" s="138"/>
      <c r="CG91" s="138"/>
      <c r="CH91" s="138"/>
      <c r="CI91" s="138"/>
      <c r="CJ91" s="138"/>
      <c r="CK91" s="138"/>
      <c r="CL91" s="138"/>
      <c r="CM91" s="138"/>
      <c r="CN91" s="138"/>
      <c r="CO91" s="138"/>
      <c r="CP91" s="138"/>
      <c r="CQ91" s="138"/>
      <c r="CR91" s="138"/>
      <c r="CS91" s="138"/>
      <c r="CT91" s="138"/>
      <c r="CU91" s="138"/>
      <c r="CV91" s="138"/>
      <c r="CW91" s="138"/>
      <c r="CX91" s="138"/>
      <c r="CY91" s="138"/>
      <c r="CZ91" s="138"/>
      <c r="DA91" s="138"/>
      <c r="DB91" s="138"/>
      <c r="DC91" s="138"/>
      <c r="DD91" s="138"/>
      <c r="DE91" s="138"/>
      <c r="DF91" s="138"/>
      <c r="DG91" s="138"/>
      <c r="DH91" s="138"/>
      <c r="DI91" s="138"/>
      <c r="DJ91" s="138"/>
      <c r="DK91" s="138"/>
      <c r="DL91" s="138"/>
      <c r="DM91" s="138"/>
      <c r="DN91" s="138"/>
      <c r="DO91" s="138"/>
      <c r="DP91" s="138"/>
      <c r="DQ91" s="138"/>
      <c r="DR91" s="138"/>
      <c r="DS91" s="138"/>
      <c r="DT91" s="138"/>
      <c r="DU91" s="138"/>
      <c r="DV91" s="138"/>
      <c r="DW91" s="138"/>
      <c r="DX91" s="138"/>
      <c r="DY91" s="138"/>
      <c r="DZ91" s="138"/>
      <c r="EA91" s="138"/>
      <c r="EB91" s="138"/>
      <c r="EC91" s="138"/>
      <c r="ED91" s="138"/>
      <c r="EE91" s="126"/>
      <c r="EF91" s="138"/>
      <c r="EG91" s="138"/>
      <c r="EH91" s="138"/>
      <c r="EI91" s="138"/>
      <c r="EJ91" s="138"/>
      <c r="EK91" s="138"/>
      <c r="EL91" s="138"/>
      <c r="EM91" s="138"/>
      <c r="EN91" s="138"/>
      <c r="EO91" s="138"/>
      <c r="EP91" s="138"/>
      <c r="EQ91" s="138"/>
      <c r="ER91" s="138"/>
      <c r="ES91" s="138"/>
      <c r="ET91" s="138"/>
      <c r="EU91" s="138"/>
      <c r="EV91" s="138"/>
      <c r="EW91" s="138"/>
      <c r="EX91" s="138"/>
      <c r="EY91" s="138"/>
      <c r="EZ91" s="138"/>
      <c r="FA91" s="138"/>
      <c r="FB91" s="138"/>
      <c r="FC91" s="138"/>
      <c r="FD91" s="138"/>
      <c r="FE91" s="138"/>
      <c r="FF91" s="138"/>
      <c r="FG91" s="138"/>
      <c r="FH91" s="138"/>
      <c r="FI91" s="138"/>
      <c r="FJ91" s="138"/>
      <c r="FK91" s="138"/>
      <c r="FL91" s="138"/>
      <c r="FM91" s="138"/>
      <c r="FN91" s="138"/>
      <c r="FO91" s="138"/>
      <c r="FP91" s="138"/>
      <c r="FQ91" s="138"/>
      <c r="FR91" s="138"/>
      <c r="FS91" s="138"/>
      <c r="FT91" s="138"/>
      <c r="FU91" s="138"/>
      <c r="FV91" s="138"/>
      <c r="FW91" s="138"/>
      <c r="FX91" s="138"/>
      <c r="FY91" s="138"/>
      <c r="FZ91" s="138"/>
      <c r="GA91" s="138"/>
      <c r="GB91" s="138"/>
      <c r="GC91" s="138"/>
      <c r="GD91" s="138"/>
      <c r="GE91" s="138"/>
      <c r="GF91" s="138"/>
      <c r="GG91" s="138"/>
      <c r="GH91" s="138"/>
      <c r="GI91" s="138"/>
      <c r="GJ91" s="138"/>
      <c r="GK91" s="138"/>
      <c r="GL91" s="138"/>
      <c r="GM91" s="138"/>
      <c r="GN91" s="138"/>
      <c r="GO91" s="138"/>
      <c r="GP91" s="138"/>
      <c r="GQ91" s="138"/>
      <c r="GR91" s="138"/>
      <c r="GS91" s="138"/>
      <c r="GT91" s="138"/>
      <c r="GU91" s="138"/>
      <c r="GV91" s="138"/>
      <c r="GW91" s="138"/>
      <c r="GX91" s="138"/>
      <c r="GY91" s="138"/>
      <c r="GZ91" s="138"/>
      <c r="HA91" s="138"/>
      <c r="HB91" s="138"/>
      <c r="HC91" s="138"/>
      <c r="HD91" s="138"/>
      <c r="HE91" s="138"/>
      <c r="HF91" s="138"/>
      <c r="HG91" s="138"/>
      <c r="HH91" s="138"/>
      <c r="HI91" s="138"/>
      <c r="HJ91" s="138"/>
      <c r="HK91" s="138"/>
      <c r="HL91" s="138"/>
      <c r="HM91" s="138"/>
      <c r="HN91" s="138"/>
      <c r="HO91" s="138"/>
      <c r="HP91" s="138"/>
      <c r="HQ91" s="138"/>
      <c r="HR91" s="138"/>
      <c r="HS91" s="138"/>
      <c r="HT91" s="138"/>
      <c r="HU91" s="138"/>
      <c r="HV91" s="138"/>
      <c r="HW91" s="138"/>
      <c r="HX91" s="138"/>
      <c r="HY91" s="138"/>
      <c r="HZ91" s="138"/>
      <c r="IA91" s="138"/>
      <c r="IB91" s="138"/>
      <c r="IC91" s="138"/>
      <c r="ID91" s="138"/>
      <c r="IE91" s="138"/>
      <c r="IF91" s="138"/>
      <c r="IG91" s="138"/>
      <c r="IH91" s="138"/>
      <c r="II91" s="138"/>
      <c r="IJ91" s="138"/>
      <c r="IK91" s="138"/>
      <c r="IL91" s="138"/>
      <c r="IM91" s="138"/>
      <c r="IN91" s="138"/>
      <c r="IO91" s="138"/>
      <c r="IP91" s="138"/>
      <c r="IQ91" s="138"/>
      <c r="IR91" s="138"/>
      <c r="IS91" s="138"/>
      <c r="IT91" s="138"/>
      <c r="IU91" s="138"/>
      <c r="IV91" s="138"/>
      <c r="IW91" s="138"/>
      <c r="IX91" s="138"/>
      <c r="IY91" s="138"/>
      <c r="IZ91" s="138"/>
      <c r="JA91" s="138"/>
      <c r="JB91" s="138"/>
      <c r="JC91" s="138"/>
      <c r="JD91" s="138"/>
      <c r="JE91" s="138"/>
      <c r="JF91" s="138"/>
      <c r="JG91" s="138"/>
      <c r="JH91" s="138"/>
      <c r="JI91" s="138"/>
      <c r="JJ91" s="138"/>
      <c r="JK91" s="138"/>
      <c r="JL91" s="138"/>
      <c r="JM91" s="138"/>
      <c r="JN91" s="138"/>
      <c r="JO91" s="138"/>
      <c r="JP91" s="138"/>
    </row>
    <row r="92" spans="1:276" s="4" customFormat="1">
      <c r="A92" s="138"/>
      <c r="B92" s="138"/>
      <c r="C92" s="138"/>
      <c r="D92" s="138"/>
      <c r="E92" s="138"/>
      <c r="F92" s="138"/>
      <c r="G92" s="966"/>
      <c r="H92" s="963"/>
      <c r="I92" s="964"/>
      <c r="J92" s="881"/>
      <c r="K92" s="881"/>
      <c r="L92" s="881"/>
      <c r="M92" s="881"/>
      <c r="N92" s="881"/>
      <c r="O92" s="881"/>
      <c r="P92" s="965"/>
      <c r="Q92" s="881"/>
      <c r="R92" s="138"/>
      <c r="S92" s="958"/>
      <c r="T92" s="959"/>
      <c r="U92" s="960"/>
      <c r="V92" s="138"/>
      <c r="W92" s="138"/>
      <c r="X92" s="138"/>
      <c r="Y92" s="138"/>
      <c r="Z92" s="138"/>
      <c r="AA92" s="138"/>
      <c r="AB92" s="138"/>
      <c r="AC92" s="138"/>
      <c r="AD92" s="138"/>
      <c r="AE92" s="138"/>
      <c r="AF92" s="138"/>
      <c r="AG92" s="138"/>
      <c r="AH92" s="138"/>
      <c r="AI92" s="138"/>
      <c r="AJ92" s="138"/>
      <c r="AK92" s="138"/>
      <c r="AL92" s="138"/>
      <c r="AM92" s="138"/>
      <c r="AN92" s="138"/>
      <c r="AO92" s="138"/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  <c r="BE92" s="138"/>
      <c r="BF92" s="138"/>
      <c r="BG92" s="138"/>
      <c r="BH92" s="138"/>
      <c r="BI92" s="138"/>
      <c r="BJ92" s="138"/>
      <c r="BK92" s="138"/>
      <c r="BL92" s="138"/>
      <c r="BM92" s="138"/>
      <c r="BN92" s="138"/>
      <c r="BO92" s="138"/>
      <c r="BP92" s="138"/>
      <c r="BQ92" s="138"/>
      <c r="BR92" s="138"/>
      <c r="BS92" s="138"/>
      <c r="BT92" s="138"/>
      <c r="BU92" s="138"/>
      <c r="BV92" s="138"/>
      <c r="BW92" s="138"/>
      <c r="BX92" s="138"/>
      <c r="BY92" s="138"/>
      <c r="BZ92" s="138"/>
      <c r="CA92" s="138"/>
      <c r="CB92" s="138"/>
      <c r="CC92" s="138"/>
      <c r="CD92" s="138"/>
      <c r="CE92" s="138"/>
      <c r="CF92" s="138"/>
      <c r="CG92" s="138"/>
      <c r="CH92" s="138"/>
      <c r="CI92" s="138"/>
      <c r="CJ92" s="138"/>
      <c r="CK92" s="138"/>
      <c r="CL92" s="138"/>
      <c r="CM92" s="138"/>
      <c r="CN92" s="138"/>
      <c r="CO92" s="138"/>
      <c r="CP92" s="138"/>
      <c r="CQ92" s="138"/>
      <c r="CR92" s="138"/>
      <c r="CS92" s="138"/>
      <c r="CT92" s="138"/>
      <c r="CU92" s="138"/>
      <c r="CV92" s="138"/>
      <c r="CW92" s="138"/>
      <c r="CX92" s="138"/>
      <c r="CY92" s="138"/>
      <c r="CZ92" s="138"/>
      <c r="DA92" s="138"/>
      <c r="DB92" s="138"/>
      <c r="DC92" s="138"/>
      <c r="DD92" s="138"/>
      <c r="DE92" s="138"/>
      <c r="DF92" s="138"/>
      <c r="DG92" s="138"/>
      <c r="DH92" s="138"/>
      <c r="DI92" s="138"/>
      <c r="DJ92" s="138"/>
      <c r="DK92" s="138"/>
      <c r="DL92" s="138"/>
      <c r="DM92" s="138"/>
      <c r="DN92" s="138"/>
      <c r="DO92" s="138"/>
      <c r="DP92" s="138"/>
      <c r="DQ92" s="138"/>
      <c r="DR92" s="138"/>
      <c r="DS92" s="138"/>
      <c r="DT92" s="138"/>
      <c r="DU92" s="138"/>
      <c r="DV92" s="138"/>
      <c r="DW92" s="138"/>
      <c r="DX92" s="138"/>
      <c r="DY92" s="138"/>
      <c r="DZ92" s="138"/>
      <c r="EA92" s="138"/>
      <c r="EB92" s="138"/>
      <c r="EC92" s="138"/>
      <c r="ED92" s="138"/>
      <c r="EE92" s="126"/>
      <c r="EF92" s="138"/>
      <c r="EG92" s="138"/>
      <c r="EH92" s="138"/>
      <c r="EI92" s="138"/>
      <c r="EJ92" s="138"/>
      <c r="EK92" s="138"/>
      <c r="EL92" s="138"/>
      <c r="EM92" s="138"/>
      <c r="EN92" s="138"/>
      <c r="EO92" s="138"/>
      <c r="EP92" s="138"/>
      <c r="EQ92" s="138"/>
      <c r="ER92" s="138"/>
      <c r="ES92" s="138"/>
      <c r="ET92" s="138"/>
      <c r="EU92" s="138"/>
      <c r="EV92" s="138"/>
      <c r="EW92" s="138"/>
      <c r="EX92" s="138"/>
      <c r="EY92" s="138"/>
      <c r="EZ92" s="138"/>
      <c r="FA92" s="138"/>
      <c r="FB92" s="138"/>
      <c r="FC92" s="138"/>
      <c r="FD92" s="138"/>
      <c r="FE92" s="138"/>
      <c r="FF92" s="138"/>
      <c r="FG92" s="138"/>
      <c r="FH92" s="138"/>
      <c r="FI92" s="138"/>
      <c r="FJ92" s="138"/>
      <c r="FK92" s="138"/>
      <c r="FL92" s="138"/>
      <c r="FM92" s="138"/>
      <c r="FN92" s="138"/>
      <c r="FO92" s="138"/>
      <c r="FP92" s="138"/>
      <c r="FQ92" s="138"/>
      <c r="FR92" s="138"/>
      <c r="FS92" s="138"/>
      <c r="FT92" s="138"/>
      <c r="FU92" s="138"/>
      <c r="FV92" s="138"/>
      <c r="FW92" s="138"/>
      <c r="FX92" s="138"/>
      <c r="FY92" s="138"/>
      <c r="FZ92" s="138"/>
      <c r="GA92" s="138"/>
      <c r="GB92" s="138"/>
      <c r="GC92" s="138"/>
      <c r="GD92" s="138"/>
      <c r="GE92" s="138"/>
      <c r="GF92" s="138"/>
      <c r="GG92" s="138"/>
      <c r="GH92" s="138"/>
      <c r="GI92" s="138"/>
      <c r="GJ92" s="138"/>
      <c r="GK92" s="138"/>
      <c r="GL92" s="138"/>
      <c r="GM92" s="138"/>
      <c r="GN92" s="138"/>
      <c r="GO92" s="138"/>
      <c r="GP92" s="138"/>
      <c r="GQ92" s="138"/>
      <c r="GR92" s="138"/>
      <c r="GS92" s="138"/>
      <c r="GT92" s="138"/>
      <c r="GU92" s="138"/>
      <c r="GV92" s="138"/>
      <c r="GW92" s="138"/>
      <c r="GX92" s="138"/>
      <c r="GY92" s="138"/>
      <c r="GZ92" s="138"/>
      <c r="HA92" s="138"/>
      <c r="HB92" s="138"/>
      <c r="HC92" s="138"/>
      <c r="HD92" s="138"/>
      <c r="HE92" s="138"/>
      <c r="HF92" s="138"/>
      <c r="HG92" s="138"/>
      <c r="HH92" s="138"/>
      <c r="HI92" s="138"/>
      <c r="HJ92" s="138"/>
      <c r="HK92" s="138"/>
      <c r="HL92" s="138"/>
      <c r="HM92" s="138"/>
      <c r="HN92" s="138"/>
      <c r="HO92" s="138"/>
      <c r="HP92" s="138"/>
      <c r="HQ92" s="138"/>
      <c r="HR92" s="138"/>
      <c r="HS92" s="138"/>
      <c r="HT92" s="138"/>
      <c r="HU92" s="138"/>
      <c r="HV92" s="138"/>
      <c r="HW92" s="138"/>
      <c r="HX92" s="138"/>
      <c r="HY92" s="138"/>
      <c r="HZ92" s="138"/>
      <c r="IA92" s="138"/>
      <c r="IB92" s="138"/>
      <c r="IC92" s="138"/>
      <c r="ID92" s="138"/>
      <c r="IE92" s="138"/>
      <c r="IF92" s="138"/>
      <c r="IG92" s="138"/>
      <c r="IH92" s="138"/>
      <c r="II92" s="138"/>
      <c r="IJ92" s="138"/>
      <c r="IK92" s="138"/>
      <c r="IL92" s="138"/>
      <c r="IM92" s="138"/>
      <c r="IN92" s="138"/>
      <c r="IO92" s="138"/>
      <c r="IP92" s="138"/>
      <c r="IQ92" s="138"/>
      <c r="IR92" s="138"/>
      <c r="IS92" s="138"/>
      <c r="IT92" s="138"/>
      <c r="IU92" s="138"/>
      <c r="IV92" s="138"/>
      <c r="IW92" s="138"/>
      <c r="IX92" s="138"/>
      <c r="IY92" s="138"/>
      <c r="IZ92" s="138"/>
      <c r="JA92" s="138"/>
      <c r="JB92" s="138"/>
      <c r="JC92" s="138"/>
      <c r="JD92" s="138"/>
      <c r="JE92" s="138"/>
      <c r="JF92" s="138"/>
      <c r="JG92" s="138"/>
      <c r="JH92" s="138"/>
      <c r="JI92" s="138"/>
      <c r="JJ92" s="138"/>
      <c r="JK92" s="138"/>
      <c r="JL92" s="138"/>
      <c r="JM92" s="138"/>
      <c r="JN92" s="138"/>
      <c r="JO92" s="138"/>
      <c r="JP92" s="138"/>
    </row>
    <row r="93" spans="1:276" s="4" customFormat="1">
      <c r="A93" s="138"/>
      <c r="B93" s="138"/>
      <c r="C93" s="138"/>
      <c r="D93" s="138"/>
      <c r="E93" s="138"/>
      <c r="F93" s="138"/>
      <c r="G93" s="966"/>
      <c r="H93" s="963"/>
      <c r="I93" s="964"/>
      <c r="J93" s="881"/>
      <c r="K93" s="881"/>
      <c r="L93" s="881"/>
      <c r="M93" s="881"/>
      <c r="N93" s="881"/>
      <c r="O93" s="881"/>
      <c r="P93" s="965"/>
      <c r="Q93" s="881"/>
      <c r="R93" s="138"/>
      <c r="S93" s="958"/>
      <c r="T93" s="959"/>
      <c r="U93" s="960"/>
      <c r="V93" s="138"/>
      <c r="W93" s="138"/>
      <c r="X93" s="138"/>
      <c r="Y93" s="138"/>
      <c r="Z93" s="138"/>
      <c r="AA93" s="138"/>
      <c r="AB93" s="138"/>
      <c r="AC93" s="13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  <c r="AN93" s="138"/>
      <c r="AO93" s="138"/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  <c r="BE93" s="138"/>
      <c r="BF93" s="138"/>
      <c r="BG93" s="138"/>
      <c r="BH93" s="138"/>
      <c r="BI93" s="138"/>
      <c r="BJ93" s="138"/>
      <c r="BK93" s="138"/>
      <c r="BL93" s="138"/>
      <c r="BM93" s="138"/>
      <c r="BN93" s="138"/>
      <c r="BO93" s="138"/>
      <c r="BP93" s="138"/>
      <c r="BQ93" s="138"/>
      <c r="BR93" s="138"/>
      <c r="BS93" s="138"/>
      <c r="BT93" s="138"/>
      <c r="BU93" s="138"/>
      <c r="BV93" s="138"/>
      <c r="BW93" s="138"/>
      <c r="BX93" s="138"/>
      <c r="BY93" s="138"/>
      <c r="BZ93" s="138"/>
      <c r="CA93" s="138"/>
      <c r="CB93" s="138"/>
      <c r="CC93" s="138"/>
      <c r="CD93" s="138"/>
      <c r="CE93" s="138"/>
      <c r="CF93" s="138"/>
      <c r="CG93" s="138"/>
      <c r="CH93" s="138"/>
      <c r="CI93" s="138"/>
      <c r="CJ93" s="138"/>
      <c r="CK93" s="138"/>
      <c r="CL93" s="138"/>
      <c r="CM93" s="138"/>
      <c r="CN93" s="138"/>
      <c r="CO93" s="138"/>
      <c r="CP93" s="138"/>
      <c r="CQ93" s="138"/>
      <c r="CR93" s="138"/>
      <c r="CS93" s="138"/>
      <c r="CT93" s="138"/>
      <c r="CU93" s="138"/>
      <c r="CV93" s="138"/>
      <c r="CW93" s="138"/>
      <c r="CX93" s="138"/>
      <c r="CY93" s="138"/>
      <c r="CZ93" s="138"/>
      <c r="DA93" s="138"/>
      <c r="DB93" s="138"/>
      <c r="DC93" s="138"/>
      <c r="DD93" s="138"/>
      <c r="DE93" s="138"/>
      <c r="DF93" s="138"/>
      <c r="DG93" s="138"/>
      <c r="DH93" s="138"/>
      <c r="DI93" s="138"/>
      <c r="DJ93" s="138"/>
      <c r="DK93" s="138"/>
      <c r="DL93" s="138"/>
      <c r="DM93" s="138"/>
      <c r="DN93" s="138"/>
      <c r="DO93" s="138"/>
      <c r="DP93" s="138"/>
      <c r="DQ93" s="138"/>
      <c r="DR93" s="138"/>
      <c r="DS93" s="138"/>
      <c r="DT93" s="138"/>
      <c r="DU93" s="138"/>
      <c r="DV93" s="138"/>
      <c r="DW93" s="138"/>
      <c r="DX93" s="138"/>
      <c r="DY93" s="138"/>
      <c r="DZ93" s="138"/>
      <c r="EA93" s="138"/>
      <c r="EB93" s="138"/>
      <c r="EC93" s="138"/>
      <c r="ED93" s="138"/>
      <c r="EE93" s="126"/>
      <c r="EF93" s="138"/>
      <c r="EG93" s="138"/>
      <c r="EH93" s="138"/>
      <c r="EI93" s="138"/>
      <c r="EJ93" s="138"/>
      <c r="EK93" s="138"/>
      <c r="EL93" s="138"/>
      <c r="EM93" s="138"/>
      <c r="EN93" s="138"/>
      <c r="EO93" s="138"/>
      <c r="EP93" s="138"/>
      <c r="EQ93" s="138"/>
      <c r="ER93" s="138"/>
      <c r="ES93" s="138"/>
      <c r="ET93" s="138"/>
      <c r="EU93" s="138"/>
      <c r="EV93" s="138"/>
      <c r="EW93" s="138"/>
      <c r="EX93" s="138"/>
      <c r="EY93" s="138"/>
      <c r="EZ93" s="138"/>
      <c r="FA93" s="138"/>
      <c r="FB93" s="138"/>
      <c r="FC93" s="138"/>
      <c r="FD93" s="138"/>
      <c r="FE93" s="138"/>
      <c r="FF93" s="138"/>
      <c r="FG93" s="138"/>
      <c r="FH93" s="138"/>
      <c r="FI93" s="138"/>
      <c r="FJ93" s="138"/>
      <c r="FK93" s="138"/>
      <c r="FL93" s="138"/>
      <c r="FM93" s="138"/>
      <c r="FN93" s="138"/>
      <c r="FO93" s="138"/>
      <c r="FP93" s="138"/>
      <c r="FQ93" s="138"/>
      <c r="FR93" s="138"/>
      <c r="FS93" s="138"/>
      <c r="FT93" s="138"/>
      <c r="FU93" s="138"/>
      <c r="FV93" s="138"/>
      <c r="FW93" s="138"/>
      <c r="FX93" s="138"/>
      <c r="FY93" s="138"/>
      <c r="FZ93" s="138"/>
      <c r="GA93" s="138"/>
      <c r="GB93" s="138"/>
      <c r="GC93" s="138"/>
      <c r="GD93" s="138"/>
      <c r="GE93" s="138"/>
      <c r="GF93" s="138"/>
      <c r="GG93" s="138"/>
      <c r="GH93" s="138"/>
      <c r="GI93" s="138"/>
      <c r="GJ93" s="138"/>
      <c r="GK93" s="138"/>
      <c r="GL93" s="138"/>
      <c r="GM93" s="138"/>
      <c r="GN93" s="138"/>
      <c r="GO93" s="138"/>
      <c r="GP93" s="138"/>
      <c r="GQ93" s="138"/>
      <c r="GR93" s="138"/>
      <c r="GS93" s="138"/>
      <c r="GT93" s="138"/>
      <c r="GU93" s="138"/>
      <c r="GV93" s="138"/>
      <c r="GW93" s="138"/>
      <c r="GX93" s="138"/>
      <c r="GY93" s="138"/>
      <c r="GZ93" s="138"/>
      <c r="HA93" s="138"/>
      <c r="HB93" s="138"/>
      <c r="HC93" s="138"/>
      <c r="HD93" s="138"/>
      <c r="HE93" s="138"/>
      <c r="HF93" s="138"/>
      <c r="HG93" s="138"/>
      <c r="HH93" s="138"/>
      <c r="HI93" s="138"/>
      <c r="HJ93" s="138"/>
      <c r="HK93" s="138"/>
      <c r="HL93" s="138"/>
      <c r="HM93" s="138"/>
      <c r="HN93" s="138"/>
      <c r="HO93" s="138"/>
      <c r="HP93" s="138"/>
      <c r="HQ93" s="138"/>
      <c r="HR93" s="138"/>
      <c r="HS93" s="138"/>
      <c r="HT93" s="138"/>
      <c r="HU93" s="138"/>
      <c r="HV93" s="138"/>
      <c r="HW93" s="138"/>
      <c r="HX93" s="138"/>
      <c r="HY93" s="138"/>
      <c r="HZ93" s="138"/>
      <c r="IA93" s="138"/>
      <c r="IB93" s="138"/>
      <c r="IC93" s="138"/>
      <c r="ID93" s="138"/>
      <c r="IE93" s="138"/>
      <c r="IF93" s="138"/>
      <c r="IG93" s="138"/>
      <c r="IH93" s="138"/>
      <c r="II93" s="138"/>
      <c r="IJ93" s="138"/>
      <c r="IK93" s="138"/>
      <c r="IL93" s="138"/>
      <c r="IM93" s="138"/>
      <c r="IN93" s="138"/>
      <c r="IO93" s="138"/>
      <c r="IP93" s="138"/>
      <c r="IQ93" s="138"/>
      <c r="IR93" s="138"/>
      <c r="IS93" s="138"/>
      <c r="IT93" s="138"/>
      <c r="IU93" s="138"/>
      <c r="IV93" s="138"/>
      <c r="IW93" s="138"/>
      <c r="IX93" s="138"/>
      <c r="IY93" s="138"/>
      <c r="IZ93" s="138"/>
      <c r="JA93" s="138"/>
      <c r="JB93" s="138"/>
      <c r="JC93" s="138"/>
      <c r="JD93" s="138"/>
      <c r="JE93" s="138"/>
      <c r="JF93" s="138"/>
      <c r="JG93" s="138"/>
      <c r="JH93" s="138"/>
      <c r="JI93" s="138"/>
      <c r="JJ93" s="138"/>
      <c r="JK93" s="138"/>
      <c r="JL93" s="138"/>
      <c r="JM93" s="138"/>
      <c r="JN93" s="138"/>
      <c r="JO93" s="138"/>
      <c r="JP93" s="138"/>
    </row>
    <row r="94" spans="1:276" s="4" customFormat="1">
      <c r="A94" s="138"/>
      <c r="B94" s="138"/>
      <c r="C94" s="138"/>
      <c r="D94" s="138"/>
      <c r="E94" s="138"/>
      <c r="F94" s="138"/>
      <c r="G94" s="966"/>
      <c r="H94" s="963"/>
      <c r="I94" s="964"/>
      <c r="J94" s="881"/>
      <c r="K94" s="881"/>
      <c r="L94" s="881"/>
      <c r="M94" s="881"/>
      <c r="N94" s="881"/>
      <c r="O94" s="881"/>
      <c r="P94" s="965"/>
      <c r="Q94" s="881"/>
      <c r="R94" s="138"/>
      <c r="S94" s="958"/>
      <c r="T94" s="959"/>
      <c r="U94" s="960"/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138"/>
      <c r="AM94" s="138"/>
      <c r="AN94" s="138"/>
      <c r="AO94" s="138"/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  <c r="BE94" s="138"/>
      <c r="BF94" s="138"/>
      <c r="BG94" s="138"/>
      <c r="BH94" s="138"/>
      <c r="BI94" s="138"/>
      <c r="BJ94" s="138"/>
      <c r="BK94" s="138"/>
      <c r="BL94" s="138"/>
      <c r="BM94" s="138"/>
      <c r="BN94" s="138"/>
      <c r="BO94" s="138"/>
      <c r="BP94" s="138"/>
      <c r="BQ94" s="138"/>
      <c r="BR94" s="138"/>
      <c r="BS94" s="138"/>
      <c r="BT94" s="138"/>
      <c r="BU94" s="138"/>
      <c r="BV94" s="138"/>
      <c r="BW94" s="138"/>
      <c r="BX94" s="138"/>
      <c r="BY94" s="138"/>
      <c r="BZ94" s="138"/>
      <c r="CA94" s="138"/>
      <c r="CB94" s="138"/>
      <c r="CC94" s="138"/>
      <c r="CD94" s="138"/>
      <c r="CE94" s="138"/>
      <c r="CF94" s="138"/>
      <c r="CG94" s="138"/>
      <c r="CH94" s="138"/>
      <c r="CI94" s="138"/>
      <c r="CJ94" s="138"/>
      <c r="CK94" s="138"/>
      <c r="CL94" s="138"/>
      <c r="CM94" s="138"/>
      <c r="CN94" s="138"/>
      <c r="CO94" s="138"/>
      <c r="CP94" s="138"/>
      <c r="CQ94" s="138"/>
      <c r="CR94" s="138"/>
      <c r="CS94" s="138"/>
      <c r="CT94" s="138"/>
      <c r="CU94" s="138"/>
      <c r="CV94" s="138"/>
      <c r="CW94" s="138"/>
      <c r="CX94" s="138"/>
      <c r="CY94" s="138"/>
      <c r="CZ94" s="138"/>
      <c r="DA94" s="138"/>
      <c r="DB94" s="138"/>
      <c r="DC94" s="138"/>
      <c r="DD94" s="138"/>
      <c r="DE94" s="138"/>
      <c r="DF94" s="138"/>
      <c r="DG94" s="138"/>
      <c r="DH94" s="138"/>
      <c r="DI94" s="138"/>
      <c r="DJ94" s="138"/>
      <c r="DK94" s="138"/>
      <c r="DL94" s="138"/>
      <c r="DM94" s="138"/>
      <c r="DN94" s="138"/>
      <c r="DO94" s="138"/>
      <c r="DP94" s="138"/>
      <c r="DQ94" s="138"/>
      <c r="DR94" s="138"/>
      <c r="DS94" s="138"/>
      <c r="DT94" s="138"/>
      <c r="DU94" s="138"/>
      <c r="DV94" s="138"/>
      <c r="DW94" s="138"/>
      <c r="DX94" s="138"/>
      <c r="DY94" s="138"/>
      <c r="DZ94" s="138"/>
      <c r="EA94" s="138"/>
      <c r="EB94" s="138"/>
      <c r="EC94" s="138"/>
      <c r="ED94" s="138"/>
      <c r="EE94" s="126"/>
      <c r="EF94" s="138"/>
      <c r="EG94" s="138"/>
      <c r="EH94" s="138"/>
      <c r="EI94" s="138"/>
      <c r="EJ94" s="138"/>
      <c r="EK94" s="138"/>
      <c r="EL94" s="138"/>
      <c r="EM94" s="138"/>
      <c r="EN94" s="138"/>
      <c r="EO94" s="138"/>
      <c r="EP94" s="138"/>
      <c r="EQ94" s="138"/>
      <c r="ER94" s="138"/>
      <c r="ES94" s="138"/>
      <c r="ET94" s="138"/>
      <c r="EU94" s="138"/>
      <c r="EV94" s="138"/>
      <c r="EW94" s="138"/>
      <c r="EX94" s="138"/>
      <c r="EY94" s="138"/>
      <c r="EZ94" s="138"/>
      <c r="FA94" s="138"/>
      <c r="FB94" s="138"/>
      <c r="FC94" s="138"/>
      <c r="FD94" s="138"/>
      <c r="FE94" s="138"/>
      <c r="FF94" s="138"/>
      <c r="FG94" s="138"/>
      <c r="FH94" s="138"/>
      <c r="FI94" s="138"/>
      <c r="FJ94" s="138"/>
      <c r="FK94" s="138"/>
      <c r="FL94" s="138"/>
      <c r="FM94" s="138"/>
      <c r="FN94" s="138"/>
      <c r="FO94" s="138"/>
      <c r="FP94" s="138"/>
      <c r="FQ94" s="138"/>
      <c r="FR94" s="138"/>
      <c r="FS94" s="138"/>
      <c r="FT94" s="138"/>
      <c r="FU94" s="138"/>
      <c r="FV94" s="138"/>
      <c r="FW94" s="138"/>
      <c r="FX94" s="138"/>
      <c r="FY94" s="138"/>
      <c r="FZ94" s="138"/>
      <c r="GA94" s="138"/>
      <c r="GB94" s="138"/>
      <c r="GC94" s="138"/>
      <c r="GD94" s="138"/>
      <c r="GE94" s="138"/>
      <c r="GF94" s="138"/>
      <c r="GG94" s="138"/>
      <c r="GH94" s="138"/>
      <c r="GI94" s="138"/>
      <c r="GJ94" s="138"/>
      <c r="GK94" s="138"/>
      <c r="GL94" s="138"/>
      <c r="GM94" s="138"/>
      <c r="GN94" s="138"/>
      <c r="GO94" s="138"/>
      <c r="GP94" s="138"/>
      <c r="GQ94" s="138"/>
      <c r="GR94" s="138"/>
      <c r="GS94" s="138"/>
      <c r="GT94" s="138"/>
      <c r="GU94" s="138"/>
      <c r="GV94" s="138"/>
      <c r="GW94" s="138"/>
      <c r="GX94" s="138"/>
      <c r="GY94" s="138"/>
      <c r="GZ94" s="138"/>
      <c r="HA94" s="138"/>
      <c r="HB94" s="138"/>
      <c r="HC94" s="138"/>
      <c r="HD94" s="138"/>
      <c r="HE94" s="138"/>
      <c r="HF94" s="138"/>
      <c r="HG94" s="138"/>
      <c r="HH94" s="138"/>
      <c r="HI94" s="138"/>
      <c r="HJ94" s="138"/>
      <c r="HK94" s="138"/>
      <c r="HL94" s="138"/>
      <c r="HM94" s="138"/>
      <c r="HN94" s="138"/>
      <c r="HO94" s="138"/>
      <c r="HP94" s="138"/>
      <c r="HQ94" s="138"/>
      <c r="HR94" s="138"/>
      <c r="HS94" s="138"/>
      <c r="HT94" s="138"/>
      <c r="HU94" s="138"/>
      <c r="HV94" s="138"/>
      <c r="HW94" s="138"/>
      <c r="HX94" s="138"/>
      <c r="HY94" s="138"/>
      <c r="HZ94" s="138"/>
      <c r="IA94" s="138"/>
      <c r="IB94" s="138"/>
      <c r="IC94" s="138"/>
      <c r="ID94" s="138"/>
      <c r="IE94" s="138"/>
      <c r="IF94" s="138"/>
      <c r="IG94" s="138"/>
      <c r="IH94" s="138"/>
      <c r="II94" s="138"/>
      <c r="IJ94" s="138"/>
      <c r="IK94" s="138"/>
      <c r="IL94" s="138"/>
      <c r="IM94" s="138"/>
      <c r="IN94" s="138"/>
      <c r="IO94" s="138"/>
      <c r="IP94" s="138"/>
      <c r="IQ94" s="138"/>
      <c r="IR94" s="138"/>
      <c r="IS94" s="138"/>
      <c r="IT94" s="138"/>
      <c r="IU94" s="138"/>
      <c r="IV94" s="138"/>
      <c r="IW94" s="138"/>
      <c r="IX94" s="138"/>
      <c r="IY94" s="138"/>
      <c r="IZ94" s="138"/>
      <c r="JA94" s="138"/>
      <c r="JB94" s="138"/>
      <c r="JC94" s="138"/>
      <c r="JD94" s="138"/>
      <c r="JE94" s="138"/>
      <c r="JF94" s="138"/>
      <c r="JG94" s="138"/>
      <c r="JH94" s="138"/>
      <c r="JI94" s="138"/>
      <c r="JJ94" s="138"/>
      <c r="JK94" s="138"/>
      <c r="JL94" s="138"/>
      <c r="JM94" s="138"/>
      <c r="JN94" s="138"/>
      <c r="JO94" s="138"/>
      <c r="JP94" s="138"/>
    </row>
    <row r="95" spans="1:276" s="4" customFormat="1">
      <c r="A95" s="138"/>
      <c r="B95" s="138"/>
      <c r="C95" s="138"/>
      <c r="D95" s="138"/>
      <c r="E95" s="138"/>
      <c r="F95" s="138"/>
      <c r="G95" s="966"/>
      <c r="H95" s="963"/>
      <c r="I95" s="964"/>
      <c r="J95" s="881"/>
      <c r="K95" s="881"/>
      <c r="L95" s="881"/>
      <c r="M95" s="881"/>
      <c r="N95" s="881"/>
      <c r="O95" s="881"/>
      <c r="P95" s="965"/>
      <c r="Q95" s="881"/>
      <c r="R95" s="138"/>
      <c r="S95" s="958"/>
      <c r="T95" s="959"/>
      <c r="U95" s="960"/>
      <c r="V95" s="138"/>
      <c r="W95" s="138"/>
      <c r="X95" s="138"/>
      <c r="Y95" s="138"/>
      <c r="Z95" s="138"/>
      <c r="AA95" s="138"/>
      <c r="AB95" s="138"/>
      <c r="AC95" s="138"/>
      <c r="AD95" s="138"/>
      <c r="AE95" s="138"/>
      <c r="AF95" s="138"/>
      <c r="AG95" s="138"/>
      <c r="AH95" s="138"/>
      <c r="AI95" s="138"/>
      <c r="AJ95" s="138"/>
      <c r="AK95" s="138"/>
      <c r="AL95" s="138"/>
      <c r="AM95" s="138"/>
      <c r="AN95" s="138"/>
      <c r="AO95" s="138"/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  <c r="BE95" s="138"/>
      <c r="BF95" s="138"/>
      <c r="BG95" s="138"/>
      <c r="BH95" s="138"/>
      <c r="BI95" s="138"/>
      <c r="BJ95" s="138"/>
      <c r="BK95" s="138"/>
      <c r="BL95" s="138"/>
      <c r="BM95" s="138"/>
      <c r="BN95" s="138"/>
      <c r="BO95" s="138"/>
      <c r="BP95" s="138"/>
      <c r="BQ95" s="138"/>
      <c r="BR95" s="138"/>
      <c r="BS95" s="138"/>
      <c r="BT95" s="138"/>
      <c r="BU95" s="138"/>
      <c r="BV95" s="138"/>
      <c r="BW95" s="138"/>
      <c r="BX95" s="138"/>
      <c r="BY95" s="138"/>
      <c r="BZ95" s="138"/>
      <c r="CA95" s="138"/>
      <c r="CB95" s="138"/>
      <c r="CC95" s="138"/>
      <c r="CD95" s="138"/>
      <c r="CE95" s="138"/>
      <c r="CF95" s="138"/>
      <c r="CG95" s="138"/>
      <c r="CH95" s="138"/>
      <c r="CI95" s="138"/>
      <c r="CJ95" s="138"/>
      <c r="CK95" s="138"/>
      <c r="CL95" s="138"/>
      <c r="CM95" s="138"/>
      <c r="CN95" s="138"/>
      <c r="CO95" s="138"/>
      <c r="CP95" s="138"/>
      <c r="CQ95" s="138"/>
      <c r="CR95" s="138"/>
      <c r="CS95" s="138"/>
      <c r="CT95" s="138"/>
      <c r="CU95" s="138"/>
      <c r="CV95" s="138"/>
      <c r="CW95" s="138"/>
      <c r="CX95" s="138"/>
      <c r="CY95" s="138"/>
      <c r="CZ95" s="138"/>
      <c r="DA95" s="138"/>
      <c r="DB95" s="138"/>
      <c r="DC95" s="138"/>
      <c r="DD95" s="138"/>
      <c r="DE95" s="138"/>
      <c r="DF95" s="138"/>
      <c r="DG95" s="138"/>
      <c r="DH95" s="138"/>
      <c r="DI95" s="138"/>
      <c r="DJ95" s="138"/>
      <c r="DK95" s="138"/>
      <c r="DL95" s="138"/>
      <c r="DM95" s="138"/>
      <c r="DN95" s="138"/>
      <c r="DO95" s="138"/>
      <c r="DP95" s="138"/>
      <c r="DQ95" s="138"/>
      <c r="DR95" s="138"/>
      <c r="DS95" s="138"/>
      <c r="DT95" s="138"/>
      <c r="DU95" s="138"/>
      <c r="DV95" s="138"/>
      <c r="DW95" s="138"/>
      <c r="DX95" s="138"/>
      <c r="DY95" s="138"/>
      <c r="DZ95" s="138"/>
      <c r="EA95" s="138"/>
      <c r="EB95" s="138"/>
      <c r="EC95" s="138"/>
      <c r="ED95" s="138"/>
      <c r="EE95" s="126"/>
      <c r="EF95" s="138"/>
      <c r="EG95" s="138"/>
      <c r="EH95" s="138"/>
      <c r="EI95" s="138"/>
      <c r="EJ95" s="138"/>
      <c r="EK95" s="138"/>
      <c r="EL95" s="138"/>
      <c r="EM95" s="138"/>
      <c r="EN95" s="138"/>
      <c r="EO95" s="138"/>
      <c r="EP95" s="138"/>
      <c r="EQ95" s="138"/>
      <c r="ER95" s="138"/>
      <c r="ES95" s="138"/>
      <c r="ET95" s="138"/>
      <c r="EU95" s="138"/>
      <c r="EV95" s="138"/>
      <c r="EW95" s="138"/>
      <c r="EX95" s="138"/>
      <c r="EY95" s="138"/>
      <c r="EZ95" s="138"/>
      <c r="FA95" s="138"/>
      <c r="FB95" s="138"/>
      <c r="FC95" s="138"/>
      <c r="FD95" s="138"/>
      <c r="FE95" s="138"/>
      <c r="FF95" s="138"/>
      <c r="FG95" s="138"/>
      <c r="FH95" s="138"/>
      <c r="FI95" s="138"/>
      <c r="FJ95" s="138"/>
      <c r="FK95" s="138"/>
      <c r="FL95" s="138"/>
      <c r="FM95" s="138"/>
      <c r="FN95" s="138"/>
      <c r="FO95" s="138"/>
      <c r="FP95" s="138"/>
      <c r="FQ95" s="138"/>
      <c r="FR95" s="138"/>
      <c r="FS95" s="138"/>
      <c r="FT95" s="138"/>
      <c r="FU95" s="138"/>
      <c r="FV95" s="138"/>
      <c r="FW95" s="138"/>
      <c r="FX95" s="138"/>
      <c r="FY95" s="138"/>
      <c r="FZ95" s="138"/>
      <c r="GA95" s="138"/>
      <c r="GB95" s="138"/>
      <c r="GC95" s="138"/>
      <c r="GD95" s="138"/>
      <c r="GE95" s="138"/>
      <c r="GF95" s="138"/>
      <c r="GG95" s="138"/>
      <c r="GH95" s="138"/>
      <c r="GI95" s="138"/>
      <c r="GJ95" s="138"/>
      <c r="GK95" s="138"/>
      <c r="GL95" s="138"/>
      <c r="GM95" s="138"/>
      <c r="GN95" s="138"/>
      <c r="GO95" s="138"/>
      <c r="GP95" s="138"/>
      <c r="GQ95" s="138"/>
      <c r="GR95" s="138"/>
      <c r="GS95" s="138"/>
      <c r="GT95" s="138"/>
      <c r="GU95" s="138"/>
      <c r="GV95" s="138"/>
      <c r="GW95" s="138"/>
      <c r="GX95" s="138"/>
      <c r="GY95" s="138"/>
      <c r="GZ95" s="138"/>
      <c r="HA95" s="138"/>
      <c r="HB95" s="138"/>
      <c r="HC95" s="138"/>
      <c r="HD95" s="138"/>
      <c r="HE95" s="138"/>
      <c r="HF95" s="138"/>
      <c r="HG95" s="138"/>
      <c r="HH95" s="138"/>
      <c r="HI95" s="138"/>
      <c r="HJ95" s="138"/>
      <c r="HK95" s="138"/>
      <c r="HL95" s="138"/>
      <c r="HM95" s="138"/>
      <c r="HN95" s="138"/>
      <c r="HO95" s="138"/>
      <c r="HP95" s="138"/>
      <c r="HQ95" s="138"/>
      <c r="HR95" s="138"/>
      <c r="HS95" s="138"/>
      <c r="HT95" s="138"/>
      <c r="HU95" s="138"/>
      <c r="HV95" s="138"/>
      <c r="HW95" s="138"/>
      <c r="HX95" s="138"/>
      <c r="HY95" s="138"/>
      <c r="HZ95" s="138"/>
      <c r="IA95" s="138"/>
      <c r="IB95" s="138"/>
      <c r="IC95" s="138"/>
      <c r="ID95" s="138"/>
      <c r="IE95" s="138"/>
      <c r="IF95" s="138"/>
      <c r="IG95" s="138"/>
      <c r="IH95" s="138"/>
      <c r="II95" s="138"/>
      <c r="IJ95" s="138"/>
      <c r="IK95" s="138"/>
      <c r="IL95" s="138"/>
      <c r="IM95" s="138"/>
      <c r="IN95" s="138"/>
      <c r="IO95" s="138"/>
      <c r="IP95" s="138"/>
      <c r="IQ95" s="138"/>
      <c r="IR95" s="138"/>
      <c r="IS95" s="138"/>
      <c r="IT95" s="138"/>
      <c r="IU95" s="138"/>
      <c r="IV95" s="138"/>
      <c r="IW95" s="138"/>
      <c r="IX95" s="138"/>
      <c r="IY95" s="138"/>
      <c r="IZ95" s="138"/>
      <c r="JA95" s="138"/>
      <c r="JB95" s="138"/>
      <c r="JC95" s="138"/>
      <c r="JD95" s="138"/>
      <c r="JE95" s="138"/>
      <c r="JF95" s="138"/>
      <c r="JG95" s="138"/>
      <c r="JH95" s="138"/>
      <c r="JI95" s="138"/>
      <c r="JJ95" s="138"/>
      <c r="JK95" s="138"/>
      <c r="JL95" s="138"/>
      <c r="JM95" s="138"/>
      <c r="JN95" s="138"/>
      <c r="JO95" s="138"/>
      <c r="JP95" s="138"/>
    </row>
    <row r="96" spans="1:276" s="4" customFormat="1">
      <c r="A96" s="138"/>
      <c r="B96" s="138"/>
      <c r="C96" s="138"/>
      <c r="D96" s="138"/>
      <c r="E96" s="138"/>
      <c r="F96" s="138"/>
      <c r="G96" s="966"/>
      <c r="H96" s="963"/>
      <c r="I96" s="964"/>
      <c r="J96" s="881"/>
      <c r="K96" s="881"/>
      <c r="L96" s="881"/>
      <c r="M96" s="881"/>
      <c r="N96" s="881"/>
      <c r="O96" s="881"/>
      <c r="P96" s="965"/>
      <c r="Q96" s="881"/>
      <c r="R96" s="138"/>
      <c r="S96" s="958"/>
      <c r="T96" s="959"/>
      <c r="U96" s="960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  <c r="AG96" s="138"/>
      <c r="AH96" s="138"/>
      <c r="AI96" s="138"/>
      <c r="AJ96" s="138"/>
      <c r="AK96" s="138"/>
      <c r="AL96" s="138"/>
      <c r="AM96" s="138"/>
      <c r="AN96" s="138"/>
      <c r="AO96" s="138"/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  <c r="BE96" s="138"/>
      <c r="BF96" s="138"/>
      <c r="BG96" s="138"/>
      <c r="BH96" s="138"/>
      <c r="BI96" s="138"/>
      <c r="BJ96" s="138"/>
      <c r="BK96" s="138"/>
      <c r="BL96" s="138"/>
      <c r="BM96" s="138"/>
      <c r="BN96" s="138"/>
      <c r="BO96" s="138"/>
      <c r="BP96" s="138"/>
      <c r="BQ96" s="138"/>
      <c r="BR96" s="138"/>
      <c r="BS96" s="138"/>
      <c r="BT96" s="138"/>
      <c r="BU96" s="138"/>
      <c r="BV96" s="138"/>
      <c r="BW96" s="138"/>
      <c r="BX96" s="138"/>
      <c r="BY96" s="138"/>
      <c r="BZ96" s="138"/>
      <c r="CA96" s="138"/>
      <c r="CB96" s="138"/>
      <c r="CC96" s="138"/>
      <c r="CD96" s="138"/>
      <c r="CE96" s="138"/>
      <c r="CF96" s="138"/>
      <c r="CG96" s="138"/>
      <c r="CH96" s="138"/>
      <c r="CI96" s="138"/>
      <c r="CJ96" s="138"/>
      <c r="CK96" s="138"/>
      <c r="CL96" s="138"/>
      <c r="CM96" s="138"/>
      <c r="CN96" s="138"/>
      <c r="CO96" s="138"/>
      <c r="CP96" s="138"/>
      <c r="CQ96" s="138"/>
      <c r="CR96" s="138"/>
      <c r="CS96" s="138"/>
      <c r="CT96" s="138"/>
      <c r="CU96" s="138"/>
      <c r="CV96" s="138"/>
      <c r="CW96" s="138"/>
      <c r="CX96" s="138"/>
      <c r="CY96" s="138"/>
      <c r="CZ96" s="138"/>
      <c r="DA96" s="138"/>
      <c r="DB96" s="138"/>
      <c r="DC96" s="138"/>
      <c r="DD96" s="138"/>
      <c r="DE96" s="138"/>
      <c r="DF96" s="138"/>
      <c r="DG96" s="138"/>
      <c r="DH96" s="138"/>
      <c r="DI96" s="138"/>
      <c r="DJ96" s="138"/>
      <c r="DK96" s="138"/>
      <c r="DL96" s="138"/>
      <c r="DM96" s="138"/>
      <c r="DN96" s="138"/>
      <c r="DO96" s="138"/>
      <c r="DP96" s="138"/>
      <c r="DQ96" s="138"/>
      <c r="DR96" s="138"/>
      <c r="DS96" s="138"/>
      <c r="DT96" s="138"/>
      <c r="DU96" s="138"/>
      <c r="DV96" s="138"/>
      <c r="DW96" s="138"/>
      <c r="DX96" s="138"/>
      <c r="DY96" s="138"/>
      <c r="DZ96" s="138"/>
      <c r="EA96" s="138"/>
      <c r="EB96" s="138"/>
      <c r="EC96" s="138"/>
      <c r="ED96" s="138"/>
      <c r="EE96" s="126"/>
      <c r="EF96" s="138"/>
      <c r="EG96" s="138"/>
      <c r="EH96" s="138"/>
      <c r="EI96" s="138"/>
      <c r="EJ96" s="138"/>
      <c r="EK96" s="138"/>
      <c r="EL96" s="138"/>
      <c r="EM96" s="138"/>
      <c r="EN96" s="138"/>
      <c r="EO96" s="138"/>
      <c r="EP96" s="138"/>
      <c r="EQ96" s="138"/>
      <c r="ER96" s="138"/>
      <c r="ES96" s="138"/>
      <c r="ET96" s="138"/>
      <c r="EU96" s="138"/>
      <c r="EV96" s="138"/>
      <c r="EW96" s="138"/>
      <c r="EX96" s="138"/>
      <c r="EY96" s="138"/>
      <c r="EZ96" s="138"/>
      <c r="FA96" s="138"/>
      <c r="FB96" s="138"/>
      <c r="FC96" s="138"/>
      <c r="FD96" s="138"/>
      <c r="FE96" s="138"/>
      <c r="FF96" s="138"/>
      <c r="FG96" s="138"/>
      <c r="FH96" s="138"/>
      <c r="FI96" s="138"/>
      <c r="FJ96" s="138"/>
      <c r="FK96" s="138"/>
      <c r="FL96" s="138"/>
      <c r="FM96" s="138"/>
      <c r="FN96" s="138"/>
      <c r="FO96" s="138"/>
      <c r="FP96" s="138"/>
      <c r="FQ96" s="138"/>
      <c r="FR96" s="138"/>
      <c r="FS96" s="138"/>
      <c r="FT96" s="138"/>
      <c r="FU96" s="138"/>
      <c r="FV96" s="138"/>
      <c r="FW96" s="138"/>
      <c r="FX96" s="138"/>
      <c r="FY96" s="138"/>
      <c r="FZ96" s="138"/>
      <c r="GA96" s="138"/>
      <c r="GB96" s="138"/>
      <c r="GC96" s="138"/>
      <c r="GD96" s="138"/>
      <c r="GE96" s="138"/>
      <c r="GF96" s="138"/>
      <c r="GG96" s="138"/>
      <c r="GH96" s="138"/>
      <c r="GI96" s="138"/>
      <c r="GJ96" s="138"/>
      <c r="GK96" s="138"/>
      <c r="GL96" s="138"/>
      <c r="GM96" s="138"/>
      <c r="GN96" s="138"/>
      <c r="GO96" s="138"/>
      <c r="GP96" s="138"/>
      <c r="GQ96" s="138"/>
      <c r="GR96" s="138"/>
      <c r="GS96" s="138"/>
      <c r="GT96" s="138"/>
      <c r="GU96" s="138"/>
      <c r="GV96" s="138"/>
      <c r="GW96" s="138"/>
      <c r="GX96" s="138"/>
      <c r="GY96" s="138"/>
      <c r="GZ96" s="138"/>
      <c r="HA96" s="138"/>
      <c r="HB96" s="138"/>
      <c r="HC96" s="138"/>
      <c r="HD96" s="138"/>
      <c r="HE96" s="138"/>
      <c r="HF96" s="138"/>
      <c r="HG96" s="138"/>
      <c r="HH96" s="138"/>
      <c r="HI96" s="138"/>
      <c r="HJ96" s="138"/>
      <c r="HK96" s="138"/>
      <c r="HL96" s="138"/>
      <c r="HM96" s="138"/>
      <c r="HN96" s="138"/>
      <c r="HO96" s="138"/>
      <c r="HP96" s="138"/>
      <c r="HQ96" s="138"/>
      <c r="HR96" s="138"/>
      <c r="HS96" s="138"/>
      <c r="HT96" s="138"/>
      <c r="HU96" s="138"/>
      <c r="HV96" s="138"/>
      <c r="HW96" s="138"/>
      <c r="HX96" s="138"/>
      <c r="HY96" s="138"/>
      <c r="HZ96" s="138"/>
      <c r="IA96" s="138"/>
      <c r="IB96" s="138"/>
      <c r="IC96" s="138"/>
      <c r="ID96" s="138"/>
      <c r="IE96" s="138"/>
      <c r="IF96" s="138"/>
      <c r="IG96" s="138"/>
      <c r="IH96" s="138"/>
      <c r="II96" s="138"/>
      <c r="IJ96" s="138"/>
      <c r="IK96" s="138"/>
      <c r="IL96" s="138"/>
      <c r="IM96" s="138"/>
      <c r="IN96" s="138"/>
      <c r="IO96" s="138"/>
      <c r="IP96" s="138"/>
      <c r="IQ96" s="138"/>
      <c r="IR96" s="138"/>
      <c r="IS96" s="138"/>
      <c r="IT96" s="138"/>
      <c r="IU96" s="138"/>
      <c r="IV96" s="138"/>
      <c r="IW96" s="138"/>
      <c r="IX96" s="138"/>
      <c r="IY96" s="138"/>
      <c r="IZ96" s="138"/>
      <c r="JA96" s="138"/>
      <c r="JB96" s="138"/>
      <c r="JC96" s="138"/>
      <c r="JD96" s="138"/>
      <c r="JE96" s="138"/>
      <c r="JF96" s="138"/>
      <c r="JG96" s="138"/>
      <c r="JH96" s="138"/>
      <c r="JI96" s="138"/>
      <c r="JJ96" s="138"/>
      <c r="JK96" s="138"/>
      <c r="JL96" s="138"/>
      <c r="JM96" s="138"/>
      <c r="JN96" s="138"/>
      <c r="JO96" s="138"/>
      <c r="JP96" s="138"/>
    </row>
    <row r="97" spans="1:276" s="4" customFormat="1">
      <c r="A97" s="138"/>
      <c r="B97" s="138"/>
      <c r="C97" s="138"/>
      <c r="D97" s="138"/>
      <c r="E97" s="138"/>
      <c r="F97" s="138"/>
      <c r="G97" s="966"/>
      <c r="H97" s="963"/>
      <c r="I97" s="964"/>
      <c r="J97" s="881"/>
      <c r="K97" s="881"/>
      <c r="L97" s="881"/>
      <c r="M97" s="881"/>
      <c r="N97" s="881"/>
      <c r="O97" s="881"/>
      <c r="P97" s="965"/>
      <c r="Q97" s="881"/>
      <c r="R97" s="138"/>
      <c r="S97" s="958"/>
      <c r="T97" s="959"/>
      <c r="U97" s="960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8"/>
      <c r="AI97" s="138"/>
      <c r="AJ97" s="138"/>
      <c r="AK97" s="138"/>
      <c r="AL97" s="138"/>
      <c r="AM97" s="138"/>
      <c r="AN97" s="138"/>
      <c r="AO97" s="138"/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  <c r="BE97" s="138"/>
      <c r="BF97" s="138"/>
      <c r="BG97" s="138"/>
      <c r="BH97" s="138"/>
      <c r="BI97" s="138"/>
      <c r="BJ97" s="138"/>
      <c r="BK97" s="138"/>
      <c r="BL97" s="138"/>
      <c r="BM97" s="138"/>
      <c r="BN97" s="138"/>
      <c r="BO97" s="138"/>
      <c r="BP97" s="138"/>
      <c r="BQ97" s="138"/>
      <c r="BR97" s="138"/>
      <c r="BS97" s="138"/>
      <c r="BT97" s="138"/>
      <c r="BU97" s="138"/>
      <c r="BV97" s="138"/>
      <c r="BW97" s="138"/>
      <c r="BX97" s="138"/>
      <c r="BY97" s="138"/>
      <c r="BZ97" s="138"/>
      <c r="CA97" s="138"/>
      <c r="CB97" s="138"/>
      <c r="CC97" s="138"/>
      <c r="CD97" s="138"/>
      <c r="CE97" s="138"/>
      <c r="CF97" s="138"/>
      <c r="CG97" s="138"/>
      <c r="CH97" s="138"/>
      <c r="CI97" s="138"/>
      <c r="CJ97" s="138"/>
      <c r="CK97" s="138"/>
      <c r="CL97" s="138"/>
      <c r="CM97" s="138"/>
      <c r="CN97" s="138"/>
      <c r="CO97" s="138"/>
      <c r="CP97" s="138"/>
      <c r="CQ97" s="138"/>
      <c r="CR97" s="138"/>
      <c r="CS97" s="138"/>
      <c r="CT97" s="138"/>
      <c r="CU97" s="138"/>
      <c r="CV97" s="138"/>
      <c r="CW97" s="138"/>
      <c r="CX97" s="138"/>
      <c r="CY97" s="138"/>
      <c r="CZ97" s="138"/>
      <c r="DA97" s="138"/>
      <c r="DB97" s="138"/>
      <c r="DC97" s="138"/>
      <c r="DD97" s="138"/>
      <c r="DE97" s="138"/>
      <c r="DF97" s="138"/>
      <c r="DG97" s="138"/>
      <c r="DH97" s="138"/>
      <c r="DI97" s="138"/>
      <c r="DJ97" s="138"/>
      <c r="DK97" s="138"/>
      <c r="DL97" s="138"/>
      <c r="DM97" s="138"/>
      <c r="DN97" s="138"/>
      <c r="DO97" s="138"/>
      <c r="DP97" s="138"/>
      <c r="DQ97" s="138"/>
      <c r="DR97" s="138"/>
      <c r="DS97" s="138"/>
      <c r="DT97" s="138"/>
      <c r="DU97" s="138"/>
      <c r="DV97" s="138"/>
      <c r="DW97" s="138"/>
      <c r="DX97" s="138"/>
      <c r="DY97" s="138"/>
      <c r="DZ97" s="138"/>
      <c r="EA97" s="138"/>
      <c r="EB97" s="138"/>
      <c r="EC97" s="138"/>
      <c r="ED97" s="138"/>
      <c r="EE97" s="126"/>
      <c r="EF97" s="138"/>
      <c r="EG97" s="138"/>
      <c r="EH97" s="138"/>
      <c r="EI97" s="138"/>
      <c r="EJ97" s="138"/>
      <c r="EK97" s="138"/>
      <c r="EL97" s="138"/>
      <c r="EM97" s="138"/>
      <c r="EN97" s="138"/>
      <c r="EO97" s="138"/>
      <c r="EP97" s="138"/>
      <c r="EQ97" s="138"/>
      <c r="ER97" s="138"/>
      <c r="ES97" s="138"/>
      <c r="ET97" s="138"/>
      <c r="EU97" s="138"/>
      <c r="EV97" s="138"/>
      <c r="EW97" s="138"/>
      <c r="EX97" s="138"/>
      <c r="EY97" s="138"/>
      <c r="EZ97" s="138"/>
      <c r="FA97" s="138"/>
      <c r="FB97" s="138"/>
      <c r="FC97" s="138"/>
      <c r="FD97" s="138"/>
      <c r="FE97" s="138"/>
      <c r="FF97" s="138"/>
      <c r="FG97" s="138"/>
      <c r="FH97" s="138"/>
      <c r="FI97" s="138"/>
      <c r="FJ97" s="138"/>
      <c r="FK97" s="138"/>
      <c r="FL97" s="138"/>
      <c r="FM97" s="138"/>
      <c r="FN97" s="138"/>
      <c r="FO97" s="138"/>
      <c r="FP97" s="138"/>
      <c r="FQ97" s="138"/>
      <c r="FR97" s="138"/>
      <c r="FS97" s="138"/>
      <c r="FT97" s="138"/>
      <c r="FU97" s="138"/>
      <c r="FV97" s="138"/>
      <c r="FW97" s="138"/>
      <c r="FX97" s="138"/>
      <c r="FY97" s="138"/>
      <c r="FZ97" s="138"/>
      <c r="GA97" s="138"/>
      <c r="GB97" s="138"/>
      <c r="GC97" s="138"/>
      <c r="GD97" s="138"/>
      <c r="GE97" s="138"/>
      <c r="GF97" s="138"/>
      <c r="GG97" s="138"/>
      <c r="GH97" s="138"/>
      <c r="GI97" s="138"/>
      <c r="GJ97" s="138"/>
      <c r="GK97" s="138"/>
      <c r="GL97" s="138"/>
      <c r="GM97" s="138"/>
      <c r="GN97" s="138"/>
      <c r="GO97" s="138"/>
      <c r="GP97" s="138"/>
      <c r="GQ97" s="138"/>
      <c r="GR97" s="138"/>
      <c r="GS97" s="138"/>
      <c r="GT97" s="138"/>
      <c r="GU97" s="138"/>
      <c r="GV97" s="138"/>
      <c r="GW97" s="138"/>
      <c r="GX97" s="138"/>
      <c r="GY97" s="138"/>
      <c r="GZ97" s="138"/>
      <c r="HA97" s="138"/>
      <c r="HB97" s="138"/>
      <c r="HC97" s="138"/>
      <c r="HD97" s="138"/>
      <c r="HE97" s="138"/>
      <c r="HF97" s="138"/>
      <c r="HG97" s="138"/>
      <c r="HH97" s="138"/>
      <c r="HI97" s="138"/>
      <c r="HJ97" s="138"/>
      <c r="HK97" s="138"/>
      <c r="HL97" s="138"/>
      <c r="HM97" s="138"/>
      <c r="HN97" s="138"/>
      <c r="HO97" s="138"/>
      <c r="HP97" s="138"/>
      <c r="HQ97" s="138"/>
      <c r="HR97" s="138"/>
      <c r="HS97" s="138"/>
      <c r="HT97" s="138"/>
      <c r="HU97" s="138"/>
      <c r="HV97" s="138"/>
      <c r="HW97" s="138"/>
      <c r="HX97" s="138"/>
      <c r="HY97" s="138"/>
      <c r="HZ97" s="138"/>
      <c r="IA97" s="138"/>
      <c r="IB97" s="138"/>
      <c r="IC97" s="138"/>
      <c r="ID97" s="138"/>
      <c r="IE97" s="138"/>
      <c r="IF97" s="138"/>
      <c r="IG97" s="138"/>
      <c r="IH97" s="138"/>
      <c r="II97" s="138"/>
      <c r="IJ97" s="138"/>
      <c r="IK97" s="138"/>
      <c r="IL97" s="138"/>
      <c r="IM97" s="138"/>
      <c r="IN97" s="138"/>
      <c r="IO97" s="138"/>
      <c r="IP97" s="138"/>
      <c r="IQ97" s="138"/>
      <c r="IR97" s="138"/>
      <c r="IS97" s="138"/>
      <c r="IT97" s="138"/>
      <c r="IU97" s="138"/>
      <c r="IV97" s="138"/>
      <c r="IW97" s="138"/>
      <c r="IX97" s="138"/>
      <c r="IY97" s="138"/>
      <c r="IZ97" s="138"/>
      <c r="JA97" s="138"/>
      <c r="JB97" s="138"/>
      <c r="JC97" s="138"/>
      <c r="JD97" s="138"/>
      <c r="JE97" s="138"/>
      <c r="JF97" s="138"/>
      <c r="JG97" s="138"/>
      <c r="JH97" s="138"/>
      <c r="JI97" s="138"/>
      <c r="JJ97" s="138"/>
      <c r="JK97" s="138"/>
      <c r="JL97" s="138"/>
      <c r="JM97" s="138"/>
      <c r="JN97" s="138"/>
      <c r="JO97" s="138"/>
      <c r="JP97" s="138"/>
    </row>
    <row r="98" spans="1:276" s="4" customFormat="1">
      <c r="A98" s="138"/>
      <c r="B98" s="138"/>
      <c r="C98" s="138"/>
      <c r="D98" s="138"/>
      <c r="E98" s="138"/>
      <c r="F98" s="138"/>
      <c r="G98" s="966"/>
      <c r="H98" s="963"/>
      <c r="I98" s="964"/>
      <c r="J98" s="881"/>
      <c r="K98" s="881"/>
      <c r="L98" s="881"/>
      <c r="M98" s="881"/>
      <c r="N98" s="881"/>
      <c r="O98" s="881"/>
      <c r="P98" s="965"/>
      <c r="Q98" s="881"/>
      <c r="R98" s="138"/>
      <c r="S98" s="958"/>
      <c r="T98" s="959"/>
      <c r="U98" s="960"/>
      <c r="V98" s="138"/>
      <c r="W98" s="138"/>
      <c r="X98" s="138"/>
      <c r="Y98" s="138"/>
      <c r="Z98" s="138"/>
      <c r="AA98" s="138"/>
      <c r="AB98" s="138"/>
      <c r="AC98" s="138"/>
      <c r="AD98" s="138"/>
      <c r="AE98" s="138"/>
      <c r="AF98" s="138"/>
      <c r="AG98" s="138"/>
      <c r="AH98" s="138"/>
      <c r="AI98" s="138"/>
      <c r="AJ98" s="138"/>
      <c r="AK98" s="138"/>
      <c r="AL98" s="138"/>
      <c r="AM98" s="138"/>
      <c r="AN98" s="138"/>
      <c r="AO98" s="138"/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  <c r="BE98" s="138"/>
      <c r="BF98" s="138"/>
      <c r="BG98" s="138"/>
      <c r="BH98" s="138"/>
      <c r="BI98" s="138"/>
      <c r="BJ98" s="138"/>
      <c r="BK98" s="138"/>
      <c r="BL98" s="138"/>
      <c r="BM98" s="138"/>
      <c r="BN98" s="138"/>
      <c r="BO98" s="138"/>
      <c r="BP98" s="138"/>
      <c r="BQ98" s="138"/>
      <c r="BR98" s="138"/>
      <c r="BS98" s="138"/>
      <c r="BT98" s="138"/>
      <c r="BU98" s="138"/>
      <c r="BV98" s="138"/>
      <c r="BW98" s="138"/>
      <c r="BX98" s="138"/>
      <c r="BY98" s="138"/>
      <c r="BZ98" s="138"/>
      <c r="CA98" s="138"/>
      <c r="CB98" s="138"/>
      <c r="CC98" s="138"/>
      <c r="CD98" s="138"/>
      <c r="CE98" s="138"/>
      <c r="CF98" s="138"/>
      <c r="CG98" s="138"/>
      <c r="CH98" s="138"/>
      <c r="CI98" s="138"/>
      <c r="CJ98" s="138"/>
      <c r="CK98" s="138"/>
      <c r="CL98" s="138"/>
      <c r="CM98" s="138"/>
      <c r="CN98" s="138"/>
      <c r="CO98" s="138"/>
      <c r="CP98" s="138"/>
      <c r="CQ98" s="138"/>
      <c r="CR98" s="138"/>
      <c r="CS98" s="138"/>
      <c r="CT98" s="138"/>
      <c r="CU98" s="138"/>
      <c r="CV98" s="138"/>
      <c r="CW98" s="138"/>
      <c r="CX98" s="138"/>
      <c r="CY98" s="138"/>
      <c r="CZ98" s="138"/>
      <c r="DA98" s="138"/>
      <c r="DB98" s="138"/>
      <c r="DC98" s="138"/>
      <c r="DD98" s="138"/>
      <c r="DE98" s="138"/>
      <c r="DF98" s="138"/>
      <c r="DG98" s="138"/>
      <c r="DH98" s="138"/>
      <c r="DI98" s="138"/>
      <c r="DJ98" s="138"/>
      <c r="DK98" s="138"/>
      <c r="DL98" s="138"/>
      <c r="DM98" s="138"/>
      <c r="DN98" s="138"/>
      <c r="DO98" s="138"/>
      <c r="DP98" s="138"/>
      <c r="DQ98" s="138"/>
      <c r="DR98" s="138"/>
      <c r="DS98" s="138"/>
      <c r="DT98" s="138"/>
      <c r="DU98" s="138"/>
      <c r="DV98" s="138"/>
      <c r="DW98" s="138"/>
      <c r="DX98" s="138"/>
      <c r="DY98" s="138"/>
      <c r="DZ98" s="138"/>
      <c r="EA98" s="138"/>
      <c r="EB98" s="138"/>
      <c r="EC98" s="138"/>
      <c r="ED98" s="138"/>
      <c r="EE98" s="126"/>
      <c r="EF98" s="138"/>
      <c r="EG98" s="138"/>
      <c r="EH98" s="138"/>
      <c r="EI98" s="138"/>
      <c r="EJ98" s="138"/>
      <c r="EK98" s="138"/>
      <c r="EL98" s="138"/>
      <c r="EM98" s="138"/>
      <c r="EN98" s="138"/>
      <c r="EO98" s="138"/>
      <c r="EP98" s="138"/>
      <c r="EQ98" s="138"/>
      <c r="ER98" s="138"/>
      <c r="ES98" s="138"/>
      <c r="ET98" s="138"/>
      <c r="EU98" s="138"/>
      <c r="EV98" s="138"/>
      <c r="EW98" s="138"/>
      <c r="EX98" s="138"/>
      <c r="EY98" s="138"/>
      <c r="EZ98" s="138"/>
      <c r="FA98" s="138"/>
      <c r="FB98" s="138"/>
      <c r="FC98" s="138"/>
      <c r="FD98" s="138"/>
      <c r="FE98" s="138"/>
      <c r="FF98" s="138"/>
      <c r="FG98" s="138"/>
      <c r="FH98" s="138"/>
      <c r="FI98" s="138"/>
      <c r="FJ98" s="138"/>
      <c r="FK98" s="138"/>
      <c r="FL98" s="138"/>
      <c r="FM98" s="138"/>
      <c r="FN98" s="138"/>
      <c r="FO98" s="138"/>
      <c r="FP98" s="138"/>
      <c r="FQ98" s="138"/>
      <c r="FR98" s="138"/>
      <c r="FS98" s="138"/>
      <c r="FT98" s="138"/>
      <c r="FU98" s="138"/>
      <c r="FV98" s="138"/>
      <c r="FW98" s="138"/>
      <c r="FX98" s="138"/>
      <c r="FY98" s="138"/>
      <c r="FZ98" s="138"/>
      <c r="GA98" s="138"/>
      <c r="GB98" s="138"/>
      <c r="GC98" s="138"/>
      <c r="GD98" s="138"/>
      <c r="GE98" s="138"/>
      <c r="GF98" s="138"/>
      <c r="GG98" s="138"/>
      <c r="GH98" s="138"/>
      <c r="GI98" s="138"/>
      <c r="GJ98" s="138"/>
      <c r="GK98" s="138"/>
      <c r="GL98" s="138"/>
      <c r="GM98" s="138"/>
      <c r="GN98" s="138"/>
      <c r="GO98" s="138"/>
      <c r="GP98" s="138"/>
      <c r="GQ98" s="138"/>
      <c r="GR98" s="138"/>
      <c r="GS98" s="138"/>
      <c r="GT98" s="138"/>
      <c r="GU98" s="138"/>
      <c r="GV98" s="138"/>
      <c r="GW98" s="138"/>
      <c r="GX98" s="138"/>
      <c r="GY98" s="138"/>
      <c r="GZ98" s="138"/>
      <c r="HA98" s="138"/>
      <c r="HB98" s="138"/>
      <c r="HC98" s="138"/>
      <c r="HD98" s="138"/>
      <c r="HE98" s="138"/>
      <c r="HF98" s="138"/>
      <c r="HG98" s="138"/>
      <c r="HH98" s="138"/>
      <c r="HI98" s="138"/>
      <c r="HJ98" s="138"/>
      <c r="HK98" s="138"/>
      <c r="HL98" s="138"/>
      <c r="HM98" s="138"/>
      <c r="HN98" s="138"/>
      <c r="HO98" s="138"/>
      <c r="HP98" s="138"/>
      <c r="HQ98" s="138"/>
      <c r="HR98" s="138"/>
      <c r="HS98" s="138"/>
      <c r="HT98" s="138"/>
      <c r="HU98" s="138"/>
      <c r="HV98" s="138"/>
      <c r="HW98" s="138"/>
      <c r="HX98" s="138"/>
      <c r="HY98" s="138"/>
      <c r="HZ98" s="138"/>
      <c r="IA98" s="138"/>
      <c r="IB98" s="138"/>
      <c r="IC98" s="138"/>
      <c r="ID98" s="138"/>
      <c r="IE98" s="138"/>
      <c r="IF98" s="138"/>
      <c r="IG98" s="138"/>
      <c r="IH98" s="138"/>
      <c r="II98" s="138"/>
      <c r="IJ98" s="138"/>
      <c r="IK98" s="138"/>
      <c r="IL98" s="138"/>
      <c r="IM98" s="138"/>
      <c r="IN98" s="138"/>
      <c r="IO98" s="138"/>
      <c r="IP98" s="138"/>
      <c r="IQ98" s="138"/>
      <c r="IR98" s="138"/>
      <c r="IS98" s="138"/>
      <c r="IT98" s="138"/>
      <c r="IU98" s="138"/>
      <c r="IV98" s="138"/>
      <c r="IW98" s="138"/>
      <c r="IX98" s="138"/>
      <c r="IY98" s="138"/>
      <c r="IZ98" s="138"/>
      <c r="JA98" s="138"/>
      <c r="JB98" s="138"/>
      <c r="JC98" s="138"/>
      <c r="JD98" s="138"/>
      <c r="JE98" s="138"/>
      <c r="JF98" s="138"/>
      <c r="JG98" s="138"/>
      <c r="JH98" s="138"/>
      <c r="JI98" s="138"/>
      <c r="JJ98" s="138"/>
      <c r="JK98" s="138"/>
      <c r="JL98" s="138"/>
      <c r="JM98" s="138"/>
      <c r="JN98" s="138"/>
      <c r="JO98" s="138"/>
      <c r="JP98" s="138"/>
    </row>
    <row r="99" spans="1:276" s="4" customFormat="1">
      <c r="A99" s="138"/>
      <c r="B99" s="138"/>
      <c r="C99" s="138"/>
      <c r="D99" s="138"/>
      <c r="E99" s="138"/>
      <c r="F99" s="138"/>
      <c r="G99" s="966"/>
      <c r="H99" s="963"/>
      <c r="I99" s="964"/>
      <c r="J99" s="881"/>
      <c r="K99" s="881"/>
      <c r="L99" s="881"/>
      <c r="M99" s="881"/>
      <c r="N99" s="881"/>
      <c r="O99" s="881"/>
      <c r="P99" s="965"/>
      <c r="Q99" s="881"/>
      <c r="R99" s="138"/>
      <c r="S99" s="958"/>
      <c r="T99" s="959"/>
      <c r="U99" s="960"/>
      <c r="V99" s="138"/>
      <c r="W99" s="138"/>
      <c r="X99" s="138"/>
      <c r="Y99" s="138"/>
      <c r="Z99" s="138"/>
      <c r="AA99" s="138"/>
      <c r="AB99" s="138"/>
      <c r="AC99" s="138"/>
      <c r="AD99" s="138"/>
      <c r="AE99" s="138"/>
      <c r="AF99" s="138"/>
      <c r="AG99" s="138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  <c r="BE99" s="138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138"/>
      <c r="BW99" s="138"/>
      <c r="BX99" s="138"/>
      <c r="BY99" s="138"/>
      <c r="BZ99" s="138"/>
      <c r="CA99" s="138"/>
      <c r="CB99" s="138"/>
      <c r="CC99" s="138"/>
      <c r="CD99" s="138"/>
      <c r="CE99" s="138"/>
      <c r="CF99" s="138"/>
      <c r="CG99" s="138"/>
      <c r="CH99" s="138"/>
      <c r="CI99" s="138"/>
      <c r="CJ99" s="138"/>
      <c r="CK99" s="138"/>
      <c r="CL99" s="138"/>
      <c r="CM99" s="138"/>
      <c r="CN99" s="138"/>
      <c r="CO99" s="138"/>
      <c r="CP99" s="138"/>
      <c r="CQ99" s="138"/>
      <c r="CR99" s="138"/>
      <c r="CS99" s="138"/>
      <c r="CT99" s="138"/>
      <c r="CU99" s="138"/>
      <c r="CV99" s="138"/>
      <c r="CW99" s="138"/>
      <c r="CX99" s="138"/>
      <c r="CY99" s="138"/>
      <c r="CZ99" s="138"/>
      <c r="DA99" s="138"/>
      <c r="DB99" s="138"/>
      <c r="DC99" s="138"/>
      <c r="DD99" s="138"/>
      <c r="DE99" s="138"/>
      <c r="DF99" s="138"/>
      <c r="DG99" s="138"/>
      <c r="DH99" s="138"/>
      <c r="DI99" s="138"/>
      <c r="DJ99" s="138"/>
      <c r="DK99" s="138"/>
      <c r="DL99" s="138"/>
      <c r="DM99" s="138"/>
      <c r="DN99" s="138"/>
      <c r="DO99" s="138"/>
      <c r="DP99" s="138"/>
      <c r="DQ99" s="138"/>
      <c r="DR99" s="138"/>
      <c r="DS99" s="138"/>
      <c r="DT99" s="138"/>
      <c r="DU99" s="138"/>
      <c r="DV99" s="138"/>
      <c r="DW99" s="138"/>
      <c r="DX99" s="138"/>
      <c r="DY99" s="138"/>
      <c r="DZ99" s="138"/>
      <c r="EA99" s="138"/>
      <c r="EB99" s="138"/>
      <c r="EC99" s="138"/>
      <c r="ED99" s="138"/>
      <c r="EE99" s="126"/>
      <c r="EF99" s="138"/>
      <c r="EG99" s="138"/>
      <c r="EH99" s="138"/>
      <c r="EI99" s="138"/>
      <c r="EJ99" s="138"/>
      <c r="EK99" s="138"/>
      <c r="EL99" s="138"/>
      <c r="EM99" s="138"/>
      <c r="EN99" s="138"/>
      <c r="EO99" s="138"/>
      <c r="EP99" s="138"/>
      <c r="EQ99" s="138"/>
      <c r="ER99" s="138"/>
      <c r="ES99" s="138"/>
      <c r="ET99" s="138"/>
      <c r="EU99" s="138"/>
      <c r="EV99" s="138"/>
      <c r="EW99" s="138"/>
      <c r="EX99" s="138"/>
      <c r="EY99" s="138"/>
      <c r="EZ99" s="138"/>
      <c r="FA99" s="138"/>
      <c r="FB99" s="138"/>
      <c r="FC99" s="138"/>
      <c r="FD99" s="138"/>
      <c r="FE99" s="138"/>
      <c r="FF99" s="138"/>
      <c r="FG99" s="138"/>
      <c r="FH99" s="138"/>
      <c r="FI99" s="138"/>
      <c r="FJ99" s="138"/>
      <c r="FK99" s="138"/>
      <c r="FL99" s="138"/>
      <c r="FM99" s="138"/>
      <c r="FN99" s="138"/>
      <c r="FO99" s="138"/>
      <c r="FP99" s="138"/>
      <c r="FQ99" s="138"/>
      <c r="FR99" s="138"/>
      <c r="FS99" s="138"/>
      <c r="FT99" s="138"/>
      <c r="FU99" s="138"/>
      <c r="FV99" s="138"/>
      <c r="FW99" s="138"/>
      <c r="FX99" s="138"/>
      <c r="FY99" s="138"/>
      <c r="FZ99" s="138"/>
      <c r="GA99" s="138"/>
      <c r="GB99" s="138"/>
      <c r="GC99" s="138"/>
      <c r="GD99" s="138"/>
      <c r="GE99" s="138"/>
      <c r="GF99" s="138"/>
      <c r="GG99" s="138"/>
      <c r="GH99" s="138"/>
      <c r="GI99" s="138"/>
      <c r="GJ99" s="138"/>
      <c r="GK99" s="138"/>
      <c r="GL99" s="138"/>
      <c r="GM99" s="138"/>
      <c r="GN99" s="138"/>
      <c r="GO99" s="138"/>
      <c r="GP99" s="138"/>
      <c r="GQ99" s="138"/>
      <c r="GR99" s="138"/>
      <c r="GS99" s="138"/>
      <c r="GT99" s="138"/>
      <c r="GU99" s="138"/>
      <c r="GV99" s="138"/>
      <c r="GW99" s="138"/>
      <c r="GX99" s="138"/>
      <c r="GY99" s="138"/>
      <c r="GZ99" s="138"/>
      <c r="HA99" s="138"/>
      <c r="HB99" s="138"/>
      <c r="HC99" s="138"/>
      <c r="HD99" s="138"/>
      <c r="HE99" s="138"/>
      <c r="HF99" s="138"/>
      <c r="HG99" s="138"/>
      <c r="HH99" s="138"/>
      <c r="HI99" s="138"/>
      <c r="HJ99" s="138"/>
      <c r="HK99" s="138"/>
      <c r="HL99" s="138"/>
      <c r="HM99" s="138"/>
      <c r="HN99" s="138"/>
      <c r="HO99" s="138"/>
      <c r="HP99" s="138"/>
      <c r="HQ99" s="138"/>
      <c r="HR99" s="138"/>
      <c r="HS99" s="138"/>
      <c r="HT99" s="138"/>
      <c r="HU99" s="138"/>
      <c r="HV99" s="138"/>
      <c r="HW99" s="138"/>
      <c r="HX99" s="138"/>
      <c r="HY99" s="138"/>
      <c r="HZ99" s="138"/>
      <c r="IA99" s="138"/>
      <c r="IB99" s="138"/>
      <c r="IC99" s="138"/>
      <c r="ID99" s="138"/>
      <c r="IE99" s="138"/>
      <c r="IF99" s="138"/>
      <c r="IG99" s="138"/>
      <c r="IH99" s="138"/>
      <c r="II99" s="138"/>
      <c r="IJ99" s="138"/>
      <c r="IK99" s="138"/>
      <c r="IL99" s="138"/>
      <c r="IM99" s="138"/>
      <c r="IN99" s="138"/>
      <c r="IO99" s="138"/>
      <c r="IP99" s="138"/>
      <c r="IQ99" s="138"/>
      <c r="IR99" s="138"/>
      <c r="IS99" s="138"/>
      <c r="IT99" s="138"/>
      <c r="IU99" s="138"/>
      <c r="IV99" s="138"/>
      <c r="IW99" s="138"/>
      <c r="IX99" s="138"/>
      <c r="IY99" s="138"/>
      <c r="IZ99" s="138"/>
      <c r="JA99" s="138"/>
      <c r="JB99" s="138"/>
      <c r="JC99" s="138"/>
      <c r="JD99" s="138"/>
      <c r="JE99" s="138"/>
      <c r="JF99" s="138"/>
      <c r="JG99" s="138"/>
      <c r="JH99" s="138"/>
      <c r="JI99" s="138"/>
      <c r="JJ99" s="138"/>
      <c r="JK99" s="138"/>
      <c r="JL99" s="138"/>
      <c r="JM99" s="138"/>
      <c r="JN99" s="138"/>
      <c r="JO99" s="138"/>
      <c r="JP99" s="138"/>
    </row>
    <row r="100" spans="1:276" s="4" customFormat="1">
      <c r="A100" s="138"/>
      <c r="B100" s="138"/>
      <c r="C100" s="138"/>
      <c r="D100" s="138"/>
      <c r="E100" s="138"/>
      <c r="F100" s="138"/>
      <c r="G100" s="966"/>
      <c r="H100" s="963"/>
      <c r="I100" s="964"/>
      <c r="J100" s="881"/>
      <c r="K100" s="881"/>
      <c r="L100" s="881"/>
      <c r="M100" s="881"/>
      <c r="N100" s="881"/>
      <c r="O100" s="881"/>
      <c r="P100" s="965"/>
      <c r="Q100" s="881"/>
      <c r="R100" s="138"/>
      <c r="S100" s="958"/>
      <c r="T100" s="959"/>
      <c r="U100" s="960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138"/>
      <c r="BW100" s="138"/>
      <c r="BX100" s="138"/>
      <c r="BY100" s="138"/>
      <c r="BZ100" s="138"/>
      <c r="CA100" s="138"/>
      <c r="CB100" s="138"/>
      <c r="CC100" s="138"/>
      <c r="CD100" s="138"/>
      <c r="CE100" s="138"/>
      <c r="CF100" s="138"/>
      <c r="CG100" s="138"/>
      <c r="CH100" s="138"/>
      <c r="CI100" s="138"/>
      <c r="CJ100" s="138"/>
      <c r="CK100" s="138"/>
      <c r="CL100" s="138"/>
      <c r="CM100" s="138"/>
      <c r="CN100" s="138"/>
      <c r="CO100" s="138"/>
      <c r="CP100" s="138"/>
      <c r="CQ100" s="138"/>
      <c r="CR100" s="138"/>
      <c r="CS100" s="138"/>
      <c r="CT100" s="138"/>
      <c r="CU100" s="138"/>
      <c r="CV100" s="138"/>
      <c r="CW100" s="138"/>
      <c r="CX100" s="138"/>
      <c r="CY100" s="138"/>
      <c r="CZ100" s="138"/>
      <c r="DA100" s="138"/>
      <c r="DB100" s="138"/>
      <c r="DC100" s="138"/>
      <c r="DD100" s="138"/>
      <c r="DE100" s="138"/>
      <c r="DF100" s="138"/>
      <c r="DG100" s="138"/>
      <c r="DH100" s="138"/>
      <c r="DI100" s="138"/>
      <c r="DJ100" s="138"/>
      <c r="DK100" s="138"/>
      <c r="DL100" s="138"/>
      <c r="DM100" s="138"/>
      <c r="DN100" s="138"/>
      <c r="DO100" s="138"/>
      <c r="DP100" s="138"/>
      <c r="DQ100" s="138"/>
      <c r="DR100" s="138"/>
      <c r="DS100" s="138"/>
      <c r="DT100" s="138"/>
      <c r="DU100" s="138"/>
      <c r="DV100" s="138"/>
      <c r="DW100" s="138"/>
      <c r="DX100" s="138"/>
      <c r="DY100" s="138"/>
      <c r="DZ100" s="140"/>
      <c r="EA100" s="140"/>
      <c r="EB100" s="140"/>
      <c r="EC100" s="140"/>
      <c r="ED100" s="140"/>
      <c r="EE100" s="149"/>
      <c r="EF100" s="140"/>
      <c r="EG100" s="140"/>
      <c r="EH100" s="140"/>
      <c r="EI100" s="140"/>
      <c r="EJ100" s="140"/>
      <c r="EK100" s="140"/>
      <c r="EL100" s="140"/>
      <c r="EM100" s="140"/>
      <c r="EN100" s="140"/>
      <c r="EO100" s="140"/>
      <c r="EP100" s="140"/>
      <c r="EQ100" s="140"/>
      <c r="ER100" s="140"/>
      <c r="ES100" s="140"/>
      <c r="ET100" s="140"/>
      <c r="EU100" s="140"/>
      <c r="EV100" s="140"/>
      <c r="EW100" s="140"/>
      <c r="EX100" s="140"/>
      <c r="EY100" s="140"/>
      <c r="EZ100" s="140"/>
      <c r="FA100" s="140"/>
      <c r="FB100" s="140"/>
      <c r="FC100" s="140"/>
      <c r="FD100" s="140"/>
      <c r="FE100" s="140"/>
      <c r="FF100" s="140"/>
      <c r="FG100" s="140"/>
      <c r="FH100" s="140"/>
      <c r="FI100" s="140"/>
      <c r="FJ100" s="140"/>
      <c r="FK100" s="140"/>
      <c r="FL100" s="140"/>
      <c r="FM100" s="140"/>
      <c r="FN100" s="140"/>
      <c r="FO100" s="140"/>
      <c r="FP100" s="140"/>
      <c r="FQ100" s="140"/>
      <c r="FR100" s="140"/>
      <c r="FS100" s="140"/>
      <c r="FT100" s="140"/>
      <c r="FU100" s="140"/>
      <c r="FV100" s="140"/>
      <c r="FW100" s="140"/>
      <c r="FX100" s="140"/>
      <c r="FY100" s="140"/>
      <c r="FZ100" s="140"/>
      <c r="GA100" s="140"/>
      <c r="GB100" s="140"/>
      <c r="GC100" s="140"/>
      <c r="GD100" s="140"/>
      <c r="GE100" s="140"/>
      <c r="GF100" s="140"/>
      <c r="GG100" s="140"/>
      <c r="GH100" s="140"/>
      <c r="GI100" s="140"/>
      <c r="GJ100" s="138"/>
      <c r="GK100" s="138"/>
      <c r="GL100" s="138"/>
      <c r="GM100" s="138"/>
      <c r="GN100" s="138"/>
      <c r="GO100" s="138"/>
      <c r="GP100" s="138"/>
      <c r="GQ100" s="138"/>
      <c r="GR100" s="138"/>
      <c r="GS100" s="138"/>
      <c r="GT100" s="138"/>
      <c r="GU100" s="138"/>
      <c r="GV100" s="138"/>
      <c r="GW100" s="138"/>
      <c r="GX100" s="138"/>
      <c r="GY100" s="138"/>
      <c r="GZ100" s="138"/>
      <c r="HA100" s="138"/>
      <c r="HB100" s="138"/>
      <c r="HC100" s="138"/>
      <c r="HD100" s="138"/>
      <c r="HE100" s="138"/>
      <c r="HF100" s="138"/>
      <c r="HG100" s="138"/>
      <c r="HH100" s="138"/>
      <c r="HI100" s="138"/>
      <c r="HJ100" s="138"/>
      <c r="HK100" s="138"/>
      <c r="HL100" s="138"/>
      <c r="HM100" s="138"/>
      <c r="HN100" s="138"/>
      <c r="HO100" s="138"/>
      <c r="HP100" s="138"/>
      <c r="HQ100" s="138"/>
      <c r="HR100" s="138"/>
      <c r="HS100" s="138"/>
      <c r="HT100" s="138"/>
      <c r="HU100" s="138"/>
      <c r="HV100" s="138"/>
      <c r="HW100" s="138"/>
      <c r="HX100" s="138"/>
      <c r="HY100" s="138"/>
      <c r="HZ100" s="138"/>
      <c r="IA100" s="138"/>
      <c r="IB100" s="138"/>
      <c r="IC100" s="138"/>
      <c r="ID100" s="138"/>
      <c r="IE100" s="138"/>
      <c r="IF100" s="138"/>
      <c r="IG100" s="138"/>
      <c r="IH100" s="138"/>
      <c r="II100" s="138"/>
      <c r="IJ100" s="138"/>
      <c r="IK100" s="138"/>
      <c r="IL100" s="138"/>
      <c r="IM100" s="138"/>
      <c r="IN100" s="138"/>
      <c r="IO100" s="138"/>
      <c r="IP100" s="138"/>
      <c r="IQ100" s="138"/>
      <c r="IR100" s="138"/>
      <c r="IS100" s="138"/>
      <c r="IT100" s="138"/>
      <c r="IU100" s="138"/>
      <c r="IV100" s="138"/>
      <c r="IW100" s="138"/>
      <c r="IX100" s="138"/>
      <c r="IY100" s="138"/>
      <c r="IZ100" s="138"/>
      <c r="JA100" s="138"/>
      <c r="JB100" s="138"/>
      <c r="JC100" s="138"/>
      <c r="JD100" s="138"/>
      <c r="JE100" s="138"/>
      <c r="JF100" s="138"/>
      <c r="JG100" s="138"/>
      <c r="JH100" s="138"/>
      <c r="JI100" s="138"/>
      <c r="JJ100" s="138"/>
      <c r="JK100" s="138"/>
      <c r="JL100" s="138"/>
      <c r="JM100" s="138"/>
      <c r="JN100" s="138"/>
      <c r="JO100" s="138"/>
      <c r="JP100" s="138"/>
    </row>
    <row r="101" spans="1:276" s="4" customFormat="1">
      <c r="A101" s="138"/>
      <c r="B101" s="138"/>
      <c r="C101" s="138"/>
      <c r="D101" s="138"/>
      <c r="E101" s="138"/>
      <c r="F101" s="138"/>
      <c r="G101" s="966"/>
      <c r="H101" s="963"/>
      <c r="I101" s="964"/>
      <c r="J101" s="881"/>
      <c r="K101" s="881"/>
      <c r="L101" s="881"/>
      <c r="M101" s="881"/>
      <c r="N101" s="881"/>
      <c r="O101" s="881"/>
      <c r="P101" s="965"/>
      <c r="Q101" s="881"/>
      <c r="R101" s="138"/>
      <c r="S101" s="958"/>
      <c r="T101" s="959"/>
      <c r="U101" s="960"/>
      <c r="V101" s="138"/>
      <c r="W101" s="138"/>
      <c r="X101" s="138"/>
      <c r="Y101" s="138"/>
      <c r="Z101" s="138"/>
      <c r="AA101" s="138"/>
      <c r="AB101" s="138"/>
      <c r="AC101" s="138"/>
      <c r="AD101" s="138"/>
      <c r="AE101" s="138"/>
      <c r="AF101" s="138"/>
      <c r="AG101" s="138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  <c r="BE101" s="138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38"/>
      <c r="BP101" s="138"/>
      <c r="BQ101" s="138"/>
      <c r="BR101" s="138"/>
      <c r="BS101" s="138"/>
      <c r="BT101" s="138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8"/>
      <c r="CN101" s="138"/>
      <c r="CO101" s="138"/>
      <c r="CP101" s="138"/>
      <c r="CQ101" s="138"/>
      <c r="CR101" s="138"/>
      <c r="CS101" s="138"/>
      <c r="CT101" s="138"/>
      <c r="CU101" s="138"/>
      <c r="CV101" s="138"/>
      <c r="CW101" s="138"/>
      <c r="CX101" s="138"/>
      <c r="CY101" s="138"/>
      <c r="CZ101" s="138"/>
      <c r="DA101" s="138"/>
      <c r="DB101" s="138"/>
      <c r="DC101" s="138"/>
      <c r="DD101" s="138"/>
      <c r="DE101" s="138"/>
      <c r="DF101" s="138"/>
      <c r="DG101" s="138"/>
      <c r="DH101" s="138"/>
      <c r="DI101" s="138"/>
      <c r="DJ101" s="138"/>
      <c r="DK101" s="138"/>
      <c r="DL101" s="138"/>
      <c r="DM101" s="138"/>
      <c r="DN101" s="138"/>
      <c r="DO101" s="138"/>
      <c r="DP101" s="138"/>
      <c r="DQ101" s="138"/>
      <c r="DR101" s="138"/>
      <c r="DS101" s="138"/>
      <c r="DT101" s="138"/>
      <c r="DU101" s="138"/>
      <c r="DV101" s="138"/>
      <c r="DW101" s="138"/>
      <c r="DX101" s="138"/>
      <c r="DY101" s="138"/>
      <c r="DZ101" s="140"/>
      <c r="EA101" s="140"/>
      <c r="EB101" s="140"/>
      <c r="EC101" s="140"/>
      <c r="ED101" s="140"/>
      <c r="EE101" s="149"/>
      <c r="EF101" s="140"/>
      <c r="EG101" s="140"/>
      <c r="EH101" s="140"/>
      <c r="EI101" s="140"/>
      <c r="EJ101" s="140"/>
      <c r="EK101" s="140"/>
      <c r="EL101" s="140"/>
      <c r="EM101" s="140"/>
      <c r="EN101" s="140"/>
      <c r="EO101" s="140"/>
      <c r="EP101" s="140"/>
      <c r="EQ101" s="140"/>
      <c r="ER101" s="140"/>
      <c r="ES101" s="140"/>
      <c r="ET101" s="140"/>
      <c r="EU101" s="140"/>
      <c r="EV101" s="140"/>
      <c r="EW101" s="140"/>
      <c r="EX101" s="140"/>
      <c r="EY101" s="140"/>
      <c r="EZ101" s="140"/>
      <c r="FA101" s="140"/>
      <c r="FB101" s="140"/>
      <c r="FC101" s="140"/>
      <c r="FD101" s="140"/>
      <c r="FE101" s="140"/>
      <c r="FF101" s="140"/>
      <c r="FG101" s="140"/>
      <c r="FH101" s="140"/>
      <c r="FI101" s="140"/>
      <c r="FJ101" s="140"/>
      <c r="FK101" s="140"/>
      <c r="FL101" s="140"/>
      <c r="FM101" s="140"/>
      <c r="FN101" s="140"/>
      <c r="FO101" s="140"/>
      <c r="FP101" s="140"/>
      <c r="FQ101" s="140"/>
      <c r="FR101" s="140"/>
      <c r="FS101" s="140"/>
      <c r="FT101" s="140"/>
      <c r="FU101" s="140"/>
      <c r="FV101" s="140"/>
      <c r="FW101" s="140"/>
      <c r="FX101" s="140"/>
      <c r="FY101" s="140"/>
      <c r="FZ101" s="140"/>
      <c r="GA101" s="140"/>
      <c r="GB101" s="140"/>
      <c r="GC101" s="140"/>
      <c r="GD101" s="140"/>
      <c r="GE101" s="140"/>
      <c r="GF101" s="140"/>
      <c r="GG101" s="140"/>
      <c r="GH101" s="140"/>
      <c r="GI101" s="140"/>
      <c r="GJ101" s="138"/>
      <c r="GK101" s="138"/>
      <c r="GL101" s="138"/>
      <c r="GM101" s="138"/>
      <c r="GN101" s="138"/>
      <c r="GO101" s="138"/>
      <c r="GP101" s="138"/>
      <c r="GQ101" s="138"/>
      <c r="GR101" s="138"/>
      <c r="GS101" s="138"/>
      <c r="GT101" s="138"/>
      <c r="GU101" s="138"/>
      <c r="GV101" s="138"/>
      <c r="GW101" s="138"/>
      <c r="GX101" s="138"/>
      <c r="GY101" s="138"/>
      <c r="GZ101" s="138"/>
      <c r="HA101" s="138"/>
      <c r="HB101" s="138"/>
      <c r="HC101" s="138"/>
      <c r="HD101" s="138"/>
      <c r="HE101" s="138"/>
      <c r="HF101" s="138"/>
      <c r="HG101" s="138"/>
      <c r="HH101" s="138"/>
      <c r="HI101" s="138"/>
      <c r="HJ101" s="138"/>
      <c r="HK101" s="138"/>
      <c r="HL101" s="138"/>
      <c r="HM101" s="138"/>
      <c r="HN101" s="138"/>
      <c r="HO101" s="138"/>
      <c r="HP101" s="138"/>
      <c r="HQ101" s="138"/>
      <c r="HR101" s="138"/>
      <c r="HS101" s="138"/>
      <c r="HT101" s="138"/>
      <c r="HU101" s="138"/>
      <c r="HV101" s="138"/>
      <c r="HW101" s="138"/>
      <c r="HX101" s="138"/>
      <c r="HY101" s="138"/>
      <c r="HZ101" s="138"/>
      <c r="IA101" s="138"/>
      <c r="IB101" s="138"/>
      <c r="IC101" s="138"/>
      <c r="ID101" s="138"/>
      <c r="IE101" s="138"/>
      <c r="IF101" s="138"/>
      <c r="IG101" s="138"/>
      <c r="IH101" s="138"/>
      <c r="II101" s="138"/>
      <c r="IJ101" s="138"/>
      <c r="IK101" s="138"/>
      <c r="IL101" s="138"/>
      <c r="IM101" s="138"/>
      <c r="IN101" s="138"/>
      <c r="IO101" s="138"/>
      <c r="IP101" s="138"/>
      <c r="IQ101" s="138"/>
      <c r="IR101" s="138"/>
      <c r="IS101" s="138"/>
      <c r="IT101" s="138"/>
      <c r="IU101" s="138"/>
      <c r="IV101" s="138"/>
      <c r="IW101" s="138"/>
      <c r="IX101" s="138"/>
      <c r="IY101" s="138"/>
      <c r="IZ101" s="138"/>
      <c r="JA101" s="138"/>
      <c r="JB101" s="138"/>
      <c r="JC101" s="138"/>
      <c r="JD101" s="138"/>
      <c r="JE101" s="138"/>
      <c r="JF101" s="138"/>
      <c r="JG101" s="138"/>
      <c r="JH101" s="138"/>
      <c r="JI101" s="138"/>
      <c r="JJ101" s="138"/>
      <c r="JK101" s="138"/>
      <c r="JL101" s="138"/>
      <c r="JM101" s="138"/>
      <c r="JN101" s="138"/>
      <c r="JO101" s="138"/>
      <c r="JP101" s="138"/>
    </row>
    <row r="102" spans="1:276">
      <c r="G102" s="966"/>
      <c r="H102" s="963"/>
      <c r="I102" s="964"/>
      <c r="J102" s="881"/>
      <c r="K102" s="881"/>
      <c r="L102" s="881"/>
      <c r="M102" s="881"/>
      <c r="N102" s="881"/>
      <c r="O102" s="881"/>
      <c r="P102" s="965"/>
      <c r="Q102" s="881"/>
      <c r="S102" s="958"/>
      <c r="T102" s="959"/>
      <c r="U102" s="960"/>
    </row>
    <row r="103" spans="1:276">
      <c r="G103" s="966"/>
      <c r="H103" s="963"/>
      <c r="I103" s="964"/>
      <c r="J103" s="881"/>
      <c r="K103" s="881"/>
      <c r="L103" s="881"/>
      <c r="M103" s="881"/>
      <c r="N103" s="881"/>
      <c r="O103" s="881"/>
      <c r="P103" s="965"/>
      <c r="Q103" s="881"/>
      <c r="S103" s="958"/>
      <c r="T103" s="959"/>
      <c r="U103" s="960"/>
    </row>
    <row r="104" spans="1:276">
      <c r="G104" s="966"/>
      <c r="H104" s="963"/>
      <c r="I104" s="964"/>
      <c r="J104" s="881"/>
      <c r="K104" s="881"/>
      <c r="L104" s="881"/>
      <c r="M104" s="881"/>
      <c r="N104" s="881"/>
      <c r="O104" s="881"/>
      <c r="P104" s="965"/>
      <c r="Q104" s="881"/>
      <c r="S104" s="958"/>
      <c r="T104" s="959"/>
      <c r="U104" s="960"/>
    </row>
    <row r="105" spans="1:276">
      <c r="G105" s="966"/>
      <c r="H105" s="963"/>
      <c r="I105" s="964"/>
      <c r="J105" s="881"/>
      <c r="K105" s="881"/>
      <c r="L105" s="881"/>
      <c r="M105" s="881"/>
      <c r="N105" s="881"/>
      <c r="O105" s="881"/>
      <c r="P105" s="965"/>
      <c r="Q105" s="881"/>
      <c r="S105" s="958"/>
      <c r="T105" s="959"/>
      <c r="U105" s="960"/>
    </row>
    <row r="106" spans="1:276">
      <c r="G106" s="966"/>
      <c r="H106" s="963"/>
      <c r="I106" s="964"/>
      <c r="J106" s="881"/>
      <c r="K106" s="881"/>
      <c r="L106" s="881"/>
      <c r="M106" s="881"/>
      <c r="N106" s="881"/>
      <c r="O106" s="881"/>
      <c r="P106" s="965"/>
      <c r="Q106" s="881"/>
      <c r="S106" s="958"/>
      <c r="T106" s="959"/>
      <c r="U106" s="960"/>
    </row>
  </sheetData>
  <customSheetViews>
    <customSheetView guid="{751D391F-C74F-4B53-B5B5-25E01AC12EA4}" scale="106">
      <pane xSplit="1" ySplit="4" topLeftCell="B5" activePane="bottomRight" state="frozen"/>
      <selection pane="bottomRight" activeCell="B5" sqref="B5:GR32"/>
      <colBreaks count="3" manualBreakCount="3">
        <brk id="139" max="45" man="1"/>
        <brk id="164" max="45" man="1"/>
        <brk id="185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1"/>
    </customSheetView>
    <customSheetView guid="{5A803268-F6C5-4035-B3E1-A94CB9AA8994}" showPageBreaks="1" printArea="1" hiddenRows="1">
      <pane xSplit="1" ySplit="3" topLeftCell="FC27" activePane="bottomRight" state="frozen"/>
      <selection pane="bottomRight" activeCell="FI25" sqref="FI25"/>
      <rowBreaks count="1" manualBreakCount="1">
        <brk id="41" max="16383" man="1"/>
      </rowBreaks>
      <colBreaks count="1" manualBreakCount="1">
        <brk id="153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2"/>
    </customSheetView>
    <customSheetView guid="{917057C8-5E5F-4164-B84C-85103677A2E5}" scale="112">
      <pane xSplit="1" ySplit="2" topLeftCell="B3" activePane="bottomRight" state="frozen"/>
      <selection pane="bottomRight" activeCell="B5" sqref="B5:FX32"/>
      <colBreaks count="3" manualBreakCount="3">
        <brk id="131" max="45" man="1"/>
        <brk id="156" max="45" man="1"/>
        <brk id="172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3"/>
    </customSheetView>
    <customSheetView guid="{4593F3EE-0998-4E0E-994A-E02D6BAF3A4B}" scale="112" showPageBreaks="1" printArea="1" hiddenRows="1">
      <pane xSplit="1" ySplit="3" topLeftCell="B4" activePane="bottomRight" state="frozen"/>
      <selection pane="bottomRight" activeCell="D41" sqref="D41:E42"/>
      <colBreaks count="3" manualBreakCount="3">
        <brk id="121" max="45" man="1"/>
        <brk id="145" max="45" man="1"/>
        <brk id="156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4"/>
    </customSheetView>
    <customSheetView guid="{23F4DC00-BC97-4745-AA5C-F05D469CB1EF}" showPageBreaks="1" printArea="1" hiddenRows="1">
      <pane xSplit="1" ySplit="2" topLeftCell="EC31" activePane="bottomRight" state="frozen"/>
      <selection pane="bottomRight" activeCell="EL1" sqref="EL1:EL1048576"/>
      <rowBreaks count="1" manualBreakCount="1">
        <brk id="41" max="16383" man="1"/>
      </rowBreaks>
      <colBreaks count="1" manualBreakCount="1">
        <brk id="154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5"/>
    </customSheetView>
    <customSheetView guid="{B91C2E87-5EDA-40AE-AC27-0E2C17E803CE}" scale="102" showPageBreaks="1" printArea="1" hiddenRows="1">
      <pane xSplit="1" ySplit="3" topLeftCell="K28" activePane="bottomRight" state="frozen"/>
      <selection pane="bottomRight" sqref="A1:FX45"/>
      <colBreaks count="3" manualBreakCount="3">
        <brk id="130" max="45" man="1"/>
        <brk id="154" max="45" man="1"/>
        <brk id="170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6"/>
    </customSheetView>
    <customSheetView guid="{7C71EF2A-5ADA-494C-8F58-DDA71753DD90}" showPageBreaks="1">
      <pane xSplit="1" ySplit="4" topLeftCell="B5" activePane="bottomRight" state="frozen"/>
      <selection pane="bottomRight" activeCell="B5" sqref="B5:GB32"/>
      <colBreaks count="3" manualBreakCount="3">
        <brk id="133" max="45" man="1"/>
        <brk id="158" max="45" man="1"/>
        <brk id="175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7"/>
    </customSheetView>
    <customSheetView guid="{4DB6C640-CE65-4513-9E5A-F6CDD1F4B8AF}">
      <pane xSplit="1" ySplit="4" topLeftCell="FO22" activePane="bottomRight" state="frozen"/>
      <selection pane="bottomRight" activeCell="DX1" sqref="DX1:DX1048576"/>
      <colBreaks count="3" manualBreakCount="3">
        <brk id="141" max="45" man="1"/>
        <brk id="166" max="45" man="1"/>
        <brk id="187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8"/>
    </customSheetView>
    <customSheetView guid="{D1D1E152-95AB-45D3-AC07-4EC0834D3E0C}" scale="106">
      <pane xSplit="1" ySplit="4" topLeftCell="GR8" activePane="bottomRight" state="frozen"/>
      <selection pane="bottomRight" activeCell="GV5" sqref="GV5:GV24"/>
      <colBreaks count="3" manualBreakCount="3">
        <brk id="140" max="45" man="1"/>
        <brk id="165" max="45" man="1"/>
        <brk id="188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9"/>
    </customSheetView>
    <customSheetView guid="{C3348F62-02F2-4500-9BF2-19F2DEA57A8D}" scale="130" showPageBreaks="1">
      <pane xSplit="1" ySplit="4" topLeftCell="B17" activePane="bottomRight" state="frozen"/>
      <selection pane="bottomRight" sqref="A1:GW45"/>
      <colBreaks count="3" manualBreakCount="3">
        <brk id="140" max="45" man="1"/>
        <brk id="165" max="45" man="1"/>
        <brk id="187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10"/>
    </customSheetView>
  </customSheetViews>
  <mergeCells count="1">
    <mergeCell ref="J49:J50"/>
  </mergeCells>
  <dataValidations disablePrompts="1" count="1">
    <dataValidation allowBlank="1" showInputMessage="1" showErrorMessage="1" prompt="precision" sqref="AE3" xr:uid="{00000000-0002-0000-0F00-000000000000}"/>
  </dataValidations>
  <printOptions horizontalCentered="1" verticalCentered="1"/>
  <pageMargins left="0.2" right="0.2" top="0.75" bottom="0.75" header="0.3" footer="0.3"/>
  <pageSetup paperSize="9" scale="40" orientation="landscape" r:id="rId11"/>
  <colBreaks count="3" manualBreakCount="3">
    <brk id="140" max="45" man="1"/>
    <brk id="165" max="45" man="1"/>
    <brk id="187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>
    <tabColor rgb="FFC00000"/>
  </sheetPr>
  <dimension ref="A1:BB71"/>
  <sheetViews>
    <sheetView workbookViewId="0">
      <selection activeCell="T9" sqref="T9:T14"/>
    </sheetView>
  </sheetViews>
  <sheetFormatPr defaultColWidth="9.140625" defaultRowHeight="14.25"/>
  <cols>
    <col min="1" max="1" width="9.140625" style="138"/>
    <col min="2" max="2" width="14.5703125" style="138" customWidth="1"/>
    <col min="3" max="3" width="12.140625" style="138" customWidth="1"/>
    <col min="4" max="4" width="12.28515625" style="138" customWidth="1"/>
    <col min="5" max="5" width="12" style="138" customWidth="1"/>
    <col min="6" max="6" width="9.85546875" style="138" customWidth="1"/>
    <col min="7" max="7" width="12" style="138" customWidth="1"/>
    <col min="8" max="8" width="9.140625" style="138"/>
    <col min="9" max="9" width="11.5703125" style="138" customWidth="1"/>
    <col min="10" max="10" width="9.140625" style="138"/>
    <col min="11" max="11" width="10.7109375" style="138" customWidth="1"/>
    <col min="12" max="12" width="14.7109375" style="138" customWidth="1"/>
    <col min="13" max="14" width="9.140625" style="138"/>
    <col min="15" max="15" width="9.140625" style="138" customWidth="1"/>
    <col min="16" max="16" width="9.140625" style="138"/>
    <col min="17" max="17" width="9.7109375" style="138" customWidth="1"/>
    <col min="18" max="18" width="6.42578125" style="138" customWidth="1"/>
    <col min="19" max="19" width="20" style="138" customWidth="1"/>
    <col min="20" max="20" width="12.7109375" style="138" customWidth="1"/>
    <col min="21" max="26" width="9.140625" style="138"/>
    <col min="27" max="27" width="18.140625" style="138" customWidth="1"/>
    <col min="28" max="52" width="9.140625" style="138"/>
    <col min="53" max="53" width="23" style="138" customWidth="1"/>
    <col min="54" max="54" width="12.5703125" style="138" customWidth="1"/>
    <col min="55" max="16384" width="9.140625" style="138"/>
  </cols>
  <sheetData>
    <row r="1" spans="1:54" ht="30" customHeight="1" thickBot="1">
      <c r="A1" s="522" t="s">
        <v>19</v>
      </c>
      <c r="B1" s="1070">
        <f>YesterdayGen!A2</f>
        <v>43318</v>
      </c>
      <c r="C1" s="331"/>
      <c r="D1" s="331"/>
      <c r="E1" s="331"/>
      <c r="F1" s="506"/>
      <c r="G1" s="331"/>
      <c r="H1" s="5497"/>
      <c r="I1" s="5497"/>
      <c r="J1" s="5497"/>
      <c r="K1" s="5497"/>
      <c r="L1" s="5497"/>
      <c r="M1" s="5497"/>
      <c r="N1" s="5497"/>
      <c r="O1" s="5497"/>
      <c r="P1" s="5497"/>
      <c r="Q1" s="5497"/>
      <c r="R1" s="513"/>
      <c r="S1" s="513"/>
    </row>
    <row r="2" spans="1:54" ht="15.75">
      <c r="A2" s="614"/>
      <c r="B2" s="615"/>
      <c r="C2" s="615"/>
      <c r="D2" s="615"/>
      <c r="E2" s="616"/>
      <c r="F2" s="603"/>
      <c r="G2" s="331"/>
      <c r="H2" s="331" t="s">
        <v>372</v>
      </c>
      <c r="I2" s="331"/>
      <c r="J2" s="331"/>
      <c r="K2" s="514"/>
      <c r="L2" s="515"/>
      <c r="M2" s="331"/>
      <c r="N2" s="331"/>
      <c r="O2" s="331"/>
      <c r="P2" s="331"/>
    </row>
    <row r="3" spans="1:54" ht="20.25">
      <c r="A3" s="617" t="s">
        <v>626</v>
      </c>
      <c r="B3" s="600" t="s">
        <v>784</v>
      </c>
      <c r="C3" s="601" t="s">
        <v>637</v>
      </c>
      <c r="D3" s="602" t="s">
        <v>638</v>
      </c>
      <c r="E3" s="618" t="s">
        <v>639</v>
      </c>
      <c r="F3" s="611"/>
      <c r="G3" s="331"/>
      <c r="H3" s="331"/>
      <c r="I3" s="331"/>
      <c r="J3" s="331"/>
      <c r="K3" s="516" t="s">
        <v>640</v>
      </c>
      <c r="L3" s="516"/>
      <c r="M3" s="516"/>
      <c r="N3" s="516"/>
      <c r="O3" s="481"/>
      <c r="P3" s="331"/>
      <c r="S3" s="517"/>
    </row>
    <row r="4" spans="1:54" ht="18">
      <c r="A4" s="619">
        <v>0</v>
      </c>
      <c r="B4" s="592">
        <f>ABS(EWIC!C6)</f>
        <v>996</v>
      </c>
      <c r="C4" s="590">
        <f>YesterdayGen!GH30</f>
        <v>7455</v>
      </c>
      <c r="D4" s="591">
        <f>YesterdayGen!GI30</f>
        <v>4704</v>
      </c>
      <c r="E4" s="686">
        <f>C4+D4</f>
        <v>12159</v>
      </c>
      <c r="F4" s="219"/>
      <c r="G4" s="331"/>
      <c r="H4" s="518"/>
      <c r="I4" s="518"/>
      <c r="J4" s="519"/>
      <c r="K4" s="520"/>
      <c r="L4" s="520"/>
      <c r="M4" s="520"/>
      <c r="N4" s="331"/>
      <c r="O4" s="5498" t="s">
        <v>625</v>
      </c>
      <c r="P4" s="5499"/>
      <c r="BA4" s="1051" t="s">
        <v>779</v>
      </c>
      <c r="BB4" s="1051">
        <v>188</v>
      </c>
    </row>
    <row r="5" spans="1:54" ht="15.75">
      <c r="A5" s="621">
        <v>2.0833333333333332E-2</v>
      </c>
      <c r="B5" s="595">
        <f>(B4+B6)/2</f>
        <v>818</v>
      </c>
      <c r="C5" s="596">
        <f>C4/2+C6/2</f>
        <v>7002</v>
      </c>
      <c r="D5" s="597">
        <f>D4/2+D6/2</f>
        <v>4593</v>
      </c>
      <c r="E5" s="620">
        <f t="shared" ref="E5:E52" si="0">C5+D5</f>
        <v>11595</v>
      </c>
      <c r="F5" s="90"/>
      <c r="G5" s="331"/>
      <c r="H5" s="492" t="s">
        <v>149</v>
      </c>
      <c r="I5" s="521">
        <f>B1</f>
        <v>43318</v>
      </c>
      <c r="J5" s="331"/>
      <c r="K5" s="514"/>
      <c r="L5" s="515"/>
      <c r="M5" s="522"/>
      <c r="N5" s="331"/>
      <c r="O5" s="331"/>
      <c r="P5" s="331" t="s">
        <v>428</v>
      </c>
      <c r="BA5" s="1051" t="s">
        <v>780</v>
      </c>
      <c r="BB5" s="1051">
        <v>18</v>
      </c>
    </row>
    <row r="6" spans="1:54">
      <c r="A6" s="622">
        <v>4.1666666666666664E-2</v>
      </c>
      <c r="B6" s="592">
        <f>ABS(EWIC!C7)</f>
        <v>640</v>
      </c>
      <c r="C6" s="590">
        <f>YesterdayGen!GH5</f>
        <v>6549</v>
      </c>
      <c r="D6" s="591">
        <f>YesterdayGen!GI5</f>
        <v>4482</v>
      </c>
      <c r="E6" s="620">
        <f t="shared" si="0"/>
        <v>11031</v>
      </c>
      <c r="F6" s="90"/>
      <c r="G6" s="331"/>
    </row>
    <row r="7" spans="1:54">
      <c r="A7" s="619">
        <v>6.25E-2</v>
      </c>
      <c r="B7" s="595">
        <f>(B6+B8)/2</f>
        <v>621</v>
      </c>
      <c r="C7" s="596">
        <f>C6/2+C8/2</f>
        <v>6429</v>
      </c>
      <c r="D7" s="597">
        <f>D6/2+D8/2</f>
        <v>4475</v>
      </c>
      <c r="E7" s="620">
        <f t="shared" si="0"/>
        <v>10904</v>
      </c>
      <c r="F7" s="90"/>
      <c r="G7" s="331"/>
      <c r="S7" s="175"/>
    </row>
    <row r="8" spans="1:54">
      <c r="A8" s="621">
        <v>8.3333333333333301E-2</v>
      </c>
      <c r="B8" s="592">
        <f>ABS(EWIC!C8)</f>
        <v>602</v>
      </c>
      <c r="C8" s="590">
        <f>YesterdayGen!GH6</f>
        <v>6309</v>
      </c>
      <c r="D8" s="591">
        <f>YesterdayGen!GI6</f>
        <v>4468</v>
      </c>
      <c r="E8" s="620">
        <f t="shared" si="0"/>
        <v>10777</v>
      </c>
      <c r="F8" s="90"/>
      <c r="G8" s="331"/>
      <c r="S8" s="523"/>
    </row>
    <row r="9" spans="1:54" ht="15">
      <c r="A9" s="622">
        <v>0.104166666666667</v>
      </c>
      <c r="B9" s="595">
        <f>(B8+B10)/2</f>
        <v>584</v>
      </c>
      <c r="C9" s="596">
        <f>C8/2+C10/2</f>
        <v>6307.5</v>
      </c>
      <c r="D9" s="597">
        <f>D8/2+D10/2</f>
        <v>4468.5</v>
      </c>
      <c r="E9" s="620">
        <f t="shared" si="0"/>
        <v>10776</v>
      </c>
      <c r="F9" s="90"/>
      <c r="G9" s="331"/>
      <c r="S9" s="5500" t="s">
        <v>720</v>
      </c>
      <c r="T9" s="1088">
        <f>YesterdayGen!D42</f>
        <v>13227</v>
      </c>
      <c r="AA9" s="138" t="s">
        <v>1953</v>
      </c>
    </row>
    <row r="10" spans="1:54" ht="15">
      <c r="A10" s="623">
        <v>0.125</v>
      </c>
      <c r="B10" s="592">
        <f>ABS(EWIC!C9)</f>
        <v>566</v>
      </c>
      <c r="C10" s="590">
        <f>YesterdayGen!GH7</f>
        <v>6306</v>
      </c>
      <c r="D10" s="591">
        <f>YesterdayGen!GI7</f>
        <v>4469</v>
      </c>
      <c r="E10" s="620">
        <f t="shared" si="0"/>
        <v>10775</v>
      </c>
      <c r="F10" s="90"/>
      <c r="G10" s="331"/>
      <c r="S10" s="5501"/>
      <c r="T10" s="628">
        <f>YesterdayGen!E42</f>
        <v>0.875</v>
      </c>
    </row>
    <row r="11" spans="1:54" ht="15">
      <c r="A11" s="621">
        <v>0.14583333333333301</v>
      </c>
      <c r="B11" s="595">
        <f>(B10+B12)/2</f>
        <v>547</v>
      </c>
      <c r="C11" s="596">
        <f>C10/2+C12/2</f>
        <v>6271.5</v>
      </c>
      <c r="D11" s="597">
        <f>D10/2+D12/2</f>
        <v>4473.5</v>
      </c>
      <c r="E11" s="620">
        <f t="shared" si="0"/>
        <v>10745</v>
      </c>
      <c r="F11" s="90"/>
      <c r="G11" s="331"/>
      <c r="S11" s="5493" t="s">
        <v>719</v>
      </c>
      <c r="T11" s="1089">
        <f>YesterdayGen!D41</f>
        <v>10149</v>
      </c>
      <c r="AA11" s="138" t="s">
        <v>1954</v>
      </c>
    </row>
    <row r="12" spans="1:54" ht="15">
      <c r="A12" s="622">
        <v>0.16666666666666699</v>
      </c>
      <c r="B12" s="592">
        <f>ABS(EWIC!C10)</f>
        <v>528</v>
      </c>
      <c r="C12" s="590">
        <f>YesterdayGen!GH8</f>
        <v>6237</v>
      </c>
      <c r="D12" s="591">
        <f>YesterdayGen!GI8</f>
        <v>4478</v>
      </c>
      <c r="E12" s="620">
        <f t="shared" si="0"/>
        <v>10715</v>
      </c>
      <c r="F12" s="90"/>
      <c r="G12" s="331"/>
      <c r="S12" s="5494"/>
      <c r="T12" s="629">
        <f>YesterdayGen!E41</f>
        <v>0.375</v>
      </c>
    </row>
    <row r="13" spans="1:54" ht="15">
      <c r="A13" s="623">
        <v>0.1875</v>
      </c>
      <c r="B13" s="595">
        <f>(B12+B14)/2</f>
        <v>491</v>
      </c>
      <c r="C13" s="596">
        <f>C12/2+C14/2</f>
        <v>6263</v>
      </c>
      <c r="D13" s="597">
        <f>D12/2+D14/2</f>
        <v>4467.5</v>
      </c>
      <c r="E13" s="620">
        <f t="shared" si="0"/>
        <v>10730.5</v>
      </c>
      <c r="F13" s="90"/>
      <c r="G13" s="331"/>
      <c r="S13" s="5495" t="s">
        <v>690</v>
      </c>
      <c r="T13" s="1090">
        <f>YesterdayGen!D40</f>
        <v>13227</v>
      </c>
    </row>
    <row r="14" spans="1:54" ht="15">
      <c r="A14" s="621">
        <v>0.20833333333333301</v>
      </c>
      <c r="B14" s="592">
        <f>ABS(EWIC!C11)</f>
        <v>454</v>
      </c>
      <c r="C14" s="590">
        <f>YesterdayGen!GH9</f>
        <v>6289</v>
      </c>
      <c r="D14" s="591">
        <f>YesterdayGen!GI9</f>
        <v>4457</v>
      </c>
      <c r="E14" s="620">
        <f t="shared" si="0"/>
        <v>10746</v>
      </c>
      <c r="F14" s="90"/>
      <c r="G14" s="331"/>
      <c r="S14" s="5496"/>
      <c r="T14" s="630">
        <f>YesterdayGen!E40</f>
        <v>0.875</v>
      </c>
    </row>
    <row r="15" spans="1:54">
      <c r="A15" s="622">
        <v>0.22916666666666699</v>
      </c>
      <c r="B15" s="595">
        <f>(B14+B16)/2</f>
        <v>454</v>
      </c>
      <c r="C15" s="596">
        <f>C14/2+C16/2</f>
        <v>6193</v>
      </c>
      <c r="D15" s="597">
        <f>D14/2+D16/2</f>
        <v>4390</v>
      </c>
      <c r="E15" s="620">
        <f t="shared" si="0"/>
        <v>10583</v>
      </c>
      <c r="F15" s="90"/>
      <c r="G15" s="331"/>
      <c r="S15" s="603"/>
    </row>
    <row r="16" spans="1:54">
      <c r="A16" s="623">
        <v>0.25</v>
      </c>
      <c r="B16" s="592">
        <f>ABS(EWIC!C12)</f>
        <v>454</v>
      </c>
      <c r="C16" s="590">
        <f>YesterdayGen!GH10</f>
        <v>6097</v>
      </c>
      <c r="D16" s="591">
        <f>YesterdayGen!GI10</f>
        <v>4323</v>
      </c>
      <c r="E16" s="620">
        <f t="shared" si="0"/>
        <v>10420</v>
      </c>
      <c r="F16" s="90"/>
      <c r="G16" s="331"/>
    </row>
    <row r="17" spans="1:19">
      <c r="A17" s="621">
        <v>0.27083333333333298</v>
      </c>
      <c r="B17" s="595">
        <f>(B16+B18)/2</f>
        <v>486</v>
      </c>
      <c r="C17" s="596">
        <f>C16/2+C18/2</f>
        <v>6129</v>
      </c>
      <c r="D17" s="597">
        <f>D16/2+D18/2</f>
        <v>4306</v>
      </c>
      <c r="E17" s="620">
        <f t="shared" si="0"/>
        <v>10435</v>
      </c>
      <c r="F17" s="90"/>
      <c r="G17" s="331"/>
    </row>
    <row r="18" spans="1:19">
      <c r="A18" s="623">
        <v>0.29166666666666702</v>
      </c>
      <c r="B18" s="592">
        <f>ABS(EWIC!C13)</f>
        <v>518</v>
      </c>
      <c r="C18" s="590">
        <f>YesterdayGen!GH11</f>
        <v>6161</v>
      </c>
      <c r="D18" s="591">
        <f>YesterdayGen!GI11</f>
        <v>4289</v>
      </c>
      <c r="E18" s="620">
        <f t="shared" si="0"/>
        <v>10450</v>
      </c>
      <c r="F18" s="90"/>
      <c r="G18" s="331"/>
    </row>
    <row r="19" spans="1:19">
      <c r="A19" s="621">
        <v>0.3125</v>
      </c>
      <c r="B19" s="595">
        <f>(B18+B20)/2</f>
        <v>575</v>
      </c>
      <c r="C19" s="596">
        <f>C18/2+C20/2</f>
        <v>6110</v>
      </c>
      <c r="D19" s="597">
        <f>D18/2+D20/2</f>
        <v>4260</v>
      </c>
      <c r="E19" s="620">
        <f t="shared" si="0"/>
        <v>10370</v>
      </c>
      <c r="F19" s="90"/>
      <c r="G19" s="331"/>
      <c r="S19" s="138" t="s">
        <v>642</v>
      </c>
    </row>
    <row r="20" spans="1:19">
      <c r="A20" s="622">
        <v>0.33333333333333298</v>
      </c>
      <c r="B20" s="592">
        <f>ABS(EWIC!C14)</f>
        <v>632</v>
      </c>
      <c r="C20" s="590">
        <f>YesterdayGen!GH12</f>
        <v>6059</v>
      </c>
      <c r="D20" s="591">
        <f>YesterdayGen!GI12</f>
        <v>4231</v>
      </c>
      <c r="E20" s="620">
        <f t="shared" si="0"/>
        <v>10290</v>
      </c>
      <c r="F20" s="90"/>
      <c r="G20" s="331"/>
    </row>
    <row r="21" spans="1:19">
      <c r="A21" s="623">
        <v>0.35416666666666702</v>
      </c>
      <c r="B21" s="595">
        <f>(B20+B22)/2</f>
        <v>771</v>
      </c>
      <c r="C21" s="596">
        <f>C20/2+C22/2</f>
        <v>6061.5</v>
      </c>
      <c r="D21" s="597">
        <f>D20/2+D22/2</f>
        <v>4158</v>
      </c>
      <c r="E21" s="620">
        <f t="shared" si="0"/>
        <v>10219.5</v>
      </c>
      <c r="F21" s="90"/>
      <c r="G21" s="331"/>
    </row>
    <row r="22" spans="1:19">
      <c r="A22" s="621">
        <v>0.375</v>
      </c>
      <c r="B22" s="592">
        <f>ABS(EWIC!C15)</f>
        <v>910</v>
      </c>
      <c r="C22" s="590">
        <f>YesterdayGen!GH13</f>
        <v>6064</v>
      </c>
      <c r="D22" s="591">
        <f>YesterdayGen!GI13</f>
        <v>4085</v>
      </c>
      <c r="E22" s="620">
        <f t="shared" si="0"/>
        <v>10149</v>
      </c>
      <c r="F22" s="90"/>
      <c r="G22" s="331"/>
    </row>
    <row r="23" spans="1:19">
      <c r="A23" s="622">
        <v>0.39583333333333298</v>
      </c>
      <c r="B23" s="595">
        <f>(B22+B24)/2</f>
        <v>996</v>
      </c>
      <c r="C23" s="596">
        <f>C22/2+C24/2</f>
        <v>5993.5</v>
      </c>
      <c r="D23" s="597">
        <f>D22/2+D24/2</f>
        <v>4058.5</v>
      </c>
      <c r="E23" s="620">
        <f t="shared" si="0"/>
        <v>10052</v>
      </c>
      <c r="F23" s="90"/>
      <c r="G23" s="331"/>
    </row>
    <row r="24" spans="1:19">
      <c r="A24" s="623">
        <v>0.41666666666666702</v>
      </c>
      <c r="B24" s="592">
        <f>ABS(EWIC!C16)</f>
        <v>1082</v>
      </c>
      <c r="C24" s="590">
        <f>YesterdayGen!GH14</f>
        <v>5923</v>
      </c>
      <c r="D24" s="591">
        <f>YesterdayGen!GI14</f>
        <v>4032</v>
      </c>
      <c r="E24" s="620">
        <f t="shared" si="0"/>
        <v>9955</v>
      </c>
      <c r="F24" s="90"/>
      <c r="G24" s="331"/>
    </row>
    <row r="25" spans="1:19">
      <c r="A25" s="621">
        <v>0.4375</v>
      </c>
      <c r="B25" s="595">
        <f>(B24+B26)/2</f>
        <v>1030</v>
      </c>
      <c r="C25" s="596">
        <f>C24/2+C26/2</f>
        <v>5981.5</v>
      </c>
      <c r="D25" s="597">
        <f>D24/2+D26/2</f>
        <v>4047</v>
      </c>
      <c r="E25" s="620">
        <f t="shared" si="0"/>
        <v>10028.5</v>
      </c>
      <c r="F25" s="90"/>
      <c r="G25" s="331"/>
    </row>
    <row r="26" spans="1:19">
      <c r="A26" s="622">
        <v>0.45833333333333298</v>
      </c>
      <c r="B26" s="592">
        <f>ABS(EWIC!C17)</f>
        <v>978</v>
      </c>
      <c r="C26" s="590">
        <f>YesterdayGen!GH15</f>
        <v>6040</v>
      </c>
      <c r="D26" s="591">
        <f>YesterdayGen!GI15</f>
        <v>4062</v>
      </c>
      <c r="E26" s="620">
        <f t="shared" si="0"/>
        <v>10102</v>
      </c>
      <c r="F26" s="90"/>
      <c r="G26" s="331"/>
    </row>
    <row r="27" spans="1:19">
      <c r="A27" s="623">
        <v>0.47916666666666702</v>
      </c>
      <c r="B27" s="595">
        <f>(B26+B28)/2</f>
        <v>961</v>
      </c>
      <c r="C27" s="596">
        <f>C26/2+C28/2</f>
        <v>5982.5</v>
      </c>
      <c r="D27" s="597">
        <f>D26/2+D28/2</f>
        <v>4024</v>
      </c>
      <c r="E27" s="620">
        <f t="shared" si="0"/>
        <v>10006.5</v>
      </c>
      <c r="F27" s="90"/>
      <c r="G27" s="331"/>
    </row>
    <row r="28" spans="1:19">
      <c r="A28" s="621">
        <v>0.5</v>
      </c>
      <c r="B28" s="592">
        <f>ABS(EWIC!C18)</f>
        <v>944</v>
      </c>
      <c r="C28" s="590">
        <f>YesterdayGen!GH16</f>
        <v>5925</v>
      </c>
      <c r="D28" s="591">
        <f>YesterdayGen!GI16</f>
        <v>3986</v>
      </c>
      <c r="E28" s="620">
        <f t="shared" si="0"/>
        <v>9911</v>
      </c>
      <c r="F28" s="90"/>
      <c r="G28" s="331"/>
    </row>
    <row r="29" spans="1:19">
      <c r="A29" s="622">
        <v>0.52083333333333304</v>
      </c>
      <c r="B29" s="595">
        <f>(B28+B30)/2</f>
        <v>924</v>
      </c>
      <c r="C29" s="596">
        <f>C28/2+C30/2</f>
        <v>6070</v>
      </c>
      <c r="D29" s="597">
        <f>D28/2+D30/2</f>
        <v>3973.5</v>
      </c>
      <c r="E29" s="620">
        <f t="shared" si="0"/>
        <v>10043.5</v>
      </c>
      <c r="F29" s="90"/>
      <c r="G29" s="331"/>
    </row>
    <row r="30" spans="1:19">
      <c r="A30" s="623">
        <v>0.54166666666666696</v>
      </c>
      <c r="B30" s="592">
        <f>ABS(EWIC!C19)</f>
        <v>904</v>
      </c>
      <c r="C30" s="590">
        <f>YesterdayGen!GH17</f>
        <v>6215</v>
      </c>
      <c r="D30" s="591">
        <f>YesterdayGen!GI17</f>
        <v>3961</v>
      </c>
      <c r="E30" s="620">
        <f t="shared" si="0"/>
        <v>10176</v>
      </c>
      <c r="F30" s="90"/>
      <c r="G30" s="331"/>
    </row>
    <row r="31" spans="1:19">
      <c r="A31" s="621">
        <v>0.5625</v>
      </c>
      <c r="B31" s="595">
        <f>(B30+B32)/2</f>
        <v>883</v>
      </c>
      <c r="C31" s="596">
        <f>C30/2+C32/2</f>
        <v>6312.5</v>
      </c>
      <c r="D31" s="597">
        <f>D30/2+D32/2</f>
        <v>3946</v>
      </c>
      <c r="E31" s="620">
        <f t="shared" si="0"/>
        <v>10258.5</v>
      </c>
      <c r="F31" s="1"/>
      <c r="G31" s="331"/>
    </row>
    <row r="32" spans="1:19">
      <c r="A32" s="623">
        <v>0.58333333333333304</v>
      </c>
      <c r="B32" s="592">
        <f>ABS(EWIC!C20)</f>
        <v>862</v>
      </c>
      <c r="C32" s="590">
        <f>YesterdayGen!GH18</f>
        <v>6410</v>
      </c>
      <c r="D32" s="591">
        <f>YesterdayGen!GI18</f>
        <v>3931</v>
      </c>
      <c r="E32" s="620">
        <f t="shared" si="0"/>
        <v>10341</v>
      </c>
      <c r="F32" s="1"/>
      <c r="G32" s="331"/>
    </row>
    <row r="33" spans="1:17">
      <c r="A33" s="621">
        <v>0.60416666666666696</v>
      </c>
      <c r="B33" s="595">
        <f>(B32+B34)/2</f>
        <v>963</v>
      </c>
      <c r="C33" s="596">
        <f>C32/2+C34/2</f>
        <v>6503.5</v>
      </c>
      <c r="D33" s="597">
        <f>D32/2+D34/2</f>
        <v>3895</v>
      </c>
      <c r="E33" s="620">
        <f t="shared" si="0"/>
        <v>10398.5</v>
      </c>
      <c r="F33" s="1"/>
      <c r="G33" s="331"/>
    </row>
    <row r="34" spans="1:17">
      <c r="A34" s="622">
        <v>0.625</v>
      </c>
      <c r="B34" s="592">
        <f>ABS(EWIC!C21)</f>
        <v>1064</v>
      </c>
      <c r="C34" s="590">
        <f>YesterdayGen!GH19</f>
        <v>6597</v>
      </c>
      <c r="D34" s="591">
        <f>YesterdayGen!GI19</f>
        <v>3859</v>
      </c>
      <c r="E34" s="620">
        <f t="shared" si="0"/>
        <v>10456</v>
      </c>
      <c r="F34" s="1"/>
      <c r="G34" s="331"/>
    </row>
    <row r="35" spans="1:17">
      <c r="A35" s="623">
        <v>0.64583333333333304</v>
      </c>
      <c r="B35" s="595">
        <f>(B34+B36)/2</f>
        <v>1044</v>
      </c>
      <c r="C35" s="596">
        <f>C34/2+C36/2</f>
        <v>6540</v>
      </c>
      <c r="D35" s="597">
        <f>D34/2+D36/2</f>
        <v>3909</v>
      </c>
      <c r="E35" s="620">
        <f t="shared" si="0"/>
        <v>10449</v>
      </c>
      <c r="F35" s="1"/>
      <c r="G35" s="331"/>
    </row>
    <row r="36" spans="1:17" ht="18">
      <c r="A36" s="621">
        <v>0.66666666666666696</v>
      </c>
      <c r="B36" s="592">
        <f>ABS(EWIC!C22)</f>
        <v>1024</v>
      </c>
      <c r="C36" s="590">
        <f>YesterdayGen!GH20</f>
        <v>6483</v>
      </c>
      <c r="D36" s="591">
        <f>YesterdayGen!GI20</f>
        <v>3959</v>
      </c>
      <c r="E36" s="620">
        <f t="shared" si="0"/>
        <v>10442</v>
      </c>
      <c r="F36" s="612"/>
      <c r="G36" s="331"/>
      <c r="O36" s="331"/>
      <c r="P36" s="524"/>
      <c r="Q36" s="524"/>
    </row>
    <row r="37" spans="1:17" ht="18">
      <c r="A37" s="622">
        <v>0.6875</v>
      </c>
      <c r="B37" s="595">
        <f>(B36+B38)/2</f>
        <v>1012</v>
      </c>
      <c r="C37" s="596">
        <f>C36/2+C38/2</f>
        <v>6610</v>
      </c>
      <c r="D37" s="597">
        <f>D36/2+D38/2</f>
        <v>4013.5</v>
      </c>
      <c r="E37" s="620">
        <f t="shared" si="0"/>
        <v>10623.5</v>
      </c>
      <c r="F37" s="613"/>
      <c r="G37" s="331"/>
      <c r="Q37" s="525"/>
    </row>
    <row r="38" spans="1:17">
      <c r="A38" s="623">
        <v>0.70833333333333304</v>
      </c>
      <c r="B38" s="592">
        <f>ABS(EWIC!C23)</f>
        <v>1000</v>
      </c>
      <c r="C38" s="590">
        <f>YesterdayGen!GH21</f>
        <v>6737</v>
      </c>
      <c r="D38" s="591">
        <f>YesterdayGen!GI21</f>
        <v>4068</v>
      </c>
      <c r="E38" s="620">
        <f t="shared" si="0"/>
        <v>10805</v>
      </c>
      <c r="F38" s="608"/>
      <c r="G38" s="331"/>
      <c r="Q38" s="331"/>
    </row>
    <row r="39" spans="1:17">
      <c r="A39" s="621">
        <v>0.72916666666666696</v>
      </c>
      <c r="B39" s="595">
        <f>(B38+B40)/2</f>
        <v>978</v>
      </c>
      <c r="C39" s="596">
        <f>C38/2+C40/2</f>
        <v>6857.5</v>
      </c>
      <c r="D39" s="597">
        <f>D38/2+D40/2</f>
        <v>4135</v>
      </c>
      <c r="E39" s="620">
        <f t="shared" si="0"/>
        <v>10992.5</v>
      </c>
      <c r="F39" s="608"/>
      <c r="G39" s="331"/>
    </row>
    <row r="40" spans="1:17">
      <c r="A40" s="622">
        <v>0.75</v>
      </c>
      <c r="B40" s="592">
        <f>ABS(EWIC!C24)</f>
        <v>956</v>
      </c>
      <c r="C40" s="590">
        <f>YesterdayGen!GH22</f>
        <v>6978</v>
      </c>
      <c r="D40" s="591">
        <f>YesterdayGen!GI22</f>
        <v>4202</v>
      </c>
      <c r="E40" s="620">
        <f t="shared" si="0"/>
        <v>11180</v>
      </c>
      <c r="F40" s="608"/>
      <c r="G40" s="331"/>
    </row>
    <row r="41" spans="1:17">
      <c r="A41" s="621">
        <v>0.77083333333333304</v>
      </c>
      <c r="B41" s="594">
        <f>B40/2+B42/2</f>
        <v>875</v>
      </c>
      <c r="C41" s="598">
        <f>C40/2+C42/2</f>
        <v>7307.5</v>
      </c>
      <c r="D41" s="599">
        <f>D40/2+D42/2</f>
        <v>4292</v>
      </c>
      <c r="E41" s="620">
        <f t="shared" si="0"/>
        <v>11599.5</v>
      </c>
      <c r="F41" s="608"/>
      <c r="G41" s="331"/>
    </row>
    <row r="42" spans="1:17">
      <c r="A42" s="622">
        <v>0.79166666666666596</v>
      </c>
      <c r="B42" s="592">
        <f>ABS(EWIC!C26)</f>
        <v>794</v>
      </c>
      <c r="C42" s="590">
        <f>YesterdayGen!GH24</f>
        <v>7637</v>
      </c>
      <c r="D42" s="591">
        <f>YesterdayGen!GI24</f>
        <v>4382</v>
      </c>
      <c r="E42" s="620">
        <f t="shared" si="0"/>
        <v>12019</v>
      </c>
      <c r="F42" s="608"/>
      <c r="G42" s="331"/>
    </row>
    <row r="43" spans="1:17">
      <c r="A43" s="622">
        <v>0.8125</v>
      </c>
      <c r="B43" s="593">
        <f>ABS(EWIC!C27)</f>
        <v>754</v>
      </c>
      <c r="C43" s="590">
        <f>YesterdayGen!GH25</f>
        <v>7765</v>
      </c>
      <c r="D43" s="591">
        <f>YesterdayGen!GI25</f>
        <v>4721</v>
      </c>
      <c r="E43" s="620">
        <f t="shared" si="0"/>
        <v>12486</v>
      </c>
      <c r="F43" s="608"/>
      <c r="G43" s="331"/>
    </row>
    <row r="44" spans="1:17" ht="15">
      <c r="A44" s="623">
        <v>0.83333333333333337</v>
      </c>
      <c r="B44" s="592">
        <f>ABS(EWIC!C28)</f>
        <v>772</v>
      </c>
      <c r="C44" s="590">
        <f>YesterdayGen!GH26</f>
        <v>7821</v>
      </c>
      <c r="D44" s="591">
        <f>YesterdayGen!GI26</f>
        <v>4869</v>
      </c>
      <c r="E44" s="620">
        <f t="shared" si="0"/>
        <v>12690</v>
      </c>
      <c r="F44" s="608"/>
      <c r="G44" s="331"/>
      <c r="O44" s="526" t="s">
        <v>635</v>
      </c>
      <c r="P44" s="527"/>
    </row>
    <row r="45" spans="1:17">
      <c r="A45" s="621">
        <v>0.85416666666666696</v>
      </c>
      <c r="B45" s="595">
        <f>(B44+B46)/2</f>
        <v>754</v>
      </c>
      <c r="C45" s="596">
        <f>C44/2+C46/2</f>
        <v>8077</v>
      </c>
      <c r="D45" s="597">
        <f>D44/2+D46/2</f>
        <v>4881.5</v>
      </c>
      <c r="E45" s="620">
        <f t="shared" si="0"/>
        <v>12958.5</v>
      </c>
      <c r="F45" s="608"/>
      <c r="G45" s="331"/>
      <c r="O45" s="526" t="s">
        <v>377</v>
      </c>
      <c r="P45" s="528"/>
    </row>
    <row r="46" spans="1:17" ht="15.75">
      <c r="A46" s="623">
        <v>0.875</v>
      </c>
      <c r="B46" s="592">
        <f>ABS(EWIC!C29)</f>
        <v>736</v>
      </c>
      <c r="C46" s="590">
        <f>YesterdayGen!GH27</f>
        <v>8333</v>
      </c>
      <c r="D46" s="591">
        <f>YesterdayGen!GI27</f>
        <v>4894</v>
      </c>
      <c r="E46" s="620">
        <f t="shared" si="0"/>
        <v>13227</v>
      </c>
      <c r="F46" s="608"/>
      <c r="G46" s="331"/>
      <c r="O46" s="437"/>
    </row>
    <row r="47" spans="1:17">
      <c r="A47" s="621">
        <v>0.89583333333333304</v>
      </c>
      <c r="B47" s="595">
        <f>(B46+B48)/2</f>
        <v>799</v>
      </c>
      <c r="C47" s="596">
        <f>C46/2+C48/2</f>
        <v>8307</v>
      </c>
      <c r="D47" s="597">
        <f>D46/2+D48/2</f>
        <v>4918</v>
      </c>
      <c r="E47" s="620">
        <f t="shared" si="0"/>
        <v>13225</v>
      </c>
      <c r="F47" s="608"/>
      <c r="G47" s="331"/>
    </row>
    <row r="48" spans="1:17" ht="15">
      <c r="A48" s="622">
        <v>0.91666666666666696</v>
      </c>
      <c r="B48" s="592">
        <f>ABS(EWIC!C30)</f>
        <v>862</v>
      </c>
      <c r="C48" s="590">
        <f>YesterdayGen!GH28</f>
        <v>8281</v>
      </c>
      <c r="D48" s="591">
        <f>YesterdayGen!GI28</f>
        <v>4942</v>
      </c>
      <c r="E48" s="620">
        <f t="shared" si="0"/>
        <v>13223</v>
      </c>
      <c r="F48" s="608"/>
      <c r="G48" s="331"/>
      <c r="P48" s="218" t="s">
        <v>643</v>
      </c>
    </row>
    <row r="49" spans="1:12" ht="15.75">
      <c r="A49" s="623">
        <v>0.9375</v>
      </c>
      <c r="B49" s="595">
        <f>(B48+B50)/2</f>
        <v>902</v>
      </c>
      <c r="C49" s="596">
        <f>C48/2+C50/2</f>
        <v>8249</v>
      </c>
      <c r="D49" s="597">
        <f>D48/2+D50/2</f>
        <v>4859.5</v>
      </c>
      <c r="E49" s="620">
        <f t="shared" si="0"/>
        <v>13108.5</v>
      </c>
      <c r="F49" s="608"/>
      <c r="G49" s="331"/>
      <c r="L49" s="437"/>
    </row>
    <row r="50" spans="1:12">
      <c r="A50" s="621">
        <v>0.95833333333333304</v>
      </c>
      <c r="B50" s="592">
        <f>ABS(EWIC!C31)</f>
        <v>942</v>
      </c>
      <c r="C50" s="590">
        <f>YesterdayGen!GH29</f>
        <v>8217</v>
      </c>
      <c r="D50" s="591">
        <f>YesterdayGen!GI29</f>
        <v>4777</v>
      </c>
      <c r="E50" s="620">
        <f t="shared" si="0"/>
        <v>12994</v>
      </c>
      <c r="F50" s="608"/>
      <c r="G50" s="331"/>
    </row>
    <row r="51" spans="1:12">
      <c r="A51" s="622">
        <v>0.97916666666666696</v>
      </c>
      <c r="B51" s="595">
        <f>(B50+B52)/2</f>
        <v>969</v>
      </c>
      <c r="C51" s="596">
        <f>C50/2+C52/2</f>
        <v>7836</v>
      </c>
      <c r="D51" s="597">
        <f>D50/2+D52/2</f>
        <v>4740.5</v>
      </c>
      <c r="E51" s="620">
        <f t="shared" si="0"/>
        <v>12576.5</v>
      </c>
      <c r="F51" s="608"/>
      <c r="G51" s="331"/>
    </row>
    <row r="52" spans="1:12">
      <c r="A52" s="624" t="s">
        <v>24</v>
      </c>
      <c r="B52" s="592">
        <f>ABS(EWIC!C32)</f>
        <v>996</v>
      </c>
      <c r="C52" s="590">
        <f>YesterdayGen!GH30</f>
        <v>7455</v>
      </c>
      <c r="D52" s="591">
        <f>YesterdayGen!GI30</f>
        <v>4704</v>
      </c>
      <c r="E52" s="620">
        <f t="shared" si="0"/>
        <v>12159</v>
      </c>
      <c r="F52" s="608"/>
      <c r="G52" s="331"/>
    </row>
    <row r="53" spans="1:12" ht="15" thickBot="1">
      <c r="A53" s="625"/>
      <c r="B53" s="626"/>
      <c r="C53" s="626"/>
      <c r="D53" s="626"/>
      <c r="E53" s="627"/>
      <c r="F53" s="481"/>
      <c r="G53" s="331"/>
    </row>
    <row r="54" spans="1:12">
      <c r="A54" s="603"/>
      <c r="B54" s="604"/>
      <c r="C54" s="605"/>
      <c r="D54" s="605"/>
      <c r="E54" s="606"/>
      <c r="F54" s="481"/>
      <c r="G54" s="331"/>
    </row>
    <row r="55" spans="1:12">
      <c r="A55" s="603"/>
      <c r="B55" s="604"/>
      <c r="C55" s="605"/>
      <c r="D55" s="605"/>
      <c r="E55" s="606"/>
      <c r="F55" s="481"/>
      <c r="G55" s="331"/>
    </row>
    <row r="56" spans="1:12">
      <c r="A56" s="331"/>
      <c r="B56" s="331"/>
      <c r="C56" s="331"/>
      <c r="D56" s="331"/>
      <c r="E56" s="331"/>
      <c r="F56" s="481"/>
      <c r="G56" s="331"/>
    </row>
    <row r="57" spans="1:12">
      <c r="A57" s="331"/>
      <c r="B57" s="331"/>
      <c r="C57" s="607"/>
      <c r="D57" s="607"/>
      <c r="E57" s="607"/>
      <c r="F57" s="608"/>
      <c r="G57" s="331"/>
    </row>
    <row r="58" spans="1:12">
      <c r="A58" s="331"/>
      <c r="B58" s="331"/>
      <c r="C58" s="609"/>
      <c r="D58" s="610"/>
      <c r="E58" s="609"/>
      <c r="F58" s="610"/>
      <c r="G58" s="331"/>
    </row>
    <row r="59" spans="1:12">
      <c r="A59" s="331"/>
      <c r="B59" s="331"/>
      <c r="C59" s="607"/>
      <c r="D59" s="607"/>
      <c r="E59" s="606"/>
      <c r="F59" s="606"/>
      <c r="G59" s="331"/>
    </row>
    <row r="60" spans="1:12">
      <c r="A60" s="331"/>
      <c r="B60" s="331"/>
      <c r="C60" s="607"/>
      <c r="D60" s="607"/>
      <c r="E60" s="606"/>
      <c r="F60" s="606"/>
      <c r="G60" s="331"/>
    </row>
    <row r="61" spans="1:12">
      <c r="A61" s="331"/>
      <c r="B61" s="331"/>
      <c r="C61" s="607"/>
      <c r="D61" s="607"/>
      <c r="E61" s="606"/>
      <c r="F61" s="606"/>
      <c r="G61" s="331"/>
    </row>
    <row r="62" spans="1:12">
      <c r="A62" s="331"/>
      <c r="B62" s="331"/>
      <c r="C62" s="607"/>
      <c r="D62" s="607"/>
      <c r="E62" s="606"/>
      <c r="F62" s="606"/>
      <c r="G62" s="331"/>
    </row>
    <row r="63" spans="1:12">
      <c r="A63" s="331"/>
      <c r="B63" s="331"/>
      <c r="C63" s="607"/>
      <c r="D63" s="607"/>
      <c r="E63" s="606"/>
      <c r="F63" s="606"/>
      <c r="G63" s="331"/>
    </row>
    <row r="64" spans="1:12">
      <c r="A64" s="331"/>
      <c r="B64" s="331"/>
      <c r="C64" s="607"/>
      <c r="D64" s="607"/>
      <c r="E64" s="607"/>
      <c r="F64" s="608"/>
      <c r="G64" s="331"/>
    </row>
    <row r="65" spans="1:7">
      <c r="A65" s="331"/>
      <c r="B65" s="331"/>
      <c r="C65" s="607"/>
      <c r="D65" s="607"/>
      <c r="E65" s="607"/>
      <c r="F65" s="608"/>
      <c r="G65" s="331"/>
    </row>
    <row r="66" spans="1:7">
      <c r="A66" s="331"/>
      <c r="B66" s="331"/>
      <c r="C66" s="607"/>
      <c r="D66" s="607"/>
      <c r="E66" s="607"/>
      <c r="F66" s="608"/>
      <c r="G66" s="331"/>
    </row>
    <row r="67" spans="1:7">
      <c r="A67" s="331"/>
      <c r="B67" s="331"/>
      <c r="C67" s="608"/>
      <c r="D67" s="607"/>
      <c r="E67" s="606"/>
      <c r="F67" s="608"/>
      <c r="G67" s="331"/>
    </row>
    <row r="68" spans="1:7">
      <c r="A68" s="331"/>
      <c r="B68" s="331"/>
      <c r="C68" s="608"/>
      <c r="D68" s="607"/>
      <c r="E68" s="606"/>
      <c r="F68" s="608"/>
      <c r="G68" s="331"/>
    </row>
    <row r="69" spans="1:7">
      <c r="A69" s="331"/>
      <c r="B69" s="331"/>
      <c r="C69" s="608"/>
      <c r="D69" s="607"/>
      <c r="E69" s="606"/>
      <c r="F69" s="608"/>
      <c r="G69" s="331"/>
    </row>
    <row r="70" spans="1:7">
      <c r="A70" s="331"/>
      <c r="B70" s="331"/>
      <c r="C70" s="608"/>
      <c r="D70" s="607"/>
      <c r="E70" s="606"/>
      <c r="F70" s="608"/>
      <c r="G70" s="331"/>
    </row>
    <row r="71" spans="1:7">
      <c r="A71" s="331"/>
      <c r="B71" s="331"/>
      <c r="C71" s="608"/>
      <c r="D71" s="607"/>
      <c r="E71" s="606"/>
      <c r="F71" s="608"/>
      <c r="G71" s="331"/>
    </row>
  </sheetData>
  <customSheetViews>
    <customSheetView guid="{751D391F-C74F-4B53-B5B5-25E01AC12EA4}" showPageBreaks="1" printArea="1" topLeftCell="D3">
      <selection activeCell="T9" sqref="T9:T14"/>
      <pageMargins left="0.18" right="0.24" top="0.18" bottom="0.17" header="0.4" footer="0.17"/>
      <pageSetup paperSize="9" scale="95" orientation="portrait" r:id="rId1"/>
    </customSheetView>
    <customSheetView guid="{5A803268-F6C5-4035-B3E1-A94CB9AA8994}" showPageBreaks="1" printArea="1" topLeftCell="L1">
      <selection activeCell="T9" sqref="T9:T14"/>
      <pageMargins left="0.18" right="0.24" top="0.18" bottom="0.17" header="0.4" footer="0.17"/>
      <pageSetup paperSize="9" scale="95" orientation="portrait" r:id="rId2"/>
    </customSheetView>
    <customSheetView guid="{917057C8-5E5F-4164-B84C-85103677A2E5}">
      <selection activeCell="T9" sqref="T9:T14"/>
      <pageMargins left="0.18" right="0.24" top="0.18" bottom="0.17" header="0.4" footer="0.17"/>
      <pageSetup paperSize="9" scale="95" orientation="portrait" r:id="rId3"/>
    </customSheetView>
    <customSheetView guid="{4593F3EE-0998-4E0E-994A-E02D6BAF3A4B}" showPageBreaks="1" printArea="1" topLeftCell="K1">
      <selection activeCell="T9" sqref="T9:T14"/>
      <pageMargins left="0.18" right="0.24" top="0.18" bottom="0.17" header="0.4" footer="0.17"/>
      <pageSetup paperSize="9" scale="95" orientation="portrait" r:id="rId4"/>
    </customSheetView>
    <customSheetView guid="{23F4DC00-BC97-4745-AA5C-F05D469CB1EF}" showPageBreaks="1" printArea="1" topLeftCell="D3">
      <selection activeCell="T9" sqref="T9:T14"/>
      <pageMargins left="0.18" right="0.24" top="0.18" bottom="0.17" header="0.4" footer="0.17"/>
      <pageSetup paperSize="9" scale="95" orientation="portrait" r:id="rId5"/>
    </customSheetView>
    <customSheetView guid="{B91C2E87-5EDA-40AE-AC27-0E2C17E803CE}" showPageBreaks="1" printArea="1" hiddenColumns="1" topLeftCell="J1">
      <selection activeCell="T9" sqref="T9:T14"/>
      <pageMargins left="0.18" right="0.24" top="0.18" bottom="0.17" header="0.4" footer="0.17"/>
      <pageSetup paperSize="9" scale="95" orientation="portrait" r:id="rId6"/>
    </customSheetView>
    <customSheetView guid="{7C71EF2A-5ADA-494C-8F58-DDA71753DD90}" showPageBreaks="1" printArea="1" topLeftCell="D3">
      <selection activeCell="B32" sqref="B32"/>
      <pageMargins left="0.18" right="0.24" top="0.18" bottom="0.17" header="0.4" footer="0.17"/>
      <pageSetup paperSize="9" scale="95" orientation="portrait" r:id="rId7"/>
    </customSheetView>
    <customSheetView guid="{4DB6C640-CE65-4513-9E5A-F6CDD1F4B8AF}" showPageBreaks="1">
      <selection activeCell="T9" sqref="T9:T14"/>
      <pageMargins left="0.18" right="0.24" top="0.18" bottom="0.17" header="0.4" footer="0.17"/>
      <pageSetup paperSize="9" scale="95" orientation="portrait" r:id="rId8"/>
    </customSheetView>
    <customSheetView guid="{D1D1E152-95AB-45D3-AC07-4EC0834D3E0C}" topLeftCell="D3">
      <selection activeCell="T9" sqref="T9:T14"/>
      <pageMargins left="0.18" right="0.24" top="0.18" bottom="0.17" header="0.4" footer="0.17"/>
      <pageSetup paperSize="9" scale="95" orientation="portrait" r:id="rId9"/>
    </customSheetView>
    <customSheetView guid="{C3348F62-02F2-4500-9BF2-19F2DEA57A8D}" showPageBreaks="1" printArea="1">
      <selection activeCell="T9" sqref="T9:T14"/>
      <pageMargins left="0.18" right="0.24" top="0.18" bottom="0.17" header="0.4" footer="0.17"/>
      <pageSetup paperSize="9" scale="95" orientation="portrait" r:id="rId10"/>
    </customSheetView>
  </customSheetViews>
  <mergeCells count="5">
    <mergeCell ref="S11:S12"/>
    <mergeCell ref="S13:S14"/>
    <mergeCell ref="H1:Q1"/>
    <mergeCell ref="O4:P4"/>
    <mergeCell ref="S9:S10"/>
  </mergeCells>
  <pageMargins left="0.18" right="0.24" top="0.18" bottom="0.17" header="0.4" footer="0.17"/>
  <pageSetup paperSize="9" scale="95" orientation="portrait" r:id="rId11"/>
  <drawing r:id="rId1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0909F7"/>
  </sheetPr>
  <dimension ref="A1:BD71"/>
  <sheetViews>
    <sheetView topLeftCell="Q30" zoomScale="85" zoomScaleSheetLayoutView="83" zoomScalePageLayoutView="70" workbookViewId="0">
      <selection activeCell="T53" sqref="T53"/>
    </sheetView>
  </sheetViews>
  <sheetFormatPr defaultColWidth="9.140625" defaultRowHeight="14.25"/>
  <cols>
    <col min="1" max="1" width="9.140625" style="138"/>
    <col min="2" max="2" width="11" style="138" customWidth="1"/>
    <col min="3" max="3" width="9.140625" style="138" customWidth="1"/>
    <col min="4" max="5" width="10.85546875" style="138" customWidth="1"/>
    <col min="6" max="6" width="11.7109375" style="138" customWidth="1"/>
    <col min="7" max="7" width="9" style="138" customWidth="1"/>
    <col min="8" max="8" width="9.140625" style="138" customWidth="1"/>
    <col min="9" max="9" width="11.5703125" style="138" customWidth="1"/>
    <col min="10" max="10" width="12" style="138" bestFit="1" customWidth="1"/>
    <col min="11" max="11" width="12.28515625" style="138" customWidth="1"/>
    <col min="12" max="12" width="10.140625" style="138" customWidth="1"/>
    <col min="13" max="13" width="13.42578125" style="138" customWidth="1"/>
    <col min="14" max="14" width="9.140625" style="138"/>
    <col min="15" max="15" width="2" style="138" customWidth="1"/>
    <col min="16" max="16" width="3.85546875" style="138" customWidth="1"/>
    <col min="17" max="17" width="9.28515625" style="138" customWidth="1"/>
    <col min="18" max="18" width="22.140625" style="138" bestFit="1" customWidth="1"/>
    <col min="19" max="19" width="13.42578125" style="138" customWidth="1"/>
    <col min="20" max="20" width="9.140625" style="138"/>
    <col min="21" max="21" width="12.7109375" style="138" customWidth="1"/>
    <col min="22" max="22" width="17.5703125" style="138" customWidth="1"/>
    <col min="23" max="23" width="11.5703125" style="138" customWidth="1"/>
    <col min="24" max="25" width="9.140625" style="138"/>
    <col min="26" max="26" width="9.140625" style="138" customWidth="1"/>
    <col min="27" max="27" width="7" style="138" customWidth="1"/>
    <col min="28" max="28" width="5.28515625" style="138" customWidth="1"/>
    <col min="29" max="29" width="20.5703125" style="138" customWidth="1"/>
    <col min="30" max="38" width="9.140625" style="138"/>
    <col min="39" max="39" width="43.7109375" style="138" customWidth="1"/>
    <col min="40" max="54" width="9.140625" style="138"/>
    <col min="55" max="55" width="22.7109375" style="138" customWidth="1"/>
    <col min="56" max="56" width="10.85546875" style="138" customWidth="1"/>
    <col min="57" max="16384" width="9.140625" style="138"/>
  </cols>
  <sheetData>
    <row r="1" spans="1:56" ht="15.75">
      <c r="Q1" s="472" t="s">
        <v>623</v>
      </c>
      <c r="R1" s="472"/>
      <c r="S1" s="472"/>
      <c r="T1" s="473" t="s">
        <v>307</v>
      </c>
      <c r="U1" s="473"/>
      <c r="V1" s="473"/>
      <c r="W1" s="473"/>
      <c r="X1" s="472"/>
      <c r="Y1" s="472"/>
      <c r="Z1" s="442"/>
      <c r="AA1" s="474"/>
    </row>
    <row r="2" spans="1:56" ht="24.75" customHeight="1">
      <c r="M2"/>
      <c r="Q2" s="475" t="s">
        <v>18</v>
      </c>
      <c r="R2" s="475"/>
      <c r="S2" s="172" t="s">
        <v>624</v>
      </c>
      <c r="V2" s="438"/>
      <c r="W2" s="476"/>
      <c r="X2" s="477"/>
      <c r="Y2" s="478"/>
      <c r="Z2" s="442"/>
      <c r="AA2" s="474"/>
    </row>
    <row r="3" spans="1:56" ht="15.75">
      <c r="A3" s="331" t="s">
        <v>19</v>
      </c>
      <c r="B3" s="479">
        <f>YesterdayGen!A2</f>
        <v>43318</v>
      </c>
      <c r="C3" s="480"/>
      <c r="D3" s="331" t="s">
        <v>453</v>
      </c>
      <c r="E3" s="331"/>
      <c r="F3" s="481">
        <f>YesterdayGen!GJ31</f>
        <v>268039474</v>
      </c>
      <c r="G3" s="481"/>
      <c r="H3" s="331"/>
      <c r="I3" s="331"/>
      <c r="J3" s="331"/>
      <c r="K3" s="130"/>
      <c r="L3" s="550"/>
      <c r="M3" s="550"/>
      <c r="N3" s="550"/>
      <c r="Q3" s="482"/>
      <c r="R3" s="482"/>
      <c r="S3" s="482"/>
      <c r="T3" s="441"/>
      <c r="U3" s="441"/>
      <c r="V3" s="483"/>
      <c r="W3" s="482"/>
      <c r="X3" s="482"/>
      <c r="Y3" s="482"/>
      <c r="Z3" s="442"/>
      <c r="AA3" s="474"/>
    </row>
    <row r="4" spans="1:56" ht="20.25">
      <c r="A4" s="943"/>
      <c r="B4" s="944"/>
      <c r="C4" s="944"/>
      <c r="D4" s="944"/>
      <c r="E4" s="944"/>
      <c r="F4" s="944"/>
      <c r="G4" s="944"/>
      <c r="H4" s="944"/>
      <c r="I4" s="944"/>
      <c r="J4" s="944"/>
      <c r="K4" s="944"/>
      <c r="L4" s="945"/>
      <c r="M4" s="2651"/>
      <c r="N4" s="130"/>
      <c r="Q4" s="484"/>
      <c r="R4" s="895">
        <f>B3</f>
        <v>43318</v>
      </c>
      <c r="S4" s="485"/>
      <c r="T4" s="485"/>
      <c r="U4" s="485"/>
      <c r="V4" s="485"/>
      <c r="W4" s="485"/>
      <c r="X4" s="442"/>
      <c r="Y4" s="5502" t="s">
        <v>641</v>
      </c>
      <c r="Z4" s="5502"/>
      <c r="AA4" s="486"/>
      <c r="BC4" s="1051" t="s">
        <v>779</v>
      </c>
      <c r="BD4" s="1051">
        <v>188</v>
      </c>
    </row>
    <row r="5" spans="1:56" ht="15.75">
      <c r="A5" s="581" t="s">
        <v>626</v>
      </c>
      <c r="B5" s="551" t="s">
        <v>627</v>
      </c>
      <c r="C5" s="552" t="s">
        <v>628</v>
      </c>
      <c r="D5" s="553" t="s">
        <v>629</v>
      </c>
      <c r="E5" s="553" t="s">
        <v>1251</v>
      </c>
      <c r="F5" s="554" t="s">
        <v>1248</v>
      </c>
      <c r="G5" s="555" t="s">
        <v>630</v>
      </c>
      <c r="H5" s="556" t="s">
        <v>631</v>
      </c>
      <c r="I5" s="556" t="s">
        <v>1249</v>
      </c>
      <c r="J5" s="557" t="s">
        <v>1250</v>
      </c>
      <c r="K5" s="558" t="s">
        <v>695</v>
      </c>
      <c r="L5" s="559" t="s">
        <v>1189</v>
      </c>
      <c r="M5" s="2652" t="s">
        <v>632</v>
      </c>
      <c r="N5" s="130"/>
      <c r="O5" s="487"/>
      <c r="P5" s="487"/>
      <c r="Q5" s="488"/>
      <c r="R5" s="489"/>
      <c r="S5" s="490"/>
      <c r="T5" s="488"/>
      <c r="X5" s="491"/>
      <c r="Y5" s="488"/>
      <c r="Z5" s="442"/>
      <c r="AA5" s="474"/>
      <c r="BC5" s="1051" t="s">
        <v>780</v>
      </c>
      <c r="BD5" s="1051">
        <v>18</v>
      </c>
    </row>
    <row r="6" spans="1:56" ht="15.75">
      <c r="A6" s="560">
        <v>0</v>
      </c>
      <c r="B6" s="561">
        <f>YesterdayGen!GK30</f>
        <v>3598</v>
      </c>
      <c r="C6" s="562">
        <f>YesterdayGen!GL30</f>
        <v>909</v>
      </c>
      <c r="D6" s="563">
        <f>YesterdayGen!GM30</f>
        <v>1898</v>
      </c>
      <c r="E6" s="563">
        <f>YesterdayGen!GN30</f>
        <v>934</v>
      </c>
      <c r="F6" s="564">
        <f>YesterdayGen!GO30</f>
        <v>2588</v>
      </c>
      <c r="G6" s="565">
        <f>YesterdayGen!GP30</f>
        <v>1040</v>
      </c>
      <c r="H6" s="566">
        <f>YesterdayGen!GQ30</f>
        <v>116</v>
      </c>
      <c r="I6" s="566">
        <f>YesterdayGen!GR30</f>
        <v>438</v>
      </c>
      <c r="J6" s="567">
        <f>YesterdayGen!GS30</f>
        <v>687</v>
      </c>
      <c r="K6" s="568">
        <f>YesterdayGen!GT30</f>
        <v>162</v>
      </c>
      <c r="L6" s="569">
        <f>YesterdayGen!GU30</f>
        <v>0</v>
      </c>
      <c r="M6" s="2653">
        <f>YesterdayGen!GV30</f>
        <v>0</v>
      </c>
      <c r="N6" s="130"/>
      <c r="Q6" s="485"/>
      <c r="R6" s="485"/>
      <c r="S6" s="485"/>
      <c r="T6" s="492"/>
      <c r="U6" s="492"/>
      <c r="V6" s="493"/>
      <c r="W6" s="494"/>
      <c r="X6" s="485"/>
      <c r="Y6" s="485"/>
      <c r="Z6" s="442"/>
      <c r="AA6" s="474"/>
    </row>
    <row r="7" spans="1:56" ht="15.75">
      <c r="A7" s="570">
        <v>2.0833333333333332E-2</v>
      </c>
      <c r="B7" s="571">
        <f t="shared" ref="B7:L7" si="0">B6/2+B8/2</f>
        <v>3495</v>
      </c>
      <c r="C7" s="572">
        <f t="shared" si="0"/>
        <v>911.5</v>
      </c>
      <c r="D7" s="573">
        <f t="shared" si="0"/>
        <v>1954</v>
      </c>
      <c r="E7" s="3069">
        <f t="shared" si="0"/>
        <v>467</v>
      </c>
      <c r="F7" s="574">
        <f t="shared" si="0"/>
        <v>2433</v>
      </c>
      <c r="G7" s="575">
        <f t="shared" si="0"/>
        <v>1155</v>
      </c>
      <c r="H7" s="576">
        <f t="shared" si="0"/>
        <v>114.5</v>
      </c>
      <c r="I7" s="576">
        <f t="shared" ref="I7" si="1">I6/2+I8/2</f>
        <v>434.5</v>
      </c>
      <c r="J7" s="577">
        <f t="shared" si="0"/>
        <v>676.5</v>
      </c>
      <c r="K7" s="578">
        <f t="shared" si="0"/>
        <v>167</v>
      </c>
      <c r="L7" s="579">
        <f t="shared" si="0"/>
        <v>0</v>
      </c>
      <c r="M7" s="2654">
        <f>M6/2+M8/2</f>
        <v>769.05433749999975</v>
      </c>
      <c r="N7" s="130"/>
      <c r="Q7" s="442"/>
      <c r="R7" s="483" t="s">
        <v>149</v>
      </c>
      <c r="S7" s="495">
        <f>B3</f>
        <v>43318</v>
      </c>
      <c r="T7" s="442"/>
      <c r="U7" s="442"/>
      <c r="V7" s="442"/>
      <c r="W7" s="442"/>
      <c r="X7" s="442"/>
      <c r="Y7" s="442"/>
      <c r="Z7" s="442"/>
      <c r="AA7" s="474"/>
    </row>
    <row r="8" spans="1:56" ht="15">
      <c r="A8" s="570">
        <v>4.1666666666666664E-2</v>
      </c>
      <c r="B8" s="561">
        <f>YesterdayGen!GK5</f>
        <v>3392</v>
      </c>
      <c r="C8" s="562">
        <f>YesterdayGen!GL5</f>
        <v>914</v>
      </c>
      <c r="D8" s="563">
        <f>YesterdayGen!GM5</f>
        <v>2010</v>
      </c>
      <c r="E8" s="563">
        <f>YesterdayGen!GN5</f>
        <v>0</v>
      </c>
      <c r="F8" s="564">
        <f>YesterdayGen!GO5</f>
        <v>2278</v>
      </c>
      <c r="G8" s="565">
        <f>YesterdayGen!GP5</f>
        <v>1270</v>
      </c>
      <c r="H8" s="566">
        <f>YesterdayGen!GQ5</f>
        <v>113</v>
      </c>
      <c r="I8" s="566">
        <f>YesterdayGen!GR5</f>
        <v>431</v>
      </c>
      <c r="J8" s="567">
        <f>YesterdayGen!GS5</f>
        <v>666</v>
      </c>
      <c r="K8" s="568">
        <f>YesterdayGen!GT5</f>
        <v>172</v>
      </c>
      <c r="L8" s="569">
        <f>YesterdayGen!GU5</f>
        <v>0</v>
      </c>
      <c r="M8" s="2653">
        <f>YesterdayGen!GV5</f>
        <v>1538.1086749999995</v>
      </c>
      <c r="N8" s="130"/>
      <c r="Q8" s="442"/>
      <c r="R8" s="442"/>
      <c r="S8" s="442"/>
      <c r="T8" s="442"/>
      <c r="U8" s="442"/>
      <c r="V8" s="442"/>
      <c r="W8" s="442"/>
      <c r="X8" s="442"/>
      <c r="Y8" s="442"/>
      <c r="Z8" s="442"/>
      <c r="AA8" s="474"/>
    </row>
    <row r="9" spans="1:56" ht="16.5" customHeight="1">
      <c r="A9" s="560">
        <v>6.25E-2</v>
      </c>
      <c r="B9" s="571">
        <f t="shared" ref="B9:L9" si="2">B8/2+B10/2</f>
        <v>3344</v>
      </c>
      <c r="C9" s="572">
        <f t="shared" si="2"/>
        <v>914</v>
      </c>
      <c r="D9" s="573">
        <f t="shared" si="2"/>
        <v>2006.5</v>
      </c>
      <c r="E9" s="3069">
        <f t="shared" si="2"/>
        <v>0</v>
      </c>
      <c r="F9" s="574">
        <f t="shared" si="2"/>
        <v>2193.5</v>
      </c>
      <c r="G9" s="575">
        <f t="shared" si="2"/>
        <v>1280</v>
      </c>
      <c r="H9" s="576">
        <f t="shared" si="2"/>
        <v>113</v>
      </c>
      <c r="I9" s="576">
        <f t="shared" ref="I9" si="3">I8/2+I10/2</f>
        <v>434</v>
      </c>
      <c r="J9" s="577">
        <f t="shared" si="2"/>
        <v>661.5</v>
      </c>
      <c r="K9" s="578">
        <f t="shared" si="2"/>
        <v>172</v>
      </c>
      <c r="L9" s="579">
        <f t="shared" si="2"/>
        <v>0</v>
      </c>
      <c r="M9" s="2654">
        <f>M8/2+M10/2</f>
        <v>1609.0699499999992</v>
      </c>
      <c r="N9" s="130"/>
      <c r="Q9" s="442"/>
      <c r="R9" s="442"/>
      <c r="S9" s="442"/>
      <c r="T9" s="442"/>
      <c r="U9" s="442"/>
      <c r="V9" s="442"/>
      <c r="W9" s="442"/>
      <c r="X9" s="442"/>
      <c r="Y9" s="442"/>
      <c r="Z9" s="442"/>
      <c r="AA9" s="474"/>
      <c r="AB9" s="633"/>
      <c r="AC9" s="1061" t="s">
        <v>703</v>
      </c>
      <c r="AD9" s="1079">
        <f>F3/1000000</f>
        <v>268.03947399999998</v>
      </c>
      <c r="AK9" s="3068" t="s">
        <v>1252</v>
      </c>
      <c r="AM9" s="5503" t="s">
        <v>1952</v>
      </c>
    </row>
    <row r="10" spans="1:56" ht="18.75" customHeight="1">
      <c r="A10" s="570">
        <v>8.3333333333333301E-2</v>
      </c>
      <c r="B10" s="561">
        <f>YesterdayGen!GK6</f>
        <v>3296</v>
      </c>
      <c r="C10" s="562">
        <f>YesterdayGen!GL6</f>
        <v>914</v>
      </c>
      <c r="D10" s="563">
        <f>YesterdayGen!GM6</f>
        <v>2003</v>
      </c>
      <c r="E10" s="563">
        <f>YesterdayGen!GN6</f>
        <v>0</v>
      </c>
      <c r="F10" s="564">
        <f>YesterdayGen!GO6</f>
        <v>2109</v>
      </c>
      <c r="G10" s="565">
        <f>YesterdayGen!GP6</f>
        <v>1290</v>
      </c>
      <c r="H10" s="566">
        <f>YesterdayGen!GQ6</f>
        <v>113</v>
      </c>
      <c r="I10" s="566">
        <f>YesterdayGen!GR6</f>
        <v>437</v>
      </c>
      <c r="J10" s="567">
        <f>YesterdayGen!GS6</f>
        <v>657</v>
      </c>
      <c r="K10" s="568">
        <f>YesterdayGen!GT6</f>
        <v>172</v>
      </c>
      <c r="L10" s="569">
        <f>YesterdayGen!GU6</f>
        <v>0</v>
      </c>
      <c r="M10" s="2653">
        <f>YesterdayGen!GV6</f>
        <v>1680.0312249999988</v>
      </c>
      <c r="N10" s="130"/>
      <c r="Q10" s="442"/>
      <c r="R10" s="442"/>
      <c r="S10" s="442"/>
      <c r="T10" s="442"/>
      <c r="U10" s="442"/>
      <c r="V10" s="442"/>
      <c r="W10" s="442"/>
      <c r="X10" s="442"/>
      <c r="Y10" s="442"/>
      <c r="Z10" s="442"/>
      <c r="AA10" s="474"/>
      <c r="AB10" s="633"/>
      <c r="AC10" s="1061" t="s">
        <v>704</v>
      </c>
      <c r="AD10" s="1079">
        <f>SUM(M6:M54)*24/50000</f>
        <v>31.982535660000011</v>
      </c>
      <c r="AM10" s="5503"/>
    </row>
    <row r="11" spans="1:56" ht="15.75" customHeight="1">
      <c r="A11" s="570">
        <v>0.104166666666667</v>
      </c>
      <c r="B11" s="571">
        <f t="shared" ref="B11:L11" si="4">B10/2+B12/2</f>
        <v>3332</v>
      </c>
      <c r="C11" s="572">
        <f t="shared" si="4"/>
        <v>913.5</v>
      </c>
      <c r="D11" s="573">
        <f t="shared" si="4"/>
        <v>1970</v>
      </c>
      <c r="E11" s="3069">
        <f t="shared" si="4"/>
        <v>0</v>
      </c>
      <c r="F11" s="574">
        <f t="shared" si="4"/>
        <v>2109.5</v>
      </c>
      <c r="G11" s="575">
        <f t="shared" si="4"/>
        <v>1285</v>
      </c>
      <c r="H11" s="576">
        <f t="shared" si="4"/>
        <v>113</v>
      </c>
      <c r="I11" s="576">
        <f t="shared" ref="I11" si="5">I10/2+I12/2</f>
        <v>439</v>
      </c>
      <c r="J11" s="577">
        <f t="shared" si="4"/>
        <v>657.5</v>
      </c>
      <c r="K11" s="578">
        <f t="shared" si="4"/>
        <v>171</v>
      </c>
      <c r="L11" s="579">
        <f t="shared" si="4"/>
        <v>0</v>
      </c>
      <c r="M11" s="2654">
        <f>M10/2+M12/2</f>
        <v>1634.8740499999994</v>
      </c>
      <c r="N11" s="130"/>
      <c r="Q11" s="442"/>
      <c r="R11" s="442"/>
      <c r="S11" s="442"/>
      <c r="T11" s="442"/>
      <c r="U11" s="442"/>
      <c r="V11" s="442"/>
      <c r="W11" s="442"/>
      <c r="X11" s="442"/>
      <c r="Y11" s="442"/>
      <c r="Z11" s="496"/>
      <c r="AA11" s="474"/>
      <c r="AB11" s="633"/>
      <c r="AC11" s="1061" t="s">
        <v>705</v>
      </c>
      <c r="AD11" s="1079">
        <f>SUM(AD9:AD10)</f>
        <v>300.02200965999998</v>
      </c>
      <c r="AM11" s="5503"/>
    </row>
    <row r="12" spans="1:56" ht="15">
      <c r="A12" s="560">
        <v>0.125</v>
      </c>
      <c r="B12" s="561">
        <f>YesterdayGen!GK7</f>
        <v>3368</v>
      </c>
      <c r="C12" s="562">
        <f>YesterdayGen!GL7</f>
        <v>913</v>
      </c>
      <c r="D12" s="563">
        <f>YesterdayGen!GM7</f>
        <v>1937</v>
      </c>
      <c r="E12" s="563">
        <f>YesterdayGen!GN7</f>
        <v>0</v>
      </c>
      <c r="F12" s="564">
        <f>YesterdayGen!GO7</f>
        <v>2110</v>
      </c>
      <c r="G12" s="565">
        <f>YesterdayGen!GP7</f>
        <v>1280</v>
      </c>
      <c r="H12" s="566">
        <f>YesterdayGen!GQ7</f>
        <v>113</v>
      </c>
      <c r="I12" s="566">
        <f>YesterdayGen!GR7</f>
        <v>441</v>
      </c>
      <c r="J12" s="567">
        <f>YesterdayGen!GS7</f>
        <v>658</v>
      </c>
      <c r="K12" s="568">
        <f>YesterdayGen!GT7</f>
        <v>170</v>
      </c>
      <c r="L12" s="569">
        <f>YesterdayGen!GU7</f>
        <v>0</v>
      </c>
      <c r="M12" s="2653">
        <f>YesterdayGen!GV7</f>
        <v>1589.7168750000001</v>
      </c>
      <c r="N12" s="130"/>
      <c r="Q12" s="442"/>
      <c r="R12" s="442"/>
      <c r="S12" s="442"/>
      <c r="T12" s="442"/>
      <c r="U12" s="442"/>
      <c r="V12" s="442"/>
      <c r="W12" s="442"/>
      <c r="X12" s="442"/>
      <c r="Y12" s="442"/>
      <c r="Z12" s="442"/>
      <c r="AA12" s="474"/>
      <c r="AB12" s="176"/>
      <c r="AC12" s="130"/>
      <c r="AD12" s="130"/>
      <c r="AM12" s="5503"/>
    </row>
    <row r="13" spans="1:56" ht="15">
      <c r="A13" s="570">
        <v>0.14583333333333301</v>
      </c>
      <c r="B13" s="571">
        <f t="shared" ref="B13:L13" si="6">B12/2+B14/2</f>
        <v>3369</v>
      </c>
      <c r="C13" s="572">
        <f t="shared" si="6"/>
        <v>913</v>
      </c>
      <c r="D13" s="573">
        <f t="shared" si="6"/>
        <v>1929</v>
      </c>
      <c r="E13" s="3069">
        <f t="shared" si="6"/>
        <v>0</v>
      </c>
      <c r="F13" s="574">
        <f t="shared" si="6"/>
        <v>2105</v>
      </c>
      <c r="G13" s="575">
        <f t="shared" si="6"/>
        <v>1280</v>
      </c>
      <c r="H13" s="576">
        <f t="shared" si="6"/>
        <v>113</v>
      </c>
      <c r="I13" s="576">
        <f t="shared" ref="I13" si="7">I12/2+I14/2</f>
        <v>441</v>
      </c>
      <c r="J13" s="577">
        <f t="shared" si="6"/>
        <v>641</v>
      </c>
      <c r="K13" s="578">
        <f t="shared" si="6"/>
        <v>169</v>
      </c>
      <c r="L13" s="579">
        <f t="shared" si="6"/>
        <v>0</v>
      </c>
      <c r="M13" s="2654">
        <f>M12/2+M14/2</f>
        <v>1571.2853749999995</v>
      </c>
      <c r="N13" s="130"/>
      <c r="Q13" s="442"/>
      <c r="R13" s="442"/>
      <c r="S13" s="442"/>
      <c r="T13" s="442"/>
      <c r="U13" s="442"/>
      <c r="V13" s="442"/>
      <c r="W13" s="442"/>
      <c r="X13" s="442"/>
      <c r="Y13" s="138" t="s">
        <v>26</v>
      </c>
      <c r="Z13" s="442"/>
      <c r="AA13" s="474"/>
      <c r="AM13" s="5503"/>
    </row>
    <row r="14" spans="1:56" ht="15">
      <c r="A14" s="570">
        <v>0.16666666666666699</v>
      </c>
      <c r="B14" s="561">
        <f>YesterdayGen!GK8</f>
        <v>3370</v>
      </c>
      <c r="C14" s="562">
        <f>YesterdayGen!GL8</f>
        <v>913</v>
      </c>
      <c r="D14" s="563">
        <f>YesterdayGen!GM8</f>
        <v>1921</v>
      </c>
      <c r="E14" s="563">
        <f>YesterdayGen!GN8</f>
        <v>0</v>
      </c>
      <c r="F14" s="564">
        <f>YesterdayGen!GO8</f>
        <v>2100</v>
      </c>
      <c r="G14" s="565">
        <f>YesterdayGen!GP8</f>
        <v>1280</v>
      </c>
      <c r="H14" s="566">
        <f>YesterdayGen!GQ8</f>
        <v>113</v>
      </c>
      <c r="I14" s="566">
        <f>YesterdayGen!GR8</f>
        <v>441</v>
      </c>
      <c r="J14" s="567">
        <f>YesterdayGen!GS8</f>
        <v>624</v>
      </c>
      <c r="K14" s="568">
        <f>YesterdayGen!GT8</f>
        <v>168</v>
      </c>
      <c r="L14" s="569">
        <f>YesterdayGen!GU8</f>
        <v>0</v>
      </c>
      <c r="M14" s="2653">
        <f>YesterdayGen!GV8</f>
        <v>1552.8538749999989</v>
      </c>
      <c r="N14" s="130"/>
      <c r="Q14" s="442"/>
      <c r="R14" s="442"/>
      <c r="S14" s="442"/>
      <c r="T14" s="442"/>
      <c r="U14" s="442"/>
      <c r="V14" s="442"/>
      <c r="W14" s="442"/>
      <c r="X14" s="442"/>
      <c r="Y14" s="442"/>
      <c r="Z14" s="442"/>
      <c r="AA14" s="474"/>
    </row>
    <row r="15" spans="1:56" ht="15">
      <c r="A15" s="560">
        <v>0.1875</v>
      </c>
      <c r="B15" s="571">
        <f t="shared" ref="B15:L15" si="8">B14/2+B16/2</f>
        <v>3406</v>
      </c>
      <c r="C15" s="572">
        <f t="shared" si="8"/>
        <v>913.5</v>
      </c>
      <c r="D15" s="573">
        <f t="shared" si="8"/>
        <v>1908.5</v>
      </c>
      <c r="E15" s="3069">
        <f t="shared" si="8"/>
        <v>0</v>
      </c>
      <c r="F15" s="574">
        <f t="shared" si="8"/>
        <v>2098</v>
      </c>
      <c r="G15" s="575">
        <f t="shared" si="8"/>
        <v>1275</v>
      </c>
      <c r="H15" s="576">
        <f t="shared" si="8"/>
        <v>113.5</v>
      </c>
      <c r="I15" s="576">
        <f t="shared" ref="I15" si="9">I14/2+I16/2</f>
        <v>441</v>
      </c>
      <c r="J15" s="577">
        <f t="shared" si="8"/>
        <v>624</v>
      </c>
      <c r="K15" s="578">
        <f t="shared" si="8"/>
        <v>166</v>
      </c>
      <c r="L15" s="579">
        <f t="shared" si="8"/>
        <v>0</v>
      </c>
      <c r="M15" s="2654">
        <f>M14/2+M16/2</f>
        <v>1400.3332124999997</v>
      </c>
      <c r="N15" s="130"/>
      <c r="Q15" s="442"/>
      <c r="R15" s="442"/>
      <c r="S15" s="442"/>
      <c r="T15" s="442"/>
      <c r="U15" s="442"/>
      <c r="V15" s="442"/>
      <c r="W15" s="442"/>
      <c r="X15" s="442"/>
      <c r="Y15" s="442"/>
      <c r="Z15" s="442"/>
      <c r="AA15" s="474"/>
      <c r="AD15" s="497"/>
    </row>
    <row r="16" spans="1:56" ht="15">
      <c r="A16" s="570">
        <v>0.20833333333333301</v>
      </c>
      <c r="B16" s="561">
        <f>YesterdayGen!GK9</f>
        <v>3442</v>
      </c>
      <c r="C16" s="562">
        <f>YesterdayGen!GL9</f>
        <v>914</v>
      </c>
      <c r="D16" s="563">
        <f>YesterdayGen!GM9</f>
        <v>1896</v>
      </c>
      <c r="E16" s="563">
        <f>YesterdayGen!GN9</f>
        <v>0</v>
      </c>
      <c r="F16" s="564">
        <f>YesterdayGen!GO9</f>
        <v>2096</v>
      </c>
      <c r="G16" s="565">
        <f>YesterdayGen!GP9</f>
        <v>1270</v>
      </c>
      <c r="H16" s="566">
        <f>YesterdayGen!GQ9</f>
        <v>114</v>
      </c>
      <c r="I16" s="566">
        <f>YesterdayGen!GR9</f>
        <v>441</v>
      </c>
      <c r="J16" s="567">
        <f>YesterdayGen!GS9</f>
        <v>624</v>
      </c>
      <c r="K16" s="568">
        <f>YesterdayGen!GT9</f>
        <v>164</v>
      </c>
      <c r="L16" s="569">
        <f>YesterdayGen!GU9</f>
        <v>0</v>
      </c>
      <c r="M16" s="2655">
        <f>YesterdayGen!GV9</f>
        <v>1247.8125500000006</v>
      </c>
      <c r="N16" s="130"/>
      <c r="Q16" s="442"/>
      <c r="R16" s="442"/>
      <c r="S16" s="442"/>
      <c r="T16" s="442"/>
      <c r="U16" s="442"/>
      <c r="V16" s="442"/>
      <c r="W16" s="442"/>
      <c r="X16" s="442"/>
      <c r="Y16" s="442"/>
      <c r="Z16" s="442"/>
      <c r="AA16" s="474"/>
      <c r="AB16" s="498"/>
    </row>
    <row r="17" spans="1:31" ht="15">
      <c r="A17" s="570">
        <v>0.22916666666666699</v>
      </c>
      <c r="B17" s="571">
        <f t="shared" ref="B17:L17" si="10">B16/2+B18/2</f>
        <v>3401</v>
      </c>
      <c r="C17" s="572">
        <f t="shared" si="10"/>
        <v>914</v>
      </c>
      <c r="D17" s="573">
        <f t="shared" si="10"/>
        <v>1909</v>
      </c>
      <c r="E17" s="3069">
        <f t="shared" si="10"/>
        <v>0</v>
      </c>
      <c r="F17" s="574">
        <f t="shared" si="10"/>
        <v>2039.5</v>
      </c>
      <c r="G17" s="575">
        <f t="shared" si="10"/>
        <v>1255</v>
      </c>
      <c r="H17" s="576">
        <f t="shared" si="10"/>
        <v>114</v>
      </c>
      <c r="I17" s="576">
        <f t="shared" ref="I17" si="11">I16/2+I18/2</f>
        <v>440</v>
      </c>
      <c r="J17" s="577">
        <f t="shared" si="10"/>
        <v>562</v>
      </c>
      <c r="K17" s="578">
        <f t="shared" si="10"/>
        <v>157</v>
      </c>
      <c r="L17" s="579">
        <f t="shared" si="10"/>
        <v>5.5</v>
      </c>
      <c r="M17" s="2654">
        <f>M16/2+M18/2</f>
        <v>1167.6355250000006</v>
      </c>
      <c r="N17" s="130"/>
      <c r="Q17" s="442"/>
      <c r="R17" s="442"/>
      <c r="S17" s="442"/>
      <c r="T17" s="442"/>
      <c r="U17" s="442"/>
      <c r="V17" s="442"/>
      <c r="W17" s="442"/>
      <c r="X17" s="442"/>
      <c r="Y17" s="442"/>
      <c r="Z17" s="442"/>
      <c r="AA17" s="474"/>
    </row>
    <row r="18" spans="1:31" ht="15">
      <c r="A18" s="560">
        <v>0.25</v>
      </c>
      <c r="B18" s="561">
        <f>YesterdayGen!GK10</f>
        <v>3360</v>
      </c>
      <c r="C18" s="562">
        <f>YesterdayGen!GL10</f>
        <v>914</v>
      </c>
      <c r="D18" s="563">
        <f>YesterdayGen!GM10</f>
        <v>1922</v>
      </c>
      <c r="E18" s="563">
        <f>YesterdayGen!GN10</f>
        <v>0</v>
      </c>
      <c r="F18" s="564">
        <f>YesterdayGen!GO10</f>
        <v>1983</v>
      </c>
      <c r="G18" s="565">
        <f>YesterdayGen!GP10</f>
        <v>1240</v>
      </c>
      <c r="H18" s="566">
        <f>YesterdayGen!GQ10</f>
        <v>114</v>
      </c>
      <c r="I18" s="566">
        <f>YesterdayGen!GR10</f>
        <v>439</v>
      </c>
      <c r="J18" s="567">
        <f>YesterdayGen!GS10</f>
        <v>500</v>
      </c>
      <c r="K18" s="568">
        <f>YesterdayGen!GT10</f>
        <v>150</v>
      </c>
      <c r="L18" s="569">
        <f>YesterdayGen!GU10</f>
        <v>11</v>
      </c>
      <c r="M18" s="2655">
        <f>YesterdayGen!GV10</f>
        <v>1087.4585000000006</v>
      </c>
      <c r="N18" s="130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74"/>
      <c r="AC18" s="1062"/>
    </row>
    <row r="19" spans="1:31" ht="15.75">
      <c r="A19" s="570">
        <v>0.27083333333333298</v>
      </c>
      <c r="B19" s="571">
        <f t="shared" ref="B19:L19" si="12">B18/2+B20/2</f>
        <v>3388.5</v>
      </c>
      <c r="C19" s="572">
        <f t="shared" si="12"/>
        <v>913.5</v>
      </c>
      <c r="D19" s="573">
        <f t="shared" si="12"/>
        <v>1913</v>
      </c>
      <c r="E19" s="3069">
        <f t="shared" si="12"/>
        <v>0</v>
      </c>
      <c r="F19" s="574">
        <f t="shared" si="12"/>
        <v>1983</v>
      </c>
      <c r="G19" s="575">
        <f t="shared" si="12"/>
        <v>1235</v>
      </c>
      <c r="H19" s="576">
        <f t="shared" si="12"/>
        <v>113</v>
      </c>
      <c r="I19" s="576">
        <f t="shared" ref="I19" si="13">I18/2+I20/2</f>
        <v>439</v>
      </c>
      <c r="J19" s="577">
        <f t="shared" si="12"/>
        <v>492</v>
      </c>
      <c r="K19" s="578">
        <f t="shared" si="12"/>
        <v>145</v>
      </c>
      <c r="L19" s="579">
        <f t="shared" si="12"/>
        <v>26.5</v>
      </c>
      <c r="M19" s="2654">
        <f>M18/2+M20/2</f>
        <v>1027.5561250000001</v>
      </c>
      <c r="N19" s="130"/>
      <c r="Q19" s="442"/>
      <c r="R19" s="442"/>
      <c r="S19" s="442"/>
      <c r="T19" s="442"/>
      <c r="U19" s="442"/>
      <c r="V19" s="442"/>
      <c r="W19" s="499" t="s">
        <v>45</v>
      </c>
      <c r="X19" s="442"/>
      <c r="Y19" s="442"/>
      <c r="Z19" s="442"/>
      <c r="AA19" s="474"/>
      <c r="AB19" s="138" t="s">
        <v>633</v>
      </c>
    </row>
    <row r="20" spans="1:31" ht="15">
      <c r="A20" s="570">
        <v>0.29166666666666702</v>
      </c>
      <c r="B20" s="561">
        <f>YesterdayGen!GK11</f>
        <v>3417</v>
      </c>
      <c r="C20" s="562">
        <f>YesterdayGen!GL11</f>
        <v>913</v>
      </c>
      <c r="D20" s="563">
        <f>YesterdayGen!GM11</f>
        <v>1904</v>
      </c>
      <c r="E20" s="563">
        <f>YesterdayGen!GN11</f>
        <v>0</v>
      </c>
      <c r="F20" s="564">
        <f>YesterdayGen!GO11</f>
        <v>1983</v>
      </c>
      <c r="G20" s="565">
        <f>YesterdayGen!GP11</f>
        <v>1230</v>
      </c>
      <c r="H20" s="566">
        <f>YesterdayGen!GQ11</f>
        <v>112</v>
      </c>
      <c r="I20" s="566">
        <f>YesterdayGen!GR11</f>
        <v>439</v>
      </c>
      <c r="J20" s="567">
        <f>YesterdayGen!GS11</f>
        <v>484</v>
      </c>
      <c r="K20" s="568">
        <f>YesterdayGen!GT11</f>
        <v>140</v>
      </c>
      <c r="L20" s="569">
        <f>YesterdayGen!GU11</f>
        <v>42</v>
      </c>
      <c r="M20" s="2655">
        <f>YesterdayGen!GV11</f>
        <v>967.65374999999949</v>
      </c>
      <c r="N20" s="130"/>
      <c r="Q20" s="442"/>
      <c r="R20" s="442"/>
      <c r="S20" s="442"/>
      <c r="T20" s="442"/>
      <c r="U20" s="442"/>
      <c r="V20" s="442"/>
      <c r="W20" s="442"/>
      <c r="X20" s="442"/>
      <c r="Y20" s="442"/>
      <c r="Z20" s="442"/>
      <c r="AA20" s="474"/>
      <c r="AC20" s="500"/>
      <c r="AE20" s="501"/>
    </row>
    <row r="21" spans="1:31" ht="15.75">
      <c r="A21" s="560">
        <v>0.3125</v>
      </c>
      <c r="B21" s="571">
        <f t="shared" ref="B21:L21" si="14">B20/2+B22/2</f>
        <v>3345.5</v>
      </c>
      <c r="C21" s="572">
        <f t="shared" si="14"/>
        <v>913.5</v>
      </c>
      <c r="D21" s="573">
        <f t="shared" si="14"/>
        <v>1883.5</v>
      </c>
      <c r="E21" s="3069">
        <f t="shared" si="14"/>
        <v>0</v>
      </c>
      <c r="F21" s="574">
        <f t="shared" si="14"/>
        <v>1991</v>
      </c>
      <c r="G21" s="575">
        <f t="shared" si="14"/>
        <v>1205</v>
      </c>
      <c r="H21" s="576">
        <f t="shared" si="14"/>
        <v>113</v>
      </c>
      <c r="I21" s="576">
        <f t="shared" ref="I21" si="15">I20/2+I22/2</f>
        <v>438.5</v>
      </c>
      <c r="J21" s="577">
        <f t="shared" si="14"/>
        <v>471.5</v>
      </c>
      <c r="K21" s="578">
        <f t="shared" si="14"/>
        <v>144</v>
      </c>
      <c r="L21" s="579">
        <f t="shared" si="14"/>
        <v>78.5</v>
      </c>
      <c r="M21" s="2654">
        <f>M20/2+M22/2</f>
        <v>1133.5372499999994</v>
      </c>
      <c r="N21" s="130"/>
      <c r="Q21" s="442"/>
      <c r="R21" s="442"/>
      <c r="S21" s="442"/>
      <c r="T21" s="442"/>
      <c r="U21" s="442"/>
      <c r="V21" s="502" t="s">
        <v>276</v>
      </c>
      <c r="W21" s="442"/>
      <c r="X21" s="442"/>
      <c r="Y21" s="442"/>
      <c r="Z21" s="442"/>
      <c r="AA21" s="474"/>
      <c r="AC21" s="138" t="s">
        <v>18</v>
      </c>
    </row>
    <row r="22" spans="1:31" ht="15">
      <c r="A22" s="570">
        <v>0.33333333333333298</v>
      </c>
      <c r="B22" s="561">
        <f>YesterdayGen!GK12</f>
        <v>3274</v>
      </c>
      <c r="C22" s="562">
        <f>YesterdayGen!GL12</f>
        <v>914</v>
      </c>
      <c r="D22" s="563">
        <f>YesterdayGen!GM12</f>
        <v>1863</v>
      </c>
      <c r="E22" s="563">
        <f>YesterdayGen!GN12</f>
        <v>0</v>
      </c>
      <c r="F22" s="564">
        <f>YesterdayGen!GO12</f>
        <v>1999</v>
      </c>
      <c r="G22" s="565">
        <f>YesterdayGen!GP12</f>
        <v>1180</v>
      </c>
      <c r="H22" s="566">
        <f>YesterdayGen!GQ12</f>
        <v>114</v>
      </c>
      <c r="I22" s="566">
        <f>YesterdayGen!GR12</f>
        <v>438</v>
      </c>
      <c r="J22" s="567">
        <f>YesterdayGen!GS12</f>
        <v>459</v>
      </c>
      <c r="K22" s="568">
        <f>YesterdayGen!GT12</f>
        <v>148</v>
      </c>
      <c r="L22" s="569">
        <f>YesterdayGen!GU12</f>
        <v>115</v>
      </c>
      <c r="M22" s="2655">
        <f>YesterdayGen!GV12</f>
        <v>1299.4207499999993</v>
      </c>
      <c r="N22" s="130"/>
      <c r="Q22" s="442"/>
      <c r="R22" s="442"/>
      <c r="S22" s="442"/>
      <c r="T22" s="442"/>
      <c r="U22" s="442"/>
      <c r="V22" s="442"/>
      <c r="W22" s="442"/>
      <c r="X22" s="442"/>
      <c r="Y22" s="442"/>
      <c r="Z22" s="442"/>
      <c r="AA22" s="474"/>
    </row>
    <row r="23" spans="1:31" ht="15">
      <c r="A23" s="570">
        <v>0.35416666666666702</v>
      </c>
      <c r="B23" s="571">
        <f t="shared" ref="B23:L23" si="16">B22/2+B24/2</f>
        <v>3268</v>
      </c>
      <c r="C23" s="572">
        <f t="shared" si="16"/>
        <v>914</v>
      </c>
      <c r="D23" s="573">
        <f t="shared" si="16"/>
        <v>1850</v>
      </c>
      <c r="E23" s="3069">
        <f t="shared" si="16"/>
        <v>0</v>
      </c>
      <c r="F23" s="574">
        <f t="shared" si="16"/>
        <v>1974.5</v>
      </c>
      <c r="G23" s="575">
        <f t="shared" si="16"/>
        <v>1160</v>
      </c>
      <c r="H23" s="576">
        <f t="shared" si="16"/>
        <v>112.5</v>
      </c>
      <c r="I23" s="576">
        <f t="shared" ref="I23" si="17">I22/2+I24/2</f>
        <v>436</v>
      </c>
      <c r="J23" s="577">
        <f t="shared" si="16"/>
        <v>445</v>
      </c>
      <c r="K23" s="578">
        <f t="shared" si="16"/>
        <v>149</v>
      </c>
      <c r="L23" s="579">
        <f t="shared" si="16"/>
        <v>124</v>
      </c>
      <c r="M23" s="2654">
        <f>M22/2+M24/2</f>
        <v>1456.5492875</v>
      </c>
      <c r="N23" s="130"/>
      <c r="Q23" s="442"/>
      <c r="R23" s="442"/>
      <c r="S23" s="442"/>
      <c r="T23" s="442"/>
      <c r="U23" s="442"/>
      <c r="V23" s="442"/>
      <c r="W23" s="442"/>
      <c r="X23" s="442"/>
      <c r="Y23" s="442"/>
      <c r="Z23" s="442"/>
      <c r="AA23" s="474"/>
    </row>
    <row r="24" spans="1:31" ht="15">
      <c r="A24" s="560">
        <v>0.375</v>
      </c>
      <c r="B24" s="561">
        <f>YesterdayGen!GK13</f>
        <v>3262</v>
      </c>
      <c r="C24" s="562">
        <f>YesterdayGen!GL13</f>
        <v>914</v>
      </c>
      <c r="D24" s="563">
        <f>YesterdayGen!GM13</f>
        <v>1837</v>
      </c>
      <c r="E24" s="563">
        <f>YesterdayGen!GN13</f>
        <v>0</v>
      </c>
      <c r="F24" s="564">
        <f>YesterdayGen!GO13</f>
        <v>1950</v>
      </c>
      <c r="G24" s="565">
        <f>YesterdayGen!GP13</f>
        <v>1140</v>
      </c>
      <c r="H24" s="566">
        <f>YesterdayGen!GQ13</f>
        <v>111</v>
      </c>
      <c r="I24" s="566">
        <f>YesterdayGen!GR13</f>
        <v>434</v>
      </c>
      <c r="J24" s="567">
        <f>YesterdayGen!GS13</f>
        <v>431</v>
      </c>
      <c r="K24" s="568">
        <f>YesterdayGen!GT13</f>
        <v>150</v>
      </c>
      <c r="L24" s="569">
        <f>YesterdayGen!GU13</f>
        <v>133</v>
      </c>
      <c r="M24" s="2655">
        <f>YesterdayGen!GV13</f>
        <v>1613.6778250000007</v>
      </c>
      <c r="N24" s="130"/>
      <c r="Q24" s="442"/>
      <c r="R24" s="442"/>
      <c r="S24" s="442"/>
      <c r="T24" s="442"/>
      <c r="U24" s="442"/>
      <c r="V24" s="442"/>
      <c r="W24" s="442"/>
      <c r="X24" s="442"/>
      <c r="Y24" s="442"/>
      <c r="Z24" s="442"/>
      <c r="AA24" s="474"/>
    </row>
    <row r="25" spans="1:31" ht="15">
      <c r="A25" s="570">
        <v>0.39583333333333298</v>
      </c>
      <c r="B25" s="571">
        <f t="shared" ref="B25:L25" si="18">B24/2+B26/2</f>
        <v>3232.5</v>
      </c>
      <c r="C25" s="572">
        <f t="shared" si="18"/>
        <v>914</v>
      </c>
      <c r="D25" s="573">
        <f t="shared" si="18"/>
        <v>1805</v>
      </c>
      <c r="E25" s="3069">
        <f t="shared" si="18"/>
        <v>0</v>
      </c>
      <c r="F25" s="574">
        <f t="shared" si="18"/>
        <v>1919.5</v>
      </c>
      <c r="G25" s="575">
        <f t="shared" si="18"/>
        <v>1134.5</v>
      </c>
      <c r="H25" s="576">
        <f t="shared" si="18"/>
        <v>112</v>
      </c>
      <c r="I25" s="576">
        <f>I24/2+I26/2</f>
        <v>431</v>
      </c>
      <c r="J25" s="577">
        <f t="shared" si="18"/>
        <v>422.5</v>
      </c>
      <c r="K25" s="578">
        <f t="shared" si="18"/>
        <v>145</v>
      </c>
      <c r="L25" s="579">
        <f t="shared" si="18"/>
        <v>144</v>
      </c>
      <c r="M25" s="2654">
        <f>M24/2+M26/2</f>
        <v>1795.2281000000003</v>
      </c>
      <c r="N25" s="130"/>
      <c r="Q25" s="442"/>
      <c r="R25" s="442"/>
      <c r="S25" s="442"/>
      <c r="T25" s="442"/>
      <c r="U25" s="442"/>
      <c r="V25" s="442"/>
      <c r="W25" s="442"/>
      <c r="X25" s="442"/>
      <c r="Y25" s="442"/>
      <c r="Z25" s="442"/>
      <c r="AA25" s="474"/>
      <c r="AB25" s="138" t="s">
        <v>310</v>
      </c>
    </row>
    <row r="26" spans="1:31" ht="15">
      <c r="A26" s="570">
        <v>0.41666666666666702</v>
      </c>
      <c r="B26" s="561">
        <f>YesterdayGen!GK14</f>
        <v>3203</v>
      </c>
      <c r="C26" s="562">
        <f>YesterdayGen!GL14</f>
        <v>914</v>
      </c>
      <c r="D26" s="563">
        <f>YesterdayGen!GM14</f>
        <v>1773</v>
      </c>
      <c r="E26" s="563">
        <f>YesterdayGen!GN14</f>
        <v>0</v>
      </c>
      <c r="F26" s="564">
        <f>YesterdayGen!GO14</f>
        <v>1889</v>
      </c>
      <c r="G26" s="565">
        <f>YesterdayGen!GP14</f>
        <v>1129</v>
      </c>
      <c r="H26" s="566">
        <f>YesterdayGen!GQ14</f>
        <v>113</v>
      </c>
      <c r="I26" s="566">
        <f>YesterdayGen!GR14</f>
        <v>428</v>
      </c>
      <c r="J26" s="567">
        <f>YesterdayGen!GS14</f>
        <v>414</v>
      </c>
      <c r="K26" s="568">
        <f>YesterdayGen!GT14</f>
        <v>140</v>
      </c>
      <c r="L26" s="569">
        <f>YesterdayGen!GU14</f>
        <v>155</v>
      </c>
      <c r="M26" s="2655">
        <f>YesterdayGen!GV14</f>
        <v>1976.7783749999999</v>
      </c>
      <c r="N26" s="130"/>
      <c r="Q26" s="442"/>
      <c r="R26" s="442"/>
      <c r="S26" s="442"/>
      <c r="T26" s="442"/>
      <c r="U26" s="442"/>
      <c r="V26" s="442"/>
      <c r="W26" s="442"/>
      <c r="X26" s="442"/>
      <c r="Y26" s="442"/>
      <c r="Z26" s="442"/>
      <c r="AA26" s="474"/>
    </row>
    <row r="27" spans="1:31" ht="15">
      <c r="A27" s="560">
        <v>0.4375</v>
      </c>
      <c r="B27" s="571">
        <f t="shared" ref="B27:L27" si="19">B26/2+B28/2</f>
        <v>3246</v>
      </c>
      <c r="C27" s="572">
        <f t="shared" si="19"/>
        <v>914</v>
      </c>
      <c r="D27" s="573">
        <f t="shared" si="19"/>
        <v>1767</v>
      </c>
      <c r="E27" s="3069">
        <f t="shared" si="19"/>
        <v>0</v>
      </c>
      <c r="F27" s="574">
        <f t="shared" si="19"/>
        <v>1889.5</v>
      </c>
      <c r="G27" s="575">
        <f t="shared" si="19"/>
        <v>1129.5</v>
      </c>
      <c r="H27" s="576">
        <f t="shared" si="19"/>
        <v>113.5</v>
      </c>
      <c r="I27" s="576">
        <f t="shared" ref="I27" si="20">I26/2+I28/2</f>
        <v>427.5</v>
      </c>
      <c r="J27" s="577">
        <f t="shared" si="19"/>
        <v>416</v>
      </c>
      <c r="K27" s="578">
        <f t="shared" si="19"/>
        <v>151</v>
      </c>
      <c r="L27" s="579">
        <f t="shared" si="19"/>
        <v>176</v>
      </c>
      <c r="M27" s="2654">
        <f>M26/2+M28/2</f>
        <v>2001.2001124999997</v>
      </c>
      <c r="N27" s="130"/>
      <c r="Q27" s="442"/>
      <c r="R27" s="442"/>
      <c r="S27" s="442"/>
      <c r="T27" s="442"/>
      <c r="U27" s="442"/>
      <c r="V27" s="442"/>
      <c r="W27" s="442"/>
      <c r="X27" s="442"/>
      <c r="Y27" s="442"/>
      <c r="Z27" s="442"/>
      <c r="AA27" s="474"/>
    </row>
    <row r="28" spans="1:31" ht="15">
      <c r="A28" s="570">
        <v>0.45833333333333298</v>
      </c>
      <c r="B28" s="561">
        <f>YesterdayGen!GK15</f>
        <v>3289</v>
      </c>
      <c r="C28" s="562">
        <f>YesterdayGen!GL15</f>
        <v>914</v>
      </c>
      <c r="D28" s="563">
        <f>YesterdayGen!GM15</f>
        <v>1761</v>
      </c>
      <c r="E28" s="563">
        <f>YesterdayGen!GN15</f>
        <v>0</v>
      </c>
      <c r="F28" s="564">
        <f>YesterdayGen!GO15</f>
        <v>1890</v>
      </c>
      <c r="G28" s="565">
        <f>YesterdayGen!GP15</f>
        <v>1130</v>
      </c>
      <c r="H28" s="566">
        <f>YesterdayGen!GQ15</f>
        <v>114</v>
      </c>
      <c r="I28" s="566">
        <f>YesterdayGen!GR15</f>
        <v>427</v>
      </c>
      <c r="J28" s="567">
        <f>YesterdayGen!GS15</f>
        <v>418</v>
      </c>
      <c r="K28" s="568">
        <f>YesterdayGen!GT15</f>
        <v>162</v>
      </c>
      <c r="L28" s="569">
        <f>YesterdayGen!GU15</f>
        <v>197</v>
      </c>
      <c r="M28" s="2655">
        <f>YesterdayGen!GV15</f>
        <v>2025.6218499999995</v>
      </c>
      <c r="N28" s="130"/>
      <c r="Q28" s="442"/>
      <c r="R28" s="442"/>
      <c r="S28" s="442"/>
      <c r="T28" s="442"/>
      <c r="U28" s="442"/>
      <c r="V28" s="442"/>
      <c r="W28" s="442"/>
      <c r="X28" s="442"/>
      <c r="Y28" s="442"/>
      <c r="Z28" s="442"/>
      <c r="AA28" s="474"/>
    </row>
    <row r="29" spans="1:31" ht="15">
      <c r="A29" s="570">
        <v>0.47916666666666702</v>
      </c>
      <c r="B29" s="571">
        <f t="shared" ref="B29:L29" si="21">B28/2+B30/2</f>
        <v>3253</v>
      </c>
      <c r="C29" s="572">
        <f t="shared" si="21"/>
        <v>914</v>
      </c>
      <c r="D29" s="573">
        <f t="shared" si="21"/>
        <v>1756.5</v>
      </c>
      <c r="E29" s="3069">
        <f t="shared" si="21"/>
        <v>0</v>
      </c>
      <c r="F29" s="574">
        <f t="shared" si="21"/>
        <v>1866.5</v>
      </c>
      <c r="G29" s="575">
        <f t="shared" si="21"/>
        <v>1074.5</v>
      </c>
      <c r="H29" s="576">
        <f t="shared" si="21"/>
        <v>114</v>
      </c>
      <c r="I29" s="576">
        <f t="shared" ref="I29" si="22">I28/2+I30/2</f>
        <v>427</v>
      </c>
      <c r="J29" s="577">
        <f t="shared" si="21"/>
        <v>433.5</v>
      </c>
      <c r="K29" s="578">
        <f t="shared" si="21"/>
        <v>163</v>
      </c>
      <c r="L29" s="579">
        <f t="shared" si="21"/>
        <v>204.5</v>
      </c>
      <c r="M29" s="2654">
        <f>M28/2+M30/2</f>
        <v>2159.7110124999999</v>
      </c>
      <c r="N29" s="130"/>
      <c r="Q29" s="442"/>
      <c r="R29" s="442"/>
      <c r="S29" s="442"/>
      <c r="T29" s="442"/>
      <c r="U29" s="442"/>
      <c r="V29" s="442"/>
      <c r="W29" s="442"/>
      <c r="X29" s="442"/>
      <c r="Y29" s="442"/>
      <c r="Z29" s="442"/>
      <c r="AA29" s="474"/>
    </row>
    <row r="30" spans="1:31" ht="15">
      <c r="A30" s="560">
        <v>0.5</v>
      </c>
      <c r="B30" s="561">
        <f>YesterdayGen!GK16</f>
        <v>3217</v>
      </c>
      <c r="C30" s="562">
        <f>YesterdayGen!GL16</f>
        <v>914</v>
      </c>
      <c r="D30" s="563">
        <f>YesterdayGen!GM16</f>
        <v>1752</v>
      </c>
      <c r="E30" s="563">
        <f>YesterdayGen!GN16</f>
        <v>0</v>
      </c>
      <c r="F30" s="564">
        <f>YesterdayGen!GO16</f>
        <v>1843</v>
      </c>
      <c r="G30" s="565">
        <f>YesterdayGen!GP16</f>
        <v>1019</v>
      </c>
      <c r="H30" s="566">
        <f>YesterdayGen!GQ16</f>
        <v>114</v>
      </c>
      <c r="I30" s="566">
        <f>YesterdayGen!GR16</f>
        <v>427</v>
      </c>
      <c r="J30" s="567">
        <f>YesterdayGen!GS16</f>
        <v>449</v>
      </c>
      <c r="K30" s="568">
        <f>YesterdayGen!GT16</f>
        <v>164</v>
      </c>
      <c r="L30" s="569">
        <f>YesterdayGen!GU16</f>
        <v>212</v>
      </c>
      <c r="M30" s="2655">
        <f>YesterdayGen!GV16</f>
        <v>2293.8001750000003</v>
      </c>
      <c r="N30" s="130"/>
      <c r="Q30" s="442"/>
      <c r="R30" s="442"/>
      <c r="S30" s="442"/>
      <c r="T30" s="442"/>
      <c r="U30" s="442"/>
      <c r="V30" s="442"/>
      <c r="W30" s="442"/>
      <c r="X30" s="442"/>
      <c r="Y30" s="442"/>
      <c r="Z30" s="442"/>
      <c r="AA30" s="474"/>
    </row>
    <row r="31" spans="1:31" ht="15">
      <c r="A31" s="570">
        <v>0.52083333333333304</v>
      </c>
      <c r="B31" s="571">
        <f t="shared" ref="B31:L31" si="23">B30/2+B32/2</f>
        <v>3241.5</v>
      </c>
      <c r="C31" s="572">
        <f t="shared" si="23"/>
        <v>913.5</v>
      </c>
      <c r="D31" s="573">
        <f t="shared" si="23"/>
        <v>1758.5</v>
      </c>
      <c r="E31" s="3069">
        <f t="shared" si="23"/>
        <v>0</v>
      </c>
      <c r="F31" s="574">
        <f t="shared" si="23"/>
        <v>1940</v>
      </c>
      <c r="G31" s="575">
        <f t="shared" si="23"/>
        <v>1019.5</v>
      </c>
      <c r="H31" s="576">
        <f t="shared" si="23"/>
        <v>114.5</v>
      </c>
      <c r="I31" s="576">
        <f t="shared" ref="I31" si="24">I30/2+I32/2</f>
        <v>413.5</v>
      </c>
      <c r="J31" s="577">
        <f>J30/2+J32/2</f>
        <v>458</v>
      </c>
      <c r="K31" s="578">
        <f>K30/2+K32/2</f>
        <v>166</v>
      </c>
      <c r="L31" s="579">
        <f t="shared" si="23"/>
        <v>203.5</v>
      </c>
      <c r="M31" s="2654">
        <f>M30/2+M32/2</f>
        <v>2125.6127374999996</v>
      </c>
      <c r="N31" s="130"/>
      <c r="Q31" s="442"/>
      <c r="R31" s="442"/>
      <c r="S31" s="442"/>
      <c r="T31" s="442"/>
      <c r="U31" s="442"/>
      <c r="V31" s="442"/>
      <c r="W31" s="442"/>
      <c r="X31" s="442"/>
      <c r="Y31" s="442"/>
      <c r="Z31" s="442"/>
      <c r="AA31" s="474"/>
    </row>
    <row r="32" spans="1:31" ht="15">
      <c r="A32" s="570">
        <v>0.54166666666666696</v>
      </c>
      <c r="B32" s="561">
        <f>YesterdayGen!GK17</f>
        <v>3266</v>
      </c>
      <c r="C32" s="562">
        <f>YesterdayGen!GL17</f>
        <v>913</v>
      </c>
      <c r="D32" s="563">
        <f>YesterdayGen!GM17</f>
        <v>1765</v>
      </c>
      <c r="E32" s="563">
        <f>YesterdayGen!GN17</f>
        <v>0</v>
      </c>
      <c r="F32" s="564">
        <f>YesterdayGen!GO17</f>
        <v>2037</v>
      </c>
      <c r="G32" s="565">
        <f>YesterdayGen!GP17</f>
        <v>1020</v>
      </c>
      <c r="H32" s="566">
        <f>YesterdayGen!GQ17</f>
        <v>115</v>
      </c>
      <c r="I32" s="566">
        <f>YesterdayGen!GR17</f>
        <v>400</v>
      </c>
      <c r="J32" s="567">
        <f>YesterdayGen!GS17</f>
        <v>467</v>
      </c>
      <c r="K32" s="568">
        <f>YesterdayGen!GT17</f>
        <v>168</v>
      </c>
      <c r="L32" s="569">
        <f>YesterdayGen!GU17</f>
        <v>195</v>
      </c>
      <c r="M32" s="2655">
        <f>YesterdayGen!GV17</f>
        <v>1957.425299999999</v>
      </c>
      <c r="N32" s="130"/>
      <c r="Q32" s="442"/>
      <c r="R32" s="442"/>
      <c r="S32" s="442"/>
      <c r="T32" s="442"/>
      <c r="U32" s="442"/>
      <c r="V32" s="442"/>
      <c r="W32" s="442"/>
      <c r="X32" s="442"/>
      <c r="Y32" s="442"/>
      <c r="Z32" s="442"/>
      <c r="AA32" s="474"/>
    </row>
    <row r="33" spans="1:28" ht="15">
      <c r="A33" s="560">
        <v>0.5625</v>
      </c>
      <c r="B33" s="571">
        <f t="shared" ref="B33:L33" si="25">B32/2+B34/2</f>
        <v>3266</v>
      </c>
      <c r="C33" s="572">
        <f t="shared" si="25"/>
        <v>913</v>
      </c>
      <c r="D33" s="573">
        <f t="shared" si="25"/>
        <v>1765</v>
      </c>
      <c r="E33" s="3069">
        <f t="shared" si="25"/>
        <v>0</v>
      </c>
      <c r="F33" s="574">
        <f t="shared" si="25"/>
        <v>2037</v>
      </c>
      <c r="G33" s="575">
        <f t="shared" si="25"/>
        <v>1020</v>
      </c>
      <c r="H33" s="576">
        <f t="shared" si="25"/>
        <v>115</v>
      </c>
      <c r="I33" s="576">
        <f t="shared" ref="I33" si="26">I32/2+I34/2</f>
        <v>400</v>
      </c>
      <c r="J33" s="577">
        <f t="shared" si="25"/>
        <v>467</v>
      </c>
      <c r="K33" s="578">
        <f>K32/2+K34/2</f>
        <v>168</v>
      </c>
      <c r="L33" s="579">
        <f t="shared" si="25"/>
        <v>195</v>
      </c>
      <c r="M33" s="2654">
        <f>M32/2+M34/2</f>
        <v>1957.425299999999</v>
      </c>
      <c r="N33" s="130"/>
      <c r="Q33" s="442"/>
      <c r="R33" s="442"/>
      <c r="S33" s="442"/>
      <c r="T33" s="442"/>
      <c r="U33" s="442"/>
      <c r="V33" s="442"/>
      <c r="W33" s="442"/>
      <c r="X33" s="442"/>
      <c r="Y33" s="442"/>
      <c r="Z33" s="442"/>
      <c r="AA33" s="474"/>
    </row>
    <row r="34" spans="1:28" ht="15">
      <c r="A34" s="570">
        <v>0.58333333333333304</v>
      </c>
      <c r="B34" s="561">
        <f>YesterdayGen!GK17</f>
        <v>3266</v>
      </c>
      <c r="C34" s="562">
        <f>YesterdayGen!GL17</f>
        <v>913</v>
      </c>
      <c r="D34" s="563">
        <f>YesterdayGen!GM17</f>
        <v>1765</v>
      </c>
      <c r="E34" s="563">
        <f>YesterdayGen!GN17</f>
        <v>0</v>
      </c>
      <c r="F34" s="564">
        <f>YesterdayGen!GO17</f>
        <v>2037</v>
      </c>
      <c r="G34" s="565">
        <f>YesterdayGen!GP17</f>
        <v>1020</v>
      </c>
      <c r="H34" s="566">
        <f>YesterdayGen!GQ17</f>
        <v>115</v>
      </c>
      <c r="I34" s="566">
        <f>YesterdayGen!GR17</f>
        <v>400</v>
      </c>
      <c r="J34" s="567">
        <f>YesterdayGen!GS17</f>
        <v>467</v>
      </c>
      <c r="K34" s="568">
        <f>YesterdayGen!GT17</f>
        <v>168</v>
      </c>
      <c r="L34" s="569">
        <f>YesterdayGen!GU17</f>
        <v>195</v>
      </c>
      <c r="M34" s="2655">
        <f>YesterdayGen!GV17</f>
        <v>1957.425299999999</v>
      </c>
      <c r="N34" s="130"/>
      <c r="Q34" s="442"/>
      <c r="R34" s="442"/>
      <c r="S34" s="442"/>
      <c r="T34" s="442"/>
      <c r="U34" s="442"/>
      <c r="V34" s="442"/>
      <c r="W34" s="442"/>
      <c r="X34" s="442"/>
      <c r="Y34" s="442"/>
      <c r="Z34" s="442"/>
      <c r="AA34" s="474"/>
    </row>
    <row r="35" spans="1:28" ht="15">
      <c r="A35" s="570">
        <v>0.60416666666666696</v>
      </c>
      <c r="B35" s="571">
        <f t="shared" ref="B35:L35" si="27">B34/2+B36/2</f>
        <v>3281</v>
      </c>
      <c r="C35" s="572">
        <f t="shared" si="27"/>
        <v>910</v>
      </c>
      <c r="D35" s="573">
        <f t="shared" si="27"/>
        <v>1773</v>
      </c>
      <c r="E35" s="3069">
        <f t="shared" si="27"/>
        <v>50</v>
      </c>
      <c r="F35" s="574">
        <f t="shared" si="27"/>
        <v>2224</v>
      </c>
      <c r="G35" s="575">
        <f t="shared" si="27"/>
        <v>935</v>
      </c>
      <c r="H35" s="576">
        <f t="shared" si="27"/>
        <v>115</v>
      </c>
      <c r="I35" s="576">
        <f t="shared" ref="I35" si="28">I34/2+I36/2</f>
        <v>375.5</v>
      </c>
      <c r="J35" s="577">
        <f t="shared" si="27"/>
        <v>451</v>
      </c>
      <c r="K35" s="578">
        <f>K34/2+K36/2</f>
        <v>175</v>
      </c>
      <c r="L35" s="579">
        <f t="shared" si="27"/>
        <v>176.5</v>
      </c>
      <c r="M35" s="2654">
        <f>M34/2+M36/2</f>
        <v>1920.7126499999995</v>
      </c>
      <c r="N35" s="130"/>
      <c r="Q35" s="442"/>
      <c r="R35" s="442"/>
      <c r="S35" s="442"/>
      <c r="T35" s="442"/>
      <c r="U35" s="442"/>
      <c r="V35" s="442"/>
      <c r="W35" s="442"/>
      <c r="X35" s="442"/>
      <c r="Y35" s="442"/>
      <c r="Z35" s="442"/>
      <c r="AA35" s="474"/>
    </row>
    <row r="36" spans="1:28" ht="15">
      <c r="A36" s="560">
        <v>0.625</v>
      </c>
      <c r="B36" s="561">
        <f>YesterdayGen!GK19</f>
        <v>3296</v>
      </c>
      <c r="C36" s="562">
        <f>YesterdayGen!GL19</f>
        <v>907</v>
      </c>
      <c r="D36" s="563">
        <f>YesterdayGen!GM19</f>
        <v>1781</v>
      </c>
      <c r="E36" s="563">
        <f>YesterdayGen!GN19</f>
        <v>100</v>
      </c>
      <c r="F36" s="564">
        <f>YesterdayGen!GO19</f>
        <v>2411</v>
      </c>
      <c r="G36" s="565">
        <f>YesterdayGen!GP19</f>
        <v>850</v>
      </c>
      <c r="H36" s="566">
        <f>YesterdayGen!GQ19</f>
        <v>115</v>
      </c>
      <c r="I36" s="566">
        <f>YesterdayGen!GR19</f>
        <v>351</v>
      </c>
      <c r="J36" s="567">
        <f>YesterdayGen!GS19</f>
        <v>435</v>
      </c>
      <c r="K36" s="568">
        <f>YesterdayGen!GT19</f>
        <v>182</v>
      </c>
      <c r="L36" s="569">
        <f>YesterdayGen!GU19</f>
        <v>158</v>
      </c>
      <c r="M36" s="2655">
        <f>YesterdayGen!GV19</f>
        <v>1884</v>
      </c>
      <c r="N36" s="130"/>
      <c r="Q36" s="442"/>
      <c r="R36" s="442"/>
      <c r="S36" s="442"/>
      <c r="T36" s="442"/>
      <c r="U36" s="442"/>
      <c r="V36" s="442"/>
      <c r="W36" s="442"/>
      <c r="X36" s="442"/>
      <c r="Y36" s="442"/>
      <c r="Z36" s="442"/>
      <c r="AA36" s="474"/>
    </row>
    <row r="37" spans="1:28" ht="15">
      <c r="A37" s="570">
        <v>0.64583333333333304</v>
      </c>
      <c r="B37" s="571">
        <f t="shared" ref="B37:L37" si="29">B36/2+B38/2</f>
        <v>3244</v>
      </c>
      <c r="C37" s="572">
        <f t="shared" si="29"/>
        <v>907</v>
      </c>
      <c r="D37" s="573">
        <f t="shared" si="29"/>
        <v>1758</v>
      </c>
      <c r="E37" s="3069">
        <f t="shared" si="29"/>
        <v>220.5</v>
      </c>
      <c r="F37" s="574">
        <f t="shared" si="29"/>
        <v>2337.5</v>
      </c>
      <c r="G37" s="575">
        <f t="shared" si="29"/>
        <v>835</v>
      </c>
      <c r="H37" s="576">
        <f t="shared" si="29"/>
        <v>115.5</v>
      </c>
      <c r="I37" s="576">
        <f t="shared" ref="I37" si="30">I36/2+I38/2</f>
        <v>374</v>
      </c>
      <c r="J37" s="577">
        <f t="shared" si="29"/>
        <v>500</v>
      </c>
      <c r="K37" s="578">
        <f>K36/2+K38/2</f>
        <v>173</v>
      </c>
      <c r="L37" s="579">
        <f t="shared" si="29"/>
        <v>137.5</v>
      </c>
      <c r="M37" s="2654">
        <f>M36/2+M38/2</f>
        <v>1844</v>
      </c>
      <c r="N37" s="130"/>
      <c r="Q37" s="442"/>
      <c r="R37" s="442"/>
      <c r="S37" s="442"/>
      <c r="T37" s="442"/>
      <c r="U37" s="442"/>
      <c r="V37" s="442"/>
      <c r="W37" s="442"/>
      <c r="X37" s="442"/>
      <c r="Y37" s="442"/>
      <c r="Z37" s="442"/>
      <c r="AA37" s="474"/>
    </row>
    <row r="38" spans="1:28" ht="15">
      <c r="A38" s="570">
        <v>0.66666666666666696</v>
      </c>
      <c r="B38" s="561">
        <f>YesterdayGen!GK20</f>
        <v>3192</v>
      </c>
      <c r="C38" s="562">
        <f>YesterdayGen!GL20</f>
        <v>907</v>
      </c>
      <c r="D38" s="563">
        <f>YesterdayGen!GM20</f>
        <v>1735</v>
      </c>
      <c r="E38" s="563">
        <f>YesterdayGen!GN20</f>
        <v>341</v>
      </c>
      <c r="F38" s="564">
        <f>YesterdayGen!GO20</f>
        <v>2264</v>
      </c>
      <c r="G38" s="565">
        <f>YesterdayGen!GP20</f>
        <v>820</v>
      </c>
      <c r="H38" s="566">
        <f>YesterdayGen!GQ20</f>
        <v>116</v>
      </c>
      <c r="I38" s="566">
        <f>YesterdayGen!GR20</f>
        <v>397</v>
      </c>
      <c r="J38" s="567">
        <f>YesterdayGen!GS20</f>
        <v>565</v>
      </c>
      <c r="K38" s="568">
        <f>YesterdayGen!GT20</f>
        <v>164</v>
      </c>
      <c r="L38" s="569">
        <f>YesterdayGen!GU20</f>
        <v>117</v>
      </c>
      <c r="M38" s="2655">
        <f>YesterdayGen!GV20</f>
        <v>1804</v>
      </c>
      <c r="N38" s="130"/>
      <c r="Q38" s="442"/>
      <c r="R38" s="442"/>
      <c r="S38" s="442"/>
      <c r="T38" s="442"/>
      <c r="U38" s="442"/>
      <c r="V38" s="442"/>
      <c r="W38" s="442"/>
      <c r="X38" s="442"/>
      <c r="Y38" s="442"/>
      <c r="Z38" s="442"/>
      <c r="AA38" s="474"/>
    </row>
    <row r="39" spans="1:28" ht="15">
      <c r="A39" s="560">
        <v>0.6875</v>
      </c>
      <c r="B39" s="3229">
        <f>YesterdayGen!GK21</f>
        <v>3227</v>
      </c>
      <c r="C39" s="572">
        <f t="shared" ref="C39:L39" si="31">C38/2+C40/2</f>
        <v>907</v>
      </c>
      <c r="D39" s="573">
        <f t="shared" si="31"/>
        <v>1741.5</v>
      </c>
      <c r="E39" s="3069">
        <f t="shared" si="31"/>
        <v>403</v>
      </c>
      <c r="F39" s="574">
        <f t="shared" si="31"/>
        <v>2380.5</v>
      </c>
      <c r="G39" s="575">
        <f t="shared" si="31"/>
        <v>810.5</v>
      </c>
      <c r="H39" s="576">
        <f t="shared" si="31"/>
        <v>117</v>
      </c>
      <c r="I39" s="576">
        <f t="shared" ref="I39" si="32">I38/2+I40/2</f>
        <v>416</v>
      </c>
      <c r="J39" s="577">
        <f t="shared" si="31"/>
        <v>590</v>
      </c>
      <c r="K39" s="578">
        <f>K38/2+K40/2</f>
        <v>162</v>
      </c>
      <c r="L39" s="579">
        <f t="shared" si="31"/>
        <v>79</v>
      </c>
      <c r="M39" s="2654">
        <f>M38/2+M40/2</f>
        <v>1545</v>
      </c>
      <c r="N39" s="130"/>
      <c r="Q39" s="442"/>
      <c r="R39" s="442"/>
      <c r="S39" s="442"/>
      <c r="T39" s="442"/>
      <c r="U39" s="442"/>
      <c r="V39" s="442"/>
      <c r="W39" s="442"/>
      <c r="X39" s="442"/>
      <c r="Y39" s="442"/>
      <c r="Z39" s="442"/>
      <c r="AA39" s="474"/>
      <c r="AB39" s="138" t="s">
        <v>18</v>
      </c>
    </row>
    <row r="40" spans="1:28" ht="15">
      <c r="A40" s="570">
        <v>0.70833333333333304</v>
      </c>
      <c r="B40" s="561">
        <f>YesterdayGen!GK21</f>
        <v>3227</v>
      </c>
      <c r="C40" s="562">
        <f>YesterdayGen!GL21</f>
        <v>907</v>
      </c>
      <c r="D40" s="563">
        <f>YesterdayGen!GM21</f>
        <v>1748</v>
      </c>
      <c r="E40" s="563">
        <f>YesterdayGen!GN21</f>
        <v>465</v>
      </c>
      <c r="F40" s="564">
        <f>YesterdayGen!GO21</f>
        <v>2497</v>
      </c>
      <c r="G40" s="565">
        <f>YesterdayGen!GP21</f>
        <v>801</v>
      </c>
      <c r="H40" s="566">
        <f>YesterdayGen!GQ21</f>
        <v>118</v>
      </c>
      <c r="I40" s="566">
        <f>YesterdayGen!GR21</f>
        <v>435</v>
      </c>
      <c r="J40" s="567">
        <f>YesterdayGen!GS21</f>
        <v>615</v>
      </c>
      <c r="K40" s="568">
        <f>YesterdayGen!GT21</f>
        <v>160</v>
      </c>
      <c r="L40" s="569">
        <f>YesterdayGen!GU21</f>
        <v>41</v>
      </c>
      <c r="M40" s="2655">
        <f>YesterdayGen!GV21</f>
        <v>1286</v>
      </c>
      <c r="N40" s="130"/>
      <c r="Q40" s="442"/>
      <c r="R40" s="442"/>
      <c r="S40" s="442"/>
      <c r="T40" s="442"/>
      <c r="U40" s="442"/>
      <c r="V40" s="442"/>
      <c r="W40" s="442"/>
      <c r="X40" s="442"/>
      <c r="Y40" s="442"/>
      <c r="Z40" s="442"/>
      <c r="AA40" s="474"/>
    </row>
    <row r="41" spans="1:28" ht="15">
      <c r="A41" s="570">
        <v>0.72916666666666696</v>
      </c>
      <c r="B41" s="571">
        <f t="shared" ref="B41:L41" si="33">B40/2+B42/2</f>
        <v>3229.5</v>
      </c>
      <c r="C41" s="572">
        <f t="shared" si="33"/>
        <v>906.5</v>
      </c>
      <c r="D41" s="573">
        <f t="shared" si="33"/>
        <v>1751.5</v>
      </c>
      <c r="E41" s="3069">
        <f t="shared" si="33"/>
        <v>439.5</v>
      </c>
      <c r="F41" s="574">
        <f t="shared" si="33"/>
        <v>2693</v>
      </c>
      <c r="G41" s="575">
        <f t="shared" si="33"/>
        <v>805</v>
      </c>
      <c r="H41" s="576">
        <f t="shared" si="33"/>
        <v>118</v>
      </c>
      <c r="I41" s="576">
        <f t="shared" ref="I41" si="34">I40/2+I42/2</f>
        <v>435</v>
      </c>
      <c r="J41" s="577">
        <f t="shared" si="33"/>
        <v>637</v>
      </c>
      <c r="K41" s="578">
        <f t="shared" si="33"/>
        <v>159</v>
      </c>
      <c r="L41" s="579">
        <f t="shared" si="33"/>
        <v>28.5</v>
      </c>
      <c r="M41" s="2654">
        <f>M40/2+M42/2</f>
        <v>1020.8457500000004</v>
      </c>
      <c r="N41" s="130"/>
      <c r="Q41" s="442"/>
      <c r="R41" s="442"/>
      <c r="S41" s="442"/>
      <c r="T41" s="442"/>
      <c r="U41" s="442"/>
      <c r="V41" s="442"/>
      <c r="W41" s="442"/>
      <c r="X41" s="442"/>
      <c r="Y41" s="442"/>
      <c r="Z41" s="442"/>
      <c r="AA41" s="474"/>
    </row>
    <row r="42" spans="1:28" ht="15.75">
      <c r="A42" s="560">
        <v>0.75</v>
      </c>
      <c r="B42" s="561">
        <f>YesterdayGen!GK22</f>
        <v>3232</v>
      </c>
      <c r="C42" s="562">
        <f>YesterdayGen!GL22</f>
        <v>906</v>
      </c>
      <c r="D42" s="563">
        <f>YesterdayGen!GM22</f>
        <v>1755</v>
      </c>
      <c r="E42" s="563">
        <f>YesterdayGen!GN22</f>
        <v>414</v>
      </c>
      <c r="F42" s="564">
        <f>YesterdayGen!GO22</f>
        <v>2889</v>
      </c>
      <c r="G42" s="565">
        <f>YesterdayGen!GP22</f>
        <v>809</v>
      </c>
      <c r="H42" s="566">
        <f>YesterdayGen!GQ22</f>
        <v>118</v>
      </c>
      <c r="I42" s="566">
        <f>YesterdayGen!GR22</f>
        <v>435</v>
      </c>
      <c r="J42" s="567">
        <f>YesterdayGen!GS22</f>
        <v>659</v>
      </c>
      <c r="K42" s="568">
        <f>YesterdayGen!GT22</f>
        <v>158</v>
      </c>
      <c r="L42" s="569">
        <f>YesterdayGen!GU22</f>
        <v>16</v>
      </c>
      <c r="M42" s="2655">
        <f>YesterdayGen!GV22</f>
        <v>755.69150000000081</v>
      </c>
      <c r="N42" s="130"/>
      <c r="Q42" s="442"/>
      <c r="R42" s="442"/>
      <c r="S42" s="483"/>
      <c r="T42" s="483"/>
      <c r="U42" s="442"/>
      <c r="V42" s="442"/>
      <c r="W42" s="442"/>
      <c r="X42" s="442"/>
      <c r="Y42" s="442"/>
      <c r="Z42" s="442"/>
      <c r="AA42" s="474"/>
    </row>
    <row r="43" spans="1:28" ht="15">
      <c r="A43" s="570">
        <v>0.77083333333333304</v>
      </c>
      <c r="B43" s="571">
        <f t="shared" ref="B43:L43" si="35">B42/2+B44/2</f>
        <v>3237.5</v>
      </c>
      <c r="C43" s="572">
        <f t="shared" si="35"/>
        <v>906.5</v>
      </c>
      <c r="D43" s="573">
        <f t="shared" si="35"/>
        <v>1790</v>
      </c>
      <c r="E43" s="3069">
        <f t="shared" si="35"/>
        <v>588.5</v>
      </c>
      <c r="F43" s="574">
        <f t="shared" si="35"/>
        <v>3010.5</v>
      </c>
      <c r="G43" s="575">
        <f t="shared" si="35"/>
        <v>859.5</v>
      </c>
      <c r="H43" s="576">
        <f t="shared" si="35"/>
        <v>118</v>
      </c>
      <c r="I43" s="576">
        <f t="shared" ref="I43" si="36">I42/2+I44/2</f>
        <v>434.5</v>
      </c>
      <c r="J43" s="577">
        <f t="shared" si="35"/>
        <v>699.5</v>
      </c>
      <c r="K43" s="578">
        <f t="shared" si="35"/>
        <v>158</v>
      </c>
      <c r="L43" s="579">
        <f t="shared" si="35"/>
        <v>8</v>
      </c>
      <c r="M43" s="2656">
        <f>M42/2+M44/2</f>
        <v>921.84575000000041</v>
      </c>
      <c r="N43" s="130"/>
      <c r="Q43" s="442"/>
      <c r="R43" s="442"/>
      <c r="S43" s="442"/>
      <c r="T43" s="442"/>
      <c r="U43" s="442"/>
      <c r="V43" s="442"/>
      <c r="W43" s="442"/>
      <c r="X43" s="442"/>
      <c r="Y43" s="442"/>
      <c r="Z43" s="442"/>
      <c r="AA43" s="474"/>
    </row>
    <row r="44" spans="1:28" ht="15">
      <c r="A44" s="570">
        <v>0.79166666666666696</v>
      </c>
      <c r="B44" s="561">
        <f>YesterdayGen!GK24</f>
        <v>3243</v>
      </c>
      <c r="C44" s="562">
        <f>YesterdayGen!GL24</f>
        <v>907</v>
      </c>
      <c r="D44" s="563">
        <f>YesterdayGen!GM24</f>
        <v>1825</v>
      </c>
      <c r="E44" s="563">
        <f>YesterdayGen!GN24</f>
        <v>763</v>
      </c>
      <c r="F44" s="564">
        <f>YesterdayGen!GO24</f>
        <v>3132</v>
      </c>
      <c r="G44" s="565">
        <f>YesterdayGen!GP24</f>
        <v>910</v>
      </c>
      <c r="H44" s="566">
        <f>YesterdayGen!GQ24</f>
        <v>118</v>
      </c>
      <c r="I44" s="566">
        <f>YesterdayGen!GR24</f>
        <v>434</v>
      </c>
      <c r="J44" s="567">
        <f>YesterdayGen!GS24</f>
        <v>740</v>
      </c>
      <c r="K44" s="568">
        <f>YesterdayGen!GT24</f>
        <v>158</v>
      </c>
      <c r="L44" s="569">
        <f>YesterdayGen!GU24</f>
        <v>0</v>
      </c>
      <c r="M44" s="2655">
        <f>YesterdayGen!GV24</f>
        <v>1088</v>
      </c>
      <c r="N44" s="130"/>
      <c r="Q44" s="442"/>
      <c r="R44" s="442"/>
      <c r="S44" s="442"/>
      <c r="T44" s="442"/>
      <c r="U44" s="442"/>
      <c r="V44" s="442"/>
      <c r="W44" s="442"/>
      <c r="X44" s="442"/>
      <c r="Y44" s="442"/>
      <c r="Z44" s="442"/>
      <c r="AA44" s="474"/>
    </row>
    <row r="45" spans="1:28" ht="15">
      <c r="A45" s="560">
        <v>0.8125</v>
      </c>
      <c r="B45" s="561">
        <f>YesterdayGen!GK25</f>
        <v>3268</v>
      </c>
      <c r="C45" s="562">
        <f>YesterdayGen!GL25</f>
        <v>909</v>
      </c>
      <c r="D45" s="563">
        <f>YesterdayGen!GM25</f>
        <v>1842</v>
      </c>
      <c r="E45" s="563">
        <f>YesterdayGen!GN25</f>
        <v>711</v>
      </c>
      <c r="F45" s="564">
        <f>YesterdayGen!GO25</f>
        <v>3446</v>
      </c>
      <c r="G45" s="565">
        <f>YesterdayGen!GP25</f>
        <v>1030</v>
      </c>
      <c r="H45" s="566">
        <f>YesterdayGen!GQ25</f>
        <v>118</v>
      </c>
      <c r="I45" s="566">
        <f>YesterdayGen!GR25</f>
        <v>439</v>
      </c>
      <c r="J45" s="567">
        <f>YesterdayGen!GS25</f>
        <v>776</v>
      </c>
      <c r="K45" s="568">
        <f>YesterdayGen!GT25</f>
        <v>160</v>
      </c>
      <c r="L45" s="569">
        <f>YesterdayGen!GU25</f>
        <v>0</v>
      </c>
      <c r="M45" s="2653">
        <f>YesterdayGen!GV25</f>
        <v>1072.7132999999994</v>
      </c>
      <c r="N45" s="130"/>
      <c r="Q45" s="442"/>
      <c r="R45" s="442"/>
      <c r="S45" s="442"/>
      <c r="T45" s="442"/>
      <c r="U45" s="442"/>
      <c r="V45" s="442"/>
      <c r="W45" s="442"/>
      <c r="X45" s="442"/>
      <c r="Y45" s="442"/>
      <c r="Z45" s="442"/>
      <c r="AA45" s="474"/>
    </row>
    <row r="46" spans="1:28" ht="15">
      <c r="A46" s="570">
        <v>0.83333333333333304</v>
      </c>
      <c r="B46" s="561">
        <f>YesterdayGen!GK26</f>
        <v>3340</v>
      </c>
      <c r="C46" s="562">
        <f>YesterdayGen!GL26</f>
        <v>909</v>
      </c>
      <c r="D46" s="563">
        <f>YesterdayGen!GM26</f>
        <v>1864</v>
      </c>
      <c r="E46" s="563">
        <f>YesterdayGen!GN26</f>
        <v>714</v>
      </c>
      <c r="F46" s="564">
        <f>YesterdayGen!GO26</f>
        <v>3544</v>
      </c>
      <c r="G46" s="565">
        <f>YesterdayGen!GP26</f>
        <v>1041</v>
      </c>
      <c r="H46" s="566">
        <f>YesterdayGen!GQ26</f>
        <v>118</v>
      </c>
      <c r="I46" s="566">
        <f>YesterdayGen!GR26</f>
        <v>441</v>
      </c>
      <c r="J46" s="567">
        <f>YesterdayGen!GS26</f>
        <v>773</v>
      </c>
      <c r="K46" s="568">
        <f>YesterdayGen!GT26</f>
        <v>160</v>
      </c>
      <c r="L46" s="569">
        <f>YesterdayGen!GU26</f>
        <v>0</v>
      </c>
      <c r="M46" s="2655">
        <f>YesterdayGen!GV26</f>
        <v>1207.26325</v>
      </c>
      <c r="N46" s="130"/>
      <c r="Q46" s="442"/>
      <c r="R46" s="442"/>
      <c r="S46" s="442"/>
      <c r="T46" s="442"/>
      <c r="U46" s="442"/>
      <c r="V46" s="442"/>
      <c r="W46" s="442"/>
      <c r="X46" s="442"/>
      <c r="Y46" s="442"/>
      <c r="Z46" s="442"/>
      <c r="AA46" s="474"/>
    </row>
    <row r="47" spans="1:28" ht="15">
      <c r="A47" s="570">
        <v>0.85416666666666696</v>
      </c>
      <c r="B47" s="571">
        <f t="shared" ref="B47:L49" si="37">B46/2+B48/2</f>
        <v>3458</v>
      </c>
      <c r="C47" s="572">
        <f t="shared" si="37"/>
        <v>909</v>
      </c>
      <c r="D47" s="573">
        <f t="shared" si="37"/>
        <v>1845</v>
      </c>
      <c r="E47" s="3069">
        <f t="shared" si="37"/>
        <v>828.5</v>
      </c>
      <c r="F47" s="574">
        <f t="shared" si="37"/>
        <v>3598</v>
      </c>
      <c r="G47" s="575">
        <f t="shared" si="37"/>
        <v>1040.5</v>
      </c>
      <c r="H47" s="576">
        <f t="shared" si="37"/>
        <v>117</v>
      </c>
      <c r="I47" s="576">
        <f t="shared" ref="I47" si="38">I46/2+I48/2</f>
        <v>441</v>
      </c>
      <c r="J47" s="577">
        <f t="shared" si="37"/>
        <v>775</v>
      </c>
      <c r="K47" s="578">
        <f t="shared" si="37"/>
        <v>160</v>
      </c>
      <c r="L47" s="579">
        <f t="shared" si="37"/>
        <v>0</v>
      </c>
      <c r="M47" s="2654">
        <f>M46/2+M48/2</f>
        <v>1051.9778624999999</v>
      </c>
      <c r="N47" s="130"/>
      <c r="Q47" s="442"/>
      <c r="R47" s="442"/>
      <c r="S47" s="442"/>
      <c r="T47" s="442"/>
      <c r="U47" s="442"/>
      <c r="V47" s="442"/>
      <c r="W47" s="442"/>
      <c r="X47" s="442"/>
      <c r="Y47" s="442"/>
      <c r="Z47" s="442"/>
      <c r="AA47" s="474"/>
    </row>
    <row r="48" spans="1:28" ht="15">
      <c r="A48" s="560">
        <v>0.875</v>
      </c>
      <c r="B48" s="561">
        <f>YesterdayGen!GK27</f>
        <v>3576</v>
      </c>
      <c r="C48" s="562">
        <f>YesterdayGen!GL27</f>
        <v>909</v>
      </c>
      <c r="D48" s="563">
        <f>YesterdayGen!GM27</f>
        <v>1826</v>
      </c>
      <c r="E48" s="563">
        <f>YesterdayGen!GN27</f>
        <v>943</v>
      </c>
      <c r="F48" s="564">
        <f>YesterdayGen!GO27</f>
        <v>3652</v>
      </c>
      <c r="G48" s="565">
        <f>YesterdayGen!GP27</f>
        <v>1040</v>
      </c>
      <c r="H48" s="566">
        <f>YesterdayGen!GQ27</f>
        <v>116</v>
      </c>
      <c r="I48" s="566">
        <f>YesterdayGen!GR27</f>
        <v>441</v>
      </c>
      <c r="J48" s="567">
        <f>YesterdayGen!GS27</f>
        <v>777</v>
      </c>
      <c r="K48" s="568">
        <f>YesterdayGen!GT27</f>
        <v>160</v>
      </c>
      <c r="L48" s="569">
        <f>YesterdayGen!GU27</f>
        <v>0</v>
      </c>
      <c r="M48" s="2655">
        <f>YesterdayGen!GV27</f>
        <v>896.69247499999983</v>
      </c>
      <c r="N48" s="130"/>
      <c r="Q48" s="442"/>
      <c r="R48" s="442"/>
      <c r="S48" s="442"/>
      <c r="T48" s="442"/>
      <c r="U48" s="442"/>
      <c r="V48" s="442"/>
      <c r="W48" s="442"/>
      <c r="X48" s="442"/>
      <c r="Y48" s="442"/>
      <c r="Z48" s="442"/>
      <c r="AA48" s="474"/>
    </row>
    <row r="49" spans="1:27" ht="15">
      <c r="A49" s="570">
        <v>0.89583333333333304</v>
      </c>
      <c r="B49" s="571">
        <f t="shared" ref="B49:L49" si="39">B48/2+B50/2</f>
        <v>3583</v>
      </c>
      <c r="C49" s="572">
        <f t="shared" si="39"/>
        <v>909</v>
      </c>
      <c r="D49" s="573">
        <f t="shared" si="39"/>
        <v>1862.5</v>
      </c>
      <c r="E49" s="3069">
        <f t="shared" si="39"/>
        <v>870</v>
      </c>
      <c r="F49" s="574">
        <f t="shared" si="39"/>
        <v>3672</v>
      </c>
      <c r="G49" s="575">
        <f t="shared" si="39"/>
        <v>1040</v>
      </c>
      <c r="H49" s="576">
        <f t="shared" si="39"/>
        <v>116</v>
      </c>
      <c r="I49" s="576">
        <f t="shared" ref="I49" si="40">I48/2+I50/2</f>
        <v>440</v>
      </c>
      <c r="J49" s="577">
        <f t="shared" si="39"/>
        <v>780</v>
      </c>
      <c r="K49" s="578">
        <f t="shared" si="37"/>
        <v>165</v>
      </c>
      <c r="L49" s="579">
        <f t="shared" si="39"/>
        <v>0</v>
      </c>
      <c r="M49" s="2654">
        <f>M48/2+M50/2</f>
        <v>852.45687499999985</v>
      </c>
      <c r="N49" s="130"/>
      <c r="Q49" s="442"/>
      <c r="R49" s="442"/>
      <c r="S49" s="442"/>
      <c r="T49" s="442"/>
      <c r="U49" s="442"/>
      <c r="V49" s="442"/>
      <c r="W49" s="442"/>
      <c r="X49" s="442"/>
      <c r="Y49" s="442"/>
      <c r="Z49" s="442"/>
      <c r="AA49" s="474"/>
    </row>
    <row r="50" spans="1:27" ht="15.75">
      <c r="A50" s="570">
        <v>0.91666666666666696</v>
      </c>
      <c r="B50" s="561">
        <f>YesterdayGen!GK28</f>
        <v>3590</v>
      </c>
      <c r="C50" s="562">
        <f>YesterdayGen!GL28</f>
        <v>909</v>
      </c>
      <c r="D50" s="563">
        <f>YesterdayGen!GM28</f>
        <v>1899</v>
      </c>
      <c r="E50" s="563">
        <f>YesterdayGen!GN28</f>
        <v>797</v>
      </c>
      <c r="F50" s="564">
        <f>YesterdayGen!GO28</f>
        <v>3692</v>
      </c>
      <c r="G50" s="565">
        <f>YesterdayGen!GP28</f>
        <v>1040</v>
      </c>
      <c r="H50" s="566">
        <f>YesterdayGen!GQ28</f>
        <v>116</v>
      </c>
      <c r="I50" s="566">
        <f>YesterdayGen!GR28</f>
        <v>439</v>
      </c>
      <c r="J50" s="567">
        <f>YesterdayGen!GS28</f>
        <v>783</v>
      </c>
      <c r="K50" s="568">
        <f>YesterdayGen!GT28</f>
        <v>170</v>
      </c>
      <c r="L50" s="569">
        <f>YesterdayGen!GU28</f>
        <v>0</v>
      </c>
      <c r="M50" s="2655">
        <f>YesterdayGen!GV28</f>
        <v>808.22127499999988</v>
      </c>
      <c r="N50" s="130"/>
      <c r="Q50" s="442"/>
      <c r="R50" s="442"/>
      <c r="S50" s="442"/>
      <c r="T50" s="442"/>
      <c r="U50" s="442"/>
      <c r="V50" s="442"/>
      <c r="W50" s="442"/>
      <c r="X50" s="442"/>
      <c r="Y50" s="483"/>
      <c r="Z50" s="483"/>
      <c r="AA50" s="474"/>
    </row>
    <row r="51" spans="1:27" ht="15.75">
      <c r="A51" s="560">
        <v>0.9375</v>
      </c>
      <c r="B51" s="571">
        <f t="shared" ref="B51:L51" si="41">B50/2+B52/2</f>
        <v>3587</v>
      </c>
      <c r="C51" s="572">
        <f t="shared" si="41"/>
        <v>909</v>
      </c>
      <c r="D51" s="573">
        <f t="shared" si="41"/>
        <v>1907.5</v>
      </c>
      <c r="E51" s="3069">
        <f t="shared" si="41"/>
        <v>875</v>
      </c>
      <c r="F51" s="574">
        <f t="shared" si="41"/>
        <v>3507.5</v>
      </c>
      <c r="G51" s="575">
        <f t="shared" si="41"/>
        <v>1040</v>
      </c>
      <c r="H51" s="576">
        <f>H50/2+H52/2</f>
        <v>116</v>
      </c>
      <c r="I51" s="576">
        <f>I50/2+I52/2</f>
        <v>438.5</v>
      </c>
      <c r="J51" s="577">
        <f t="shared" si="41"/>
        <v>773.5</v>
      </c>
      <c r="K51" s="578">
        <f t="shared" si="41"/>
        <v>166</v>
      </c>
      <c r="L51" s="579">
        <f t="shared" si="41"/>
        <v>0</v>
      </c>
      <c r="M51" s="2654">
        <f>M50/2+M52/2</f>
        <v>821.58411250000063</v>
      </c>
      <c r="N51" s="130"/>
      <c r="Q51" s="442"/>
      <c r="R51" s="442"/>
      <c r="S51" s="442"/>
      <c r="T51" s="442"/>
      <c r="U51" s="442"/>
      <c r="V51" s="442"/>
      <c r="W51" s="442"/>
      <c r="X51" s="442"/>
      <c r="Y51" s="483"/>
      <c r="Z51" s="483"/>
      <c r="AA51" s="474"/>
    </row>
    <row r="52" spans="1:27">
      <c r="A52" s="570">
        <v>0.95833333333333304</v>
      </c>
      <c r="B52" s="561">
        <f>YesterdayGen!GK29</f>
        <v>3584</v>
      </c>
      <c r="C52" s="562">
        <f>YesterdayGen!GL29</f>
        <v>909</v>
      </c>
      <c r="D52" s="563">
        <f>YesterdayGen!GM29</f>
        <v>1916</v>
      </c>
      <c r="E52" s="563">
        <f>YesterdayGen!GN29</f>
        <v>953</v>
      </c>
      <c r="F52" s="564">
        <f>YesterdayGen!GO29</f>
        <v>3323</v>
      </c>
      <c r="G52" s="565">
        <f>YesterdayGen!GP29</f>
        <v>1040</v>
      </c>
      <c r="H52" s="566">
        <f>YesterdayGen!GQ29</f>
        <v>116</v>
      </c>
      <c r="I52" s="566">
        <f>YesterdayGen!GR29</f>
        <v>438</v>
      </c>
      <c r="J52" s="567">
        <f>YesterdayGen!GS29</f>
        <v>764</v>
      </c>
      <c r="K52" s="568">
        <f>YesterdayGen!GT29</f>
        <v>162</v>
      </c>
      <c r="L52" s="569">
        <f>YesterdayGen!GU29</f>
        <v>0</v>
      </c>
      <c r="M52" s="2655">
        <f>YesterdayGen!GV29</f>
        <v>834.94695000000138</v>
      </c>
      <c r="N52" s="130"/>
    </row>
    <row r="53" spans="1:27" ht="23.25" customHeight="1">
      <c r="A53" s="570">
        <v>0.97916666666666696</v>
      </c>
      <c r="B53" s="571">
        <f t="shared" ref="B53:L53" si="42">B52/2+B54/2</f>
        <v>3591</v>
      </c>
      <c r="C53" s="572">
        <f t="shared" si="42"/>
        <v>909</v>
      </c>
      <c r="D53" s="573">
        <f t="shared" si="42"/>
        <v>1907</v>
      </c>
      <c r="E53" s="3069">
        <f t="shared" si="42"/>
        <v>943.5</v>
      </c>
      <c r="F53" s="574">
        <f t="shared" si="42"/>
        <v>2955.5</v>
      </c>
      <c r="G53" s="575">
        <f t="shared" si="42"/>
        <v>1040</v>
      </c>
      <c r="H53" s="576">
        <f t="shared" si="42"/>
        <v>116</v>
      </c>
      <c r="I53" s="576">
        <f t="shared" ref="I53" si="43">I52/2+I54/2</f>
        <v>438</v>
      </c>
      <c r="J53" s="577">
        <f t="shared" si="42"/>
        <v>725.5</v>
      </c>
      <c r="K53" s="578">
        <f t="shared" si="42"/>
        <v>162</v>
      </c>
      <c r="L53" s="579">
        <f t="shared" si="42"/>
        <v>0</v>
      </c>
      <c r="M53" s="2654">
        <f>M52/2+M54/2</f>
        <v>417.47347500000069</v>
      </c>
      <c r="N53" s="130"/>
      <c r="R53" s="483" t="s">
        <v>634</v>
      </c>
      <c r="S53" s="442"/>
      <c r="T53" s="483" t="str">
        <f>Forecast!G203</f>
        <v>35.4° C</v>
      </c>
      <c r="V53" s="483"/>
    </row>
    <row r="54" spans="1:27">
      <c r="A54" s="580" t="s">
        <v>24</v>
      </c>
      <c r="B54" s="561">
        <f>YesterdayGen!GK30</f>
        <v>3598</v>
      </c>
      <c r="C54" s="562">
        <f>YesterdayGen!GL30</f>
        <v>909</v>
      </c>
      <c r="D54" s="563">
        <f>YesterdayGen!GM30</f>
        <v>1898</v>
      </c>
      <c r="E54" s="563">
        <f>YesterdayGen!GN30</f>
        <v>934</v>
      </c>
      <c r="F54" s="564">
        <f>YesterdayGen!GO30</f>
        <v>2588</v>
      </c>
      <c r="G54" s="565">
        <f>YesterdayGen!GP30</f>
        <v>1040</v>
      </c>
      <c r="H54" s="566">
        <f>YesterdayGen!GQ30</f>
        <v>116</v>
      </c>
      <c r="I54" s="566">
        <f>YesterdayGen!GR30</f>
        <v>438</v>
      </c>
      <c r="J54" s="567">
        <f>YesterdayGen!GS30</f>
        <v>687</v>
      </c>
      <c r="K54" s="568">
        <f>YesterdayGen!GT30</f>
        <v>162</v>
      </c>
      <c r="L54" s="569">
        <f>YesterdayGen!GU30</f>
        <v>0</v>
      </c>
      <c r="M54" s="2657">
        <f>YesterdayGen!GV30</f>
        <v>0</v>
      </c>
      <c r="N54" s="130"/>
    </row>
    <row r="55" spans="1:27">
      <c r="A55" s="130"/>
      <c r="B55" s="130"/>
      <c r="C55" s="130"/>
      <c r="D55" s="503"/>
      <c r="E55" s="503"/>
      <c r="F55" s="503"/>
      <c r="G55" s="503"/>
      <c r="H55" s="503"/>
      <c r="I55" s="503"/>
      <c r="J55" s="504"/>
      <c r="K55" s="504"/>
      <c r="L55" s="504"/>
      <c r="M55" s="504"/>
      <c r="N55" s="130"/>
    </row>
    <row r="56" spans="1:27">
      <c r="A56" s="130"/>
      <c r="B56" s="130"/>
      <c r="C56" s="89"/>
      <c r="D56" s="505"/>
      <c r="E56" s="505"/>
      <c r="F56" s="505"/>
      <c r="G56" s="505"/>
      <c r="H56" s="505"/>
      <c r="I56" s="505"/>
      <c r="J56" s="505"/>
      <c r="K56" s="505"/>
      <c r="L56" s="505"/>
      <c r="M56" s="505"/>
      <c r="N56" s="505"/>
    </row>
    <row r="57" spans="1:27">
      <c r="A57" s="130"/>
      <c r="B57" s="130"/>
      <c r="C57" s="89"/>
      <c r="D57" s="505"/>
      <c r="E57" s="505"/>
      <c r="F57" s="505"/>
      <c r="G57" s="505"/>
      <c r="H57" s="505"/>
      <c r="I57" s="505"/>
      <c r="J57" s="505"/>
      <c r="K57" s="505"/>
      <c r="L57" s="505"/>
      <c r="M57" s="505"/>
      <c r="N57" s="505"/>
    </row>
    <row r="58" spans="1:27">
      <c r="A58" s="130"/>
      <c r="B58" s="130"/>
      <c r="C58" s="89"/>
      <c r="D58" s="505"/>
      <c r="E58" s="505"/>
      <c r="F58" s="505"/>
      <c r="G58" s="505"/>
      <c r="H58" s="505"/>
      <c r="I58" s="505"/>
      <c r="J58" s="507"/>
      <c r="K58" s="508"/>
      <c r="L58" s="508"/>
      <c r="M58" s="508"/>
      <c r="N58" s="508"/>
    </row>
    <row r="59" spans="1:27" ht="15.75">
      <c r="A59" s="130"/>
      <c r="B59" s="130"/>
      <c r="C59" s="130"/>
      <c r="D59" s="331"/>
      <c r="E59" s="331"/>
      <c r="F59" s="506"/>
      <c r="G59" s="506"/>
      <c r="H59" s="506"/>
      <c r="I59" s="506"/>
      <c r="J59" s="509"/>
      <c r="K59" s="510"/>
      <c r="L59" s="511"/>
      <c r="M59" s="511"/>
      <c r="N59" s="511"/>
      <c r="W59" s="483" t="s">
        <v>635</v>
      </c>
      <c r="Y59" s="442"/>
      <c r="Z59" s="442"/>
    </row>
    <row r="60" spans="1:27" ht="15.75">
      <c r="W60" s="483" t="s">
        <v>377</v>
      </c>
      <c r="Y60" s="442"/>
      <c r="Z60" s="442"/>
    </row>
    <row r="62" spans="1:27">
      <c r="X62" s="512"/>
    </row>
    <row r="63" spans="1:27">
      <c r="X63" s="512"/>
    </row>
    <row r="64" spans="1:27" ht="15">
      <c r="X64" s="218" t="s">
        <v>636</v>
      </c>
    </row>
    <row r="69" spans="3:27" ht="15.75">
      <c r="V69" s="437"/>
    </row>
    <row r="71" spans="3:27" ht="15.75">
      <c r="C71" s="479"/>
      <c r="AA71" s="437"/>
    </row>
  </sheetData>
  <customSheetViews>
    <customSheetView guid="{751D391F-C74F-4B53-B5B5-25E01AC12EA4}" scale="115" showPageBreaks="1" printArea="1" topLeftCell="T37">
      <selection activeCell="T53" sqref="T53"/>
      <pageMargins left="0.84" right="0.22" top="0.73" bottom="0.33" header="0.16" footer="11.33"/>
      <pageSetup paperSize="9" scale="68" orientation="portrait" r:id="rId1"/>
    </customSheetView>
    <customSheetView guid="{5A803268-F6C5-4035-B3E1-A94CB9AA8994}" scale="91" showPageBreaks="1" printArea="1" topLeftCell="H40">
      <selection activeCell="R53" sqref="R53"/>
      <pageMargins left="0.84" right="0.22" top="0.73" bottom="0.33" header="0.16" footer="11.33"/>
      <pageSetup paperSize="9" scale="68" orientation="portrait" r:id="rId2"/>
    </customSheetView>
    <customSheetView guid="{917057C8-5E5F-4164-B84C-85103677A2E5}" scale="91" topLeftCell="A32">
      <selection activeCell="R53" sqref="R53"/>
      <pageMargins left="0.84" right="0.22" top="0.73" bottom="0.33" header="0.16" footer="11.33"/>
      <pageSetup paperSize="9" scale="68" orientation="portrait" r:id="rId3"/>
    </customSheetView>
    <customSheetView guid="{4593F3EE-0998-4E0E-994A-E02D6BAF3A4B}" scale="91" showPageBreaks="1" printArea="1" topLeftCell="R37">
      <selection activeCell="R53" sqref="R53"/>
      <pageMargins left="0.84" right="0.22" top="0.73" bottom="0.33" header="0.16" footer="11.33"/>
      <pageSetup paperSize="9" scale="68" orientation="portrait" r:id="rId4"/>
    </customSheetView>
    <customSheetView guid="{23F4DC00-BC97-4745-AA5C-F05D469CB1EF}" scale="91" showPageBreaks="1" printArea="1" topLeftCell="J4">
      <selection activeCell="R53" sqref="R53"/>
      <pageMargins left="0.84" right="0.22" top="0.73" bottom="0.33" header="0.16" footer="11.33"/>
      <pageSetup paperSize="9" scale="68" orientation="portrait" r:id="rId5"/>
    </customSheetView>
    <customSheetView guid="{B91C2E87-5EDA-40AE-AC27-0E2C17E803CE}" scale="64" showPageBreaks="1" printArea="1" topLeftCell="A30">
      <selection activeCell="R53" sqref="R53"/>
      <pageMargins left="0.84" right="0.22" top="0.73" bottom="0.33" header="0.16" footer="11.33"/>
      <pageSetup paperSize="9" scale="68" orientation="portrait" r:id="rId6"/>
    </customSheetView>
    <customSheetView guid="{7C71EF2A-5ADA-494C-8F58-DDA71753DD90}" scale="91" showPageBreaks="1" topLeftCell="A12">
      <selection activeCell="B32" sqref="B32"/>
      <pageMargins left="0.84" right="0.22" top="0.73" bottom="0.33" header="0.16" footer="11.33"/>
      <pageSetup paperSize="9" scale="68" orientation="portrait" r:id="rId7"/>
    </customSheetView>
    <customSheetView guid="{4DB6C640-CE65-4513-9E5A-F6CDD1F4B8AF}" scale="91" showPageBreaks="1" topLeftCell="A32">
      <selection activeCell="R53" sqref="R53"/>
      <pageMargins left="0.84" right="0.22" top="0.73" bottom="0.33" header="0.16" footer="11.33"/>
      <pageSetup paperSize="9" scale="68" orientation="portrait" r:id="rId8"/>
    </customSheetView>
    <customSheetView guid="{D1D1E152-95AB-45D3-AC07-4EC0834D3E0C}" scale="85" topLeftCell="Q31">
      <selection activeCell="T53" sqref="T53"/>
      <pageMargins left="0.84" right="0.22" top="0.73" bottom="0.33" header="0.16" footer="11.33"/>
      <pageSetup paperSize="9" scale="68" orientation="portrait" r:id="rId9"/>
    </customSheetView>
    <customSheetView guid="{C3348F62-02F2-4500-9BF2-19F2DEA57A8D}" scale="85" showPageBreaks="1" printArea="1" topLeftCell="Q30">
      <selection activeCell="T53" sqref="T53"/>
      <pageMargins left="0.84" right="0.22" top="0.73" bottom="0.33" header="0.16" footer="11.33"/>
      <pageSetup paperSize="9" scale="68" orientation="portrait" r:id="rId10"/>
    </customSheetView>
  </customSheetViews>
  <mergeCells count="2">
    <mergeCell ref="Y4:Z4"/>
    <mergeCell ref="AM9:AM13"/>
  </mergeCells>
  <pageMargins left="0.84" right="0.22" top="0.73" bottom="0.33" header="0.16" footer="11.33"/>
  <pageSetup paperSize="9" scale="68" orientation="portrait" r:id="rId11"/>
  <drawing r:id="rId1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>
    <tabColor rgb="FFFFFF00"/>
  </sheetPr>
  <dimension ref="A1:F35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M22" sqref="M22"/>
    </sheetView>
  </sheetViews>
  <sheetFormatPr defaultColWidth="9.140625" defaultRowHeight="15"/>
  <cols>
    <col min="1" max="1" width="11.7109375" style="20" customWidth="1"/>
    <col min="2" max="2" width="8.28515625" style="22" customWidth="1"/>
    <col min="3" max="3" width="8.7109375" style="22" customWidth="1"/>
    <col min="4" max="4" width="117.7109375" style="21" customWidth="1"/>
    <col min="5" max="5" width="7.42578125" style="159" customWidth="1"/>
    <col min="6" max="6" width="79.28515625" style="20" customWidth="1"/>
    <col min="7" max="16384" width="9.140625" style="20"/>
  </cols>
  <sheetData>
    <row r="1" spans="1:6">
      <c r="A1" s="5504" t="s">
        <v>132</v>
      </c>
      <c r="B1" s="5504"/>
      <c r="C1" s="5504"/>
      <c r="D1" s="5504"/>
    </row>
    <row r="2" spans="1:6" ht="15.75">
      <c r="A2" s="29">
        <f>FWise!B6</f>
        <v>4.1666666666666602E-2</v>
      </c>
      <c r="B2" s="27">
        <f>IF(FWise!L6&gt;2500,FWise!L6,"")</f>
        <v>11495</v>
      </c>
      <c r="C2" s="26">
        <f>IF(FWise!O6&gt;0,FWise!O6,"")</f>
        <v>279</v>
      </c>
      <c r="D2" s="28" t="str">
        <f>"From NLDC: Gen. "&amp;FWise!L6&amp;" MW (Gas:"&amp;FWise!C6&amp;" LF:"&amp;FWise!F6&amp;" Coal:"&amp;FWise!G6&amp;" Hydro:"&amp;FWise!I6&amp;" HVDC:"&amp;FWise!K6&amp;" Tripura:"&amp;FWise!J6&amp;" RPCL:"&amp;GEntry!AS4&amp;" Solar:"&amp;FWise!H6&amp;") at "&amp;TEXT(A2,"hh:mm")&amp;" on "&amp;TEXT(FWise!$C$2,"dd-mm-yyyy")</f>
        <v>From NLDC: Gen. 11495 MW (Gas:5499 LF:3894 Coal:910 Hydro:116 HVDC:914 Tripura:162 RPCL:100 Solar:0) at 01:00 on 08-08-2022</v>
      </c>
      <c r="F2" s="28" t="str">
        <f>"From NLDC: Hourly Generation: "&amp;B2&amp;" MW and Load Shed: 0 MW at "&amp;TEXT(FWise!B6,"hh:mm")&amp;" on "&amp;TEXT(FWise!C2,"dd-mm-yyyy")</f>
        <v>From NLDC: Hourly Generation: 11495 MW and Load Shed: 0 MW at 01:00 on 08-08-2022</v>
      </c>
    </row>
    <row r="3" spans="1:6" ht="15.75">
      <c r="A3" s="25">
        <f>FWise!B7</f>
        <v>8.3333333333333301E-2</v>
      </c>
      <c r="B3" s="24">
        <f>IF(FWise!L7&gt;2500,FWise!L7,"")</f>
        <v>11361</v>
      </c>
      <c r="C3" s="23">
        <f>IF(FWise!O7&gt;0,FWise!O7,"")</f>
        <v>276</v>
      </c>
      <c r="D3" s="28" t="str">
        <f>"From NLDC: Gen. "&amp;FWise!L7&amp;" MW (Gas:"&amp;FWise!C7&amp;" LF:"&amp;FWise!F7&amp;" Coal:"&amp;FWise!G7&amp;" Hydro:"&amp;FWise!I7&amp;" HVDC:"&amp;FWise!K7&amp;" Tripura:"&amp;FWise!J7&amp;" RPCL:"&amp;GEntry!AS5&amp;" Solar:"&amp;FWise!H7&amp;") at "&amp;TEXT(A3,"hh:mm")&amp;" on "&amp;TEXT(FWise!$C$2,"dd-mm-yyyy")</f>
        <v>From NLDC: Gen. 11361 MW (Gas:5500 LF:3767 Coal:900 Hydro:118 HVDC:914 Tripura:162 RPCL:100 Solar:0) at 02:00 on 08-08-2022</v>
      </c>
      <c r="F3" s="87" t="str">
        <f>"From NLDC: Hourly Generation: "&amp;B3&amp;" MW and Load Shed: 0 MW at "&amp;TEXT(FWise!B7,"hh:mm")&amp;" on "&amp;TEXT(FWise!C2,"dd-mm-yyyy")</f>
        <v>From NLDC: Hourly Generation: 11361 MW and Load Shed: 0 MW at 02:00 on 08-08-2022</v>
      </c>
    </row>
    <row r="4" spans="1:6" ht="15.75">
      <c r="A4" s="29">
        <f>FWise!B8</f>
        <v>0.125</v>
      </c>
      <c r="B4" s="27">
        <f>IF(FWise!L8&gt;2500,FWise!L8,"")</f>
        <v>11336</v>
      </c>
      <c r="C4" s="26">
        <f>IF(FWise!O8&gt;0,FWise!O8,"")</f>
        <v>279</v>
      </c>
      <c r="D4" s="28" t="str">
        <f>"From NLDC: Gen. "&amp;FWise!L8&amp;" MW (Gas:"&amp;FWise!C8&amp;" LF:"&amp;FWise!F8&amp;" Coal:"&amp;FWise!G8&amp;" Hydro:"&amp;FWise!I8&amp;" HVDC:"&amp;FWise!K8&amp;" Tripura:"&amp;FWise!J8&amp;" RPCL:"&amp;GEntry!AS6&amp;" Solar:"&amp;FWise!H8&amp;") at "&amp;TEXT(A4,"hh:mm")&amp;" on "&amp;TEXT(FWise!$C$2,"dd-mm-yyyy")</f>
        <v>From NLDC: Gen. 11336 MW (Gas:5448 LF:3788 Coal:900 Hydro:118 HVDC:914 Tripura:168 RPCL:102 Solar:0) at 03:00 on 08-08-2022</v>
      </c>
      <c r="F4" s="28" t="str">
        <f>"From NLDC: Hourly Generation: "&amp;B4&amp;" MW and Load Shed: 0 MW at "&amp;TEXT(FWise!B8,"hh:mm")&amp;" on "&amp;TEXT(FWise!C2,"dd-mm-yyyy")</f>
        <v>From NLDC: Hourly Generation: 11336 MW and Load Shed: 0 MW at 03:00 on 08-08-2022</v>
      </c>
    </row>
    <row r="5" spans="1:6" ht="15.75">
      <c r="A5" s="25">
        <f>FWise!B9</f>
        <v>0.16666666666666699</v>
      </c>
      <c r="B5" s="24">
        <f>IF(FWise!L9&gt;2500,FWise!L9,"")</f>
        <v>11269</v>
      </c>
      <c r="C5" s="23">
        <f>IF(FWise!O9&gt;0,FWise!O9,"")</f>
        <v>279</v>
      </c>
      <c r="D5" s="28" t="str">
        <f>"From NLDC: Gen. "&amp;FWise!L9&amp;" MW (Gas:"&amp;FWise!C9&amp;" LF:"&amp;FWise!F9&amp;" Coal:"&amp;FWise!G9&amp;" Hydro:"&amp;FWise!I9&amp;" HVDC:"&amp;FWise!K9&amp;" Tripura:"&amp;FWise!J9&amp;" RPCL:"&amp;GEntry!AS7&amp;" Solar:"&amp;FWise!H9&amp;") at "&amp;TEXT(A5,"hh:mm")&amp;" on "&amp;TEXT(FWise!$C$2,"dd-mm-yyyy")</f>
        <v>From NLDC: Gen. 11269 MW (Gas:5481 LF:3718 Coal:870 Hydro:118 HVDC:914 Tripura:168 RPCL:101 Solar:0) at 04:00 on 08-08-2022</v>
      </c>
      <c r="F5" s="87" t="str">
        <f>"From NLDC: Hourly Generation: "&amp;B5&amp;" MW and Load Shed: 0 MW at "&amp;TEXT(FWise!B9,"hh:mm")&amp;" on "&amp;TEXT(FWise!C2,"dd-mm-yyyy")</f>
        <v>From NLDC: Hourly Generation: 11269 MW and Load Shed: 0 MW at 04:00 on 08-08-2022</v>
      </c>
    </row>
    <row r="6" spans="1:6" ht="15.75">
      <c r="A6" s="29">
        <f>FWise!B10</f>
        <v>0.20833333333333401</v>
      </c>
      <c r="B6" s="27">
        <f>IF(FWise!L10&gt;2500,FWise!L10,"")</f>
        <v>11273</v>
      </c>
      <c r="C6" s="26">
        <f>IF(FWise!O10&gt;0,FWise!O10,"")</f>
        <v>279</v>
      </c>
      <c r="D6" s="28" t="str">
        <f>"From NLDC: Gen. "&amp;FWise!L10&amp;" MW (Gas:"&amp;FWise!C10&amp;" LF:"&amp;FWise!F10&amp;" Coal:"&amp;FWise!G10&amp;" Hydro:"&amp;FWise!I10&amp;" HVDC:"&amp;FWise!K10&amp;" Tripura:"&amp;FWise!J10&amp;" RPCL:"&amp;GEntry!AS8&amp;" Solar:"&amp;FWise!H10&amp;") at "&amp;TEXT(A6,"hh:mm")&amp;" on "&amp;TEXT(FWise!$C$2,"dd-mm-yyyy")</f>
        <v>From NLDC: Gen. 11273 MW (Gas:5519 LF:3692 Coal:870 Hydro:118 HVDC:914 Tripura:160 RPCL:102 Solar:0) at 05:00 on 08-08-2022</v>
      </c>
      <c r="F6" s="28" t="str">
        <f>"From NLDC: Hourly Generation: "&amp;B6&amp;" MW and Load Shed: 0 MW at "&amp;TEXT(FWise!B10,"hh:mm")&amp;" on "&amp;TEXT(FWise!C2,"dd-mm-yyyy")</f>
        <v>From NLDC: Hourly Generation: 11273 MW and Load Shed: 0 MW at 05:00 on 08-08-2022</v>
      </c>
    </row>
    <row r="7" spans="1:6" ht="15.75">
      <c r="A7" s="25">
        <f>FWise!B11</f>
        <v>0.250000000000001</v>
      </c>
      <c r="B7" s="24">
        <f>IF(FWise!L11&gt;2500,FWise!L11,"")</f>
        <v>11265</v>
      </c>
      <c r="C7" s="23">
        <f>IF(FWise!O11&gt;0,FWise!O11,"")</f>
        <v>280</v>
      </c>
      <c r="D7" s="28" t="str">
        <f>"From NLDC: Gen. "&amp;FWise!L11&amp;" MW (Gas:"&amp;FWise!C11&amp;" LF:"&amp;FWise!F11&amp;" Coal:"&amp;FWise!G11&amp;" Hydro:"&amp;FWise!I11&amp;" HVDC:"&amp;FWise!K11&amp;" Tripura:"&amp;FWise!J11&amp;" RPCL:"&amp;GEntry!AS9&amp;" Solar:"&amp;FWise!H11&amp;") at "&amp;TEXT(A7,"hh:mm")&amp;" on "&amp;TEXT(FWise!$C$2,"dd-mm-yyyy")</f>
        <v>From NLDC: Gen. 11265 MW (Gas:5524 LF:3695 Coal:860 Hydro:118 HVDC:914 Tripura:152 RPCL:102 Solar:2) at 06:00 on 08-08-2022</v>
      </c>
      <c r="F7" s="87" t="str">
        <f>"From NLDC: Hourly Generation: "&amp;B7&amp;" MW and Load Shed: 0 MW at "&amp;TEXT(FWise!B11,"hh:mm")&amp;" on "&amp;TEXT(FWise!C2,"dd-mm-yyyy")</f>
        <v>From NLDC: Hourly Generation: 11265 MW and Load Shed: 0 MW at 06:00 on 08-08-2022</v>
      </c>
    </row>
    <row r="8" spans="1:6" ht="15.75">
      <c r="A8" s="29">
        <f>FWise!B12</f>
        <v>0.29166666666666669</v>
      </c>
      <c r="B8" s="27">
        <f>IF(FWise!L12&gt;2500,FWise!L12,"")</f>
        <v>11222</v>
      </c>
      <c r="C8" s="26">
        <f>IF(FWise!O12&gt;0,FWise!O12,"")</f>
        <v>272</v>
      </c>
      <c r="D8" s="28" t="str">
        <f>"From NLDC: Gen. "&amp;FWise!L12&amp;" MW (Gas:"&amp;FWise!C12&amp;" LF:"&amp;FWise!F12&amp;" Coal:"&amp;FWise!G12&amp;" Hydro:"&amp;FWise!I12&amp;" HVDC:"&amp;FWise!K12&amp;" Tripura:"&amp;FWise!J12&amp;" RPCL:"&amp;GEntry!AS10&amp;" Solar:"&amp;FWise!H12&amp;") at "&amp;TEXT(A8,"hh:mm")&amp;" on "&amp;TEXT(FWise!$C$2,"dd-mm-yyyy")</f>
        <v>From NLDC: Gen. 11222 MW (Gas:5522 LF:3664 Coal:850 Hydro:118 HVDC:914 Tripura:136 RPCL:102 Solar:18) at 07:00 on 08-08-2022</v>
      </c>
      <c r="F8" s="28" t="str">
        <f>"From NLDC: Hourly Generation: "&amp;B8&amp;" MW and Load Shed: 0 MW at "&amp;TEXT(FWise!B12,"hh:mm")&amp;" on "&amp;TEXT(FWise!C2,"dd-mm-yyyy")</f>
        <v>From NLDC: Hourly Generation: 11222 MW and Load Shed: 0 MW at 07:00 on 08-08-2022</v>
      </c>
    </row>
    <row r="9" spans="1:6" ht="15.75">
      <c r="A9" s="25">
        <f>FWise!B13</f>
        <v>0.33333333333333331</v>
      </c>
      <c r="B9" s="24">
        <f>IF(FWise!L13&gt;2500,FWise!L13,"")</f>
        <v>11166</v>
      </c>
      <c r="C9" s="23">
        <f>IF(FWise!O13&gt;0,FWise!O13,"")</f>
        <v>269</v>
      </c>
      <c r="D9" s="28" t="str">
        <f>"From NLDC: Gen. "&amp;FWise!L13&amp;" MW (Gas:"&amp;FWise!C13&amp;" LF:"&amp;FWise!F13&amp;" Coal:"&amp;FWise!G13&amp;" Hydro:"&amp;FWise!I13&amp;" HVDC:"&amp;FWise!K13&amp;" Tripura:"&amp;FWise!J13&amp;" RPCL:"&amp;GEntry!AS11&amp;" Solar:"&amp;FWise!H13&amp;") at "&amp;TEXT(A9,"hh:mm")&amp;" on "&amp;TEXT(FWise!$C$2,"dd-mm-yyyy")</f>
        <v>From NLDC: Gen. 11166 MW (Gas:5445 LF:3629 Coal:850 Hydro:118 HVDC:914 Tripura:142 RPCL:95 Solar:68) at 08:00 on 08-08-2022</v>
      </c>
      <c r="F9" s="87" t="str">
        <f>"From NLDC: Hourly Generation: "&amp;B9&amp;" MW and Load Shed: 0 MW at "&amp;TEXT(FWise!B13,"hh:mm")&amp;" on "&amp;TEXT(FWise!C2,"dd-mm-yyyy")</f>
        <v>From NLDC: Hourly Generation: 11166 MW and Load Shed: 0 MW at 08:00 on 08-08-2022</v>
      </c>
    </row>
    <row r="10" spans="1:6" ht="15.75">
      <c r="A10" s="29">
        <f>FWise!B14</f>
        <v>0.375</v>
      </c>
      <c r="B10" s="27">
        <f>IF(FWise!L14&gt;2500,FWise!L14,"")</f>
        <v>10946</v>
      </c>
      <c r="C10" s="26">
        <f>IF(FWise!O14&gt;0,FWise!O14,"")</f>
        <v>274</v>
      </c>
      <c r="D10" s="28" t="str">
        <f>"From NLDC: Gen. "&amp;FWise!L14&amp;" MW (Gas:"&amp;FWise!C14&amp;" LF:"&amp;FWise!F14&amp;" Coal:"&amp;FWise!G14&amp;" Hydro:"&amp;FWise!I14&amp;" HVDC:"&amp;FWise!K14&amp;" Tripura:"&amp;FWise!J14&amp;" RPCL:"&amp;GEntry!AS12&amp;" Solar:"&amp;FWise!H14&amp;") at "&amp;TEXT(A10,"hh:mm")&amp;" on "&amp;TEXT(FWise!$C$2,"dd-mm-yyyy")</f>
        <v>From NLDC: Gen. 10946 MW (Gas:5190 LF:3593 Coal:850 Hydro:117 HVDC:915 Tripura:154 RPCL:70 Solar:127) at 09:00 on 08-08-2022</v>
      </c>
      <c r="F10" s="28" t="str">
        <f>"From NLDC: Hourly Generation: "&amp;B10&amp;" MW and Load Shed: 0 MW at "&amp;TEXT(FWise!B14,"hh:mm")&amp;" on "&amp;TEXT(FWise!C2,"dd-mm-yyyy")</f>
        <v>From NLDC: Hourly Generation: 10946 MW and Load Shed: 0 MW at 09:00 on 08-08-2022</v>
      </c>
    </row>
    <row r="11" spans="1:6" ht="15.75">
      <c r="A11" s="25">
        <f>FWise!B15</f>
        <v>0.41666666666666669</v>
      </c>
      <c r="B11" s="27">
        <f>IF(FWise!L15&gt;2500,FWise!L15,"")</f>
        <v>10505</v>
      </c>
      <c r="C11" s="23">
        <f>IF(FWise!O15&gt;0,FWise!O15,"")</f>
        <v>272</v>
      </c>
      <c r="D11" s="28" t="str">
        <f>"From NLDC: Gen. "&amp;FWise!L15&amp;" MW (Gas:"&amp;FWise!C15&amp;" LF:"&amp;FWise!F15&amp;" Coal:"&amp;FWise!G15&amp;" Hydro:"&amp;FWise!I15&amp;" HVDC:"&amp;FWise!K15&amp;" Tripura:"&amp;FWise!J15&amp;" RPCL:"&amp;GEntry!AS13&amp;" Solar:"&amp;FWise!H15&amp;") at "&amp;TEXT(A11,"hh:mm")&amp;" on "&amp;TEXT(FWise!$C$2,"dd-mm-yyyy")</f>
        <v>From NLDC: Gen. 10505 MW (Gas:5178 LF:3462 Coal:550 Hydro:116 HVDC:914 Tripura:136 RPCL:71 Solar:149) at 10:00 on 08-08-2022</v>
      </c>
      <c r="F11" s="87" t="str">
        <f>"From NLDC: Hourly Generation: "&amp;B11&amp;" MW and Load Shed: 0 MW at "&amp;TEXT(FWise!B15,"hh:mm")&amp;" on "&amp;TEXT(FWise!C2,"dd-mm-yyyy")</f>
        <v>From NLDC: Hourly Generation: 10505 MW and Load Shed: 0 MW at 10:00 on 08-08-2022</v>
      </c>
    </row>
    <row r="12" spans="1:6" ht="15.75">
      <c r="A12" s="29">
        <f>FWise!B16</f>
        <v>0.45833333333333331</v>
      </c>
      <c r="B12" s="27">
        <f>IF(FWise!L16&gt;2500,FWise!L16,"")</f>
        <v>10573</v>
      </c>
      <c r="C12" s="26">
        <f>IF(FWise!O16&gt;0,FWise!O16,"")</f>
        <v>267</v>
      </c>
      <c r="D12" s="28" t="str">
        <f>"From NLDC: Gen. "&amp;FWise!L16&amp;" MW (Gas:"&amp;FWise!C16&amp;" LF:"&amp;FWise!F16&amp;" Coal:"&amp;FWise!G16&amp;" Hydro:"&amp;FWise!I16&amp;" HVDC:"&amp;FWise!K16&amp;" Tripura:"&amp;FWise!J16&amp;" RPCL:"&amp;GEntry!AS14&amp;" Solar:"&amp;FWise!H16&amp;") at "&amp;TEXT(A12,"hh:mm")&amp;" on "&amp;TEXT(FWise!$C$2,"dd-mm-yyyy")</f>
        <v>From NLDC: Gen. 10573 MW (Gas:5112 LF:3486 Coal:621 Hydro:115 HVDC:914 Tripura:150 RPCL:69 Solar:175) at 11:00 on 08-08-2022</v>
      </c>
      <c r="F12" s="28" t="str">
        <f>"From NLDC: Hourly Generation: "&amp;B12&amp;" MW and Load Shed: 0 MW at "&amp;TEXT(FWise!B16,"hh:mm")&amp;" on "&amp;TEXT(FWise!C2,"dd-mm-yyyy")</f>
        <v>From NLDC: Hourly Generation: 10573 MW and Load Shed: 0 MW at 11:00 on 08-08-2022</v>
      </c>
    </row>
    <row r="13" spans="1:6" ht="15.75">
      <c r="A13" s="25">
        <f>FWise!B17</f>
        <v>0.5</v>
      </c>
      <c r="B13" s="1636" t="str">
        <f>IF(FWise!L17&gt;2500,FWise!L17,"")</f>
        <v/>
      </c>
      <c r="C13" s="23" t="str">
        <f>IF(FWise!O17&gt;0,FWise!O17,"")</f>
        <v/>
      </c>
      <c r="D13" s="28" t="str">
        <f>"From NLDC: Gen. "&amp;FWise!L17&amp;" MW (Gas:"&amp;FWise!C17&amp;" LF:"&amp;FWise!F17&amp;" Coal:"&amp;FWise!G17&amp;" Hydro:"&amp;FWise!I17&amp;" HVDC:"&amp;FWise!K17&amp;" Tripura:"&amp;FWise!J17&amp;" RPCL:"&amp;GEntry!AS15&amp;" Solar:"&amp;FWise!H17&amp;") at "&amp;TEXT(A13,"hh:mm")&amp;" on "&amp;TEXT(FWise!$C$2,"dd-mm-yyyy")</f>
        <v>From NLDC: Gen. 0 MW (Gas:0 LF:0 Coal:0 Hydro:0 HVDC:0 Tripura:0 RPCL: Solar:0) at 12:00 on 08-08-2022</v>
      </c>
      <c r="F13" s="87" t="str">
        <f>"From NLDC: Hourly Generation: "&amp;B13&amp;" MW and Load Shed: 0 MW at "&amp;TEXT(FWise!B17,"hh:mm")&amp;" on "&amp;TEXT(FWise!C2,"dd-mm-yyyy")</f>
        <v>From NLDC: Hourly Generation:  MW and Load Shed: 0 MW at 12:00 on 08-08-2022</v>
      </c>
    </row>
    <row r="14" spans="1:6" ht="15.75">
      <c r="A14" s="29">
        <f>FWise!B18</f>
        <v>0.54166666666666696</v>
      </c>
      <c r="B14" s="1637" t="str">
        <f>IF(FWise!L18&gt;2500,FWise!L18,"")</f>
        <v/>
      </c>
      <c r="C14" s="26" t="str">
        <f>IF(FWise!O18&gt;0,FWise!O18,"")</f>
        <v/>
      </c>
      <c r="D14" s="28" t="str">
        <f>"From NLDC: Gen. "&amp;FWise!L18&amp;" MW (Gas:"&amp;FWise!C18&amp;" LF:"&amp;FWise!F18&amp;" Coal:"&amp;FWise!G18&amp;" Hydro:"&amp;FWise!I18&amp;" HVDC:"&amp;FWise!K18&amp;" Tripura:"&amp;FWise!J18&amp;" RPCL:"&amp;GEntry!AS16&amp;" Solar:"&amp;FWise!H18&amp;") at "&amp;TEXT(A14,"hh:mm")&amp;" on "&amp;TEXT(FWise!$C$2,"dd-mm-yyyy")</f>
        <v>From NLDC: Gen. 0 MW (Gas:0 LF:0 Coal:0 Hydro:0 HVDC:0 Tripura:0 RPCL: Solar:0) at 13:00 on 08-08-2022</v>
      </c>
      <c r="F14" s="28" t="str">
        <f>"From NLDC: Hourly Generation: "&amp;B14&amp;" MW and Load Shed: 0 MW at "&amp;TEXT(FWise!B18,"hh:mm")&amp;" on "&amp;TEXT(FWise!C2,"dd-mm-yyyy")</f>
        <v>From NLDC: Hourly Generation:  MW and Load Shed: 0 MW at 13:00 on 08-08-2022</v>
      </c>
    </row>
    <row r="15" spans="1:6" ht="15.75">
      <c r="A15" s="25">
        <f>FWise!B19</f>
        <v>0.58333333333333337</v>
      </c>
      <c r="B15" s="1636" t="str">
        <f>IF(FWise!L19&gt;2500,FWise!L19,"")</f>
        <v/>
      </c>
      <c r="C15" s="1428" t="str">
        <f>IF(FWise!O19&gt;0,FWise!O19,"")</f>
        <v/>
      </c>
      <c r="D15" s="28" t="str">
        <f>"From NLDC: Gen. "&amp;FWise!L19&amp;" MW (Gas:"&amp;FWise!C19&amp;" LF:"&amp;FWise!F19&amp;" Coal:"&amp;FWise!G19&amp;" Hydro:"&amp;FWise!I19&amp;" HVDC:"&amp;FWise!K19&amp;" Tripura:"&amp;FWise!J19&amp;" RPCL:"&amp;GEntry!AS17&amp;" Solar:"&amp;FWise!H19&amp;") at "&amp;TEXT(A15,"hh:mm")&amp;" on "&amp;TEXT(FWise!$C$2,"dd-mm-yyyy")</f>
        <v>From NLDC: Gen. 0 MW (Gas:0 LF:0 Coal:0 Hydro:0 HVDC:0 Tripura:0 RPCL: Solar:0) at 14:00 on 08-08-2022</v>
      </c>
      <c r="F15" s="87" t="str">
        <f>"From NLDC: Hourly Generation: "&amp;B15&amp;" MW and Load Shed: 0 MW at "&amp;TEXT(FWise!B19,"hh:mm")&amp;" on "&amp;TEXT(FWise!C2,"dd-mm-yyyy")</f>
        <v>From NLDC: Hourly Generation:  MW and Load Shed: 0 MW at 14:00 on 08-08-2022</v>
      </c>
    </row>
    <row r="16" spans="1:6" ht="16.5" thickBot="1">
      <c r="A16" s="29">
        <f>FWise!B20</f>
        <v>0.625000000000003</v>
      </c>
      <c r="B16" s="1637" t="str">
        <f>IF(FWise!L20&gt;2500,FWise!L20,"")</f>
        <v/>
      </c>
      <c r="C16" s="26" t="str">
        <f>IF(FWise!O20&gt;0,FWise!O20,"")</f>
        <v/>
      </c>
      <c r="D16" s="28" t="str">
        <f>"From NLDC: Gen. "&amp;FWise!L20&amp;" MW (Gas:"&amp;FWise!C20&amp;" LF:"&amp;FWise!F20&amp;" Coal:"&amp;FWise!G20&amp;" Hydro:"&amp;FWise!I20&amp;" HVDC:"&amp;FWise!K20&amp;" Tripura:"&amp;FWise!J20&amp;" RPCL:"&amp;GEntry!AS18&amp;" Solar:"&amp;FWise!H20&amp;") at "&amp;TEXT(A16,"hh:mm")&amp;" on "&amp;TEXT(FWise!$C$2,"dd-mm-yyyy")</f>
        <v>From NLDC: Gen. 0 MW (Gas:0 LF:0 Coal:0 Hydro:0 HVDC:0 Tripura:0 RPCL: Solar:0) at 15:00 on 08-08-2022</v>
      </c>
      <c r="F16" s="28" t="str">
        <f>"From NLDC: Hourly Generation: "&amp;B16&amp;" MW and Load Shed: 0 MW at "&amp;TEXT(FWise!B20,"hh:mm")&amp;" on "&amp;TEXT(FWise!C2,"dd-mm-yyyy")</f>
        <v>From NLDC: Hourly Generation:  MW and Load Shed: 0 MW at 15:00 on 08-08-2022</v>
      </c>
    </row>
    <row r="17" spans="1:6" ht="15.75">
      <c r="A17" s="25">
        <f>FWise!B21</f>
        <v>0.66666666666666996</v>
      </c>
      <c r="B17" s="1636" t="str">
        <f>IF(FWise!L21&gt;2500,FWise!L21,"")</f>
        <v/>
      </c>
      <c r="C17" s="1428" t="str">
        <f>IF(FWise!O21&gt;0,FWise!O21,"")</f>
        <v/>
      </c>
      <c r="D17" s="28" t="str">
        <f>"From NLDC: Gen. "&amp;FWise!L21&amp;" MW (Gas:"&amp;FWise!C21&amp;" LF:"&amp;FWise!F21&amp;" Coal:"&amp;FWise!G21&amp;" Hydro:"&amp;FWise!I21&amp;" HVDC:"&amp;FWise!K21&amp;" Tripura:"&amp;FWise!J21&amp;" RPCL:"&amp;GEntry!AS19&amp;" Solar:"&amp;FWise!H21&amp;") at "&amp;TEXT(A17,"hh:mm")&amp;" on "&amp;TEXT(FWise!$C$2,"dd-mm-yyyy")</f>
        <v>From NLDC: Gen. 0 MW (Gas:0 LF:0 Coal:0 Hydro:0 HVDC:0 Tripura:0 RPCL: Solar:0) at 16:00 on 08-08-2022</v>
      </c>
      <c r="E17" s="5507" t="s">
        <v>172</v>
      </c>
      <c r="F17" s="160" t="str">
        <f>"From NLDC: Hourly Generation: "&amp;B17&amp;" MW and Load Shed: 0 MW at "&amp;TEXT(FWise!B21,"hh:mm")&amp;" on "&amp;TEXT((FWise!C2),"dd-mm-yyyy")</f>
        <v>From NLDC: Hourly Generation:  MW and Load Shed: 0 MW at 16:00 on 08-08-2022</v>
      </c>
    </row>
    <row r="18" spans="1:6" ht="15.75">
      <c r="A18" s="29">
        <f>FWise!B22</f>
        <v>0.70833333333333703</v>
      </c>
      <c r="B18" s="1637" t="str">
        <f>IF(FWise!L22&gt;2500,FWise!L22,"")</f>
        <v/>
      </c>
      <c r="C18" s="26" t="str">
        <f>IF(FWise!O22&gt;0,FWise!O22,"")</f>
        <v/>
      </c>
      <c r="D18" s="28" t="str">
        <f>"From NLDC: Gen. "&amp;FWise!L22&amp;" MW (Gas:"&amp;FWise!C22&amp;" LF:"&amp;FWise!F22&amp;" Coal:"&amp;FWise!G22&amp;" Hydro:"&amp;FWise!I22&amp;" HVDC:"&amp;FWise!K22&amp;" Tripura:"&amp;FWise!J22&amp;" RPCL:"&amp;GEntry!AS20&amp;" Solar:"&amp;FWise!H22&amp;") at "&amp;TEXT(A18,"hh:mm")&amp;" on "&amp;TEXT(FWise!$C$2,"dd-mm-yyyy")</f>
        <v>From NLDC: Gen. 0 MW (Gas:0 LF:0 Coal:0 Hydro:0 HVDC:0 Tripura:0 RPCL: Solar:0) at 17:00 on 08-08-2022</v>
      </c>
      <c r="E18" s="5508"/>
      <c r="F18" s="161" t="str">
        <f>"From NLDC: Hourly Generation: "&amp;B18&amp;" MW and Load Shed: 0 MW at "&amp;TEXT(FWise!B22,"hh:mm")&amp;" on "&amp;TEXT((FWise!C2),"dd-mm-yyyy")</f>
        <v>From NLDC: Hourly Generation:  MW and Load Shed: 0 MW at 17:00 on 08-08-2022</v>
      </c>
    </row>
    <row r="19" spans="1:6" ht="15.75">
      <c r="A19" s="25">
        <f>FWise!B23</f>
        <v>0.75</v>
      </c>
      <c r="B19" s="1636" t="str">
        <f>IF(FWise!L23&gt;2500,FWise!L23,"")</f>
        <v/>
      </c>
      <c r="C19" s="23" t="str">
        <f>IF(FWise!O23&gt;0,FWise!O23,"")</f>
        <v/>
      </c>
      <c r="D19" s="28" t="str">
        <f>"From NLDC: Gen. "&amp;FWise!L23&amp;" MW (Gas:"&amp;FWise!C23&amp;" LF:"&amp;FWise!F23&amp;" Coal:"&amp;FWise!G23&amp;" Hydro:"&amp;FWise!I23&amp;" HVDC:"&amp;FWise!K23&amp;" Tripura:"&amp;FWise!J23&amp;" RPCL:"&amp;GEntry!AS21&amp;" Solar:"&amp;FWise!H23&amp;") at "&amp;TEXT(A19,"hh:mm")&amp;" on "&amp;TEXT(FWise!$C$2,"dd-mm-yyyy")</f>
        <v>From NLDC: Gen. 0 MW (Gas:0 LF:0 Coal:0 Hydro:0 HVDC:0 Tripura:0 RPCL: Solar:0) at 18:00 on 08-08-2022</v>
      </c>
      <c r="E19" s="5508"/>
      <c r="F19" s="160" t="str">
        <f>"From NLDC: Hourly Generation: "&amp;B19&amp;" MW and Load Shed: 0 MW at "&amp;TEXT(FWise!B23,"hh:mm")&amp;" on "&amp;TEXT((FWise!C2),"dd-mm-yyyy")</f>
        <v>From NLDC: Hourly Generation:  MW and Load Shed: 0 MW at 18:00 on 08-08-2022</v>
      </c>
    </row>
    <row r="20" spans="1:6">
      <c r="A20" s="1322">
        <f>FWise!B24</f>
        <v>0.77083333333333337</v>
      </c>
      <c r="B20" s="1637" t="str">
        <f>IF(FWise!L24&gt;2500,FWise!L24,"")</f>
        <v/>
      </c>
      <c r="C20" s="26" t="str">
        <f>IF(FWise!O24&gt;0,FWise!O24,"")</f>
        <v/>
      </c>
      <c r="D20" s="28"/>
      <c r="E20" s="5508"/>
      <c r="F20" s="162"/>
    </row>
    <row r="21" spans="1:6" ht="15.75">
      <c r="A21" s="25">
        <f>FWise!B25</f>
        <v>0.79166666666666663</v>
      </c>
      <c r="B21" s="1443">
        <f>IF(FWise!L25&gt;2500,FWise!L25,"")</f>
        <v>12019</v>
      </c>
      <c r="C21" s="23">
        <f>IF(FWise!O25&gt;0,FWise!O25,"")</f>
        <v>269</v>
      </c>
      <c r="D21" s="28" t="str">
        <f>"From NLDC: Gen. "&amp;FWise!L25&amp;" MW (Gas:"&amp;FWise!C25&amp;" LF:"&amp;FWise!F25&amp;" Coal:"&amp;FWise!G25&amp;" Hydro:"&amp;FWise!I25&amp;" HVDC:"&amp;FWise!K25&amp;" Tripura:"&amp;FWise!J25&amp;" RPCL:"&amp;GEntry!AS23&amp;" Solar:"&amp;FWise!H25&amp;") at "&amp;TEXT(A21,"hh:mm")&amp;" on "&amp;TEXT(FWise!$C$2,"dd-mm-yyyy")</f>
        <v>From NLDC: Gen. 12019 MW (Gas:5068 LF:4858 Coal:910 Hydro:118 HVDC:907 Tripura:158 RPCL:99 Solar:0) at 19:00 on 08-08-2022</v>
      </c>
      <c r="E21" s="5508"/>
      <c r="F21" s="160" t="str">
        <f>"From NLDC: Hourly Generation: "&amp;B21&amp;" MW and Load Shed: 0 MW at "&amp;TEXT(FWise!B25,"hh:mm")&amp;" on "&amp;TEXT((FWise!C2),"dd-mm-yyyy")</f>
        <v>From NLDC: Hourly Generation: 12019 MW and Load Shed: 0 MW at 19:00 on 08-08-2022</v>
      </c>
    </row>
    <row r="22" spans="1:6" ht="15.75">
      <c r="A22" s="29">
        <f>FWise!B26</f>
        <v>0.8125</v>
      </c>
      <c r="B22" s="27">
        <f>IF(FWise!L26&gt;2500,FWise!L26,"")</f>
        <v>12486</v>
      </c>
      <c r="C22" s="26">
        <f>IF(FWise!O26&gt;0,FWise!O26,"")</f>
        <v>275</v>
      </c>
      <c r="D22" s="1680" t="str">
        <f ca="1">IF(B22&lt;&gt;"",IF(HOUR(NOW())&lt;12,IF(TODAY()-1&lt;&gt;FWise!C2,"-------------------------------Correct Date-----------------------------------",""),""),"")</f>
        <v/>
      </c>
      <c r="E22" s="5508"/>
      <c r="F22" s="162"/>
    </row>
    <row r="23" spans="1:6" ht="15.75">
      <c r="A23" s="25">
        <f>FWise!B27</f>
        <v>0.83333333333333337</v>
      </c>
      <c r="B23" s="1443">
        <f>IF(FWise!L27&gt;2500,FWise!L27,"")</f>
        <v>12690</v>
      </c>
      <c r="C23" s="23">
        <f>IF(FWise!O27&gt;0,FWise!O27,"")</f>
        <v>276</v>
      </c>
      <c r="D23" s="28" t="str">
        <f>"From NLDC: Gen. "&amp;FWise!L27&amp;" MW (Gas:"&amp;FWise!C27&amp;" LF:"&amp;FWise!F27&amp;" Coal:"&amp;FWise!G27&amp;" Hydro:"&amp;FWise!I27&amp;" HVDC:"&amp;FWise!K27&amp;" Tripura:"&amp;FWise!J27&amp;" RPCL:"&amp;GEntry!AS25&amp;" Solar:"&amp;FWise!H27&amp;") at "&amp;TEXT(A23,"hh:mm")&amp;" on "&amp;TEXT(FWise!$C$2,"dd-mm-yyyy")</f>
        <v>From NLDC: Gen. 12690 MW (Gas:5204 LF:5258 Coal:1041 Hydro:118 HVDC:909 Tripura:160 RPCL:100 Solar:0) at 20:00 on 08-08-2022</v>
      </c>
      <c r="E23" s="5508"/>
      <c r="F23" s="160" t="str">
        <f>"From NLDC: Hourly Generation: "&amp;B23&amp;" MW and Load Shed: 0 MW at "&amp;TEXT(FWise!B27,"hh:mm")&amp;" on "&amp;TEXT((FWise!C2),"dd-mm-yyyy")</f>
        <v>From NLDC: Hourly Generation: 12690 MW and Load Shed: 0 MW at 20:00 on 08-08-2022</v>
      </c>
    </row>
    <row r="24" spans="1:6" ht="15.75">
      <c r="A24" s="29">
        <f>FWise!B28</f>
        <v>0.875</v>
      </c>
      <c r="B24" s="27">
        <f>IF(FWise!L28&gt;2500,FWise!L28,"")</f>
        <v>13227</v>
      </c>
      <c r="C24" s="26">
        <f>IF(FWise!O28&gt;0,FWise!O28,"")</f>
        <v>296</v>
      </c>
      <c r="D24" s="28" t="str">
        <f>"From NLDC: Gen. "&amp;FWise!L28&amp;" MW (Gas:"&amp;FWise!C28&amp;" LF:"&amp;FWise!F28&amp;" Coal:"&amp;FWise!G28&amp;" Hydro:"&amp;FWise!I28&amp;" HVDC:"&amp;FWise!K28&amp;" Tripura:"&amp;FWise!J28&amp;" RPCL:"&amp;GEntry!AS26&amp;" Solar:"&amp;FWise!H28&amp;") at "&amp;TEXT(A24,"hh:mm")&amp;" on "&amp;TEXT(FWise!$C$2,"dd-mm-yyyy")</f>
        <v>From NLDC: Gen. 13227 MW (Gas:5402 LF:5600 Coal:1040 Hydro:116 HVDC:909 Tripura:160 RPCL:100 Solar:0) at 21:00 on 08-08-2022</v>
      </c>
      <c r="E24" s="5508"/>
      <c r="F24" s="161" t="str">
        <f>"From NLDC: Hourly Generation: "&amp;B24&amp;" MW and Load Shed: 0 MW at "&amp;TEXT(FWise!B28,"hh:mm")&amp;" on "&amp;TEXT((FWise!C2),"dd-mm-yyyy")</f>
        <v>From NLDC: Hourly Generation: 13227 MW and Load Shed: 0 MW at 21:00 on 08-08-2022</v>
      </c>
    </row>
    <row r="25" spans="1:6" ht="15.75">
      <c r="A25" s="25">
        <f>FWise!B29</f>
        <v>0.91666666666666663</v>
      </c>
      <c r="B25" s="27">
        <f>IF(FWise!L29&gt;2500,FWise!L29,"")</f>
        <v>13223</v>
      </c>
      <c r="C25" s="23">
        <f>IF(FWise!O29&gt;0,FWise!O29,"")</f>
        <v>283</v>
      </c>
      <c r="D25" s="28" t="str">
        <f>"From NLDC: Gen. "&amp;FWise!L29&amp;" MW (Gas:"&amp;FWise!C29&amp;" LF:"&amp;FWise!F29&amp;" Coal:"&amp;FWise!G29&amp;" Hydro:"&amp;FWise!I29&amp;" HVDC:"&amp;FWise!K29&amp;" Tripura:"&amp;FWise!J29&amp;" RPCL:"&amp;GEntry!AS27&amp;" Solar:"&amp;FWise!H29&amp;") at "&amp;TEXT(A25,"hh:mm")&amp;" on "&amp;TEXT(FWise!$C$2,"dd-mm-yyyy")</f>
        <v>From NLDC: Gen. 13223 MW (Gas:5489 LF:5499 Coal:1040 Hydro:116 HVDC:909 Tripura:170 RPCL:100 Solar:0) at 22:00 on 08-08-2022</v>
      </c>
      <c r="E25" s="5508"/>
      <c r="F25" s="160" t="str">
        <f>"From NLDC: Hourly Generation: "&amp;B25&amp;" MW and Load Shed: 0 MW at "&amp;TEXT(FWise!B29,"hh:mm")&amp;" on "&amp;TEXT((FWise!C2),"dd-mm-yyyy")</f>
        <v>From NLDC: Hourly Generation: 13223 MW and Load Shed: 0 MW at 22:00 on 08-08-2022</v>
      </c>
    </row>
    <row r="26" spans="1:6" ht="15.75">
      <c r="A26" s="86">
        <f>FWise!B30</f>
        <v>0.95833333333333337</v>
      </c>
      <c r="B26" s="27">
        <f>IF(FWise!L30&gt;2500,FWise!L30,"")</f>
        <v>12994</v>
      </c>
      <c r="C26" s="26">
        <f>IF(FWise!O30&gt;0,FWise!O30,"")</f>
        <v>299</v>
      </c>
      <c r="D26" s="28" t="str">
        <f>"From NLDC: Gen. "&amp;FWise!L30&amp;" MW (Gas:"&amp;FWise!C30&amp;" LF:"&amp;FWise!F30&amp;" Coal:"&amp;FWise!G30&amp;" Hydro:"&amp;FWise!I30&amp;" HVDC:"&amp;FWise!K30&amp;" Tripura:"&amp;FWise!J30&amp;" RPCL:"&amp;GEntry!AS28&amp;" Solar:"&amp;FWise!H30&amp;") at "&amp;TEXT(A26,"hh:mm")&amp;" on "&amp;TEXT(FWise!$C$2,"dd-mm-yyyy")</f>
        <v>From NLDC: Gen. 12994 MW (Gas:5500 LF:5267 Coal:1040 Hydro:116 HVDC:909 Tripura:162 RPCL:100 Solar:0) at 23:00 on 08-08-2022</v>
      </c>
      <c r="E26" s="5508"/>
      <c r="F26" s="161" t="str">
        <f>"From NLDC: Hourly Generation: "&amp;B26&amp;" MW and Load Shed: 0 MW at "&amp;TEXT(FWise!B30,"hh:mm")&amp;" on "&amp;TEXT((FWise!C2),"dd-mm-yyyy")</f>
        <v>From NLDC: Hourly Generation: 12994 MW and Load Shed: 0 MW at 23:00 on 08-08-2022</v>
      </c>
    </row>
    <row r="27" spans="1:6" ht="16.5" thickBot="1">
      <c r="A27" s="153" t="str">
        <f>FWise!B31</f>
        <v>24:00</v>
      </c>
      <c r="B27" s="24">
        <f>IF(FWise!L31&gt;2500,FWise!L31,"")</f>
        <v>12159</v>
      </c>
      <c r="C27" s="23">
        <f>IF(FWise!O31&gt;0,FWise!O31,"")</f>
        <v>299</v>
      </c>
      <c r="D27" s="28" t="str">
        <f>"From NLDC: Gen. "&amp;FWise!L31&amp;" MW (Gas:"&amp;FWise!C31&amp;" LF:"&amp;FWise!F31&amp;" Coal:"&amp;FWise!G31&amp;" Hydro:"&amp;FWise!I31&amp;" HVDC:"&amp;FWise!K31&amp;" Tripura:"&amp;FWise!J31&amp;" RPCL:"&amp;GEntry!AS29&amp;" Solar:"&amp;FWise!H31&amp;") at 24:00 on "&amp;TEXT(FWise!$C$2,"dd-mm-yyyy")</f>
        <v>From NLDC: Gen. 12159 MW (Gas:5496 LF:4436 Coal:1040 Hydro:116 HVDC:909 Tripura:162 RPCL:100 Solar:0) at 24:00 on 08-08-2022</v>
      </c>
      <c r="E27" s="5509"/>
      <c r="F27" s="160" t="str">
        <f>"From NLDC: Hourly Generation: "&amp;B27&amp;" MW and Load Shed: 0 MW at 24:00 on "&amp;TEXT((FWise!C2),"dd-mm-yyyy")</f>
        <v>From NLDC: Hourly Generation: 12159 MW and Load Shed: 0 MW at 24:00 on 08-08-2022</v>
      </c>
    </row>
    <row r="28" spans="1:6">
      <c r="A28" s="5505" t="str">
        <f>FWise!N27</f>
        <v>Evn. peak</v>
      </c>
      <c r="B28" s="5506"/>
      <c r="C28" s="88"/>
    </row>
    <row r="29" spans="1:6" ht="15.75">
      <c r="A29" s="154"/>
      <c r="B29" s="1321">
        <f>FWise!N28</f>
        <v>13227</v>
      </c>
      <c r="C29" s="88"/>
      <c r="D29" s="1680" t="str">
        <f ca="1">IF(B29&lt;&gt;"",IF(HOUR(NOW())&lt;12,IF(TODAY()-1&lt;&gt;FWise!C9,"-------------------------------Correct Date-----------------------------------",""),""),"")</f>
        <v/>
      </c>
    </row>
    <row r="30" spans="1:6">
      <c r="A30" s="5505" t="str">
        <f>FWise!N10</f>
        <v>Minimum</v>
      </c>
      <c r="B30" s="5506"/>
      <c r="C30" s="88"/>
      <c r="E30" s="1319"/>
      <c r="F30" s="1320"/>
    </row>
    <row r="31" spans="1:6">
      <c r="A31" s="154"/>
      <c r="B31" s="1321">
        <f>FWise!N11</f>
        <v>11222</v>
      </c>
      <c r="C31" s="88"/>
    </row>
    <row r="32" spans="1:6">
      <c r="A32" s="5505" t="str">
        <f>FWise!N16</f>
        <v>Day peak</v>
      </c>
      <c r="B32" s="5506"/>
      <c r="C32" s="84"/>
    </row>
    <row r="33" spans="1:3">
      <c r="A33" s="154"/>
      <c r="B33" s="1318">
        <f>FWise!N17</f>
        <v>10946</v>
      </c>
      <c r="C33" s="84"/>
    </row>
    <row r="34" spans="1:3">
      <c r="A34" s="85"/>
      <c r="B34" s="84"/>
      <c r="C34" s="84"/>
    </row>
    <row r="35" spans="1:3">
      <c r="A35" s="85"/>
      <c r="B35" s="84"/>
      <c r="C35" s="84"/>
    </row>
  </sheetData>
  <customSheetViews>
    <customSheetView guid="{751D391F-C74F-4B53-B5B5-25E01AC12EA4}">
      <pane xSplit="1" ySplit="1" topLeftCell="D2" activePane="bottomRight" state="frozen"/>
      <selection pane="bottomRight" activeCell="D9" sqref="D9"/>
      <pageMargins left="0.7" right="0.7" top="0.75" bottom="0.75" header="0.3" footer="0.3"/>
      <pageSetup orientation="portrait" r:id="rId1"/>
    </customSheetView>
    <customSheetView guid="{5A803268-F6C5-4035-B3E1-A94CB9AA8994}" showPageBreaks="1">
      <pane xSplit="3" ySplit="1" topLeftCell="D2" activePane="bottomRight" state="frozen"/>
      <selection pane="bottomRight" activeCell="D2" sqref="D2"/>
      <pageMargins left="0.7" right="0.7" top="0.75" bottom="0.75" header="0.3" footer="0.3"/>
      <pageSetup orientation="portrait" r:id="rId2"/>
    </customSheetView>
    <customSheetView guid="{917057C8-5E5F-4164-B84C-85103677A2E5}">
      <pane xSplit="3" ySplit="1" topLeftCell="D2" activePane="bottomRight" state="frozen"/>
      <selection pane="bottomRight" activeCell="D15" sqref="D15"/>
      <pageMargins left="0.7" right="0.7" top="0.75" bottom="0.75" header="0.3" footer="0.3"/>
      <pageSetup orientation="portrait" r:id="rId3"/>
    </customSheetView>
    <customSheetView guid="{4593F3EE-0998-4E0E-994A-E02D6BAF3A4B}" showPageBreaks="1">
      <pane xSplit="3" ySplit="1" topLeftCell="D2" activePane="bottomRight" state="frozen"/>
      <selection pane="bottomRight" activeCell="D30" sqref="D30"/>
      <pageMargins left="0.7" right="0.7" top="0.75" bottom="0.75" header="0.3" footer="0.3"/>
      <pageSetup orientation="portrait" r:id="rId4"/>
    </customSheetView>
    <customSheetView guid="{23F4DC00-BC97-4745-AA5C-F05D469CB1EF}" scale="90" showPageBreaks="1" printArea="1">
      <pane xSplit="3" ySplit="1" topLeftCell="D2" activePane="bottomRight" state="frozen"/>
      <selection pane="bottomRight" activeCell="D18" sqref="D18"/>
      <pageMargins left="0.7" right="0.7" top="0.75" bottom="0.75" header="0.3" footer="0.3"/>
      <pageSetup orientation="portrait" r:id="rId5"/>
    </customSheetView>
    <customSheetView guid="{B91C2E87-5EDA-40AE-AC27-0E2C17E803CE}" showPageBreaks="1">
      <pane xSplit="3" ySplit="1" topLeftCell="D2" activePane="bottomRight" state="frozen"/>
      <selection pane="bottomRight" activeCell="F15" sqref="F15"/>
      <pageMargins left="0.7" right="0.7" top="0.75" bottom="0.75" header="0.3" footer="0.3"/>
      <pageSetup orientation="portrait" r:id="rId6"/>
    </customSheetView>
    <customSheetView guid="{7C71EF2A-5ADA-494C-8F58-DDA71753DD90}" showPageBreaks="1">
      <pane xSplit="3" ySplit="1" topLeftCell="D2" activePane="bottomRight" state="frozen"/>
      <selection pane="bottomRight" activeCell="D2" sqref="D2"/>
      <pageMargins left="0.7" right="0.7" top="0.75" bottom="0.75" header="0.3" footer="0.3"/>
      <pageSetup orientation="portrait" r:id="rId7"/>
    </customSheetView>
    <customSheetView guid="{4DB6C640-CE65-4513-9E5A-F6CDD1F4B8AF}" showPageBreaks="1">
      <pane xSplit="1" ySplit="1" topLeftCell="E10" activePane="bottomRight" state="frozen"/>
      <selection pane="bottomRight" activeCell="F35" sqref="F35"/>
      <pageMargins left="0.7" right="0.7" top="0.75" bottom="0.75" header="0.3" footer="0.3"/>
      <pageSetup orientation="portrait" r:id="rId8"/>
    </customSheetView>
    <customSheetView guid="{D1D1E152-95AB-45D3-AC07-4EC0834D3E0C}">
      <pane xSplit="1" ySplit="1" topLeftCell="D2" activePane="bottomRight" state="frozen"/>
      <selection pane="bottomRight" activeCell="D35" sqref="D35"/>
      <pageMargins left="0.7" right="0.7" top="0.75" bottom="0.75" header="0.3" footer="0.3"/>
      <pageSetup orientation="portrait" r:id="rId9"/>
    </customSheetView>
    <customSheetView guid="{C3348F62-02F2-4500-9BF2-19F2DEA57A8D}" showPageBreaks="1">
      <pane xSplit="1" ySplit="1" topLeftCell="D2" activePane="bottomRight" state="frozen"/>
      <selection pane="bottomRight" activeCell="M22" sqref="M22"/>
      <pageMargins left="0.7" right="0.7" top="0.75" bottom="0.75" header="0.3" footer="0.3"/>
      <pageSetup orientation="portrait" r:id="rId10"/>
    </customSheetView>
  </customSheetViews>
  <mergeCells count="5">
    <mergeCell ref="A1:D1"/>
    <mergeCell ref="A28:B28"/>
    <mergeCell ref="A30:B30"/>
    <mergeCell ref="A32:B32"/>
    <mergeCell ref="E17:E27"/>
  </mergeCells>
  <conditionalFormatting sqref="B2:B27">
    <cfRule type="cellIs" dxfId="2" priority="1" operator="equal">
      <formula>$B$33</formula>
    </cfRule>
    <cfRule type="cellIs" dxfId="1" priority="2" operator="equal">
      <formula>$B$31</formula>
    </cfRule>
    <cfRule type="cellIs" dxfId="0" priority="3" operator="equal">
      <formula>$B$29</formula>
    </cfRule>
  </conditionalFormatting>
  <pageMargins left="0.7" right="0.7" top="0.75" bottom="0.75" header="0.3" footer="0.3"/>
  <pageSetup orientation="portrait" r:id="rId1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4"/>
  <dimension ref="D2:F22"/>
  <sheetViews>
    <sheetView workbookViewId="0">
      <selection activeCell="O19" sqref="O19"/>
    </sheetView>
  </sheetViews>
  <sheetFormatPr defaultRowHeight="15"/>
  <cols>
    <col min="5" max="5" width="44.42578125" bestFit="1" customWidth="1"/>
    <col min="6" max="6" width="14" customWidth="1"/>
    <col min="12" max="12" width="9.140625" customWidth="1"/>
    <col min="23" max="23" width="9.140625" customWidth="1"/>
  </cols>
  <sheetData>
    <row r="2" spans="4:6" ht="33" customHeight="1">
      <c r="E2" s="1151" t="s">
        <v>809</v>
      </c>
    </row>
    <row r="4" spans="4:6" ht="23.25">
      <c r="D4" s="1081" t="s">
        <v>790</v>
      </c>
      <c r="E4" s="1777">
        <f>GEntry!A2</f>
        <v>43319</v>
      </c>
      <c r="F4" s="1082">
        <f>GEntry!A12</f>
        <v>0.375</v>
      </c>
    </row>
    <row r="5" spans="4:6" ht="23.25">
      <c r="D5" s="1083">
        <v>1</v>
      </c>
      <c r="E5" s="1084" t="s">
        <v>791</v>
      </c>
      <c r="F5" s="1085">
        <f>GEntry!R12</f>
        <v>0</v>
      </c>
    </row>
    <row r="6" spans="4:6" ht="26.25">
      <c r="D6" s="1083">
        <v>2</v>
      </c>
      <c r="E6" s="1084" t="s">
        <v>792</v>
      </c>
      <c r="F6" s="1086">
        <f>GEntry!S12</f>
        <v>0</v>
      </c>
    </row>
    <row r="7" spans="4:6" ht="26.25">
      <c r="D7" s="1083">
        <v>3</v>
      </c>
      <c r="E7" s="1087" t="s">
        <v>793</v>
      </c>
      <c r="F7" s="1086">
        <f>GEntry!AO12</f>
        <v>0</v>
      </c>
    </row>
    <row r="8" spans="4:6" ht="26.25">
      <c r="D8" s="1083">
        <v>4</v>
      </c>
      <c r="E8" s="1087" t="s">
        <v>794</v>
      </c>
      <c r="F8" s="1086">
        <f>GEntry!AR12</f>
        <v>320</v>
      </c>
    </row>
    <row r="9" spans="4:6" ht="26.25">
      <c r="D9" s="1083">
        <v>5</v>
      </c>
      <c r="E9" s="1087" t="s">
        <v>795</v>
      </c>
      <c r="F9" s="1086">
        <f>GEntry!AQ12</f>
        <v>225</v>
      </c>
    </row>
    <row r="10" spans="4:6" ht="26.25">
      <c r="D10" s="1083">
        <v>6</v>
      </c>
      <c r="E10" s="1087" t="s">
        <v>796</v>
      </c>
      <c r="F10" s="1086">
        <f>GEntry!BY12</f>
        <v>30</v>
      </c>
    </row>
    <row r="11" spans="4:6" ht="26.25">
      <c r="D11" s="1083">
        <v>7</v>
      </c>
      <c r="E11" s="1087" t="s">
        <v>797</v>
      </c>
      <c r="F11" s="1086">
        <f>GEntry!CM12</f>
        <v>0</v>
      </c>
    </row>
    <row r="12" spans="4:6" ht="26.25">
      <c r="D12" s="1083">
        <v>8</v>
      </c>
      <c r="E12" s="1087" t="s">
        <v>798</v>
      </c>
      <c r="F12" s="1086">
        <f>GEntry!CR12</f>
        <v>7</v>
      </c>
    </row>
    <row r="13" spans="4:6" ht="26.25">
      <c r="D13" s="1083">
        <v>9</v>
      </c>
      <c r="E13" s="1087" t="s">
        <v>799</v>
      </c>
      <c r="F13" s="1086">
        <f>GEntry!CD12</f>
        <v>8</v>
      </c>
    </row>
    <row r="14" spans="4:6" ht="26.25">
      <c r="D14" s="1083">
        <v>10</v>
      </c>
      <c r="E14" s="1087" t="s">
        <v>1112</v>
      </c>
      <c r="F14" s="1086">
        <f>GEntry!AP12</f>
        <v>406</v>
      </c>
    </row>
    <row r="15" spans="4:6" ht="26.25">
      <c r="D15" s="1083">
        <v>11</v>
      </c>
      <c r="E15" s="1087" t="s">
        <v>800</v>
      </c>
      <c r="F15" s="1086">
        <f>GEntry!CY12</f>
        <v>8</v>
      </c>
    </row>
    <row r="16" spans="4:6" ht="26.25">
      <c r="D16" s="1083">
        <v>12</v>
      </c>
      <c r="E16" s="1087" t="s">
        <v>1887</v>
      </c>
      <c r="F16" s="1086">
        <f>GEntry!T12</f>
        <v>0</v>
      </c>
    </row>
    <row r="17" spans="4:6" ht="26.25">
      <c r="D17" s="1083">
        <v>13</v>
      </c>
      <c r="E17" s="1087" t="s">
        <v>1888</v>
      </c>
      <c r="F17" s="4994">
        <f>GEntry!DD12</f>
        <v>30</v>
      </c>
    </row>
    <row r="18" spans="4:6" ht="26.25">
      <c r="D18" s="1083">
        <v>14</v>
      </c>
      <c r="E18" s="1087" t="s">
        <v>1889</v>
      </c>
      <c r="F18" s="1086">
        <f>GEntry!CS12</f>
        <v>17</v>
      </c>
    </row>
    <row r="19" spans="4:6" ht="26.25">
      <c r="D19" s="1083">
        <v>15</v>
      </c>
      <c r="E19" s="1087" t="s">
        <v>1890</v>
      </c>
      <c r="F19" s="1086">
        <f>GEntry!CQ12</f>
        <v>0</v>
      </c>
    </row>
    <row r="22" spans="4:6" ht="20.25">
      <c r="E22" s="4995" t="s">
        <v>12</v>
      </c>
      <c r="F22" s="4996">
        <f>SUM(F5:F21)</f>
        <v>1051</v>
      </c>
    </row>
  </sheetData>
  <customSheetViews>
    <customSheetView guid="{751D391F-C74F-4B53-B5B5-25E01AC12EA4}">
      <selection activeCell="G5" sqref="G5"/>
      <pageMargins left="0.7" right="0.7" top="2" bottom="0.75" header="0.3" footer="0.3"/>
      <printOptions horizontalCentered="1"/>
      <pageSetup orientation="portrait" r:id="rId1"/>
    </customSheetView>
    <customSheetView guid="{5A803268-F6C5-4035-B3E1-A94CB9AA8994}" showPageBreaks="1" printArea="1">
      <selection activeCell="F21" sqref="F21"/>
      <pageMargins left="0.7" right="0.7" top="2" bottom="0.75" header="0.3" footer="0.3"/>
      <printOptions horizontalCentered="1"/>
      <pageSetup orientation="portrait" r:id="rId2"/>
    </customSheetView>
    <customSheetView guid="{917057C8-5E5F-4164-B84C-85103677A2E5}">
      <selection activeCell="F19" sqref="F19"/>
      <pageMargins left="0.7" right="0.7" top="2" bottom="0.75" header="0.3" footer="0.3"/>
      <printOptions horizontalCentered="1"/>
      <pageSetup orientation="portrait" r:id="rId3"/>
    </customSheetView>
    <customSheetView guid="{4593F3EE-0998-4E0E-994A-E02D6BAF3A4B}" showPageBreaks="1" printArea="1">
      <selection activeCell="F21" sqref="F21"/>
      <pageMargins left="0.7" right="0.7" top="2" bottom="0.75" header="0.3" footer="0.3"/>
      <printOptions horizontalCentered="1"/>
      <pageSetup orientation="portrait" r:id="rId4"/>
    </customSheetView>
    <customSheetView guid="{23F4DC00-BC97-4745-AA5C-F05D469CB1EF}" showPageBreaks="1" printArea="1">
      <selection activeCell="F21" sqref="F21"/>
      <pageMargins left="0.7" right="0.7" top="2" bottom="0.75" header="0.3" footer="0.3"/>
      <printOptions horizontalCentered="1"/>
      <pageSetup orientation="portrait" r:id="rId5"/>
    </customSheetView>
    <customSheetView guid="{B91C2E87-5EDA-40AE-AC27-0E2C17E803CE}" showPageBreaks="1" printArea="1">
      <selection activeCell="A11" sqref="A11:XFD11"/>
      <pageMargins left="0.7" right="0.7" top="2" bottom="0.75" header="0.3" footer="0.3"/>
      <printOptions horizontalCentered="1"/>
      <pageSetup orientation="portrait" r:id="rId6"/>
    </customSheetView>
    <customSheetView guid="{7C71EF2A-5ADA-494C-8F58-DDA71753DD90}" showPageBreaks="1">
      <selection activeCell="A8" sqref="A8"/>
      <pageMargins left="0.7" right="0.7" top="2" bottom="0.75" header="0.3" footer="0.3"/>
      <printOptions horizontalCentered="1"/>
      <pageSetup orientation="portrait" r:id="rId7"/>
    </customSheetView>
    <customSheetView guid="{4DB6C640-CE65-4513-9E5A-F6CDD1F4B8AF}">
      <selection activeCell="A23" sqref="A23:XFD23"/>
      <pageMargins left="0.7" right="0.7" top="2" bottom="0.75" header="0.3" footer="0.3"/>
      <printOptions horizontalCentered="1"/>
      <pageSetup orientation="portrait" r:id="rId8"/>
    </customSheetView>
    <customSheetView guid="{D1D1E152-95AB-45D3-AC07-4EC0834D3E0C}">
      <selection activeCell="M5" sqref="M5"/>
      <pageMargins left="0.7" right="0.7" top="2" bottom="0.75" header="0.3" footer="0.3"/>
      <printOptions horizontalCentered="1"/>
      <pageSetup orientation="portrait" r:id="rId9"/>
    </customSheetView>
    <customSheetView guid="{C3348F62-02F2-4500-9BF2-19F2DEA57A8D}" showPageBreaks="1">
      <selection activeCell="O19" sqref="O19"/>
      <pageMargins left="0.7" right="0.7" top="2" bottom="0.75" header="0.3" footer="0.3"/>
      <printOptions horizontalCentered="1"/>
      <pageSetup orientation="portrait" r:id="rId10"/>
    </customSheetView>
  </customSheetViews>
  <printOptions horizontalCentered="1"/>
  <pageMargins left="0.7" right="0.7" top="2" bottom="0.75" header="0.3" footer="0.3"/>
  <pageSetup orientation="portrait" r:id="rId1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>
    <tabColor theme="5" tint="-0.249977111117893"/>
  </sheetPr>
  <dimension ref="A1:M30"/>
  <sheetViews>
    <sheetView workbookViewId="0">
      <selection activeCell="B10" sqref="B10"/>
    </sheetView>
  </sheetViews>
  <sheetFormatPr defaultColWidth="9.140625" defaultRowHeight="15"/>
  <cols>
    <col min="1" max="1" width="18.42578125" style="5" customWidth="1"/>
    <col min="2" max="2" width="11.85546875" style="5" customWidth="1"/>
    <col min="3" max="3" width="12.85546875" style="5" customWidth="1"/>
    <col min="4" max="4" width="10.5703125" style="5" customWidth="1"/>
    <col min="5" max="5" width="11.85546875" style="5" customWidth="1"/>
    <col min="6" max="6" width="17" style="5" customWidth="1"/>
    <col min="7" max="7" width="7.140625" style="5" customWidth="1"/>
    <col min="8" max="9" width="9.140625" style="5"/>
    <col min="10" max="11" width="19.5703125" style="5" customWidth="1"/>
    <col min="12" max="12" width="24.140625" style="5" customWidth="1"/>
    <col min="13" max="16384" width="9.140625" style="5"/>
  </cols>
  <sheetData>
    <row r="1" spans="1:13" ht="22.5">
      <c r="A1" s="444"/>
      <c r="B1" s="444"/>
      <c r="C1" s="444"/>
      <c r="D1" s="444"/>
      <c r="E1" s="444"/>
      <c r="F1" s="444"/>
      <c r="G1" s="444"/>
      <c r="H1" s="445"/>
      <c r="I1" s="445"/>
      <c r="J1" s="445"/>
      <c r="K1" s="445"/>
      <c r="L1" s="445"/>
      <c r="M1" s="445"/>
    </row>
    <row r="2" spans="1:13" ht="18.75">
      <c r="A2" s="446" t="s">
        <v>603</v>
      </c>
      <c r="B2" s="446"/>
      <c r="C2" s="446"/>
      <c r="D2" s="446"/>
      <c r="E2" s="446"/>
      <c r="F2" s="446"/>
      <c r="G2" s="446"/>
      <c r="H2" s="445"/>
      <c r="I2" s="445"/>
      <c r="J2" s="896"/>
      <c r="K2" s="897"/>
      <c r="L2" s="898"/>
      <c r="M2" s="445"/>
    </row>
    <row r="3" spans="1:13" ht="18.75">
      <c r="A3" s="447"/>
      <c r="B3" s="447"/>
      <c r="C3" s="447"/>
      <c r="D3" s="447"/>
      <c r="E3" s="447"/>
      <c r="F3" s="447"/>
      <c r="G3" s="447"/>
      <c r="H3" s="445"/>
      <c r="I3" s="445"/>
      <c r="J3" s="899"/>
      <c r="K3" s="900"/>
      <c r="L3" s="901"/>
      <c r="M3" s="445"/>
    </row>
    <row r="4" spans="1:13" ht="17.25">
      <c r="A4" s="448" t="s">
        <v>604</v>
      </c>
      <c r="B4" s="448"/>
      <c r="C4" s="448"/>
      <c r="D4" s="448"/>
      <c r="E4" s="448"/>
      <c r="F4" s="448"/>
      <c r="G4" s="448"/>
      <c r="H4" s="445"/>
      <c r="I4" s="445"/>
      <c r="J4" s="899" t="s">
        <v>605</v>
      </c>
      <c r="K4" s="900"/>
      <c r="L4" s="901"/>
      <c r="M4" s="445"/>
    </row>
    <row r="5" spans="1:13" ht="16.5">
      <c r="A5" s="449" t="s">
        <v>606</v>
      </c>
      <c r="B5" s="449"/>
      <c r="C5" s="450">
        <f>Forecast!E3</f>
        <v>43318</v>
      </c>
      <c r="D5" s="449"/>
      <c r="E5" s="449"/>
      <c r="F5" s="449"/>
      <c r="G5" s="449"/>
      <c r="H5" s="445"/>
      <c r="I5" s="445"/>
      <c r="J5" s="899"/>
      <c r="K5" s="900"/>
      <c r="L5" s="901"/>
      <c r="M5" s="445"/>
    </row>
    <row r="6" spans="1:13" ht="16.5">
      <c r="A6" s="445"/>
      <c r="B6" s="451"/>
      <c r="C6" s="445"/>
      <c r="D6" s="445"/>
      <c r="E6" s="445"/>
      <c r="F6" s="445"/>
      <c r="G6" s="445"/>
      <c r="H6" s="445"/>
      <c r="I6" s="445"/>
      <c r="J6" s="902"/>
      <c r="K6" s="903"/>
      <c r="L6" s="904"/>
      <c r="M6" s="445"/>
    </row>
    <row r="7" spans="1:13" ht="16.5">
      <c r="A7" s="452"/>
      <c r="B7" s="453"/>
      <c r="C7" s="453"/>
      <c r="D7" s="453"/>
      <c r="E7" s="454"/>
      <c r="F7" s="454"/>
      <c r="G7" s="454"/>
      <c r="H7" s="445"/>
      <c r="I7" s="445"/>
      <c r="J7" s="5510" t="s">
        <v>607</v>
      </c>
      <c r="K7" s="5510" t="s">
        <v>608</v>
      </c>
      <c r="L7" s="5510"/>
      <c r="M7" s="445"/>
    </row>
    <row r="8" spans="1:13" ht="16.5">
      <c r="A8" s="455"/>
      <c r="B8" s="456" t="s">
        <v>609</v>
      </c>
      <c r="C8" s="457"/>
      <c r="D8" s="458"/>
      <c r="E8" s="456" t="s">
        <v>610</v>
      </c>
      <c r="F8" s="457"/>
      <c r="G8" s="458"/>
      <c r="H8" s="445"/>
      <c r="I8" s="445"/>
      <c r="J8" s="5510"/>
      <c r="K8" s="459" t="s">
        <v>611</v>
      </c>
      <c r="L8" s="459" t="s">
        <v>612</v>
      </c>
      <c r="M8" s="445"/>
    </row>
    <row r="9" spans="1:13" ht="31.5">
      <c r="A9" s="460" t="s">
        <v>607</v>
      </c>
      <c r="B9" s="461" t="s">
        <v>613</v>
      </c>
      <c r="C9" s="461" t="s">
        <v>614</v>
      </c>
      <c r="D9" s="461" t="s">
        <v>615</v>
      </c>
      <c r="E9" s="461" t="s">
        <v>613</v>
      </c>
      <c r="F9" s="461" t="s">
        <v>614</v>
      </c>
      <c r="G9" s="461" t="s">
        <v>615</v>
      </c>
      <c r="H9" s="445"/>
      <c r="I9" s="445"/>
      <c r="J9" s="462" t="s">
        <v>10</v>
      </c>
      <c r="K9" s="463">
        <v>0.39500000000000002</v>
      </c>
      <c r="L9" s="463">
        <v>0.39500000000000002</v>
      </c>
      <c r="M9" s="445"/>
    </row>
    <row r="10" spans="1:13" ht="16.5">
      <c r="A10" s="464" t="s">
        <v>10</v>
      </c>
      <c r="B10" s="465">
        <f>K9*L21</f>
        <v>3455.1045000000004</v>
      </c>
      <c r="C10" s="466">
        <v>3455</v>
      </c>
      <c r="D10" s="465">
        <f t="shared" ref="D10:D18" si="0">B10-C10</f>
        <v>0.10450000000037107</v>
      </c>
      <c r="E10" s="465">
        <f>Forecast!W192</f>
        <v>4547.5118374999993</v>
      </c>
      <c r="F10" s="465">
        <f>IF(G10=0,E10,Forecast!X192)</f>
        <v>4413.1282156555426</v>
      </c>
      <c r="G10" s="465">
        <f>Forecast!Y192</f>
        <v>134.38362184445668</v>
      </c>
      <c r="H10" s="445"/>
      <c r="I10" s="445"/>
      <c r="J10" s="462" t="s">
        <v>330</v>
      </c>
      <c r="K10" s="463">
        <v>0.1103</v>
      </c>
      <c r="L10" s="463">
        <v>0.1103</v>
      </c>
      <c r="M10" s="445"/>
    </row>
    <row r="11" spans="1:13" ht="16.5">
      <c r="A11" s="464" t="s">
        <v>330</v>
      </c>
      <c r="B11" s="465">
        <f>K10*L21</f>
        <v>964.80512999999996</v>
      </c>
      <c r="C11" s="466">
        <v>964.80512999999996</v>
      </c>
      <c r="D11" s="465">
        <f t="shared" si="0"/>
        <v>0</v>
      </c>
      <c r="E11" s="465">
        <f>Forecast!W193</f>
        <v>1287.698316</v>
      </c>
      <c r="F11" s="465">
        <f>IF(G11=0,E11,Forecast!X193)</f>
        <v>1220.8808187264863</v>
      </c>
      <c r="G11" s="465">
        <f>Forecast!Y193</f>
        <v>66.817497273513709</v>
      </c>
      <c r="H11" s="445"/>
      <c r="I11" s="445"/>
      <c r="J11" s="462" t="s">
        <v>331</v>
      </c>
      <c r="K11" s="463">
        <v>0.12470000000000001</v>
      </c>
      <c r="L11" s="463">
        <v>0.12470000000000001</v>
      </c>
      <c r="M11" s="445"/>
    </row>
    <row r="12" spans="1:13" ht="16.5">
      <c r="A12" s="464" t="s">
        <v>331</v>
      </c>
      <c r="B12" s="465">
        <f>K11*L21</f>
        <v>1090.7633700000001</v>
      </c>
      <c r="C12" s="466">
        <v>1090.7633700000001</v>
      </c>
      <c r="D12" s="465">
        <f t="shared" si="0"/>
        <v>0</v>
      </c>
      <c r="E12" s="465">
        <f>Forecast!W194</f>
        <v>1699.9188135000002</v>
      </c>
      <c r="F12" s="465">
        <f>IF(G12=0,E12,Forecast!X194)</f>
        <v>1604.8075936225819</v>
      </c>
      <c r="G12" s="465">
        <f>Forecast!Y194</f>
        <v>95.111219877418307</v>
      </c>
      <c r="H12" s="445"/>
      <c r="I12" s="445"/>
      <c r="J12" s="462" t="s">
        <v>334</v>
      </c>
      <c r="K12" s="463">
        <v>0.1142</v>
      </c>
      <c r="L12" s="463">
        <v>0.1142</v>
      </c>
      <c r="M12" s="445"/>
    </row>
    <row r="13" spans="1:13" ht="16.5">
      <c r="A13" s="464" t="s">
        <v>334</v>
      </c>
      <c r="B13" s="465">
        <f>K12*L21</f>
        <v>998.91881999999998</v>
      </c>
      <c r="C13" s="466">
        <v>998.91881999999998</v>
      </c>
      <c r="D13" s="465">
        <f t="shared" si="0"/>
        <v>0</v>
      </c>
      <c r="E13" s="465">
        <f>Forecast!W195</f>
        <v>1508.8578845</v>
      </c>
      <c r="F13" s="465">
        <f>IF(G13=0,E13,Forecast!X195)</f>
        <v>1415.8099737607954</v>
      </c>
      <c r="G13" s="465">
        <f>Forecast!Y195</f>
        <v>93.047910739204553</v>
      </c>
      <c r="H13" s="445"/>
      <c r="I13" s="445"/>
      <c r="J13" s="462" t="s">
        <v>9</v>
      </c>
      <c r="K13" s="463">
        <v>7.5999999999999998E-2</v>
      </c>
      <c r="L13" s="463">
        <v>7.5999999999999998E-2</v>
      </c>
      <c r="M13" s="445"/>
    </row>
    <row r="14" spans="1:13" ht="16.5">
      <c r="A14" s="464" t="s">
        <v>9</v>
      </c>
      <c r="B14" s="465">
        <f>K13*L21</f>
        <v>664.77959999999996</v>
      </c>
      <c r="C14" s="466">
        <v>664.77959999999996</v>
      </c>
      <c r="D14" s="465">
        <f t="shared" si="0"/>
        <v>0</v>
      </c>
      <c r="E14" s="465">
        <f>Forecast!W196</f>
        <v>1283.7724065</v>
      </c>
      <c r="F14" s="465">
        <f>IF(G14=0,E14,Forecast!X196)</f>
        <v>1208.8658478128209</v>
      </c>
      <c r="G14" s="465">
        <f>Forecast!Y196</f>
        <v>74.906558687179086</v>
      </c>
      <c r="H14" s="445"/>
      <c r="I14" s="445"/>
      <c r="J14" s="462" t="s">
        <v>343</v>
      </c>
      <c r="K14" s="463">
        <v>5.62E-2</v>
      </c>
      <c r="L14" s="463">
        <v>5.62E-2</v>
      </c>
      <c r="M14" s="445"/>
    </row>
    <row r="15" spans="1:13" ht="16.5">
      <c r="A15" s="464" t="s">
        <v>106</v>
      </c>
      <c r="B15" s="465">
        <f>K14*L21</f>
        <v>491.58702</v>
      </c>
      <c r="C15" s="466">
        <v>491.58702</v>
      </c>
      <c r="D15" s="465">
        <f t="shared" si="0"/>
        <v>0</v>
      </c>
      <c r="E15" s="465">
        <f>Forecast!W197</f>
        <v>1061.3042014999999</v>
      </c>
      <c r="F15" s="465">
        <f>IF(G15=0,E15,Forecast!X197)</f>
        <v>993.59395033565227</v>
      </c>
      <c r="G15" s="465">
        <f>Forecast!Y197</f>
        <v>67.710251164347596</v>
      </c>
      <c r="H15" s="445"/>
      <c r="I15" s="445"/>
      <c r="J15" s="462" t="s">
        <v>342</v>
      </c>
      <c r="K15" s="463">
        <v>4.5900000000000003E-2</v>
      </c>
      <c r="L15" s="463">
        <v>4.5900000000000003E-2</v>
      </c>
      <c r="M15" s="445"/>
    </row>
    <row r="16" spans="1:13" ht="16.5">
      <c r="A16" s="464" t="s">
        <v>342</v>
      </c>
      <c r="B16" s="465">
        <f>K15*L21</f>
        <v>401.49189000000007</v>
      </c>
      <c r="C16" s="466">
        <v>401.49189000000007</v>
      </c>
      <c r="D16" s="465">
        <f t="shared" si="0"/>
        <v>0</v>
      </c>
      <c r="E16" s="465">
        <f>Forecast!W198</f>
        <v>473.72641300000004</v>
      </c>
      <c r="F16" s="465">
        <f>IF(G16=0,E16,Forecast!X198)</f>
        <v>449.04866661022891</v>
      </c>
      <c r="G16" s="465">
        <f>Forecast!Y198</f>
        <v>24.67774638977113</v>
      </c>
      <c r="H16" s="445"/>
      <c r="I16" s="445"/>
      <c r="J16" s="462" t="s">
        <v>346</v>
      </c>
      <c r="K16" s="463">
        <v>0.02</v>
      </c>
      <c r="L16" s="463">
        <v>0.02</v>
      </c>
      <c r="M16" s="445"/>
    </row>
    <row r="17" spans="1:13" ht="16.5">
      <c r="A17" s="464" t="s">
        <v>346</v>
      </c>
      <c r="B17" s="465">
        <f>K16*L21</f>
        <v>174.94200000000001</v>
      </c>
      <c r="C17" s="466">
        <v>174.94200000000001</v>
      </c>
      <c r="D17" s="465">
        <f t="shared" si="0"/>
        <v>0</v>
      </c>
      <c r="E17" s="465">
        <f>Forecast!W199</f>
        <v>386.04776750000002</v>
      </c>
      <c r="F17" s="465">
        <f>IF(G17=0,E17,Forecast!X199)</f>
        <v>386.04776750000002</v>
      </c>
      <c r="G17" s="465">
        <f>Forecast!Y199</f>
        <v>0</v>
      </c>
      <c r="H17" s="445"/>
      <c r="I17" s="445"/>
      <c r="J17" s="462" t="s">
        <v>348</v>
      </c>
      <c r="K17" s="463">
        <v>5.7700000000000001E-2</v>
      </c>
      <c r="L17" s="463">
        <v>5.7700000000000001E-2</v>
      </c>
      <c r="M17" s="445"/>
    </row>
    <row r="18" spans="1:13" ht="16.5">
      <c r="A18" s="464" t="s">
        <v>348</v>
      </c>
      <c r="B18" s="465">
        <f>K17*L21</f>
        <v>504.70767000000001</v>
      </c>
      <c r="C18" s="466">
        <v>504.70767000000001</v>
      </c>
      <c r="D18" s="465">
        <f t="shared" si="0"/>
        <v>0</v>
      </c>
      <c r="E18" s="465">
        <f>Forecast!W200</f>
        <v>837.52736000000004</v>
      </c>
      <c r="F18" s="465">
        <f>IF(G18=0,E18,Forecast!X200)</f>
        <v>784.56147927735742</v>
      </c>
      <c r="G18" s="465">
        <f>Forecast!Y200</f>
        <v>52.965880722642623</v>
      </c>
      <c r="H18" s="445"/>
      <c r="I18" s="445"/>
      <c r="J18" s="905" t="s">
        <v>12</v>
      </c>
      <c r="K18" s="906">
        <v>1</v>
      </c>
      <c r="L18" s="907">
        <v>1</v>
      </c>
      <c r="M18" s="445"/>
    </row>
    <row r="19" spans="1:13" ht="16.5">
      <c r="A19" s="467" t="s">
        <v>616</v>
      </c>
      <c r="B19" s="468">
        <f>SUM(B10:B18)</f>
        <v>8747.1</v>
      </c>
      <c r="C19" s="468">
        <f>SUM(C10:C18)</f>
        <v>8746.9954999999991</v>
      </c>
      <c r="D19" s="468">
        <v>0</v>
      </c>
      <c r="E19" s="468">
        <f>SUM(E10:E18)</f>
        <v>13086.365</v>
      </c>
      <c r="F19" s="468">
        <f>SUM(F10:F18)</f>
        <v>12476.744313301466</v>
      </c>
      <c r="G19" s="468">
        <f>SUM(G10:G18)</f>
        <v>609.62068669853375</v>
      </c>
      <c r="H19" s="445"/>
      <c r="I19" s="445"/>
      <c r="J19" s="5510" t="s">
        <v>617</v>
      </c>
      <c r="K19" s="5510"/>
      <c r="L19" s="5510"/>
      <c r="M19" s="445"/>
    </row>
    <row r="20" spans="1:13" ht="16.5">
      <c r="A20" s="445"/>
      <c r="B20" s="445"/>
      <c r="C20" s="445"/>
      <c r="D20" s="445"/>
      <c r="E20" s="445"/>
      <c r="F20" s="445"/>
      <c r="G20" s="445"/>
      <c r="H20" s="445"/>
      <c r="I20" s="445"/>
      <c r="J20" s="459"/>
      <c r="K20" s="459" t="s">
        <v>618</v>
      </c>
      <c r="L20" s="459" t="s">
        <v>619</v>
      </c>
      <c r="M20" s="445"/>
    </row>
    <row r="21" spans="1:13" ht="16.5">
      <c r="A21" s="445"/>
      <c r="B21" s="445"/>
      <c r="C21" s="445"/>
      <c r="D21" s="445"/>
      <c r="E21" s="445"/>
      <c r="F21" s="445"/>
      <c r="G21" s="445"/>
      <c r="H21" s="445"/>
      <c r="I21" s="445"/>
      <c r="J21" s="459" t="s">
        <v>119</v>
      </c>
      <c r="K21" s="469">
        <v>9719</v>
      </c>
      <c r="L21" s="459">
        <f>0.9*K21</f>
        <v>8747.1</v>
      </c>
      <c r="M21" s="445"/>
    </row>
    <row r="22" spans="1:13" ht="16.5">
      <c r="A22" s="445"/>
      <c r="B22" s="445"/>
      <c r="C22" s="445" t="s">
        <v>372</v>
      </c>
      <c r="D22" s="445"/>
      <c r="E22" s="445"/>
      <c r="F22" s="445"/>
      <c r="G22" s="445"/>
      <c r="H22" s="445"/>
      <c r="I22" s="445"/>
      <c r="J22" s="459" t="s">
        <v>118</v>
      </c>
      <c r="K22" s="470">
        <v>11500</v>
      </c>
      <c r="L22" s="459">
        <f>0.9*K22</f>
        <v>10350</v>
      </c>
      <c r="M22" s="445"/>
    </row>
    <row r="23" spans="1:13" ht="16.5">
      <c r="A23" s="445"/>
      <c r="B23" s="445"/>
      <c r="C23" s="445"/>
      <c r="D23" s="445"/>
      <c r="E23" s="445"/>
      <c r="F23" s="445"/>
      <c r="G23" s="445"/>
      <c r="H23" s="445"/>
      <c r="I23" s="445"/>
      <c r="J23" s="445"/>
      <c r="K23" s="445"/>
      <c r="L23" s="445"/>
      <c r="M23" s="445"/>
    </row>
    <row r="24" spans="1:13" ht="16.5">
      <c r="A24" s="445"/>
      <c r="B24" s="445"/>
      <c r="C24" s="445"/>
      <c r="D24" s="445"/>
      <c r="E24" s="445"/>
      <c r="F24" s="445"/>
      <c r="G24" s="445" t="s">
        <v>620</v>
      </c>
      <c r="H24" s="445"/>
      <c r="I24" s="445"/>
      <c r="J24" s="445"/>
      <c r="K24" s="445"/>
      <c r="L24" s="445"/>
      <c r="M24" s="445"/>
    </row>
    <row r="25" spans="1:13" ht="16.5">
      <c r="A25" s="445"/>
      <c r="B25" s="445"/>
      <c r="C25" s="445"/>
      <c r="D25" s="445"/>
      <c r="E25" s="445"/>
      <c r="F25" s="471" t="s">
        <v>621</v>
      </c>
      <c r="G25" s="471"/>
      <c r="H25" s="445"/>
      <c r="I25" s="445"/>
      <c r="J25" s="445"/>
      <c r="K25" s="445"/>
      <c r="L25" s="445"/>
      <c r="M25" s="445"/>
    </row>
    <row r="26" spans="1:13" ht="16.5">
      <c r="A26" s="445"/>
      <c r="B26" s="445"/>
      <c r="C26" s="445"/>
      <c r="D26" s="445"/>
      <c r="E26" s="445"/>
      <c r="F26" s="471" t="s">
        <v>622</v>
      </c>
      <c r="G26" s="471"/>
      <c r="H26" s="445"/>
      <c r="I26" s="445"/>
      <c r="J26" s="445"/>
      <c r="K26" s="445"/>
      <c r="L26" s="445"/>
      <c r="M26" s="445"/>
    </row>
    <row r="27" spans="1:13" ht="16.5">
      <c r="A27" s="445"/>
      <c r="B27" s="445"/>
      <c r="C27" s="445"/>
      <c r="D27" s="445"/>
      <c r="E27" s="445"/>
      <c r="F27" s="445"/>
      <c r="G27" s="445"/>
      <c r="H27" s="445"/>
      <c r="I27" s="445"/>
      <c r="J27" s="445"/>
      <c r="K27" s="445"/>
      <c r="L27" s="445"/>
      <c r="M27" s="445"/>
    </row>
    <row r="28" spans="1:13" ht="16.5">
      <c r="A28" s="445"/>
      <c r="B28" s="445"/>
      <c r="C28" s="445"/>
      <c r="D28" s="445"/>
      <c r="E28" s="445"/>
      <c r="F28" s="445"/>
      <c r="G28" s="445"/>
      <c r="H28" s="445"/>
      <c r="I28" s="445"/>
      <c r="J28" s="445"/>
      <c r="K28" s="445"/>
      <c r="L28" s="445"/>
      <c r="M28" s="445"/>
    </row>
    <row r="29" spans="1:13" ht="16.5">
      <c r="A29" s="445"/>
      <c r="B29" s="445"/>
      <c r="C29" s="445"/>
      <c r="D29" s="445"/>
      <c r="E29" s="445"/>
      <c r="F29" s="445"/>
      <c r="G29" s="445"/>
      <c r="H29" s="445"/>
      <c r="I29" s="445"/>
      <c r="J29" s="445"/>
      <c r="K29" s="445"/>
      <c r="L29" s="445"/>
      <c r="M29" s="445"/>
    </row>
    <row r="30" spans="1:13" ht="16.5">
      <c r="A30" s="445"/>
      <c r="B30" s="445"/>
      <c r="C30" s="445"/>
      <c r="D30" s="445"/>
      <c r="E30" s="445"/>
      <c r="F30" s="445"/>
      <c r="G30" s="445"/>
      <c r="H30" s="445"/>
      <c r="I30" s="445"/>
      <c r="J30" s="445"/>
      <c r="K30" s="445"/>
      <c r="L30" s="445"/>
      <c r="M30" s="445"/>
    </row>
  </sheetData>
  <customSheetViews>
    <customSheetView guid="{751D391F-C74F-4B53-B5B5-25E01AC12EA4}">
      <selection activeCell="M22" sqref="M22"/>
      <pageMargins left="0.7" right="0.7" top="0.75" bottom="0.75" header="0.3" footer="0.3"/>
      <pageSetup orientation="portrait" r:id="rId1"/>
    </customSheetView>
    <customSheetView guid="{5A803268-F6C5-4035-B3E1-A94CB9AA8994}" showPageBreaks="1" printArea="1" topLeftCell="A7">
      <selection activeCell="G22" sqref="G22"/>
      <pageMargins left="0.7" right="0.7" top="0.75" bottom="0.75" header="0.3" footer="0.3"/>
      <pageSetup orientation="portrait" r:id="rId2"/>
    </customSheetView>
    <customSheetView guid="{917057C8-5E5F-4164-B84C-85103677A2E5}">
      <selection activeCell="D21" sqref="D21"/>
      <pageMargins left="0.7" right="0.7" top="0.75" bottom="0.75" header="0.3" footer="0.3"/>
      <pageSetup orientation="portrait" r:id="rId3"/>
    </customSheetView>
    <customSheetView guid="{4593F3EE-0998-4E0E-994A-E02D6BAF3A4B}" showPageBreaks="1" printArea="1">
      <selection activeCell="D21" sqref="D21"/>
      <pageMargins left="0.7" right="0.7" top="0.75" bottom="0.75" header="0.3" footer="0.3"/>
      <pageSetup orientation="portrait" r:id="rId4"/>
    </customSheetView>
    <customSheetView guid="{23F4DC00-BC97-4745-AA5C-F05D469CB1EF}" showPageBreaks="1" printArea="1" topLeftCell="A7">
      <selection activeCell="G22" sqref="G22"/>
      <pageMargins left="0.7" right="0.7" top="0.75" bottom="0.75" header="0.3" footer="0.3"/>
      <pageSetup orientation="portrait" r:id="rId5"/>
    </customSheetView>
    <customSheetView guid="{B91C2E87-5EDA-40AE-AC27-0E2C17E803CE}" showPageBreaks="1" printArea="1">
      <selection activeCell="D21" sqref="D21"/>
      <pageMargins left="0.7" right="0.7" top="0.75" bottom="0.75" header="0.3" footer="0.3"/>
      <pageSetup orientation="portrait" r:id="rId6"/>
    </customSheetView>
    <customSheetView guid="{7C71EF2A-5ADA-494C-8F58-DDA71753DD90}" showPageBreaks="1">
      <selection activeCell="B32" sqref="B32"/>
      <pageMargins left="0.7" right="0.7" top="0.75" bottom="0.75" header="0.3" footer="0.3"/>
      <pageSetup orientation="portrait" r:id="rId7"/>
    </customSheetView>
    <customSheetView guid="{4DB6C640-CE65-4513-9E5A-F6CDD1F4B8AF}">
      <selection activeCell="D24" sqref="D24"/>
      <pageMargins left="0.7" right="0.7" top="0.75" bottom="0.75" header="0.3" footer="0.3"/>
      <pageSetup orientation="portrait" r:id="rId8"/>
    </customSheetView>
    <customSheetView guid="{D1D1E152-95AB-45D3-AC07-4EC0834D3E0C}">
      <selection activeCell="M22" sqref="M22"/>
      <pageMargins left="0.7" right="0.7" top="0.75" bottom="0.75" header="0.3" footer="0.3"/>
      <pageSetup orientation="portrait" r:id="rId9"/>
    </customSheetView>
    <customSheetView guid="{C3348F62-02F2-4500-9BF2-19F2DEA57A8D}" showPageBreaks="1">
      <selection activeCell="B10" sqref="B10"/>
      <pageMargins left="0.7" right="0.7" top="0.75" bottom="0.75" header="0.3" footer="0.3"/>
      <pageSetup orientation="portrait" r:id="rId10"/>
    </customSheetView>
  </customSheetViews>
  <mergeCells count="3">
    <mergeCell ref="J7:J8"/>
    <mergeCell ref="K7:L7"/>
    <mergeCell ref="J19:L19"/>
  </mergeCells>
  <pageMargins left="0.7" right="0.7" top="0.75" bottom="0.75" header="0.3" footer="0.3"/>
  <pageSetup orientation="portrait" r:id="rId1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"/>
  <dimension ref="B5:S24"/>
  <sheetViews>
    <sheetView workbookViewId="0">
      <selection sqref="A1:N50"/>
    </sheetView>
  </sheetViews>
  <sheetFormatPr defaultColWidth="9.140625" defaultRowHeight="12.75"/>
  <cols>
    <col min="1" max="1" width="9.140625" style="1099"/>
    <col min="2" max="2" width="14.85546875" style="1099" customWidth="1"/>
    <col min="3" max="3" width="15.7109375" style="1099" customWidth="1"/>
    <col min="4" max="4" width="17.28515625" style="1099" customWidth="1"/>
    <col min="5" max="5" width="16.85546875" style="1099" customWidth="1"/>
    <col min="6" max="6" width="15.5703125" style="1099" customWidth="1"/>
    <col min="7" max="7" width="14.140625" style="1099" customWidth="1"/>
    <col min="8" max="13" width="9.140625" style="1099"/>
    <col min="14" max="14" width="16.7109375" style="1099" customWidth="1"/>
    <col min="15" max="15" width="21.85546875" style="1099" customWidth="1"/>
    <col min="16" max="16" width="20.7109375" style="1099" customWidth="1"/>
    <col min="17" max="17" width="22.28515625" style="1099" customWidth="1"/>
    <col min="18" max="18" width="26.7109375" style="1099" customWidth="1"/>
    <col min="19" max="16384" width="9.140625" style="1099"/>
  </cols>
  <sheetData>
    <row r="5" spans="2:19">
      <c r="Q5" s="2403"/>
    </row>
    <row r="6" spans="2:19">
      <c r="Q6" s="2403" t="s">
        <v>1153</v>
      </c>
    </row>
    <row r="9" spans="2:19" ht="26.25">
      <c r="N9" s="1672"/>
      <c r="P9" s="1502"/>
      <c r="R9" s="1672"/>
    </row>
    <row r="10" spans="2:19" ht="15">
      <c r="B10" s="1096" t="s">
        <v>801</v>
      </c>
      <c r="C10" s="1097"/>
      <c r="D10" s="1098"/>
      <c r="E10" s="1098"/>
      <c r="F10" s="1098"/>
      <c r="G10" s="1098"/>
      <c r="N10" s="1672"/>
      <c r="R10" s="1672"/>
    </row>
    <row r="11" spans="2:19" ht="23.25">
      <c r="N11" s="1673"/>
      <c r="O11" s="1500"/>
      <c r="P11" s="1500"/>
      <c r="Q11" s="1500"/>
      <c r="R11" s="1673"/>
    </row>
    <row r="12" spans="2:19" ht="22.5" customHeight="1">
      <c r="B12" s="1100" t="s">
        <v>149</v>
      </c>
      <c r="C12" s="1101">
        <f>Forecast!E3</f>
        <v>43318</v>
      </c>
      <c r="N12" s="1673"/>
      <c r="O12" s="1500"/>
      <c r="P12" s="1500"/>
      <c r="Q12" s="1500"/>
      <c r="R12" s="1673"/>
      <c r="S12" s="1497"/>
    </row>
    <row r="13" spans="2:19" ht="24" customHeight="1">
      <c r="B13" s="1102" t="s">
        <v>52</v>
      </c>
      <c r="C13" s="1103" t="s">
        <v>327</v>
      </c>
      <c r="D13" s="1103" t="s">
        <v>105</v>
      </c>
      <c r="E13" s="1104" t="s">
        <v>802</v>
      </c>
      <c r="F13" s="1105" t="s">
        <v>398</v>
      </c>
      <c r="G13" s="1106" t="s">
        <v>295</v>
      </c>
      <c r="N13" s="1674"/>
      <c r="O13" s="1501"/>
      <c r="P13" s="1501"/>
      <c r="Q13" s="1501"/>
      <c r="R13" s="1676"/>
    </row>
    <row r="14" spans="2:19" ht="19.5" customHeight="1">
      <c r="B14" s="1107"/>
      <c r="C14" s="1108" t="s">
        <v>36</v>
      </c>
      <c r="D14" s="1109" t="s">
        <v>36</v>
      </c>
      <c r="E14" s="1109" t="s">
        <v>36</v>
      </c>
      <c r="F14" s="1107"/>
      <c r="G14" s="1110"/>
      <c r="N14" s="1675"/>
      <c r="O14" s="1501"/>
      <c r="P14" s="1501"/>
      <c r="Q14" s="1501"/>
      <c r="R14" s="1677"/>
    </row>
    <row r="15" spans="2:19" ht="22.5" customHeight="1">
      <c r="B15" s="1111" t="s">
        <v>10</v>
      </c>
      <c r="C15" s="1112">
        <f>IF(E15=0,D15,Forecast!X192)</f>
        <v>4413.1282156555426</v>
      </c>
      <c r="D15" s="1113">
        <f>Forecast!W192</f>
        <v>4547.5118374999993</v>
      </c>
      <c r="E15" s="1114">
        <f>Forecast!Y192</f>
        <v>134.38362184445668</v>
      </c>
      <c r="F15" s="1115">
        <f>E15/C15</f>
        <v>3.0450876402759314E-2</v>
      </c>
      <c r="G15" s="1116"/>
      <c r="N15" s="1675"/>
      <c r="O15" s="1501"/>
      <c r="P15" s="1501"/>
      <c r="Q15" s="1501"/>
      <c r="R15" s="1678"/>
    </row>
    <row r="16" spans="2:19" ht="20.25" customHeight="1">
      <c r="B16" s="1117" t="s">
        <v>16</v>
      </c>
      <c r="C16" s="1112">
        <f>IF(E16=0,D16,Forecast!X193)</f>
        <v>1220.8808187264863</v>
      </c>
      <c r="D16" s="1113">
        <f>Forecast!W193</f>
        <v>1287.698316</v>
      </c>
      <c r="E16" s="1114">
        <f>Forecast!Y193</f>
        <v>66.817497273513709</v>
      </c>
      <c r="F16" s="1115">
        <f t="shared" ref="F16:F23" si="0">E16/C16</f>
        <v>5.4728927057115823E-2</v>
      </c>
      <c r="G16" s="1118"/>
      <c r="N16" s="1675"/>
      <c r="O16" s="1501"/>
      <c r="P16" s="1501"/>
      <c r="Q16" s="1501"/>
      <c r="R16" s="1678"/>
    </row>
    <row r="17" spans="2:18" ht="21.75" customHeight="1">
      <c r="B17" s="1117" t="s">
        <v>331</v>
      </c>
      <c r="C17" s="1112">
        <f>IF(E17=0,D17,Forecast!X194)</f>
        <v>1604.8075936225819</v>
      </c>
      <c r="D17" s="1113">
        <f>Forecast!W194</f>
        <v>1699.9188135000002</v>
      </c>
      <c r="E17" s="1114">
        <f>Forecast!Y194</f>
        <v>95.111219877418307</v>
      </c>
      <c r="F17" s="1115">
        <f t="shared" si="0"/>
        <v>5.9266431848518868E-2</v>
      </c>
      <c r="G17" s="1118"/>
      <c r="N17" s="1675"/>
      <c r="O17" s="1501"/>
      <c r="P17" s="1501"/>
      <c r="Q17" s="1501"/>
      <c r="R17" s="1678"/>
    </row>
    <row r="18" spans="2:18" ht="21.75" customHeight="1">
      <c r="B18" s="1117" t="s">
        <v>55</v>
      </c>
      <c r="C18" s="1112">
        <f>IF(E18=0,D18,Forecast!X195)</f>
        <v>1415.8099737607954</v>
      </c>
      <c r="D18" s="1113">
        <f>Forecast!W195</f>
        <v>1508.8578845</v>
      </c>
      <c r="E18" s="1114">
        <f>Forecast!Y195</f>
        <v>93.047910739204553</v>
      </c>
      <c r="F18" s="1115">
        <f t="shared" si="0"/>
        <v>6.5720621032243992E-2</v>
      </c>
      <c r="G18" s="1118"/>
      <c r="N18" s="1675"/>
      <c r="O18" s="1501"/>
      <c r="P18" s="1501"/>
      <c r="Q18" s="1501"/>
      <c r="R18" s="1678"/>
    </row>
    <row r="19" spans="2:18" ht="19.5" customHeight="1">
      <c r="B19" s="1119" t="s">
        <v>9</v>
      </c>
      <c r="C19" s="1112">
        <f>IF(E19=0,D19,Forecast!X196)</f>
        <v>1208.8658478128209</v>
      </c>
      <c r="D19" s="1113">
        <f>Forecast!W196</f>
        <v>1283.7724065</v>
      </c>
      <c r="E19" s="1114">
        <f>Forecast!Y196</f>
        <v>74.906558687179086</v>
      </c>
      <c r="F19" s="1115">
        <f t="shared" si="0"/>
        <v>6.1964326995179959E-2</v>
      </c>
      <c r="G19" s="1118"/>
      <c r="N19" s="1675"/>
      <c r="O19" s="1501"/>
      <c r="P19" s="1501"/>
      <c r="Q19" s="1501"/>
      <c r="R19" s="1678"/>
    </row>
    <row r="20" spans="2:18" ht="20.25" customHeight="1">
      <c r="B20" s="1119" t="s">
        <v>343</v>
      </c>
      <c r="C20" s="1112">
        <f>IF(E20=0,D20,Forecast!X197)</f>
        <v>993.59395033565227</v>
      </c>
      <c r="D20" s="1113">
        <f>Forecast!W197</f>
        <v>1061.3042014999999</v>
      </c>
      <c r="E20" s="1114">
        <f>Forecast!Y197</f>
        <v>67.710251164347596</v>
      </c>
      <c r="F20" s="1115">
        <f t="shared" si="0"/>
        <v>6.8146802968631168E-2</v>
      </c>
      <c r="G20" s="1118"/>
      <c r="N20" s="1675"/>
      <c r="O20" s="1501"/>
      <c r="P20" s="1501"/>
      <c r="Q20" s="1501"/>
      <c r="R20" s="1679"/>
    </row>
    <row r="21" spans="2:18" ht="21.75" customHeight="1">
      <c r="B21" s="1119" t="s">
        <v>4</v>
      </c>
      <c r="C21" s="1112">
        <f>IF(E21=0,D21,Forecast!X198)</f>
        <v>449.04866661022891</v>
      </c>
      <c r="D21" s="1113">
        <f>Forecast!W198</f>
        <v>473.72641300000004</v>
      </c>
      <c r="E21" s="1114">
        <f>Forecast!Y198</f>
        <v>24.67774638977113</v>
      </c>
      <c r="F21" s="1115">
        <f t="shared" si="0"/>
        <v>5.4955616673039227E-2</v>
      </c>
      <c r="G21" s="1118"/>
      <c r="N21" s="1498"/>
      <c r="O21" s="1499"/>
      <c r="P21" s="1499"/>
      <c r="Q21" s="1499"/>
      <c r="R21" s="1499"/>
    </row>
    <row r="22" spans="2:18" ht="27" customHeight="1">
      <c r="B22" s="1119" t="s">
        <v>56</v>
      </c>
      <c r="C22" s="1112">
        <f>IF(E22=0,D22,Forecast!X199)</f>
        <v>386.04776750000002</v>
      </c>
      <c r="D22" s="1113">
        <f>Forecast!W199</f>
        <v>386.04776750000002</v>
      </c>
      <c r="E22" s="1114">
        <f>Forecast!Y199</f>
        <v>0</v>
      </c>
      <c r="F22" s="1115">
        <f t="shared" si="0"/>
        <v>0</v>
      </c>
      <c r="G22" s="1118"/>
      <c r="N22" s="1672"/>
      <c r="R22" s="1672"/>
    </row>
    <row r="23" spans="2:18" ht="27" customHeight="1">
      <c r="B23" s="1120" t="s">
        <v>6</v>
      </c>
      <c r="C23" s="1112">
        <f>IF(E23=0,D23,Forecast!X200)</f>
        <v>784.56147927735742</v>
      </c>
      <c r="D23" s="1113">
        <f>Forecast!W200</f>
        <v>837.52736000000004</v>
      </c>
      <c r="E23" s="1114">
        <f>Forecast!Y200</f>
        <v>52.965880722642623</v>
      </c>
      <c r="F23" s="1121">
        <f t="shared" si="0"/>
        <v>6.7510172397742943E-2</v>
      </c>
      <c r="G23" s="1122"/>
      <c r="P23" s="1496"/>
    </row>
    <row r="24" spans="2:18" ht="23.25" customHeight="1">
      <c r="B24" s="1123" t="s">
        <v>12</v>
      </c>
      <c r="C24" s="1124">
        <f>SUM(C15:C23)</f>
        <v>12476.744313301466</v>
      </c>
      <c r="D24" s="1124">
        <f>SUM(D15:D23)</f>
        <v>13086.365</v>
      </c>
      <c r="E24" s="1124">
        <f>SUM(E15:E23)</f>
        <v>609.62068669853375</v>
      </c>
      <c r="F24" s="1125"/>
      <c r="G24" s="1126"/>
    </row>
  </sheetData>
  <customSheetViews>
    <customSheetView guid="{751D391F-C74F-4B53-B5B5-25E01AC12EA4}">
      <selection sqref="A1:N50"/>
      <pageMargins left="0.62" right="0.42" top="1" bottom="1" header="0.5" footer="0.5"/>
      <pageSetup orientation="portrait" r:id="rId1"/>
      <headerFooter alignWithMargins="0"/>
    </customSheetView>
    <customSheetView guid="{5A803268-F6C5-4035-B3E1-A94CB9AA8994}" showPageBreaks="1" printArea="1" topLeftCell="A13">
      <selection sqref="A1:N50"/>
      <pageMargins left="0.62" right="0.42" top="1" bottom="1" header="0.5" footer="0.5"/>
      <pageSetup orientation="portrait" r:id="rId2"/>
      <headerFooter alignWithMargins="0"/>
    </customSheetView>
    <customSheetView guid="{917057C8-5E5F-4164-B84C-85103677A2E5}">
      <selection activeCell="J29" sqref="J29"/>
      <pageMargins left="0.62" right="0.42" top="1" bottom="1" header="0.5" footer="0.5"/>
      <pageSetup orientation="portrait" r:id="rId3"/>
      <headerFooter alignWithMargins="0"/>
    </customSheetView>
    <customSheetView guid="{4593F3EE-0998-4E0E-994A-E02D6BAF3A4B}" showPageBreaks="1" printArea="1">
      <selection sqref="A1:N50"/>
      <pageMargins left="0.62" right="0.42" top="1" bottom="1" header="0.5" footer="0.5"/>
      <pageSetup orientation="portrait" r:id="rId4"/>
      <headerFooter alignWithMargins="0"/>
    </customSheetView>
    <customSheetView guid="{23F4DC00-BC97-4745-AA5C-F05D469CB1EF}" showPageBreaks="1" printArea="1">
      <selection activeCell="F36" sqref="F36"/>
      <pageMargins left="0.62" right="0.42" top="1" bottom="1" header="0.5" footer="0.5"/>
      <pageSetup orientation="portrait" r:id="rId5"/>
      <headerFooter alignWithMargins="0"/>
    </customSheetView>
    <customSheetView guid="{B91C2E87-5EDA-40AE-AC27-0E2C17E803CE}" showPageBreaks="1" printArea="1">
      <selection sqref="A1:N50"/>
      <pageMargins left="0.62" right="0.42" top="1" bottom="1" header="0.5" footer="0.5"/>
      <pageSetup orientation="portrait" r:id="rId6"/>
      <headerFooter alignWithMargins="0"/>
    </customSheetView>
    <customSheetView guid="{7C71EF2A-5ADA-494C-8F58-DDA71753DD90}" showPageBreaks="1">
      <selection activeCell="B32" sqref="B32"/>
      <pageMargins left="0.62" right="0.42" top="1" bottom="1" header="0.5" footer="0.5"/>
      <pageSetup orientation="portrait" r:id="rId7"/>
      <headerFooter alignWithMargins="0"/>
    </customSheetView>
    <customSheetView guid="{4DB6C640-CE65-4513-9E5A-F6CDD1F4B8AF}">
      <selection sqref="A1:N50"/>
      <pageMargins left="0.62" right="0.42" top="1" bottom="1" header="0.5" footer="0.5"/>
      <pageSetup orientation="portrait" r:id="rId8"/>
      <headerFooter alignWithMargins="0"/>
    </customSheetView>
    <customSheetView guid="{D1D1E152-95AB-45D3-AC07-4EC0834D3E0C}">
      <selection activeCell="N25" sqref="N25"/>
      <pageMargins left="0.62" right="0.42" top="1" bottom="1" header="0.5" footer="0.5"/>
      <pageSetup orientation="portrait" r:id="rId9"/>
      <headerFooter alignWithMargins="0"/>
    </customSheetView>
    <customSheetView guid="{C3348F62-02F2-4500-9BF2-19F2DEA57A8D}" showPageBreaks="1">
      <selection sqref="A1:N50"/>
      <pageMargins left="0.62" right="0.42" top="1" bottom="1" header="0.5" footer="0.5"/>
      <pageSetup orientation="portrait" r:id="rId10"/>
      <headerFooter alignWithMargins="0"/>
    </customSheetView>
  </customSheetViews>
  <pageMargins left="0.62" right="0.42" top="1" bottom="1" header="0.5" footer="0.5"/>
  <pageSetup orientation="portrait" r:id="rId1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00B050"/>
    <pageSetUpPr fitToPage="1"/>
  </sheetPr>
  <dimension ref="A1:AA115"/>
  <sheetViews>
    <sheetView zoomScale="70" zoomScaleNormal="8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C28" sqref="C28:M28"/>
    </sheetView>
  </sheetViews>
  <sheetFormatPr defaultColWidth="9.140625" defaultRowHeight="18.75"/>
  <cols>
    <col min="1" max="1" width="3.85546875" style="96" customWidth="1"/>
    <col min="2" max="2" width="12" style="96" customWidth="1"/>
    <col min="3" max="3" width="22" style="96" customWidth="1"/>
    <col min="4" max="4" width="18.28515625" style="96" customWidth="1"/>
    <col min="5" max="5" width="14.85546875" style="96" customWidth="1"/>
    <col min="6" max="6" width="16.42578125" style="96" customWidth="1"/>
    <col min="7" max="7" width="14.28515625" style="96" customWidth="1"/>
    <col min="8" max="8" width="14.140625" style="96" customWidth="1"/>
    <col min="9" max="9" width="16.28515625" style="96" customWidth="1"/>
    <col min="10" max="10" width="14.28515625" style="96" customWidth="1"/>
    <col min="11" max="11" width="14.5703125" style="96" customWidth="1"/>
    <col min="12" max="12" width="22.7109375" style="96" customWidth="1"/>
    <col min="13" max="13" width="21.28515625" style="96" customWidth="1"/>
    <col min="14" max="14" width="21.28515625" style="101" customWidth="1"/>
    <col min="15" max="15" width="17.7109375" style="96" customWidth="1"/>
    <col min="16" max="16" width="14.42578125" style="96" customWidth="1"/>
    <col min="17" max="17" width="14" style="96" customWidth="1"/>
    <col min="18" max="18" width="13.42578125" style="96" customWidth="1"/>
    <col min="19" max="19" width="17.5703125" style="96" bestFit="1" customWidth="1"/>
    <col min="20" max="20" width="11.28515625" style="96" bestFit="1" customWidth="1"/>
    <col min="21" max="16384" width="9.140625" style="96"/>
  </cols>
  <sheetData>
    <row r="1" spans="1:27" ht="19.5" thickBot="1">
      <c r="A1" s="92"/>
      <c r="B1" s="93"/>
      <c r="C1" s="93"/>
      <c r="D1" s="93"/>
      <c r="E1" s="93" t="s">
        <v>18</v>
      </c>
      <c r="F1" s="93"/>
      <c r="G1" s="93"/>
      <c r="H1" s="93"/>
      <c r="I1" s="93"/>
      <c r="J1" s="93"/>
      <c r="K1" s="93"/>
      <c r="L1" s="94"/>
      <c r="M1" s="94"/>
      <c r="N1" s="879"/>
      <c r="Q1" s="184"/>
    </row>
    <row r="2" spans="1:27" ht="30" customHeight="1" thickBot="1">
      <c r="A2" s="92"/>
      <c r="B2" s="127" t="s">
        <v>19</v>
      </c>
      <c r="C2" s="5511">
        <f>Generation!B1</f>
        <v>43318</v>
      </c>
      <c r="D2" s="5512"/>
      <c r="E2" s="5513"/>
      <c r="F2" s="97" t="s">
        <v>18</v>
      </c>
      <c r="G2" s="97"/>
      <c r="H2" s="97"/>
      <c r="I2" s="97"/>
      <c r="J2" s="544"/>
      <c r="K2" s="97"/>
      <c r="L2" s="94"/>
      <c r="M2" s="94"/>
      <c r="N2" s="879"/>
      <c r="O2" s="952" t="s">
        <v>107</v>
      </c>
      <c r="Q2" s="5514"/>
      <c r="R2" s="5514"/>
    </row>
    <row r="3" spans="1:27" ht="18" customHeight="1" thickBot="1">
      <c r="A3" s="92"/>
      <c r="B3" s="98"/>
      <c r="C3" s="97"/>
      <c r="D3" s="97"/>
      <c r="E3" s="97"/>
      <c r="F3" s="97"/>
      <c r="G3" s="97"/>
      <c r="H3" s="97"/>
      <c r="I3" s="97"/>
      <c r="J3" s="97"/>
      <c r="K3" s="97"/>
      <c r="L3" s="94"/>
      <c r="M3" s="94"/>
      <c r="N3" s="879"/>
      <c r="O3" s="953" t="s">
        <v>108</v>
      </c>
      <c r="Q3" s="5514"/>
      <c r="R3" s="5514"/>
    </row>
    <row r="4" spans="1:27" s="91" customFormat="1" ht="26.25" customHeight="1" thickBot="1">
      <c r="A4" s="99"/>
      <c r="B4" s="5515" t="s">
        <v>20</v>
      </c>
      <c r="C4" s="1057"/>
      <c r="D4" s="1056"/>
      <c r="E4" s="1056"/>
      <c r="F4" s="1056"/>
      <c r="G4" s="1056" t="s">
        <v>14</v>
      </c>
      <c r="H4" s="1056"/>
      <c r="I4" s="1056"/>
      <c r="J4" s="1056"/>
      <c r="K4" s="1056"/>
      <c r="L4" s="1058"/>
      <c r="M4" s="5517" t="s">
        <v>26</v>
      </c>
      <c r="N4" s="880"/>
      <c r="O4" s="100"/>
    </row>
    <row r="5" spans="1:27" s="167" customFormat="1" ht="32.25" customHeight="1" thickBot="1">
      <c r="A5" s="166"/>
      <c r="B5" s="5516"/>
      <c r="C5" s="1014" t="s">
        <v>27</v>
      </c>
      <c r="D5" s="805" t="s">
        <v>21</v>
      </c>
      <c r="E5" s="805" t="s">
        <v>22</v>
      </c>
      <c r="F5" s="804" t="s">
        <v>23</v>
      </c>
      <c r="G5" s="804" t="s">
        <v>45</v>
      </c>
      <c r="H5" s="804" t="s">
        <v>174</v>
      </c>
      <c r="I5" s="804" t="s">
        <v>109</v>
      </c>
      <c r="J5" s="806" t="s">
        <v>129</v>
      </c>
      <c r="K5" s="806" t="s">
        <v>130</v>
      </c>
      <c r="L5" s="1015" t="s">
        <v>12</v>
      </c>
      <c r="M5" s="5518"/>
      <c r="N5" s="880"/>
      <c r="O5" s="883" t="s">
        <v>12</v>
      </c>
      <c r="P5" s="801" t="s">
        <v>3</v>
      </c>
      <c r="Q5" s="802" t="s">
        <v>127</v>
      </c>
      <c r="R5" s="803" t="s">
        <v>174</v>
      </c>
    </row>
    <row r="6" spans="1:27" ht="32.25" customHeight="1">
      <c r="A6" s="92"/>
      <c r="B6" s="998">
        <v>4.1666666666666602E-2</v>
      </c>
      <c r="C6" s="1016">
        <v>5402</v>
      </c>
      <c r="D6" s="992">
        <v>2729</v>
      </c>
      <c r="E6" s="992">
        <v>431</v>
      </c>
      <c r="F6" s="993">
        <v>3160</v>
      </c>
      <c r="G6" s="993">
        <v>1270</v>
      </c>
      <c r="H6" s="993">
        <v>0</v>
      </c>
      <c r="I6" s="993">
        <v>113</v>
      </c>
      <c r="J6" s="993">
        <v>172</v>
      </c>
      <c r="K6" s="994">
        <v>914</v>
      </c>
      <c r="L6" s="1017">
        <v>11031</v>
      </c>
      <c r="M6" s="1010">
        <v>1538.1086749999995</v>
      </c>
      <c r="N6" s="881"/>
      <c r="O6" s="884">
        <v>251</v>
      </c>
      <c r="P6" s="797">
        <v>12700</v>
      </c>
      <c r="Q6" s="797">
        <v>251</v>
      </c>
      <c r="R6" s="798"/>
      <c r="S6" s="91"/>
    </row>
    <row r="7" spans="1:27" ht="32.25" customHeight="1">
      <c r="A7" s="92"/>
      <c r="B7" s="999">
        <v>8.3333333333333301E-2</v>
      </c>
      <c r="C7" s="1016">
        <v>5299</v>
      </c>
      <c r="D7" s="995">
        <v>2552</v>
      </c>
      <c r="E7" s="995">
        <v>437</v>
      </c>
      <c r="F7" s="996">
        <v>2989</v>
      </c>
      <c r="G7" s="996">
        <v>1290</v>
      </c>
      <c r="H7" s="993">
        <v>0</v>
      </c>
      <c r="I7" s="996">
        <v>113</v>
      </c>
      <c r="J7" s="996">
        <v>172</v>
      </c>
      <c r="K7" s="997">
        <v>914</v>
      </c>
      <c r="L7" s="1017">
        <v>10777</v>
      </c>
      <c r="M7" s="1011">
        <v>1680.0312249999988</v>
      </c>
      <c r="N7" s="881"/>
      <c r="O7" s="884">
        <v>203</v>
      </c>
      <c r="P7" s="797">
        <v>12600</v>
      </c>
      <c r="Q7" s="797">
        <v>203</v>
      </c>
      <c r="R7" s="798"/>
      <c r="S7" s="91"/>
    </row>
    <row r="8" spans="1:27" ht="32.25" customHeight="1">
      <c r="A8" s="92"/>
      <c r="B8" s="999">
        <v>0.125</v>
      </c>
      <c r="C8" s="1016">
        <v>5305</v>
      </c>
      <c r="D8" s="995">
        <v>2553</v>
      </c>
      <c r="E8" s="995">
        <v>441</v>
      </c>
      <c r="F8" s="996">
        <v>2994</v>
      </c>
      <c r="G8" s="996">
        <v>1280</v>
      </c>
      <c r="H8" s="993">
        <v>0</v>
      </c>
      <c r="I8" s="996">
        <v>113</v>
      </c>
      <c r="J8" s="996">
        <v>170</v>
      </c>
      <c r="K8" s="997">
        <v>913</v>
      </c>
      <c r="L8" s="1017">
        <v>10775</v>
      </c>
      <c r="M8" s="1011">
        <v>1589.7168750000001</v>
      </c>
      <c r="N8" s="881"/>
      <c r="O8" s="884">
        <v>208</v>
      </c>
      <c r="P8" s="797">
        <v>12500</v>
      </c>
      <c r="Q8" s="797">
        <v>208</v>
      </c>
      <c r="R8" s="798"/>
      <c r="S8" s="91"/>
    </row>
    <row r="9" spans="1:27" ht="32.25" customHeight="1">
      <c r="A9" s="92"/>
      <c r="B9" s="999">
        <v>0.16666666666666699</v>
      </c>
      <c r="C9" s="1016">
        <v>5291</v>
      </c>
      <c r="D9" s="995">
        <v>2509</v>
      </c>
      <c r="E9" s="995">
        <v>441</v>
      </c>
      <c r="F9" s="996">
        <v>2950</v>
      </c>
      <c r="G9" s="996">
        <v>1280</v>
      </c>
      <c r="H9" s="993">
        <v>0</v>
      </c>
      <c r="I9" s="996">
        <v>113</v>
      </c>
      <c r="J9" s="996">
        <v>168</v>
      </c>
      <c r="K9" s="997">
        <v>913</v>
      </c>
      <c r="L9" s="1017">
        <v>10715</v>
      </c>
      <c r="M9" s="1011">
        <v>1552.8538749999989</v>
      </c>
      <c r="N9" s="881"/>
      <c r="O9" s="884">
        <v>212</v>
      </c>
      <c r="P9" s="797">
        <v>12400</v>
      </c>
      <c r="Q9" s="797">
        <v>212</v>
      </c>
      <c r="R9" s="798"/>
      <c r="S9" s="91"/>
    </row>
    <row r="10" spans="1:27" ht="32.25" customHeight="1">
      <c r="A10" s="92"/>
      <c r="B10" s="1000">
        <v>0.20833333333333401</v>
      </c>
      <c r="C10" s="1016">
        <v>5338</v>
      </c>
      <c r="D10" s="995">
        <v>2505</v>
      </c>
      <c r="E10" s="995">
        <v>441</v>
      </c>
      <c r="F10" s="996">
        <v>2946</v>
      </c>
      <c r="G10" s="996">
        <v>1270</v>
      </c>
      <c r="H10" s="993">
        <v>0</v>
      </c>
      <c r="I10" s="996">
        <v>114</v>
      </c>
      <c r="J10" s="996">
        <v>164</v>
      </c>
      <c r="K10" s="997">
        <v>914</v>
      </c>
      <c r="L10" s="1017">
        <v>10746</v>
      </c>
      <c r="M10" s="1011">
        <v>1247.8125500000006</v>
      </c>
      <c r="N10" s="881"/>
      <c r="O10" s="884">
        <v>250</v>
      </c>
      <c r="P10" s="797">
        <v>12100</v>
      </c>
      <c r="Q10" s="797">
        <v>250</v>
      </c>
      <c r="R10" s="798"/>
      <c r="S10" s="91"/>
    </row>
    <row r="11" spans="1:27" ht="32.25" customHeight="1">
      <c r="A11" s="92"/>
      <c r="B11" s="1000">
        <v>0.25</v>
      </c>
      <c r="C11" s="1016">
        <v>5282</v>
      </c>
      <c r="D11" s="995">
        <v>2270</v>
      </c>
      <c r="E11" s="995">
        <v>439</v>
      </c>
      <c r="F11" s="996">
        <v>2709</v>
      </c>
      <c r="G11" s="996">
        <v>1240</v>
      </c>
      <c r="H11" s="993">
        <v>11</v>
      </c>
      <c r="I11" s="996">
        <v>114</v>
      </c>
      <c r="J11" s="996">
        <v>150</v>
      </c>
      <c r="K11" s="997">
        <v>914</v>
      </c>
      <c r="L11" s="1017">
        <v>10420</v>
      </c>
      <c r="M11" s="1011">
        <v>1087.4585000000006</v>
      </c>
      <c r="N11" s="881"/>
      <c r="O11" s="884">
        <v>250</v>
      </c>
      <c r="P11" s="797">
        <v>11600</v>
      </c>
      <c r="Q11" s="797">
        <v>250</v>
      </c>
      <c r="R11" s="798"/>
      <c r="S11" s="91"/>
    </row>
    <row r="12" spans="1:27" ht="32.25" customHeight="1">
      <c r="A12" s="92"/>
      <c r="B12" s="1000">
        <v>0.29166666666666669</v>
      </c>
      <c r="C12" s="1016">
        <v>5321</v>
      </c>
      <c r="D12" s="995">
        <v>2253</v>
      </c>
      <c r="E12" s="995">
        <v>439</v>
      </c>
      <c r="F12" s="996">
        <v>2692</v>
      </c>
      <c r="G12" s="996">
        <v>1230</v>
      </c>
      <c r="H12" s="993">
        <v>42</v>
      </c>
      <c r="I12" s="996">
        <v>112</v>
      </c>
      <c r="J12" s="996">
        <v>140</v>
      </c>
      <c r="K12" s="997">
        <v>913</v>
      </c>
      <c r="L12" s="1017">
        <v>10450</v>
      </c>
      <c r="M12" s="1011">
        <v>967.65374999999949</v>
      </c>
      <c r="N12" s="881"/>
      <c r="O12" s="884">
        <v>242</v>
      </c>
      <c r="P12" s="797">
        <v>11500</v>
      </c>
      <c r="Q12" s="797">
        <v>242</v>
      </c>
      <c r="R12" s="798"/>
      <c r="S12" s="91"/>
    </row>
    <row r="13" spans="1:27" ht="32.25" customHeight="1">
      <c r="A13" s="92"/>
      <c r="B13" s="1001">
        <v>0.33333333333333331</v>
      </c>
      <c r="C13" s="1018">
        <v>5137</v>
      </c>
      <c r="D13" s="1002">
        <v>2244</v>
      </c>
      <c r="E13" s="1002">
        <v>438</v>
      </c>
      <c r="F13" s="1003">
        <v>2682</v>
      </c>
      <c r="G13" s="1003">
        <v>1180</v>
      </c>
      <c r="H13" s="993">
        <v>115</v>
      </c>
      <c r="I13" s="1003">
        <v>114</v>
      </c>
      <c r="J13" s="1003">
        <v>148</v>
      </c>
      <c r="K13" s="1004">
        <v>914</v>
      </c>
      <c r="L13" s="1017">
        <v>10290</v>
      </c>
      <c r="M13" s="1012">
        <v>1299.4207499999993</v>
      </c>
      <c r="N13" s="881"/>
      <c r="O13" s="884">
        <v>242</v>
      </c>
      <c r="P13" s="797"/>
      <c r="Q13" s="797">
        <v>242</v>
      </c>
      <c r="R13" s="798"/>
      <c r="S13" s="91"/>
      <c r="V13" s="5027">
        <v>0.75</v>
      </c>
      <c r="W13" s="96">
        <v>11406</v>
      </c>
      <c r="X13" s="96">
        <v>13255</v>
      </c>
      <c r="Y13" s="96">
        <v>1471.7335499999995</v>
      </c>
      <c r="AA13" s="96">
        <v>110</v>
      </c>
    </row>
    <row r="14" spans="1:27" ht="32.25" customHeight="1">
      <c r="A14" s="92"/>
      <c r="B14" s="1001">
        <v>0.375</v>
      </c>
      <c r="C14" s="1018">
        <v>5099</v>
      </c>
      <c r="D14" s="1002">
        <v>2168</v>
      </c>
      <c r="E14" s="1002">
        <v>434</v>
      </c>
      <c r="F14" s="1003">
        <v>2602</v>
      </c>
      <c r="G14" s="1003">
        <v>1140</v>
      </c>
      <c r="H14" s="993">
        <v>133</v>
      </c>
      <c r="I14" s="1003">
        <v>111</v>
      </c>
      <c r="J14" s="1003">
        <v>150</v>
      </c>
      <c r="K14" s="1004">
        <v>914</v>
      </c>
      <c r="L14" s="1017">
        <v>10149</v>
      </c>
      <c r="M14" s="1012">
        <v>1613.6778250000007</v>
      </c>
      <c r="N14" s="881"/>
      <c r="O14" s="884">
        <v>219</v>
      </c>
      <c r="P14" s="797"/>
      <c r="Q14" s="797">
        <v>219</v>
      </c>
      <c r="R14" s="798"/>
      <c r="S14" s="91"/>
      <c r="V14" s="5027">
        <v>0.79166666666666696</v>
      </c>
      <c r="W14" s="96">
        <v>12173</v>
      </c>
      <c r="X14" s="96">
        <v>14065.12</v>
      </c>
      <c r="Y14" s="96">
        <v>1495.6395551999999</v>
      </c>
      <c r="AA14" s="96">
        <v>762</v>
      </c>
    </row>
    <row r="15" spans="1:27" ht="32.25" customHeight="1">
      <c r="A15" s="92"/>
      <c r="B15" s="1001">
        <v>0.41666666666666669</v>
      </c>
      <c r="C15" s="1018">
        <v>4976</v>
      </c>
      <c r="D15" s="1002">
        <v>2100</v>
      </c>
      <c r="E15" s="1002">
        <v>428</v>
      </c>
      <c r="F15" s="1003">
        <v>2528</v>
      </c>
      <c r="G15" s="1003">
        <v>1129</v>
      </c>
      <c r="H15" s="993">
        <v>155</v>
      </c>
      <c r="I15" s="1003">
        <v>113</v>
      </c>
      <c r="J15" s="1003">
        <v>140</v>
      </c>
      <c r="K15" s="1004">
        <v>914</v>
      </c>
      <c r="L15" s="1017">
        <v>9955</v>
      </c>
      <c r="M15" s="1012">
        <v>1976.7783749999999</v>
      </c>
      <c r="N15" s="881"/>
      <c r="O15" s="884">
        <v>203</v>
      </c>
      <c r="P15" s="797"/>
      <c r="Q15" s="797">
        <v>203</v>
      </c>
      <c r="R15" s="798"/>
      <c r="S15" s="91"/>
      <c r="V15" s="5027">
        <v>0.8125</v>
      </c>
      <c r="W15" s="96">
        <v>12509</v>
      </c>
      <c r="X15" s="96">
        <v>14136.48</v>
      </c>
      <c r="Y15" s="96">
        <v>1244.0711807999987</v>
      </c>
      <c r="AA15" s="96">
        <v>729</v>
      </c>
    </row>
    <row r="16" spans="1:27" ht="32.25" customHeight="1">
      <c r="A16" s="92"/>
      <c r="B16" s="1001">
        <v>0.45833333333333331</v>
      </c>
      <c r="C16" s="1018">
        <v>5050</v>
      </c>
      <c r="D16" s="1002">
        <v>2108</v>
      </c>
      <c r="E16" s="1002">
        <v>427</v>
      </c>
      <c r="F16" s="1003">
        <v>2535</v>
      </c>
      <c r="G16" s="1003">
        <v>1130</v>
      </c>
      <c r="H16" s="993">
        <v>197</v>
      </c>
      <c r="I16" s="1003">
        <v>114</v>
      </c>
      <c r="J16" s="1003">
        <v>162</v>
      </c>
      <c r="K16" s="1004">
        <v>914</v>
      </c>
      <c r="L16" s="1017">
        <v>10102</v>
      </c>
      <c r="M16" s="1012">
        <v>2025.6218499999995</v>
      </c>
      <c r="N16" s="881"/>
      <c r="O16" s="884">
        <v>233</v>
      </c>
      <c r="P16" s="797"/>
      <c r="Q16" s="797">
        <v>233</v>
      </c>
      <c r="R16" s="798"/>
      <c r="S16" s="91"/>
      <c r="V16" s="5027">
        <v>0.83333333333333304</v>
      </c>
      <c r="W16" s="96">
        <v>12480</v>
      </c>
      <c r="X16" s="96">
        <v>14097.52</v>
      </c>
      <c r="Y16" s="96">
        <v>1235.4689592000002</v>
      </c>
      <c r="AA16" s="96">
        <v>1124</v>
      </c>
    </row>
    <row r="17" spans="1:27" ht="32.25" customHeight="1">
      <c r="A17" s="92"/>
      <c r="B17" s="1001">
        <v>0.5</v>
      </c>
      <c r="C17" s="1018">
        <v>4969</v>
      </c>
      <c r="D17" s="1002">
        <v>2092</v>
      </c>
      <c r="E17" s="1002">
        <v>427</v>
      </c>
      <c r="F17" s="1003">
        <v>2519</v>
      </c>
      <c r="G17" s="1003">
        <v>1019</v>
      </c>
      <c r="H17" s="993">
        <v>212</v>
      </c>
      <c r="I17" s="1003">
        <v>114</v>
      </c>
      <c r="J17" s="1003">
        <v>164</v>
      </c>
      <c r="K17" s="1004">
        <v>914</v>
      </c>
      <c r="L17" s="1017">
        <v>9911</v>
      </c>
      <c r="M17" s="1012">
        <v>2293.8001750000003</v>
      </c>
      <c r="N17" s="881"/>
      <c r="O17" s="884">
        <v>233</v>
      </c>
      <c r="P17" s="797"/>
      <c r="Q17" s="797">
        <v>233</v>
      </c>
      <c r="R17" s="798"/>
      <c r="S17" s="91"/>
      <c r="V17" s="5027">
        <v>0.875</v>
      </c>
      <c r="W17" s="96">
        <v>12784</v>
      </c>
      <c r="X17" s="96">
        <v>14218.89</v>
      </c>
      <c r="Y17" s="96">
        <v>1060.3603268999991</v>
      </c>
      <c r="AA17" s="96">
        <v>936</v>
      </c>
    </row>
    <row r="18" spans="1:27" ht="32.25" customHeight="1">
      <c r="A18" s="173"/>
      <c r="B18" s="1001">
        <v>0.54166666666666896</v>
      </c>
      <c r="C18" s="1018">
        <v>5031</v>
      </c>
      <c r="D18" s="1002">
        <v>2334</v>
      </c>
      <c r="E18" s="1002">
        <v>400</v>
      </c>
      <c r="F18" s="1003">
        <v>2734</v>
      </c>
      <c r="G18" s="1003">
        <v>1020</v>
      </c>
      <c r="H18" s="993">
        <v>195</v>
      </c>
      <c r="I18" s="1003">
        <v>115</v>
      </c>
      <c r="J18" s="1003">
        <v>168</v>
      </c>
      <c r="K18" s="1004">
        <v>913</v>
      </c>
      <c r="L18" s="1017">
        <v>10176</v>
      </c>
      <c r="M18" s="1012">
        <v>1957.425299999999</v>
      </c>
      <c r="N18" s="881"/>
      <c r="O18" s="884">
        <v>238</v>
      </c>
      <c r="P18" s="797"/>
      <c r="Q18" s="797">
        <v>238</v>
      </c>
      <c r="R18" s="798"/>
      <c r="S18" s="91"/>
      <c r="V18" s="5027">
        <v>0.91666666666666696</v>
      </c>
      <c r="W18" s="96">
        <v>12792</v>
      </c>
      <c r="X18" s="96">
        <v>14037.6</v>
      </c>
      <c r="Y18" s="96">
        <v>885.25029600000062</v>
      </c>
      <c r="AA18" s="96">
        <v>929</v>
      </c>
    </row>
    <row r="19" spans="1:27" ht="32.25" customHeight="1">
      <c r="A19" s="92"/>
      <c r="B19" s="1000">
        <v>0.58333333333333337</v>
      </c>
      <c r="C19" s="1016">
        <v>5059</v>
      </c>
      <c r="D19" s="995">
        <v>2627</v>
      </c>
      <c r="E19" s="995">
        <v>370</v>
      </c>
      <c r="F19" s="996">
        <v>2997</v>
      </c>
      <c r="G19" s="996">
        <v>900</v>
      </c>
      <c r="H19" s="993">
        <v>193</v>
      </c>
      <c r="I19" s="996">
        <v>115</v>
      </c>
      <c r="J19" s="996">
        <v>170</v>
      </c>
      <c r="K19" s="997">
        <v>907</v>
      </c>
      <c r="L19" s="1017">
        <v>10341</v>
      </c>
      <c r="M19" s="1011">
        <v>1898</v>
      </c>
      <c r="N19" s="881"/>
      <c r="O19" s="884">
        <v>249</v>
      </c>
      <c r="P19" s="797"/>
      <c r="Q19" s="797">
        <v>249</v>
      </c>
      <c r="R19" s="798"/>
      <c r="S19" s="91"/>
      <c r="V19" s="5027">
        <v>0.95833333333333304</v>
      </c>
      <c r="W19" s="96">
        <v>12690</v>
      </c>
      <c r="X19" s="96">
        <v>13963.59</v>
      </c>
      <c r="Y19" s="96">
        <v>913.23951389999911</v>
      </c>
      <c r="AA19" s="96">
        <v>839</v>
      </c>
    </row>
    <row r="20" spans="1:27" ht="32.25" customHeight="1">
      <c r="A20" s="92"/>
      <c r="B20" s="1000">
        <v>0.625000000000003</v>
      </c>
      <c r="C20" s="1016">
        <v>5077</v>
      </c>
      <c r="D20" s="995">
        <v>2716</v>
      </c>
      <c r="E20" s="995">
        <v>451</v>
      </c>
      <c r="F20" s="996">
        <v>3167</v>
      </c>
      <c r="G20" s="996">
        <v>850</v>
      </c>
      <c r="H20" s="993">
        <v>158</v>
      </c>
      <c r="I20" s="996">
        <v>115</v>
      </c>
      <c r="J20" s="996">
        <v>182</v>
      </c>
      <c r="K20" s="997">
        <v>907</v>
      </c>
      <c r="L20" s="1017">
        <v>10456</v>
      </c>
      <c r="M20" s="1011">
        <v>1884</v>
      </c>
      <c r="N20" s="881"/>
      <c r="O20" s="884">
        <v>249</v>
      </c>
      <c r="P20" s="797"/>
      <c r="Q20" s="797">
        <v>249</v>
      </c>
      <c r="R20" s="798"/>
      <c r="S20" s="91"/>
      <c r="V20" s="5027">
        <v>1</v>
      </c>
      <c r="W20" s="96">
        <v>11920</v>
      </c>
      <c r="X20" s="96">
        <v>12509</v>
      </c>
      <c r="Y20" s="96">
        <v>296.54288999999966</v>
      </c>
      <c r="AA20" s="96">
        <v>1272</v>
      </c>
    </row>
    <row r="21" spans="1:27" ht="32.25" customHeight="1">
      <c r="A21" s="92"/>
      <c r="B21" s="1000">
        <v>0.66666666666666996</v>
      </c>
      <c r="C21" s="1016">
        <v>4927</v>
      </c>
      <c r="D21" s="995">
        <v>2653</v>
      </c>
      <c r="E21" s="995">
        <v>738</v>
      </c>
      <c r="F21" s="996">
        <v>3391</v>
      </c>
      <c r="G21" s="996">
        <v>820</v>
      </c>
      <c r="H21" s="993">
        <v>117</v>
      </c>
      <c r="I21" s="996">
        <v>116</v>
      </c>
      <c r="J21" s="996">
        <v>164</v>
      </c>
      <c r="K21" s="997">
        <v>907</v>
      </c>
      <c r="L21" s="1017">
        <v>10442</v>
      </c>
      <c r="M21" s="1011">
        <v>1804</v>
      </c>
      <c r="N21" s="881"/>
      <c r="O21" s="884">
        <v>256</v>
      </c>
      <c r="P21" s="797"/>
      <c r="Q21" s="797">
        <v>256</v>
      </c>
      <c r="R21" s="798"/>
      <c r="S21" s="91"/>
    </row>
    <row r="22" spans="1:27" ht="35.25" customHeight="1">
      <c r="A22" s="92"/>
      <c r="B22" s="1000">
        <v>0.70833333333333337</v>
      </c>
      <c r="C22" s="1016">
        <v>4975</v>
      </c>
      <c r="D22" s="995">
        <v>2903</v>
      </c>
      <c r="E22" s="995">
        <v>900</v>
      </c>
      <c r="F22" s="996">
        <v>3803</v>
      </c>
      <c r="G22" s="996">
        <v>801</v>
      </c>
      <c r="H22" s="993">
        <v>41</v>
      </c>
      <c r="I22" s="996">
        <v>118</v>
      </c>
      <c r="J22" s="996">
        <v>160</v>
      </c>
      <c r="K22" s="997">
        <v>907</v>
      </c>
      <c r="L22" s="1017">
        <v>10805</v>
      </c>
      <c r="M22" s="1011">
        <v>1286</v>
      </c>
      <c r="N22" s="881"/>
      <c r="O22" s="884">
        <v>257</v>
      </c>
      <c r="P22" s="797"/>
      <c r="Q22" s="797">
        <v>257</v>
      </c>
      <c r="R22" s="798"/>
      <c r="S22" s="91"/>
    </row>
    <row r="23" spans="1:27" ht="25.5" customHeight="1">
      <c r="A23" s="92"/>
      <c r="B23" s="1000">
        <v>0.75</v>
      </c>
      <c r="C23" s="1016">
        <v>4987</v>
      </c>
      <c r="D23" s="995">
        <v>3337</v>
      </c>
      <c r="E23" s="995">
        <v>849</v>
      </c>
      <c r="F23" s="996">
        <v>4186</v>
      </c>
      <c r="G23" s="996">
        <v>809</v>
      </c>
      <c r="H23" s="993">
        <v>16</v>
      </c>
      <c r="I23" s="996">
        <v>118</v>
      </c>
      <c r="J23" s="996">
        <v>158</v>
      </c>
      <c r="K23" s="997">
        <v>906</v>
      </c>
      <c r="L23" s="1017">
        <v>11180</v>
      </c>
      <c r="M23" s="1011">
        <v>755.69150000000081</v>
      </c>
      <c r="N23" s="881"/>
      <c r="O23" s="884">
        <v>275</v>
      </c>
      <c r="P23" s="797"/>
      <c r="Q23" s="797">
        <v>275</v>
      </c>
      <c r="R23" s="798"/>
      <c r="S23" s="91"/>
    </row>
    <row r="24" spans="1:27" ht="0.75" customHeight="1">
      <c r="A24" s="92"/>
      <c r="B24" s="1000">
        <v>0.77083333333333337</v>
      </c>
      <c r="C24" s="1016">
        <v>0</v>
      </c>
      <c r="D24" s="995">
        <v>0</v>
      </c>
      <c r="E24" s="995">
        <v>0</v>
      </c>
      <c r="F24" s="996">
        <v>0</v>
      </c>
      <c r="G24" s="996">
        <v>0</v>
      </c>
      <c r="H24" s="993">
        <v>0</v>
      </c>
      <c r="I24" s="996">
        <v>0</v>
      </c>
      <c r="J24" s="996">
        <v>0</v>
      </c>
      <c r="K24" s="997">
        <v>0</v>
      </c>
      <c r="L24" s="1017">
        <v>0</v>
      </c>
      <c r="M24" s="1011">
        <v>904.06507500000225</v>
      </c>
      <c r="N24" s="881"/>
      <c r="O24" s="884">
        <v>0</v>
      </c>
      <c r="P24" s="797"/>
      <c r="Q24" s="797">
        <v>0</v>
      </c>
      <c r="R24" s="798"/>
      <c r="S24" s="91"/>
    </row>
    <row r="25" spans="1:27" ht="32.25" customHeight="1">
      <c r="A25" s="92"/>
      <c r="B25" s="1000">
        <v>0.79166666666666663</v>
      </c>
      <c r="C25" s="1016">
        <v>5068</v>
      </c>
      <c r="D25" s="995">
        <v>3661</v>
      </c>
      <c r="E25" s="995">
        <v>1197</v>
      </c>
      <c r="F25" s="996">
        <v>4858</v>
      </c>
      <c r="G25" s="996">
        <v>910</v>
      </c>
      <c r="H25" s="993">
        <v>0</v>
      </c>
      <c r="I25" s="996">
        <v>118</v>
      </c>
      <c r="J25" s="996">
        <v>158</v>
      </c>
      <c r="K25" s="997">
        <v>907</v>
      </c>
      <c r="L25" s="1017">
        <v>12019</v>
      </c>
      <c r="M25" s="1011">
        <v>1088</v>
      </c>
      <c r="N25" s="881"/>
      <c r="O25" s="884">
        <v>269</v>
      </c>
      <c r="P25" s="797"/>
      <c r="Q25" s="797">
        <v>269</v>
      </c>
      <c r="R25" s="798"/>
      <c r="S25" s="91"/>
    </row>
    <row r="26" spans="1:27" ht="32.25" customHeight="1">
      <c r="A26" s="92"/>
      <c r="B26" s="1000">
        <v>0.8125</v>
      </c>
      <c r="C26" s="1016">
        <v>5110</v>
      </c>
      <c r="D26" s="995">
        <v>4009</v>
      </c>
      <c r="E26" s="995">
        <v>1150</v>
      </c>
      <c r="F26" s="996">
        <v>5159</v>
      </c>
      <c r="G26" s="996">
        <v>1030</v>
      </c>
      <c r="H26" s="993">
        <v>0</v>
      </c>
      <c r="I26" s="996">
        <v>118</v>
      </c>
      <c r="J26" s="996">
        <v>160</v>
      </c>
      <c r="K26" s="997">
        <v>909</v>
      </c>
      <c r="L26" s="1017">
        <v>12486</v>
      </c>
      <c r="M26" s="1011"/>
      <c r="N26" s="881"/>
      <c r="O26" s="884">
        <v>275</v>
      </c>
      <c r="P26" s="797"/>
      <c r="Q26" s="797">
        <v>275</v>
      </c>
      <c r="R26" s="798"/>
      <c r="S26" s="91"/>
    </row>
    <row r="27" spans="1:27" ht="32.25" customHeight="1">
      <c r="A27" s="92"/>
      <c r="B27" s="1000">
        <v>0.83333333333333337</v>
      </c>
      <c r="C27" s="1016">
        <v>5204</v>
      </c>
      <c r="D27" s="995">
        <v>4103</v>
      </c>
      <c r="E27" s="995">
        <v>1155</v>
      </c>
      <c r="F27" s="996">
        <v>5258</v>
      </c>
      <c r="G27" s="996">
        <v>1041</v>
      </c>
      <c r="H27" s="993">
        <v>0</v>
      </c>
      <c r="I27" s="996">
        <v>118</v>
      </c>
      <c r="J27" s="996">
        <v>160</v>
      </c>
      <c r="K27" s="997">
        <v>909</v>
      </c>
      <c r="L27" s="1017">
        <v>12690</v>
      </c>
      <c r="M27" s="1011"/>
      <c r="N27" s="881"/>
      <c r="O27" s="884">
        <v>276</v>
      </c>
      <c r="P27" s="797"/>
      <c r="Q27" s="797">
        <v>276</v>
      </c>
      <c r="R27" s="798"/>
      <c r="S27" s="91"/>
    </row>
    <row r="28" spans="1:27" ht="32.25" customHeight="1" thickBot="1">
      <c r="A28" s="92"/>
      <c r="B28" s="1000">
        <v>0.875</v>
      </c>
      <c r="C28" s="1016">
        <v>5402</v>
      </c>
      <c r="D28" s="995">
        <v>4216</v>
      </c>
      <c r="E28" s="995">
        <v>1384</v>
      </c>
      <c r="F28" s="996">
        <v>5600</v>
      </c>
      <c r="G28" s="996">
        <v>1040</v>
      </c>
      <c r="H28" s="993">
        <v>0</v>
      </c>
      <c r="I28" s="996">
        <v>116</v>
      </c>
      <c r="J28" s="996">
        <v>160</v>
      </c>
      <c r="K28" s="997">
        <v>909</v>
      </c>
      <c r="L28" s="1017">
        <v>13227</v>
      </c>
      <c r="M28" s="1011"/>
      <c r="N28" s="1147">
        <f>MAX(L25:L28)</f>
        <v>13227</v>
      </c>
      <c r="O28" s="884">
        <v>296</v>
      </c>
      <c r="P28" s="797"/>
      <c r="Q28" s="797">
        <v>296</v>
      </c>
      <c r="R28" s="798"/>
      <c r="S28" s="91"/>
    </row>
    <row r="29" spans="1:27" ht="32.25" customHeight="1">
      <c r="A29" s="92"/>
      <c r="B29" s="1001">
        <v>0.91666666666666663</v>
      </c>
      <c r="C29" s="1018">
        <v>5489</v>
      </c>
      <c r="D29" s="1002">
        <v>4263</v>
      </c>
      <c r="E29" s="1002">
        <v>1236</v>
      </c>
      <c r="F29" s="1003">
        <v>5499</v>
      </c>
      <c r="G29" s="1003">
        <v>1040</v>
      </c>
      <c r="H29" s="993">
        <v>0</v>
      </c>
      <c r="I29" s="1003">
        <v>116</v>
      </c>
      <c r="J29" s="1003">
        <v>170</v>
      </c>
      <c r="K29" s="1004">
        <v>909</v>
      </c>
      <c r="L29" s="1017">
        <v>13223</v>
      </c>
      <c r="M29" s="1012"/>
      <c r="N29" s="881"/>
      <c r="O29" s="884">
        <v>283</v>
      </c>
      <c r="P29" s="797"/>
      <c r="Q29" s="797">
        <v>283</v>
      </c>
      <c r="R29" s="798"/>
      <c r="S29" s="91"/>
    </row>
    <row r="30" spans="1:27" ht="32.25" customHeight="1">
      <c r="A30" s="92"/>
      <c r="B30" s="1001">
        <v>0.95833333333333337</v>
      </c>
      <c r="C30" s="1018">
        <v>5500</v>
      </c>
      <c r="D30" s="1002">
        <v>3876</v>
      </c>
      <c r="E30" s="1002">
        <v>1391</v>
      </c>
      <c r="F30" s="1003">
        <v>5267</v>
      </c>
      <c r="G30" s="1003">
        <v>1040</v>
      </c>
      <c r="H30" s="993">
        <v>0</v>
      </c>
      <c r="I30" s="1003">
        <v>116</v>
      </c>
      <c r="J30" s="1003">
        <v>162</v>
      </c>
      <c r="K30" s="1004">
        <v>909</v>
      </c>
      <c r="L30" s="1017">
        <v>12994</v>
      </c>
      <c r="M30" s="1012"/>
      <c r="N30" s="881"/>
      <c r="O30" s="884">
        <v>299</v>
      </c>
      <c r="P30" s="797"/>
      <c r="Q30" s="797">
        <v>299</v>
      </c>
      <c r="R30" s="798"/>
      <c r="S30" s="91"/>
    </row>
    <row r="31" spans="1:27" ht="32.25" customHeight="1" thickBot="1">
      <c r="A31" s="92"/>
      <c r="B31" s="1005" t="s">
        <v>24</v>
      </c>
      <c r="C31" s="1019">
        <v>5496</v>
      </c>
      <c r="D31" s="1006">
        <v>3064</v>
      </c>
      <c r="E31" s="1006">
        <v>1372</v>
      </c>
      <c r="F31" s="1007">
        <v>4436</v>
      </c>
      <c r="G31" s="1007">
        <v>1040</v>
      </c>
      <c r="H31" s="993">
        <v>0</v>
      </c>
      <c r="I31" s="1007">
        <v>116</v>
      </c>
      <c r="J31" s="1007">
        <v>162</v>
      </c>
      <c r="K31" s="1008">
        <v>909</v>
      </c>
      <c r="L31" s="1017">
        <v>12159</v>
      </c>
      <c r="M31" s="1013"/>
      <c r="N31" s="881"/>
      <c r="O31" s="885">
        <v>299</v>
      </c>
      <c r="P31" s="797"/>
      <c r="Q31" s="799">
        <v>299</v>
      </c>
      <c r="R31" s="800"/>
      <c r="S31" s="91"/>
    </row>
    <row r="32" spans="1:27" s="133" customFormat="1" ht="31.5" customHeight="1" thickBot="1">
      <c r="B32" s="1009" t="s">
        <v>15</v>
      </c>
      <c r="C32" s="2886">
        <v>125596882</v>
      </c>
      <c r="D32" s="2887">
        <v>67950304</v>
      </c>
      <c r="E32" s="2888">
        <v>16406928</v>
      </c>
      <c r="F32" s="2887">
        <v>84357232</v>
      </c>
      <c r="G32" s="2887">
        <v>27822500</v>
      </c>
      <c r="H32" s="2887">
        <v>1561246</v>
      </c>
      <c r="I32" s="2887">
        <v>2796567</v>
      </c>
      <c r="J32" s="2887">
        <v>3880320</v>
      </c>
      <c r="K32" s="2887">
        <v>22024727</v>
      </c>
      <c r="L32" s="2889">
        <v>268039474</v>
      </c>
      <c r="M32" s="1020"/>
      <c r="N32" s="882"/>
      <c r="R32" s="165"/>
      <c r="S32" s="91"/>
    </row>
    <row r="33" spans="2:19" ht="27.75" customHeight="1">
      <c r="B33" s="101"/>
      <c r="C33" s="101"/>
      <c r="S33" s="91"/>
    </row>
    <row r="34" spans="2:19" ht="31.5">
      <c r="B34" s="1666" t="s">
        <v>879</v>
      </c>
      <c r="C34" s="1708" t="s">
        <v>883</v>
      </c>
      <c r="D34" s="1709">
        <v>12893</v>
      </c>
      <c r="E34" s="1710">
        <v>0.875</v>
      </c>
      <c r="N34" s="3156"/>
      <c r="S34" s="91"/>
    </row>
    <row r="35" spans="2:19">
      <c r="B35" s="101"/>
      <c r="C35" s="1326"/>
      <c r="D35" s="1326"/>
      <c r="E35" s="1326"/>
      <c r="F35" s="1326"/>
      <c r="G35" s="1326"/>
      <c r="H35" s="1326"/>
      <c r="I35" s="1326"/>
      <c r="J35" s="1326"/>
      <c r="K35" s="1326"/>
      <c r="L35" s="1326"/>
      <c r="O35" s="135"/>
      <c r="S35" s="91"/>
    </row>
    <row r="36" spans="2:19">
      <c r="C36" s="929"/>
      <c r="F36" s="102"/>
    </row>
    <row r="42" spans="2:19">
      <c r="H42" s="1534"/>
      <c r="I42" s="1534"/>
      <c r="J42" s="1534"/>
      <c r="K42" s="1534"/>
      <c r="L42" s="1534"/>
    </row>
    <row r="43" spans="2:19" ht="23.25">
      <c r="H43" s="1534"/>
      <c r="I43" s="963"/>
      <c r="J43" s="1534"/>
      <c r="K43" s="1535"/>
      <c r="L43" s="1534"/>
    </row>
    <row r="44" spans="2:19" ht="23.25">
      <c r="H44" s="1534"/>
      <c r="I44" s="963"/>
      <c r="J44" s="1534"/>
      <c r="K44" s="1535"/>
      <c r="L44" s="1534"/>
    </row>
    <row r="45" spans="2:19" ht="23.25">
      <c r="H45" s="1534"/>
      <c r="I45" s="963"/>
      <c r="J45" s="1534"/>
      <c r="K45" s="1535"/>
      <c r="L45" s="1534"/>
    </row>
    <row r="46" spans="2:19" ht="23.25">
      <c r="H46" s="1534"/>
      <c r="I46" s="963"/>
      <c r="J46" s="1534"/>
      <c r="K46" s="1535"/>
      <c r="L46" s="1534"/>
    </row>
    <row r="47" spans="2:19" ht="23.25">
      <c r="H47" s="1534"/>
      <c r="I47" s="963"/>
      <c r="J47" s="1534"/>
      <c r="K47" s="1535"/>
      <c r="L47" s="1534"/>
    </row>
    <row r="48" spans="2:19" ht="23.25">
      <c r="H48" s="1534"/>
      <c r="I48" s="963"/>
      <c r="J48" s="1534"/>
      <c r="K48" s="1535"/>
      <c r="L48" s="1534"/>
    </row>
    <row r="49" spans="8:12" ht="23.25">
      <c r="H49" s="1534"/>
      <c r="I49" s="963"/>
      <c r="J49" s="1534"/>
      <c r="K49" s="1535"/>
      <c r="L49" s="1534"/>
    </row>
    <row r="50" spans="8:12" ht="23.25">
      <c r="H50" s="1534"/>
      <c r="I50" s="963"/>
      <c r="J50" s="1534"/>
      <c r="K50" s="1535"/>
      <c r="L50" s="1534"/>
    </row>
    <row r="51" spans="8:12" ht="23.25">
      <c r="H51" s="1534"/>
      <c r="I51" s="963"/>
      <c r="J51" s="1534"/>
      <c r="K51" s="1535"/>
      <c r="L51" s="1534"/>
    </row>
    <row r="52" spans="8:12" ht="23.25">
      <c r="H52" s="1534"/>
      <c r="I52" s="963"/>
      <c r="J52" s="1534"/>
      <c r="K52" s="1535"/>
      <c r="L52" s="1534"/>
    </row>
    <row r="53" spans="8:12" ht="23.25">
      <c r="H53" s="1534"/>
      <c r="I53" s="963"/>
      <c r="J53" s="1534"/>
      <c r="K53" s="1535"/>
      <c r="L53" s="1534"/>
    </row>
    <row r="54" spans="8:12" ht="23.25">
      <c r="H54" s="1534"/>
      <c r="I54" s="963"/>
      <c r="J54" s="1534"/>
      <c r="K54" s="1535"/>
      <c r="L54" s="1534"/>
    </row>
    <row r="55" spans="8:12" ht="23.25">
      <c r="H55" s="1534"/>
      <c r="I55" s="963"/>
      <c r="J55" s="1534"/>
      <c r="K55" s="1535"/>
      <c r="L55" s="1534"/>
    </row>
    <row r="56" spans="8:12" ht="23.25">
      <c r="H56" s="1534"/>
      <c r="I56" s="963"/>
      <c r="J56" s="1534"/>
      <c r="K56" s="1535"/>
      <c r="L56" s="1534"/>
    </row>
    <row r="57" spans="8:12" ht="23.25">
      <c r="H57" s="1534"/>
      <c r="I57" s="963"/>
      <c r="J57" s="1534"/>
      <c r="K57" s="1535"/>
      <c r="L57" s="1534"/>
    </row>
    <row r="58" spans="8:12" ht="23.25">
      <c r="H58" s="1534"/>
      <c r="I58" s="963"/>
      <c r="J58" s="1534"/>
      <c r="K58" s="1535"/>
      <c r="L58" s="1534"/>
    </row>
    <row r="59" spans="8:12" ht="23.25">
      <c r="H59" s="1534"/>
      <c r="I59" s="963"/>
      <c r="J59" s="1534"/>
      <c r="K59" s="1535"/>
      <c r="L59" s="1534"/>
    </row>
    <row r="60" spans="8:12" ht="23.25">
      <c r="H60" s="1534"/>
      <c r="I60" s="963"/>
      <c r="J60" s="1534"/>
      <c r="K60" s="1535"/>
      <c r="L60" s="1534"/>
    </row>
    <row r="61" spans="8:12" ht="23.25">
      <c r="H61" s="1534"/>
      <c r="I61" s="963"/>
      <c r="J61" s="1534"/>
      <c r="K61" s="1535"/>
      <c r="L61" s="1534"/>
    </row>
    <row r="62" spans="8:12" ht="23.25">
      <c r="H62" s="1534"/>
      <c r="I62" s="963"/>
      <c r="J62" s="1534"/>
      <c r="K62" s="1535"/>
      <c r="L62" s="1534"/>
    </row>
    <row r="63" spans="8:12" ht="23.25">
      <c r="H63" s="1534"/>
      <c r="I63" s="963"/>
      <c r="J63" s="1534"/>
      <c r="K63" s="1535"/>
      <c r="L63" s="1534"/>
    </row>
    <row r="64" spans="8:12" ht="23.25">
      <c r="H64" s="1534"/>
      <c r="I64" s="963"/>
      <c r="J64" s="1534"/>
      <c r="K64" s="1535"/>
      <c r="L64" s="1534"/>
    </row>
    <row r="65" spans="1:12" ht="23.25">
      <c r="H65" s="1534"/>
      <c r="I65" s="963"/>
      <c r="J65" s="1534"/>
      <c r="K65" s="1535"/>
      <c r="L65" s="1534"/>
    </row>
    <row r="66" spans="1:12" ht="23.25">
      <c r="H66" s="1534"/>
      <c r="I66" s="963"/>
      <c r="J66" s="1534"/>
      <c r="K66" s="1535"/>
      <c r="L66" s="1534"/>
    </row>
    <row r="67" spans="1:12" ht="23.25">
      <c r="H67" s="1534"/>
      <c r="I67" s="963"/>
      <c r="J67" s="1534"/>
      <c r="K67" s="1535"/>
      <c r="L67" s="1534"/>
    </row>
    <row r="68" spans="1:12" ht="23.25">
      <c r="A68" s="139"/>
      <c r="H68" s="1534"/>
      <c r="I68" s="963"/>
      <c r="J68" s="1534"/>
      <c r="K68" s="1535"/>
      <c r="L68" s="1534"/>
    </row>
    <row r="73" spans="1:12">
      <c r="A73" s="139"/>
    </row>
    <row r="75" spans="1:12">
      <c r="A75" s="139"/>
    </row>
    <row r="87" spans="1:10">
      <c r="A87" s="168"/>
      <c r="B87" s="168"/>
      <c r="C87" s="168"/>
      <c r="D87" s="168"/>
      <c r="E87" s="168"/>
      <c r="F87" s="168"/>
      <c r="G87" s="168"/>
      <c r="H87" s="168"/>
      <c r="I87" s="168"/>
      <c r="J87" s="168"/>
    </row>
    <row r="88" spans="1:10">
      <c r="A88" s="168"/>
      <c r="B88" s="168"/>
      <c r="C88" s="168"/>
      <c r="D88" s="168"/>
      <c r="E88" s="168"/>
      <c r="F88" s="168"/>
      <c r="G88" s="168"/>
      <c r="H88" s="168"/>
      <c r="I88" s="168"/>
      <c r="J88" s="168"/>
    </row>
    <row r="89" spans="1:10">
      <c r="A89" s="168"/>
      <c r="B89" s="168"/>
      <c r="C89" s="168"/>
      <c r="D89" s="168"/>
      <c r="E89" s="168"/>
      <c r="F89" s="168"/>
      <c r="G89" s="168"/>
      <c r="H89" s="168"/>
      <c r="I89" s="168"/>
      <c r="J89" s="168"/>
    </row>
    <row r="90" spans="1:10">
      <c r="A90" s="169"/>
      <c r="B90" s="168"/>
      <c r="C90" s="168"/>
      <c r="D90" s="168"/>
      <c r="E90" s="168"/>
      <c r="F90" s="168"/>
      <c r="G90" s="168"/>
      <c r="H90" s="168"/>
      <c r="I90" s="168"/>
      <c r="J90" s="168"/>
    </row>
    <row r="91" spans="1:10">
      <c r="A91" s="170"/>
      <c r="B91" s="168"/>
      <c r="C91" s="168"/>
      <c r="D91" s="168"/>
      <c r="E91" s="168"/>
      <c r="F91" s="168"/>
      <c r="G91" s="168"/>
      <c r="H91" s="168"/>
      <c r="I91" s="168"/>
      <c r="J91" s="168"/>
    </row>
    <row r="92" spans="1:10">
      <c r="A92" s="171"/>
      <c r="B92" s="168"/>
      <c r="C92" s="168"/>
      <c r="D92" s="168"/>
      <c r="E92" s="168"/>
      <c r="F92" s="168"/>
      <c r="G92" s="168"/>
      <c r="H92" s="168"/>
      <c r="I92" s="168"/>
      <c r="J92" s="168"/>
    </row>
    <row r="93" spans="1:10">
      <c r="A93" s="168"/>
      <c r="B93" s="168"/>
      <c r="C93" s="168"/>
      <c r="D93" s="168"/>
      <c r="E93" s="168"/>
      <c r="F93" s="168"/>
      <c r="G93" s="168"/>
      <c r="H93" s="168"/>
      <c r="I93" s="168"/>
      <c r="J93" s="168"/>
    </row>
    <row r="94" spans="1:10">
      <c r="A94" s="168"/>
      <c r="B94" s="168"/>
      <c r="C94" s="168"/>
      <c r="D94" s="168"/>
      <c r="E94" s="168"/>
      <c r="F94" s="168"/>
      <c r="G94" s="168"/>
      <c r="H94" s="168"/>
      <c r="I94" s="168"/>
      <c r="J94" s="168"/>
    </row>
    <row r="95" spans="1:10">
      <c r="A95" s="168"/>
      <c r="B95" s="168"/>
      <c r="C95" s="168"/>
      <c r="D95" s="168"/>
      <c r="E95" s="168"/>
      <c r="F95" s="168"/>
      <c r="G95" s="168"/>
      <c r="H95" s="168"/>
      <c r="I95" s="168"/>
      <c r="J95" s="168"/>
    </row>
    <row r="96" spans="1:10">
      <c r="A96" s="168"/>
      <c r="B96" s="168"/>
      <c r="C96" s="168"/>
      <c r="D96" s="168"/>
      <c r="E96" s="168"/>
      <c r="F96" s="168"/>
      <c r="G96" s="168"/>
      <c r="H96" s="168"/>
      <c r="I96" s="168"/>
      <c r="J96" s="168"/>
    </row>
    <row r="97" spans="1:10">
      <c r="A97" s="168"/>
      <c r="B97" s="168"/>
      <c r="C97" s="168"/>
      <c r="D97" s="168"/>
      <c r="E97" s="168"/>
      <c r="F97" s="168"/>
      <c r="G97" s="168"/>
      <c r="H97" s="168"/>
      <c r="I97" s="168"/>
      <c r="J97" s="168"/>
    </row>
    <row r="98" spans="1:10">
      <c r="A98" s="168"/>
      <c r="B98" s="168"/>
      <c r="C98" s="168"/>
      <c r="D98" s="168"/>
      <c r="E98" s="168"/>
      <c r="F98" s="168"/>
      <c r="G98" s="168"/>
      <c r="H98" s="168"/>
      <c r="I98" s="168"/>
      <c r="J98" s="168"/>
    </row>
    <row r="99" spans="1:10">
      <c r="A99" s="168"/>
      <c r="B99" s="168"/>
      <c r="C99" s="168"/>
      <c r="D99" s="168"/>
      <c r="E99" s="168"/>
      <c r="F99" s="168"/>
      <c r="G99" s="168"/>
      <c r="H99" s="168"/>
      <c r="I99" s="168"/>
      <c r="J99" s="168"/>
    </row>
    <row r="100" spans="1:10">
      <c r="A100" s="168"/>
      <c r="B100" s="168"/>
      <c r="C100" s="168"/>
      <c r="D100" s="168"/>
      <c r="E100" s="168"/>
      <c r="F100" s="168"/>
      <c r="G100" s="168"/>
      <c r="H100" s="168"/>
      <c r="I100" s="168"/>
      <c r="J100" s="168"/>
    </row>
    <row r="101" spans="1:10">
      <c r="A101" s="168"/>
      <c r="B101" s="168"/>
      <c r="C101" s="168"/>
      <c r="D101" s="168"/>
      <c r="E101" s="168"/>
      <c r="F101" s="168"/>
      <c r="G101" s="168"/>
      <c r="H101" s="168"/>
      <c r="I101" s="168"/>
      <c r="J101" s="168"/>
    </row>
    <row r="102" spans="1:10">
      <c r="A102" s="168"/>
      <c r="B102" s="168"/>
      <c r="C102" s="168"/>
      <c r="D102" s="168"/>
      <c r="E102" s="168"/>
      <c r="F102" s="168"/>
      <c r="G102" s="168"/>
      <c r="H102" s="168"/>
      <c r="I102" s="168"/>
      <c r="J102" s="168"/>
    </row>
    <row r="103" spans="1:10">
      <c r="A103" s="168"/>
      <c r="B103" s="168"/>
      <c r="C103" s="168"/>
      <c r="D103" s="168"/>
      <c r="E103" s="168"/>
      <c r="F103" s="168"/>
      <c r="G103" s="168"/>
      <c r="H103" s="168"/>
      <c r="I103" s="168"/>
      <c r="J103" s="168"/>
    </row>
    <row r="104" spans="1:10">
      <c r="A104" s="168"/>
      <c r="B104" s="168"/>
      <c r="C104" s="168"/>
      <c r="D104" s="168"/>
      <c r="E104" s="168"/>
      <c r="F104" s="168"/>
      <c r="G104" s="168"/>
      <c r="H104" s="168"/>
      <c r="I104" s="168"/>
      <c r="J104" s="168"/>
    </row>
    <row r="105" spans="1:10">
      <c r="A105" s="168"/>
      <c r="B105" s="168"/>
      <c r="C105" s="168"/>
      <c r="D105" s="168"/>
      <c r="E105" s="168"/>
      <c r="F105" s="168"/>
      <c r="G105" s="168"/>
      <c r="H105" s="168"/>
      <c r="I105" s="168"/>
      <c r="J105" s="168"/>
    </row>
    <row r="106" spans="1:10">
      <c r="A106" s="168"/>
      <c r="B106" s="168"/>
      <c r="C106" s="168"/>
      <c r="D106" s="168"/>
      <c r="E106" s="168"/>
      <c r="F106" s="168"/>
      <c r="G106" s="168"/>
      <c r="H106" s="168"/>
      <c r="I106" s="168"/>
      <c r="J106" s="168"/>
    </row>
    <row r="107" spans="1:10">
      <c r="A107" s="168"/>
      <c r="B107" s="168"/>
      <c r="C107" s="168"/>
      <c r="D107" s="168"/>
      <c r="E107" s="168"/>
      <c r="F107" s="168"/>
      <c r="G107" s="168"/>
      <c r="H107" s="168"/>
      <c r="I107" s="168"/>
      <c r="J107" s="168"/>
    </row>
    <row r="108" spans="1:10">
      <c r="A108" s="168"/>
      <c r="B108" s="168"/>
      <c r="C108" s="168"/>
      <c r="D108" s="168"/>
      <c r="E108" s="168"/>
      <c r="F108" s="168"/>
      <c r="G108" s="168"/>
      <c r="H108" s="168"/>
      <c r="I108" s="168"/>
      <c r="J108" s="168"/>
    </row>
    <row r="109" spans="1:10">
      <c r="A109" s="168"/>
      <c r="B109" s="168"/>
      <c r="C109" s="168"/>
      <c r="D109" s="168"/>
      <c r="E109" s="168"/>
      <c r="F109" s="168"/>
      <c r="G109" s="168"/>
      <c r="H109" s="168"/>
      <c r="I109" s="168"/>
      <c r="J109" s="168"/>
    </row>
    <row r="110" spans="1:10">
      <c r="A110" s="168"/>
      <c r="B110" s="168"/>
      <c r="C110" s="168"/>
      <c r="D110" s="168"/>
      <c r="E110" s="168"/>
      <c r="F110" s="168"/>
      <c r="G110" s="168"/>
      <c r="H110" s="168"/>
      <c r="I110" s="168"/>
      <c r="J110" s="168"/>
    </row>
    <row r="111" spans="1:10">
      <c r="A111" s="168"/>
      <c r="B111" s="168"/>
      <c r="C111" s="168"/>
      <c r="D111" s="168"/>
      <c r="E111" s="168"/>
      <c r="F111" s="168"/>
      <c r="G111" s="168"/>
      <c r="H111" s="168"/>
      <c r="I111" s="168"/>
      <c r="J111" s="168"/>
    </row>
    <row r="112" spans="1:10">
      <c r="A112" s="168"/>
      <c r="B112" s="168"/>
      <c r="C112" s="168"/>
      <c r="D112" s="168"/>
      <c r="E112" s="168"/>
      <c r="F112" s="168"/>
      <c r="G112" s="168"/>
      <c r="H112" s="168"/>
      <c r="I112" s="168"/>
      <c r="J112" s="168"/>
    </row>
    <row r="113" spans="1:10">
      <c r="A113" s="168"/>
      <c r="B113" s="168"/>
      <c r="C113" s="168"/>
      <c r="D113" s="168"/>
      <c r="E113" s="168"/>
      <c r="F113" s="168"/>
      <c r="G113" s="168"/>
      <c r="H113" s="168"/>
      <c r="I113" s="168"/>
      <c r="J113" s="168"/>
    </row>
    <row r="114" spans="1:10">
      <c r="A114" s="168"/>
      <c r="B114" s="168"/>
      <c r="C114" s="168"/>
      <c r="D114" s="168"/>
      <c r="E114" s="168"/>
      <c r="F114" s="168"/>
      <c r="G114" s="168"/>
      <c r="H114" s="168"/>
      <c r="I114" s="168"/>
      <c r="J114" s="168"/>
    </row>
    <row r="115" spans="1:10">
      <c r="A115" s="168"/>
      <c r="B115" s="168"/>
      <c r="C115" s="168"/>
      <c r="D115" s="168"/>
      <c r="E115" s="168"/>
      <c r="F115" s="168"/>
      <c r="G115" s="168"/>
      <c r="H115" s="168"/>
      <c r="I115" s="168"/>
      <c r="J115" s="168"/>
    </row>
  </sheetData>
  <customSheetViews>
    <customSheetView guid="{751D391F-C74F-4B53-B5B5-25E01AC12EA4}" scale="85" showPageBreaks="1" printArea="1">
      <pane xSplit="1" ySplit="2" topLeftCell="B6" activePane="bottomRight" state="frozen"/>
      <selection pane="bottomRight" activeCell="O6" sqref="O6:R31"/>
      <pageMargins left="0.24" right="6.6666666666666697E-3" top="1" bottom="0.75" header="0.3" footer="0.3"/>
      <printOptions horizontalCentered="1"/>
      <pageSetup paperSize="9" scale="55" orientation="portrait" r:id="rId1"/>
    </customSheetView>
    <customSheetView guid="{5A803268-F6C5-4035-B3E1-A94CB9AA8994}" showPageBreaks="1" printArea="1" hiddenRows="1">
      <pane xSplit="1" ySplit="3" topLeftCell="B34" activePane="bottomRight" state="frozen"/>
      <selection pane="bottomRight" activeCell="J32" sqref="J32"/>
      <pageMargins left="0.24" right="6.6666666666666697E-3" top="1" bottom="0.75" header="0.3" footer="0.3"/>
      <printOptions horizontalCentered="1"/>
      <pageSetup paperSize="9" scale="65" orientation="portrait" r:id="rId2"/>
    </customSheetView>
    <customSheetView guid="{917057C8-5E5F-4164-B84C-85103677A2E5}" scale="85">
      <pane xSplit="1" ySplit="2" topLeftCell="B3" activePane="bottomRight" state="frozen"/>
      <selection pane="bottomRight" activeCell="O6" sqref="O6:R31"/>
      <pageMargins left="0.24" right="6.6666666666666697E-3" top="1" bottom="0.75" header="0.3" footer="0.3"/>
      <printOptions horizontalCentered="1"/>
      <pageSetup paperSize="9" scale="55" orientation="portrait" r:id="rId3"/>
    </customSheetView>
    <customSheetView guid="{4593F3EE-0998-4E0E-994A-E02D6BAF3A4B}" showPageBreaks="1" printArea="1" hiddenRows="1">
      <pane xSplit="1" ySplit="3" topLeftCell="B25" activePane="bottomRight" state="frozen"/>
      <selection pane="bottomRight" activeCell="L28" sqref="L28"/>
      <pageMargins left="0.24" right="6.6666666666666697E-3" top="1" bottom="0.75" header="0.3" footer="0.3"/>
      <printOptions horizontalCentered="1"/>
      <pageSetup paperSize="9" scale="55" orientation="portrait" r:id="rId4"/>
    </customSheetView>
    <customSheetView guid="{23F4DC00-BC97-4745-AA5C-F05D469CB1EF}" scale="70" showPageBreaks="1" printArea="1" hiddenRows="1">
      <pane xSplit="1" ySplit="3" topLeftCell="B4" activePane="bottomRight" state="frozen"/>
      <selection pane="bottomRight" activeCell="O6" sqref="O6:R31"/>
      <pageMargins left="0.75" right="6.6666666666666697E-3" top="1" bottom="0.75" header="0.3" footer="0.3"/>
      <printOptions horizontalCentered="1"/>
      <pageSetup paperSize="9" scale="50" orientation="portrait" r:id="rId5"/>
    </customSheetView>
    <customSheetView guid="{B91C2E87-5EDA-40AE-AC27-0E2C17E803CE}" showPageBreaks="1" printArea="1" hiddenRows="1">
      <pane xSplit="1" ySplit="2" topLeftCell="J21" activePane="bottomRight" state="frozen"/>
      <selection pane="bottomRight" activeCell="O31" sqref="O31"/>
      <pageMargins left="0.24" right="6.6666666666666697E-3" top="1" bottom="0.75" header="0.3" footer="0.3"/>
      <printOptions horizontalCentered="1"/>
      <pageSetup paperSize="9" scale="55" orientation="portrait" r:id="rId6"/>
    </customSheetView>
    <customSheetView guid="{7C71EF2A-5ADA-494C-8F58-DDA71753DD90}" scale="85" showPageBreaks="1" printArea="1">
      <pane xSplit="1" ySplit="2" topLeftCell="B3" activePane="bottomRight" state="frozen"/>
      <selection pane="bottomRight" activeCell="O6" sqref="O6:R31"/>
      <pageMargins left="0.24" right="6.6666666666666697E-3" top="1" bottom="0.75" header="0.3" footer="0.3"/>
      <printOptions horizontalCentered="1"/>
      <pageSetup paperSize="9" scale="55" orientation="portrait" r:id="rId7"/>
    </customSheetView>
    <customSheetView guid="{4DB6C640-CE65-4513-9E5A-F6CDD1F4B8AF}" scale="85" showPageBreaks="1">
      <pane xSplit="1" ySplit="2" topLeftCell="B12" activePane="bottomRight" state="frozen"/>
      <selection pane="bottomRight" activeCell="L30" sqref="L30"/>
      <pageMargins left="0.24" right="6.6666666666666697E-3" top="1" bottom="0.75" header="0.3" footer="0.3"/>
      <printOptions horizontalCentered="1"/>
      <pageSetup paperSize="9" scale="55" orientation="portrait" r:id="rId8"/>
    </customSheetView>
    <customSheetView guid="{D1D1E152-95AB-45D3-AC07-4EC0834D3E0C}" scale="85">
      <pane xSplit="2" ySplit="5" topLeftCell="C6" activePane="bottomRight" state="frozen"/>
      <selection pane="bottomRight" activeCell="L13" sqref="L13"/>
      <pageMargins left="0.24" right="6.6666666666666697E-3" top="1" bottom="0.75" header="0.3" footer="0.3"/>
      <printOptions horizontalCentered="1"/>
      <pageSetup paperSize="9" scale="55" orientation="portrait" r:id="rId9"/>
    </customSheetView>
    <customSheetView guid="{C3348F62-02F2-4500-9BF2-19F2DEA57A8D}" scale="70" showPageBreaks="1" fitToPage="1" printArea="1">
      <pane xSplit="1" ySplit="2" topLeftCell="B6" activePane="bottomRight" state="frozen"/>
      <selection pane="bottomRight" activeCell="C28" sqref="C28:M28"/>
      <pageMargins left="0.24" right="6.6666666666666697E-3" top="1" bottom="0.75" header="0.3" footer="0.3"/>
      <printOptions horizontalCentered="1"/>
      <pageSetup paperSize="9" scale="55" orientation="portrait" r:id="rId10"/>
    </customSheetView>
  </customSheetViews>
  <mergeCells count="5">
    <mergeCell ref="C2:E2"/>
    <mergeCell ref="Q2:R2"/>
    <mergeCell ref="Q3:R3"/>
    <mergeCell ref="B4:B5"/>
    <mergeCell ref="M4:M5"/>
  </mergeCells>
  <printOptions horizontalCentered="1"/>
  <pageMargins left="0.24" right="6.6666666666666697E-3" top="1" bottom="0.75" header="0.3" footer="0.3"/>
  <pageSetup paperSize="9" scale="55" orientation="portrait" r:id="rId1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3">
    <tabColor rgb="FFFF0000"/>
  </sheetPr>
  <dimension ref="A1:JR200"/>
  <sheetViews>
    <sheetView zoomScale="98" zoomScaleNormal="136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5" sqref="C5"/>
    </sheetView>
  </sheetViews>
  <sheetFormatPr defaultColWidth="9.140625" defaultRowHeight="33"/>
  <cols>
    <col min="1" max="1" width="30" style="138" customWidth="1"/>
    <col min="2" max="2" width="18.7109375" style="138" customWidth="1"/>
    <col min="3" max="3" width="17.28515625" style="138" customWidth="1"/>
    <col min="4" max="4" width="19.5703125" style="138" customWidth="1"/>
    <col min="5" max="5" width="18.5703125" style="138" customWidth="1"/>
    <col min="6" max="6" width="18" style="138" customWidth="1"/>
    <col min="7" max="7" width="17" style="138" customWidth="1"/>
    <col min="8" max="9" width="17.7109375" style="138" customWidth="1"/>
    <col min="10" max="10" width="19" style="138" customWidth="1"/>
    <col min="11" max="11" width="18.5703125" style="138" customWidth="1"/>
    <col min="12" max="12" width="17.7109375" style="138" customWidth="1"/>
    <col min="13" max="13" width="19.42578125" style="138" customWidth="1"/>
    <col min="14" max="14" width="19.7109375" style="138" customWidth="1"/>
    <col min="15" max="16" width="19.42578125" style="138" customWidth="1"/>
    <col min="17" max="17" width="18" style="138" customWidth="1"/>
    <col min="18" max="18" width="20.140625" style="138" customWidth="1"/>
    <col min="19" max="19" width="18.28515625" style="138" customWidth="1"/>
    <col min="20" max="20" width="20.140625" style="138" customWidth="1"/>
    <col min="21" max="21" width="19.140625" style="138" customWidth="1"/>
    <col min="22" max="22" width="19.85546875" style="138" customWidth="1"/>
    <col min="23" max="23" width="20.7109375" style="138" customWidth="1"/>
    <col min="24" max="24" width="19.85546875" style="138" customWidth="1"/>
    <col min="25" max="25" width="19.5703125" style="138" customWidth="1"/>
    <col min="26" max="26" width="18.42578125" style="138" customWidth="1"/>
    <col min="27" max="27" width="16.7109375" style="138" customWidth="1"/>
    <col min="28" max="28" width="18.140625" style="138" customWidth="1"/>
    <col min="29" max="29" width="17.140625" style="138" customWidth="1"/>
    <col min="30" max="30" width="19.28515625" style="138" customWidth="1"/>
    <col min="31" max="31" width="14.140625" style="138" customWidth="1"/>
    <col min="32" max="32" width="16.5703125" style="138" customWidth="1"/>
    <col min="33" max="34" width="13.7109375" style="138" customWidth="1"/>
    <col min="35" max="35" width="15.85546875" style="138" customWidth="1"/>
    <col min="36" max="36" width="19.7109375" style="138" customWidth="1"/>
    <col min="37" max="37" width="9.28515625" style="138" customWidth="1"/>
    <col min="38" max="38" width="16.28515625" style="138" customWidth="1"/>
    <col min="39" max="39" width="15.5703125" style="138" customWidth="1"/>
    <col min="40" max="40" width="18.7109375" style="138" customWidth="1"/>
    <col min="41" max="41" width="19.28515625" style="138" customWidth="1"/>
    <col min="42" max="42" width="17" style="138" customWidth="1"/>
    <col min="43" max="43" width="18.42578125" style="138" customWidth="1"/>
    <col min="44" max="44" width="20.28515625" style="138" customWidth="1"/>
    <col min="45" max="45" width="18.140625" style="138" customWidth="1"/>
    <col min="46" max="46" width="19.140625" style="138" customWidth="1"/>
    <col min="47" max="47" width="17.42578125" style="138" customWidth="1"/>
    <col min="48" max="48" width="18.28515625" style="138" customWidth="1"/>
    <col min="49" max="49" width="21.28515625" style="138" customWidth="1"/>
    <col min="50" max="50" width="18.85546875" style="138" customWidth="1"/>
    <col min="51" max="51" width="18.5703125" style="138" customWidth="1"/>
    <col min="52" max="52" width="20.140625" style="138" customWidth="1"/>
    <col min="53" max="53" width="18.5703125" style="138" customWidth="1"/>
    <col min="54" max="54" width="16" style="138" customWidth="1"/>
    <col min="55" max="55" width="18.85546875" style="138" customWidth="1"/>
    <col min="56" max="56" width="19.140625" style="138" customWidth="1"/>
    <col min="57" max="57" width="19" style="138" customWidth="1"/>
    <col min="58" max="58" width="17.140625" style="138" customWidth="1"/>
    <col min="59" max="59" width="16.85546875" style="138" customWidth="1"/>
    <col min="60" max="60" width="17.85546875" style="138" customWidth="1"/>
    <col min="61" max="61" width="20.5703125" style="138" customWidth="1"/>
    <col min="62" max="62" width="21.5703125" style="138" customWidth="1"/>
    <col min="63" max="63" width="16.85546875" style="138" customWidth="1"/>
    <col min="64" max="64" width="17.7109375" style="138" customWidth="1"/>
    <col min="65" max="65" width="14.7109375" style="138" customWidth="1"/>
    <col min="66" max="66" width="14.140625" style="138" customWidth="1"/>
    <col min="67" max="67" width="14.28515625" style="138" customWidth="1"/>
    <col min="68" max="68" width="18.5703125" style="138" customWidth="1"/>
    <col min="69" max="69" width="18.140625" style="138" customWidth="1"/>
    <col min="70" max="70" width="18.28515625" style="138" customWidth="1"/>
    <col min="71" max="71" width="16.42578125" style="138" customWidth="1"/>
    <col min="72" max="72" width="15.42578125" style="138" customWidth="1"/>
    <col min="73" max="73" width="16" style="138" customWidth="1"/>
    <col min="74" max="74" width="14.42578125" style="138" customWidth="1"/>
    <col min="75" max="75" width="21.140625" style="138" customWidth="1"/>
    <col min="76" max="76" width="16.85546875" style="138" customWidth="1"/>
    <col min="77" max="77" width="18.7109375" style="138" customWidth="1"/>
    <col min="78" max="78" width="15.42578125" style="138" customWidth="1"/>
    <col min="79" max="79" width="14.7109375" style="138" customWidth="1"/>
    <col min="80" max="80" width="18" style="138" customWidth="1"/>
    <col min="81" max="81" width="16.85546875" style="138" customWidth="1"/>
    <col min="82" max="82" width="17.7109375" style="138" customWidth="1"/>
    <col min="83" max="83" width="17" style="138" customWidth="1"/>
    <col min="84" max="84" width="17.140625" style="138" customWidth="1"/>
    <col min="85" max="85" width="17.5703125" style="138" customWidth="1"/>
    <col min="86" max="86" width="17.85546875" style="138" customWidth="1"/>
    <col min="87" max="87" width="19.140625" style="138" customWidth="1"/>
    <col min="88" max="89" width="17.140625" style="138" customWidth="1"/>
    <col min="90" max="90" width="14.140625" style="138" customWidth="1"/>
    <col min="91" max="91" width="16.42578125" style="138" customWidth="1"/>
    <col min="92" max="92" width="14.42578125" style="138" customWidth="1"/>
    <col min="93" max="93" width="17" style="138" customWidth="1"/>
    <col min="94" max="94" width="18" style="138" customWidth="1"/>
    <col min="95" max="95" width="17.42578125" style="138" customWidth="1"/>
    <col min="96" max="96" width="19.140625" style="138" customWidth="1"/>
    <col min="97" max="97" width="18.7109375" style="138" customWidth="1"/>
    <col min="98" max="98" width="17.42578125" style="138" customWidth="1"/>
    <col min="99" max="99" width="19.140625" style="138" customWidth="1"/>
    <col min="100" max="101" width="19" style="138" customWidth="1"/>
    <col min="102" max="102" width="21.42578125" style="138" customWidth="1"/>
    <col min="103" max="128" width="19" style="138" customWidth="1"/>
    <col min="129" max="129" width="18.7109375" style="138" customWidth="1"/>
    <col min="130" max="130" width="20.85546875" style="138" customWidth="1"/>
    <col min="131" max="131" width="16.7109375" style="138" customWidth="1"/>
    <col min="132" max="132" width="17.5703125" style="138" customWidth="1"/>
    <col min="133" max="133" width="18" style="138" customWidth="1"/>
    <col min="134" max="134" width="21" style="138" customWidth="1"/>
    <col min="135" max="135" width="18.7109375" style="126" customWidth="1"/>
    <col min="136" max="136" width="10" style="138" customWidth="1"/>
    <col min="137" max="137" width="19.140625" style="138" customWidth="1"/>
    <col min="138" max="138" width="18.42578125" style="138" customWidth="1"/>
    <col min="139" max="139" width="18.7109375" style="138" customWidth="1"/>
    <col min="140" max="140" width="17.140625" style="138" customWidth="1"/>
    <col min="141" max="141" width="16.7109375" style="138" customWidth="1"/>
    <col min="142" max="142" width="14.42578125" style="138" customWidth="1"/>
    <col min="143" max="143" width="19.7109375" style="138" customWidth="1"/>
    <col min="144" max="144" width="14.7109375" style="138" customWidth="1"/>
    <col min="145" max="145" width="15.5703125" style="138" customWidth="1"/>
    <col min="146" max="146" width="14.42578125" style="138" customWidth="1"/>
    <col min="147" max="147" width="19.140625" style="138" customWidth="1"/>
    <col min="148" max="148" width="17.85546875" style="138" customWidth="1"/>
    <col min="149" max="149" width="22.7109375" style="138" customWidth="1"/>
    <col min="150" max="150" width="19" style="138" customWidth="1"/>
    <col min="151" max="151" width="17" style="138" customWidth="1"/>
    <col min="152" max="152" width="17.85546875" style="138" customWidth="1"/>
    <col min="153" max="153" width="19.28515625" style="138" customWidth="1"/>
    <col min="154" max="154" width="16.7109375" style="138" customWidth="1"/>
    <col min="155" max="155" width="14.140625" style="138" customWidth="1"/>
    <col min="156" max="156" width="14.7109375" style="138" customWidth="1"/>
    <col min="157" max="157" width="17.85546875" style="138" customWidth="1"/>
    <col min="158" max="158" width="15.7109375" style="138" customWidth="1"/>
    <col min="159" max="159" width="21.140625" style="138" customWidth="1"/>
    <col min="160" max="160" width="21.85546875" style="138" customWidth="1"/>
    <col min="161" max="162" width="17.140625" style="138" customWidth="1"/>
    <col min="163" max="170" width="19.42578125" style="138" customWidth="1"/>
    <col min="171" max="173" width="20.42578125" style="138" customWidth="1"/>
    <col min="174" max="174" width="27.7109375" style="138" customWidth="1"/>
    <col min="175" max="188" width="20.42578125" style="138" customWidth="1"/>
    <col min="189" max="189" width="18.42578125" style="138" customWidth="1"/>
    <col min="190" max="190" width="17.28515625" style="138" customWidth="1"/>
    <col min="191" max="191" width="18" style="138" customWidth="1"/>
    <col min="192" max="192" width="23.140625" style="138" customWidth="1"/>
    <col min="193" max="193" width="17" style="138" customWidth="1"/>
    <col min="194" max="194" width="16.5703125" style="138" customWidth="1"/>
    <col min="195" max="195" width="16.85546875" style="138" customWidth="1"/>
    <col min="196" max="196" width="20" style="138" customWidth="1"/>
    <col min="197" max="197" width="19.5703125" style="138" customWidth="1"/>
    <col min="198" max="198" width="16.140625" style="138" customWidth="1"/>
    <col min="199" max="199" width="15.140625" style="138" customWidth="1"/>
    <col min="200" max="200" width="18.5703125" style="138" customWidth="1"/>
    <col min="201" max="201" width="16.7109375" style="138" customWidth="1"/>
    <col min="202" max="202" width="15.28515625" style="138" customWidth="1"/>
    <col min="203" max="203" width="16" style="138" bestFit="1" customWidth="1"/>
    <col min="204" max="204" width="14.85546875" style="138" customWidth="1"/>
    <col min="205" max="205" width="19.42578125" style="138" customWidth="1"/>
    <col min="206" max="206" width="21.140625" style="138" customWidth="1"/>
    <col min="207" max="16384" width="9.140625" style="138"/>
  </cols>
  <sheetData>
    <row r="1" spans="1:262" ht="23.25" customHeight="1" thickBot="1">
      <c r="B1" s="1458" t="s">
        <v>1789</v>
      </c>
      <c r="C1" s="1459"/>
      <c r="D1" s="1459"/>
      <c r="G1" s="134"/>
      <c r="DU1" s="134"/>
      <c r="DV1" s="134"/>
      <c r="DW1" s="134"/>
      <c r="DX1" s="134"/>
      <c r="EG1" s="134"/>
      <c r="GM1" s="134"/>
      <c r="GN1" s="134"/>
      <c r="GQ1" s="134"/>
      <c r="GR1" s="134"/>
    </row>
    <row r="2" spans="1:262" ht="21" customHeight="1" thickBot="1">
      <c r="A2" s="546">
        <f>GEntry!A2</f>
        <v>43319</v>
      </c>
      <c r="F2" s="134">
        <f>Master!Z19+Master!AC19+Master!AD19+Master!AE19+Master!AF19+Master!AG19+Master!AH19+Master!AI19+Master!AJ19</f>
        <v>280</v>
      </c>
      <c r="GM2" s="134"/>
      <c r="GN2" s="134"/>
    </row>
    <row r="3" spans="1:262" s="95" customFormat="1" ht="57" customHeight="1" thickBot="1">
      <c r="A3" s="536" t="s">
        <v>266</v>
      </c>
      <c r="B3" s="181" t="s">
        <v>884</v>
      </c>
      <c r="C3" s="181" t="s">
        <v>1230</v>
      </c>
      <c r="D3" s="181" t="s">
        <v>886</v>
      </c>
      <c r="E3" s="181" t="s">
        <v>887</v>
      </c>
      <c r="F3" s="181" t="s">
        <v>888</v>
      </c>
      <c r="G3" s="181" t="s">
        <v>889</v>
      </c>
      <c r="H3" s="181" t="s">
        <v>890</v>
      </c>
      <c r="I3" s="181" t="s">
        <v>156</v>
      </c>
      <c r="J3" s="181" t="s">
        <v>891</v>
      </c>
      <c r="K3" s="181" t="s">
        <v>1017</v>
      </c>
      <c r="L3" s="181" t="s">
        <v>1019</v>
      </c>
      <c r="M3" s="181" t="s">
        <v>892</v>
      </c>
      <c r="N3" s="181" t="s">
        <v>116</v>
      </c>
      <c r="O3" s="181" t="s">
        <v>893</v>
      </c>
      <c r="P3" s="181" t="s">
        <v>894</v>
      </c>
      <c r="Q3" s="181" t="s">
        <v>895</v>
      </c>
      <c r="R3" s="181" t="s">
        <v>896</v>
      </c>
      <c r="S3" s="181" t="s">
        <v>897</v>
      </c>
      <c r="T3" s="181" t="s">
        <v>898</v>
      </c>
      <c r="U3" s="181" t="s">
        <v>899</v>
      </c>
      <c r="V3" s="181" t="s">
        <v>905</v>
      </c>
      <c r="W3" s="181" t="s">
        <v>900</v>
      </c>
      <c r="X3" s="181" t="s">
        <v>904</v>
      </c>
      <c r="Y3" s="181" t="s">
        <v>901</v>
      </c>
      <c r="Z3" s="181" t="s">
        <v>158</v>
      </c>
      <c r="AA3" s="181" t="s">
        <v>903</v>
      </c>
      <c r="AB3" s="181" t="s">
        <v>1021</v>
      </c>
      <c r="AC3" s="181" t="s">
        <v>902</v>
      </c>
      <c r="AD3" s="181" t="s">
        <v>906</v>
      </c>
      <c r="AE3" s="181" t="s">
        <v>907</v>
      </c>
      <c r="AF3" s="181" t="s">
        <v>259</v>
      </c>
      <c r="AG3" s="181" t="s">
        <v>260</v>
      </c>
      <c r="AH3" s="181" t="s">
        <v>1022</v>
      </c>
      <c r="AI3" s="181" t="s">
        <v>1023</v>
      </c>
      <c r="AJ3" s="181" t="s">
        <v>908</v>
      </c>
      <c r="AK3" s="181" t="s">
        <v>1020</v>
      </c>
      <c r="AL3" s="181" t="s">
        <v>910</v>
      </c>
      <c r="AM3" s="181" t="s">
        <v>911</v>
      </c>
      <c r="AN3" s="181" t="s">
        <v>912</v>
      </c>
      <c r="AO3" s="181" t="s">
        <v>913</v>
      </c>
      <c r="AP3" s="181" t="s">
        <v>914</v>
      </c>
      <c r="AQ3" s="181" t="s">
        <v>915</v>
      </c>
      <c r="AR3" s="181" t="s">
        <v>916</v>
      </c>
      <c r="AS3" s="181" t="s">
        <v>917</v>
      </c>
      <c r="AT3" s="181" t="s">
        <v>918</v>
      </c>
      <c r="AU3" s="181" t="s">
        <v>1017</v>
      </c>
      <c r="AV3" s="181" t="s">
        <v>1190</v>
      </c>
      <c r="AW3" s="181" t="s">
        <v>919</v>
      </c>
      <c r="AX3" s="181" t="s">
        <v>920</v>
      </c>
      <c r="AY3" s="181" t="s">
        <v>921</v>
      </c>
      <c r="AZ3" s="181" t="s">
        <v>922</v>
      </c>
      <c r="BA3" s="181" t="s">
        <v>923</v>
      </c>
      <c r="BB3" s="181" t="s">
        <v>924</v>
      </c>
      <c r="BC3" s="181" t="s">
        <v>160</v>
      </c>
      <c r="BD3" s="181" t="s">
        <v>925</v>
      </c>
      <c r="BE3" s="181" t="s">
        <v>926</v>
      </c>
      <c r="BF3" s="181" t="s">
        <v>927</v>
      </c>
      <c r="BG3" s="181" t="s">
        <v>928</v>
      </c>
      <c r="BH3" s="181" t="s">
        <v>929</v>
      </c>
      <c r="BI3" s="181" t="s">
        <v>930</v>
      </c>
      <c r="BJ3" s="181" t="s">
        <v>931</v>
      </c>
      <c r="BK3" s="181" t="s">
        <v>932</v>
      </c>
      <c r="BL3" s="181" t="s">
        <v>933</v>
      </c>
      <c r="BM3" s="181" t="s">
        <v>934</v>
      </c>
      <c r="BN3" s="181" t="s">
        <v>935</v>
      </c>
      <c r="BO3" s="181" t="s">
        <v>936</v>
      </c>
      <c r="BP3" s="181" t="s">
        <v>684</v>
      </c>
      <c r="BQ3" s="181" t="s">
        <v>937</v>
      </c>
      <c r="BR3" s="1429" t="s">
        <v>938</v>
      </c>
      <c r="BS3" s="181" t="s">
        <v>939</v>
      </c>
      <c r="BT3" s="181" t="s">
        <v>940</v>
      </c>
      <c r="BU3" s="181" t="s">
        <v>941</v>
      </c>
      <c r="BV3" s="181" t="s">
        <v>942</v>
      </c>
      <c r="BW3" s="181" t="s">
        <v>943</v>
      </c>
      <c r="BX3" s="181" t="s">
        <v>944</v>
      </c>
      <c r="BY3" s="181" t="s">
        <v>1026</v>
      </c>
      <c r="BZ3" s="181" t="s">
        <v>945</v>
      </c>
      <c r="CA3" s="181" t="s">
        <v>946</v>
      </c>
      <c r="CB3" s="181" t="s">
        <v>947</v>
      </c>
      <c r="CC3" s="181" t="s">
        <v>948</v>
      </c>
      <c r="CD3" s="181" t="s">
        <v>949</v>
      </c>
      <c r="CE3" s="181" t="s">
        <v>950</v>
      </c>
      <c r="CF3" s="1429" t="s">
        <v>951</v>
      </c>
      <c r="CG3" s="181" t="s">
        <v>952</v>
      </c>
      <c r="CH3" s="181" t="s">
        <v>953</v>
      </c>
      <c r="CI3" s="181" t="s">
        <v>954</v>
      </c>
      <c r="CJ3" s="181" t="s">
        <v>955</v>
      </c>
      <c r="CK3" s="181" t="s">
        <v>1161</v>
      </c>
      <c r="CL3" s="181" t="s">
        <v>957</v>
      </c>
      <c r="CM3" s="181" t="s">
        <v>958</v>
      </c>
      <c r="CN3" s="181" t="s">
        <v>959</v>
      </c>
      <c r="CO3" s="181" t="s">
        <v>960</v>
      </c>
      <c r="CP3" s="181" t="s">
        <v>961</v>
      </c>
      <c r="CQ3" s="181" t="s">
        <v>962</v>
      </c>
      <c r="CR3" s="181" t="s">
        <v>963</v>
      </c>
      <c r="CS3" s="181" t="s">
        <v>964</v>
      </c>
      <c r="CT3" s="181" t="s">
        <v>965</v>
      </c>
      <c r="CU3" s="181" t="s">
        <v>966</v>
      </c>
      <c r="CV3" s="181" t="s">
        <v>1027</v>
      </c>
      <c r="CW3" s="181" t="s">
        <v>967</v>
      </c>
      <c r="CX3" s="181" t="s">
        <v>968</v>
      </c>
      <c r="CY3" s="181" t="s">
        <v>969</v>
      </c>
      <c r="CZ3" s="181" t="s">
        <v>970</v>
      </c>
      <c r="DA3" s="181" t="s">
        <v>971</v>
      </c>
      <c r="DB3" s="181" t="s">
        <v>972</v>
      </c>
      <c r="DC3" s="181" t="s">
        <v>1083</v>
      </c>
      <c r="DD3" s="181" t="s">
        <v>973</v>
      </c>
      <c r="DE3" s="181" t="s">
        <v>974</v>
      </c>
      <c r="DF3" s="181" t="s">
        <v>975</v>
      </c>
      <c r="DG3" s="181" t="s">
        <v>976</v>
      </c>
      <c r="DH3" s="181" t="s">
        <v>977</v>
      </c>
      <c r="DI3" s="181" t="s">
        <v>1067</v>
      </c>
      <c r="DJ3" s="181" t="s">
        <v>1075</v>
      </c>
      <c r="DK3" s="181" t="s">
        <v>1105</v>
      </c>
      <c r="DL3" s="181" t="s">
        <v>1110</v>
      </c>
      <c r="DM3" s="181" t="s">
        <v>1165</v>
      </c>
      <c r="DN3" s="181" t="s">
        <v>1166</v>
      </c>
      <c r="DO3" s="181" t="s">
        <v>1168</v>
      </c>
      <c r="DP3" s="181" t="s">
        <v>1188</v>
      </c>
      <c r="DQ3" s="181" t="s">
        <v>1187</v>
      </c>
      <c r="DR3" s="181" t="s">
        <v>1182</v>
      </c>
      <c r="DS3" s="181" t="s">
        <v>1192</v>
      </c>
      <c r="DT3" s="181" t="s">
        <v>1209</v>
      </c>
      <c r="DU3" s="181" t="s">
        <v>1211</v>
      </c>
      <c r="DV3" s="181" t="s">
        <v>1328</v>
      </c>
      <c r="DW3" s="181" t="s">
        <v>1329</v>
      </c>
      <c r="DX3" s="181" t="s">
        <v>1808</v>
      </c>
      <c r="DY3" s="537" t="s">
        <v>815</v>
      </c>
      <c r="DZ3" s="181" t="s">
        <v>265</v>
      </c>
      <c r="EA3" s="181" t="s">
        <v>1163</v>
      </c>
      <c r="EB3" s="181" t="s">
        <v>1113</v>
      </c>
      <c r="EC3" s="181" t="s">
        <v>978</v>
      </c>
      <c r="ED3" s="181" t="s">
        <v>979</v>
      </c>
      <c r="EE3" s="181" t="s">
        <v>980</v>
      </c>
      <c r="EF3" s="181" t="s">
        <v>264</v>
      </c>
      <c r="EG3" s="181" t="s">
        <v>856</v>
      </c>
      <c r="EH3" s="181" t="s">
        <v>981</v>
      </c>
      <c r="EI3" s="181" t="s">
        <v>982</v>
      </c>
      <c r="EJ3" s="181" t="s">
        <v>984</v>
      </c>
      <c r="EK3" s="181" t="s">
        <v>983</v>
      </c>
      <c r="EL3" s="181" t="s">
        <v>987</v>
      </c>
      <c r="EM3" s="181" t="s">
        <v>985</v>
      </c>
      <c r="EN3" s="181" t="s">
        <v>986</v>
      </c>
      <c r="EO3" s="181" t="s">
        <v>988</v>
      </c>
      <c r="EP3" s="181" t="s">
        <v>989</v>
      </c>
      <c r="EQ3" s="181" t="s">
        <v>990</v>
      </c>
      <c r="ER3" s="181" t="s">
        <v>991</v>
      </c>
      <c r="ES3" s="181" t="s">
        <v>992</v>
      </c>
      <c r="ET3" s="181" t="s">
        <v>1029</v>
      </c>
      <c r="EU3" s="181" t="s">
        <v>993</v>
      </c>
      <c r="EV3" s="181" t="s">
        <v>994</v>
      </c>
      <c r="EW3" s="181" t="s">
        <v>995</v>
      </c>
      <c r="EX3" s="181" t="s">
        <v>996</v>
      </c>
      <c r="EY3" s="181" t="s">
        <v>997</v>
      </c>
      <c r="EZ3" s="181" t="s">
        <v>998</v>
      </c>
      <c r="FA3" s="181" t="s">
        <v>999</v>
      </c>
      <c r="FB3" s="181" t="s">
        <v>1000</v>
      </c>
      <c r="FC3" s="181" t="s">
        <v>1001</v>
      </c>
      <c r="FD3" s="181" t="s">
        <v>1002</v>
      </c>
      <c r="FE3" s="181" t="s">
        <v>1003</v>
      </c>
      <c r="FF3" s="537" t="s">
        <v>1004</v>
      </c>
      <c r="FG3" s="537" t="s">
        <v>1005</v>
      </c>
      <c r="FH3" s="537" t="s">
        <v>1006</v>
      </c>
      <c r="FI3" s="537" t="s">
        <v>1007</v>
      </c>
      <c r="FJ3" s="537" t="s">
        <v>1008</v>
      </c>
      <c r="FK3" s="537" t="s">
        <v>1009</v>
      </c>
      <c r="FL3" s="537" t="s">
        <v>1010</v>
      </c>
      <c r="FM3" s="537" t="s">
        <v>1011</v>
      </c>
      <c r="FN3" s="537" t="s">
        <v>1012</v>
      </c>
      <c r="FO3" s="537" t="s">
        <v>1036</v>
      </c>
      <c r="FP3" s="537" t="s">
        <v>1013</v>
      </c>
      <c r="FQ3" s="537" t="s">
        <v>1014</v>
      </c>
      <c r="FR3" s="537" t="s">
        <v>1088</v>
      </c>
      <c r="FS3" s="537" t="s">
        <v>1015</v>
      </c>
      <c r="FT3" s="537" t="s">
        <v>1016</v>
      </c>
      <c r="FU3" s="537" t="s">
        <v>1033</v>
      </c>
      <c r="FV3" s="537" t="s">
        <v>1039</v>
      </c>
      <c r="FW3" s="537" t="s">
        <v>1085</v>
      </c>
      <c r="FX3" s="537" t="s">
        <v>1117</v>
      </c>
      <c r="FY3" s="537" t="s">
        <v>1176</v>
      </c>
      <c r="FZ3" s="537" t="s">
        <v>1177</v>
      </c>
      <c r="GA3" s="537" t="s">
        <v>1185</v>
      </c>
      <c r="GB3" s="3010" t="s">
        <v>1232</v>
      </c>
      <c r="GC3" s="3010" t="s">
        <v>1334</v>
      </c>
      <c r="GD3" s="3010" t="s">
        <v>1341</v>
      </c>
      <c r="GE3" s="3010" t="s">
        <v>1829</v>
      </c>
      <c r="GF3" s="3010" t="s">
        <v>1827</v>
      </c>
      <c r="GG3" s="537" t="s">
        <v>814</v>
      </c>
      <c r="GH3" s="990" t="s">
        <v>498</v>
      </c>
      <c r="GI3" s="990" t="s">
        <v>697</v>
      </c>
      <c r="GJ3" s="979" t="s">
        <v>696</v>
      </c>
      <c r="GK3" s="991" t="s">
        <v>693</v>
      </c>
      <c r="GL3" s="988" t="s">
        <v>130</v>
      </c>
      <c r="GM3" s="991" t="s">
        <v>694</v>
      </c>
      <c r="GN3" s="989" t="s">
        <v>1330</v>
      </c>
      <c r="GO3" s="989" t="s">
        <v>1332</v>
      </c>
      <c r="GP3" s="989" t="s">
        <v>45</v>
      </c>
      <c r="GQ3" s="989" t="s">
        <v>109</v>
      </c>
      <c r="GR3" s="989" t="s">
        <v>1331</v>
      </c>
      <c r="GS3" s="989" t="s">
        <v>1333</v>
      </c>
      <c r="GT3" s="989" t="s">
        <v>129</v>
      </c>
      <c r="GU3" s="989" t="s">
        <v>174</v>
      </c>
      <c r="GV3" s="988" t="s">
        <v>26</v>
      </c>
      <c r="GW3" s="979" t="s">
        <v>773</v>
      </c>
      <c r="GY3" s="95" t="s">
        <v>21</v>
      </c>
      <c r="GZ3" s="95" t="s">
        <v>22</v>
      </c>
    </row>
    <row r="4" spans="1:262" s="95" customFormat="1" ht="30" customHeight="1" thickBot="1">
      <c r="A4" s="538" t="s">
        <v>756</v>
      </c>
      <c r="B4" s="180" t="s">
        <v>37</v>
      </c>
      <c r="C4" s="180" t="s">
        <v>37</v>
      </c>
      <c r="D4" s="180" t="s">
        <v>37</v>
      </c>
      <c r="E4" s="180" t="s">
        <v>37</v>
      </c>
      <c r="F4" s="180" t="s">
        <v>37</v>
      </c>
      <c r="G4" s="180" t="s">
        <v>28</v>
      </c>
      <c r="H4" s="180" t="s">
        <v>13</v>
      </c>
      <c r="I4" s="180" t="s">
        <v>8</v>
      </c>
      <c r="J4" s="180" t="s">
        <v>28</v>
      </c>
      <c r="K4" s="180"/>
      <c r="L4" s="180" t="s">
        <v>124</v>
      </c>
      <c r="M4" s="180" t="s">
        <v>28</v>
      </c>
      <c r="N4" s="180" t="s">
        <v>28</v>
      </c>
      <c r="O4" s="180" t="s">
        <v>1806</v>
      </c>
      <c r="P4" s="180" t="s">
        <v>1806</v>
      </c>
      <c r="Q4" s="180" t="s">
        <v>28</v>
      </c>
      <c r="R4" s="180" t="s">
        <v>8</v>
      </c>
      <c r="S4" s="180" t="s">
        <v>37</v>
      </c>
      <c r="T4" s="180" t="s">
        <v>8</v>
      </c>
      <c r="U4" s="180" t="s">
        <v>1806</v>
      </c>
      <c r="V4" s="180" t="s">
        <v>28</v>
      </c>
      <c r="W4" s="180" t="s">
        <v>135</v>
      </c>
      <c r="X4" s="180" t="s">
        <v>13</v>
      </c>
      <c r="Y4" s="180" t="s">
        <v>28</v>
      </c>
      <c r="Z4" s="180" t="s">
        <v>111</v>
      </c>
      <c r="AA4" s="180" t="s">
        <v>28</v>
      </c>
      <c r="AB4" s="180" t="s">
        <v>28</v>
      </c>
      <c r="AC4" s="1430" t="s">
        <v>28</v>
      </c>
      <c r="AD4" s="1430" t="s">
        <v>28</v>
      </c>
      <c r="AE4" s="180" t="s">
        <v>123</v>
      </c>
      <c r="AF4" s="180" t="s">
        <v>155</v>
      </c>
      <c r="AG4" s="180" t="s">
        <v>155</v>
      </c>
      <c r="AH4" s="180" t="s">
        <v>155</v>
      </c>
      <c r="AI4" s="180" t="s">
        <v>155</v>
      </c>
      <c r="AJ4" s="180" t="s">
        <v>3</v>
      </c>
      <c r="AK4" s="180" t="s">
        <v>37</v>
      </c>
      <c r="AL4" s="180" t="s">
        <v>37</v>
      </c>
      <c r="AM4" s="180" t="s">
        <v>37</v>
      </c>
      <c r="AN4" s="180" t="s">
        <v>37</v>
      </c>
      <c r="AO4" s="180" t="s">
        <v>37</v>
      </c>
      <c r="AP4" s="180" t="s">
        <v>3</v>
      </c>
      <c r="AQ4" s="180" t="s">
        <v>37</v>
      </c>
      <c r="AR4" s="180" t="s">
        <v>37</v>
      </c>
      <c r="AS4" s="180" t="s">
        <v>37</v>
      </c>
      <c r="AT4" s="180" t="s">
        <v>37</v>
      </c>
      <c r="AU4" s="180"/>
      <c r="AV4" s="180" t="s">
        <v>28</v>
      </c>
      <c r="AW4" s="180" t="s">
        <v>37</v>
      </c>
      <c r="AX4" s="180" t="s">
        <v>37</v>
      </c>
      <c r="AY4" s="180" t="s">
        <v>1806</v>
      </c>
      <c r="AZ4" s="180" t="s">
        <v>28</v>
      </c>
      <c r="BA4" s="180" t="s">
        <v>28</v>
      </c>
      <c r="BB4" s="180" t="s">
        <v>125</v>
      </c>
      <c r="BC4" s="180"/>
      <c r="BD4" s="180" t="s">
        <v>40</v>
      </c>
      <c r="BE4" s="180" t="s">
        <v>40</v>
      </c>
      <c r="BF4" s="180" t="s">
        <v>40</v>
      </c>
      <c r="BG4" s="180" t="s">
        <v>40</v>
      </c>
      <c r="BH4" s="180" t="s">
        <v>40</v>
      </c>
      <c r="BI4" s="180" t="s">
        <v>40</v>
      </c>
      <c r="BJ4" s="180" t="s">
        <v>28</v>
      </c>
      <c r="BK4" s="180" t="s">
        <v>37</v>
      </c>
      <c r="BL4" s="180" t="s">
        <v>40</v>
      </c>
      <c r="BM4" s="180" t="s">
        <v>13</v>
      </c>
      <c r="BN4" s="180" t="s">
        <v>13</v>
      </c>
      <c r="BO4" s="180" t="s">
        <v>28</v>
      </c>
      <c r="BP4" s="180" t="s">
        <v>111</v>
      </c>
      <c r="BQ4" s="180" t="s">
        <v>37</v>
      </c>
      <c r="BR4" s="1430" t="s">
        <v>28</v>
      </c>
      <c r="BS4" s="180" t="s">
        <v>125</v>
      </c>
      <c r="BT4" s="180" t="s">
        <v>123</v>
      </c>
      <c r="BU4" s="180" t="s">
        <v>125</v>
      </c>
      <c r="BV4" s="180" t="s">
        <v>123</v>
      </c>
      <c r="BW4" s="180" t="s">
        <v>141</v>
      </c>
      <c r="BX4" s="180" t="s">
        <v>28</v>
      </c>
      <c r="BY4" s="180" t="s">
        <v>28</v>
      </c>
      <c r="BZ4" s="180" t="s">
        <v>125</v>
      </c>
      <c r="CA4" s="180" t="s">
        <v>28</v>
      </c>
      <c r="CB4" s="180" t="s">
        <v>37</v>
      </c>
      <c r="CC4" s="180" t="s">
        <v>37</v>
      </c>
      <c r="CD4" s="180" t="s">
        <v>110</v>
      </c>
      <c r="CE4" s="180" t="s">
        <v>1806</v>
      </c>
      <c r="CF4" s="1430" t="s">
        <v>28</v>
      </c>
      <c r="CG4" s="180" t="s">
        <v>37</v>
      </c>
      <c r="CH4" s="180" t="s">
        <v>37</v>
      </c>
      <c r="CI4" s="180" t="s">
        <v>110</v>
      </c>
      <c r="CJ4" s="180" t="s">
        <v>11</v>
      </c>
      <c r="CK4" s="180" t="s">
        <v>37</v>
      </c>
      <c r="CL4" s="180" t="s">
        <v>37</v>
      </c>
      <c r="CM4" s="180" t="s">
        <v>1806</v>
      </c>
      <c r="CN4" s="180" t="s">
        <v>110</v>
      </c>
      <c r="CO4" s="180" t="s">
        <v>28</v>
      </c>
      <c r="CP4" s="180" t="s">
        <v>123</v>
      </c>
      <c r="CQ4" s="180" t="s">
        <v>123</v>
      </c>
      <c r="CR4" s="180" t="s">
        <v>28</v>
      </c>
      <c r="CS4" s="180" t="s">
        <v>28</v>
      </c>
      <c r="CT4" s="180" t="s">
        <v>28</v>
      </c>
      <c r="CU4" s="180" t="s">
        <v>28</v>
      </c>
      <c r="CV4" s="180" t="s">
        <v>28</v>
      </c>
      <c r="CW4" s="180" t="s">
        <v>28</v>
      </c>
      <c r="CX4" s="180" t="s">
        <v>28</v>
      </c>
      <c r="CY4" s="180" t="s">
        <v>28</v>
      </c>
      <c r="CZ4" s="180" t="s">
        <v>28</v>
      </c>
      <c r="DA4" s="180" t="s">
        <v>28</v>
      </c>
      <c r="DB4" s="180" t="s">
        <v>28</v>
      </c>
      <c r="DC4" s="180" t="s">
        <v>37</v>
      </c>
      <c r="DD4" s="180" t="s">
        <v>28</v>
      </c>
      <c r="DE4" s="180" t="s">
        <v>3</v>
      </c>
      <c r="DF4" s="180" t="s">
        <v>28</v>
      </c>
      <c r="DG4" s="180" t="s">
        <v>37</v>
      </c>
      <c r="DH4" s="180" t="s">
        <v>28</v>
      </c>
      <c r="DI4" s="180" t="s">
        <v>28</v>
      </c>
      <c r="DJ4" s="180" t="s">
        <v>28</v>
      </c>
      <c r="DK4" s="180" t="s">
        <v>28</v>
      </c>
      <c r="DL4" s="180" t="s">
        <v>28</v>
      </c>
      <c r="DM4" s="180" t="s">
        <v>28</v>
      </c>
      <c r="DN4" s="180" t="s">
        <v>37</v>
      </c>
      <c r="DO4" s="180" t="s">
        <v>28</v>
      </c>
      <c r="DP4" s="180" t="s">
        <v>28</v>
      </c>
      <c r="DQ4" s="180" t="s">
        <v>28</v>
      </c>
      <c r="DR4" s="180" t="s">
        <v>28</v>
      </c>
      <c r="DS4" s="180" t="s">
        <v>37</v>
      </c>
      <c r="DT4" s="180" t="s">
        <v>28</v>
      </c>
      <c r="DU4" s="180" t="s">
        <v>28</v>
      </c>
      <c r="DV4" s="180" t="s">
        <v>28</v>
      </c>
      <c r="DW4" s="180" t="s">
        <v>28</v>
      </c>
      <c r="DX4" s="180" t="s">
        <v>40</v>
      </c>
      <c r="DY4" s="180"/>
      <c r="DZ4" s="180" t="s">
        <v>141</v>
      </c>
      <c r="EA4" s="180" t="s">
        <v>37</v>
      </c>
      <c r="EB4" s="180" t="s">
        <v>17</v>
      </c>
      <c r="EC4" s="180" t="s">
        <v>28</v>
      </c>
      <c r="ED4" s="180" t="s">
        <v>1806</v>
      </c>
      <c r="EE4" s="180" t="s">
        <v>17</v>
      </c>
      <c r="EF4" s="180" t="s">
        <v>37</v>
      </c>
      <c r="EG4" s="180" t="s">
        <v>13</v>
      </c>
      <c r="EH4" s="180" t="s">
        <v>37</v>
      </c>
      <c r="EI4" s="180" t="s">
        <v>37</v>
      </c>
      <c r="EJ4" s="180" t="s">
        <v>1806</v>
      </c>
      <c r="EK4" s="180" t="s">
        <v>37</v>
      </c>
      <c r="EL4" s="180" t="s">
        <v>1806</v>
      </c>
      <c r="EM4" s="180" t="s">
        <v>28</v>
      </c>
      <c r="EN4" s="180" t="s">
        <v>37</v>
      </c>
      <c r="EO4" s="180" t="s">
        <v>37</v>
      </c>
      <c r="EP4" s="180" t="s">
        <v>37</v>
      </c>
      <c r="EQ4" s="180" t="s">
        <v>37</v>
      </c>
      <c r="ER4" s="180" t="s">
        <v>37</v>
      </c>
      <c r="ES4" s="180" t="s">
        <v>37</v>
      </c>
      <c r="ET4" s="180" t="s">
        <v>13</v>
      </c>
      <c r="EU4" s="180" t="s">
        <v>13</v>
      </c>
      <c r="EV4" s="180" t="s">
        <v>37</v>
      </c>
      <c r="EW4" s="180" t="s">
        <v>28</v>
      </c>
      <c r="EX4" s="180" t="s">
        <v>37</v>
      </c>
      <c r="EY4" s="180" t="s">
        <v>110</v>
      </c>
      <c r="EZ4" s="180" t="s">
        <v>1806</v>
      </c>
      <c r="FA4" s="180" t="s">
        <v>123</v>
      </c>
      <c r="FB4" s="180" t="s">
        <v>37</v>
      </c>
      <c r="FC4" s="180" t="s">
        <v>37</v>
      </c>
      <c r="FD4" s="180" t="s">
        <v>37</v>
      </c>
      <c r="FE4" s="180" t="s">
        <v>37</v>
      </c>
      <c r="FF4" s="180" t="s">
        <v>37</v>
      </c>
      <c r="FG4" s="180" t="s">
        <v>17</v>
      </c>
      <c r="FH4" s="180" t="s">
        <v>17</v>
      </c>
      <c r="FI4" s="180" t="s">
        <v>17</v>
      </c>
      <c r="FJ4" s="180" t="s">
        <v>17</v>
      </c>
      <c r="FK4" s="180" t="s">
        <v>13</v>
      </c>
      <c r="FL4" s="1431" t="s">
        <v>28</v>
      </c>
      <c r="FM4" s="1431" t="s">
        <v>17</v>
      </c>
      <c r="FN4" s="1431" t="s">
        <v>17</v>
      </c>
      <c r="FO4" s="1431" t="s">
        <v>854</v>
      </c>
      <c r="FP4" s="1431" t="s">
        <v>28</v>
      </c>
      <c r="FQ4" s="1431" t="s">
        <v>28</v>
      </c>
      <c r="FR4" s="1431" t="s">
        <v>28</v>
      </c>
      <c r="FS4" s="1431" t="s">
        <v>17</v>
      </c>
      <c r="FT4" s="1431" t="s">
        <v>28</v>
      </c>
      <c r="FU4" s="1431" t="s">
        <v>1174</v>
      </c>
      <c r="FV4" s="1431" t="s">
        <v>28</v>
      </c>
      <c r="FW4" s="1431" t="s">
        <v>28</v>
      </c>
      <c r="FX4" s="1431" t="s">
        <v>1164</v>
      </c>
      <c r="FY4" s="1431" t="s">
        <v>28</v>
      </c>
      <c r="FZ4" s="1431" t="s">
        <v>28</v>
      </c>
      <c r="GA4" s="1431" t="s">
        <v>28</v>
      </c>
      <c r="GB4" s="1431" t="s">
        <v>17</v>
      </c>
      <c r="GC4" s="1431" t="s">
        <v>28</v>
      </c>
      <c r="GD4" s="1431" t="s">
        <v>28</v>
      </c>
      <c r="GE4" s="1431" t="s">
        <v>1811</v>
      </c>
      <c r="GF4" s="1431" t="s">
        <v>1811</v>
      </c>
      <c r="GG4" s="180"/>
      <c r="GH4" s="967"/>
      <c r="GI4" s="967"/>
      <c r="GJ4" s="968"/>
      <c r="GK4" s="969"/>
      <c r="GL4" s="970"/>
      <c r="GM4" s="969"/>
      <c r="GN4" s="3063"/>
      <c r="GO4" s="971"/>
      <c r="GP4" s="971"/>
      <c r="GQ4" s="971"/>
      <c r="GR4" s="971"/>
      <c r="GS4" s="971"/>
      <c r="GT4" s="971"/>
      <c r="GU4" s="971"/>
      <c r="GV4" s="970"/>
      <c r="GW4" s="968"/>
    </row>
    <row r="5" spans="1:262" s="95" customFormat="1" ht="21.75" customHeight="1" thickBot="1">
      <c r="A5" s="538" t="s">
        <v>741</v>
      </c>
      <c r="B5" s="180" t="s">
        <v>27</v>
      </c>
      <c r="C5" s="180" t="s">
        <v>27</v>
      </c>
      <c r="D5" s="180" t="s">
        <v>27</v>
      </c>
      <c r="E5" s="180" t="s">
        <v>27</v>
      </c>
      <c r="F5" s="180" t="s">
        <v>27</v>
      </c>
      <c r="G5" s="180" t="s">
        <v>27</v>
      </c>
      <c r="H5" s="180" t="s">
        <v>27</v>
      </c>
      <c r="I5" s="180" t="s">
        <v>27</v>
      </c>
      <c r="J5" s="180" t="s">
        <v>27</v>
      </c>
      <c r="K5" s="180"/>
      <c r="L5" s="180" t="s">
        <v>27</v>
      </c>
      <c r="M5" s="180" t="s">
        <v>27</v>
      </c>
      <c r="N5" s="180" t="s">
        <v>27</v>
      </c>
      <c r="O5" s="180" t="s">
        <v>21</v>
      </c>
      <c r="P5" s="180" t="s">
        <v>21</v>
      </c>
      <c r="Q5" s="180" t="s">
        <v>21</v>
      </c>
      <c r="R5" s="180" t="s">
        <v>27</v>
      </c>
      <c r="S5" s="180" t="s">
        <v>27</v>
      </c>
      <c r="T5" s="180" t="s">
        <v>27</v>
      </c>
      <c r="U5" s="180" t="s">
        <v>21</v>
      </c>
      <c r="V5" s="180" t="s">
        <v>21</v>
      </c>
      <c r="W5" s="180" t="s">
        <v>21</v>
      </c>
      <c r="X5" s="180" t="s">
        <v>21</v>
      </c>
      <c r="Y5" s="180" t="s">
        <v>21</v>
      </c>
      <c r="Z5" s="180" t="s">
        <v>22</v>
      </c>
      <c r="AA5" s="180" t="s">
        <v>21</v>
      </c>
      <c r="AB5" s="180" t="s">
        <v>21</v>
      </c>
      <c r="AC5" s="180" t="s">
        <v>21</v>
      </c>
      <c r="AD5" s="180" t="s">
        <v>21</v>
      </c>
      <c r="AE5" s="180" t="s">
        <v>27</v>
      </c>
      <c r="AF5" s="180" t="s">
        <v>27</v>
      </c>
      <c r="AG5" s="180" t="s">
        <v>27</v>
      </c>
      <c r="AH5" s="180" t="s">
        <v>27</v>
      </c>
      <c r="AI5" s="180" t="s">
        <v>27</v>
      </c>
      <c r="AJ5" s="180" t="s">
        <v>21</v>
      </c>
      <c r="AK5" s="180" t="s">
        <v>27</v>
      </c>
      <c r="AL5" s="180" t="s">
        <v>109</v>
      </c>
      <c r="AM5" s="180" t="s">
        <v>109</v>
      </c>
      <c r="AN5" s="180" t="s">
        <v>27</v>
      </c>
      <c r="AO5" s="180" t="s">
        <v>27</v>
      </c>
      <c r="AP5" s="180" t="s">
        <v>21</v>
      </c>
      <c r="AQ5" s="180" t="s">
        <v>27</v>
      </c>
      <c r="AR5" s="180" t="s">
        <v>22</v>
      </c>
      <c r="AS5" s="180" t="s">
        <v>27</v>
      </c>
      <c r="AT5" s="180" t="s">
        <v>22</v>
      </c>
      <c r="AU5" s="180"/>
      <c r="AV5" s="180" t="s">
        <v>21</v>
      </c>
      <c r="AW5" s="180" t="s">
        <v>21</v>
      </c>
      <c r="AX5" s="180" t="s">
        <v>21</v>
      </c>
      <c r="AY5" s="180" t="s">
        <v>21</v>
      </c>
      <c r="AZ5" s="180" t="s">
        <v>21</v>
      </c>
      <c r="BA5" s="180" t="s">
        <v>21</v>
      </c>
      <c r="BB5" s="180" t="s">
        <v>27</v>
      </c>
      <c r="BC5" s="180" t="s">
        <v>27</v>
      </c>
      <c r="BD5" s="180" t="s">
        <v>27</v>
      </c>
      <c r="BE5" s="180" t="s">
        <v>27</v>
      </c>
      <c r="BF5" s="180" t="s">
        <v>27</v>
      </c>
      <c r="BG5" s="180" t="s">
        <v>27</v>
      </c>
      <c r="BH5" s="180" t="s">
        <v>27</v>
      </c>
      <c r="BI5" s="180" t="s">
        <v>27</v>
      </c>
      <c r="BJ5" s="180" t="s">
        <v>27</v>
      </c>
      <c r="BK5" s="180" t="s">
        <v>27</v>
      </c>
      <c r="BL5" s="180" t="s">
        <v>27</v>
      </c>
      <c r="BM5" s="180" t="s">
        <v>27</v>
      </c>
      <c r="BN5" s="180" t="s">
        <v>27</v>
      </c>
      <c r="BO5" s="180" t="s">
        <v>27</v>
      </c>
      <c r="BP5" s="180" t="s">
        <v>27</v>
      </c>
      <c r="BQ5" s="180" t="s">
        <v>21</v>
      </c>
      <c r="BR5" s="1430" t="s">
        <v>21</v>
      </c>
      <c r="BS5" s="180" t="s">
        <v>27</v>
      </c>
      <c r="BT5" s="180" t="s">
        <v>27</v>
      </c>
      <c r="BU5" s="180" t="s">
        <v>27</v>
      </c>
      <c r="BV5" s="180" t="s">
        <v>27</v>
      </c>
      <c r="BW5" s="180"/>
      <c r="BX5" s="180" t="s">
        <v>27</v>
      </c>
      <c r="BY5" s="180" t="s">
        <v>21</v>
      </c>
      <c r="BZ5" s="180" t="s">
        <v>27</v>
      </c>
      <c r="CA5" s="180" t="s">
        <v>174</v>
      </c>
      <c r="CB5" s="180" t="s">
        <v>27</v>
      </c>
      <c r="CC5" s="180" t="s">
        <v>27</v>
      </c>
      <c r="CD5" s="180" t="s">
        <v>27</v>
      </c>
      <c r="CE5" s="180" t="s">
        <v>27</v>
      </c>
      <c r="CF5" s="1430" t="s">
        <v>27</v>
      </c>
      <c r="CG5" s="180" t="s">
        <v>27</v>
      </c>
      <c r="CH5" s="180" t="s">
        <v>27</v>
      </c>
      <c r="CI5" s="180" t="s">
        <v>27</v>
      </c>
      <c r="CJ5" s="180" t="s">
        <v>27</v>
      </c>
      <c r="CK5" s="180" t="s">
        <v>27</v>
      </c>
      <c r="CL5" s="180" t="s">
        <v>27</v>
      </c>
      <c r="CM5" s="180" t="s">
        <v>27</v>
      </c>
      <c r="CN5" s="180" t="s">
        <v>27</v>
      </c>
      <c r="CO5" s="180" t="s">
        <v>27</v>
      </c>
      <c r="CP5" s="180" t="s">
        <v>27</v>
      </c>
      <c r="CQ5" s="180" t="s">
        <v>27</v>
      </c>
      <c r="CR5" s="180" t="s">
        <v>22</v>
      </c>
      <c r="CS5" s="1431" t="s">
        <v>21</v>
      </c>
      <c r="CT5" s="180" t="s">
        <v>22</v>
      </c>
      <c r="CU5" s="180" t="s">
        <v>22</v>
      </c>
      <c r="CV5" s="180" t="s">
        <v>21</v>
      </c>
      <c r="CW5" s="180" t="s">
        <v>22</v>
      </c>
      <c r="CX5" s="180" t="s">
        <v>21</v>
      </c>
      <c r="CY5" s="180" t="s">
        <v>174</v>
      </c>
      <c r="CZ5" s="180" t="s">
        <v>21</v>
      </c>
      <c r="DA5" s="180" t="s">
        <v>21</v>
      </c>
      <c r="DB5" s="180" t="s">
        <v>21</v>
      </c>
      <c r="DC5" s="180" t="s">
        <v>27</v>
      </c>
      <c r="DD5" s="180" t="s">
        <v>21</v>
      </c>
      <c r="DE5" s="180" t="s">
        <v>21</v>
      </c>
      <c r="DF5" s="180" t="s">
        <v>21</v>
      </c>
      <c r="DG5" s="180" t="s">
        <v>174</v>
      </c>
      <c r="DH5" s="180" t="s">
        <v>21</v>
      </c>
      <c r="DI5" s="180" t="s">
        <v>21</v>
      </c>
      <c r="DJ5" s="180" t="s">
        <v>21</v>
      </c>
      <c r="DK5" s="180" t="s">
        <v>21</v>
      </c>
      <c r="DL5" s="180" t="s">
        <v>21</v>
      </c>
      <c r="DM5" s="180" t="s">
        <v>21</v>
      </c>
      <c r="DN5" s="180" t="s">
        <v>27</v>
      </c>
      <c r="DO5" s="180" t="s">
        <v>21</v>
      </c>
      <c r="DP5" s="180" t="s">
        <v>174</v>
      </c>
      <c r="DQ5" s="180" t="s">
        <v>21</v>
      </c>
      <c r="DR5" s="180" t="s">
        <v>21</v>
      </c>
      <c r="DS5" s="180" t="s">
        <v>27</v>
      </c>
      <c r="DT5" s="180" t="s">
        <v>21</v>
      </c>
      <c r="DU5" s="180" t="s">
        <v>174</v>
      </c>
      <c r="DV5" s="180" t="s">
        <v>21</v>
      </c>
      <c r="DW5" s="180" t="s">
        <v>21</v>
      </c>
      <c r="DX5" s="180" t="s">
        <v>27</v>
      </c>
      <c r="DY5" s="180"/>
      <c r="DZ5" s="180"/>
      <c r="EA5" s="180" t="s">
        <v>22</v>
      </c>
      <c r="EB5" s="180" t="s">
        <v>27</v>
      </c>
      <c r="EC5" s="180" t="s">
        <v>21</v>
      </c>
      <c r="ED5" s="180" t="s">
        <v>21</v>
      </c>
      <c r="EE5" s="180" t="s">
        <v>22</v>
      </c>
      <c r="EF5" s="180"/>
      <c r="EG5" s="180" t="s">
        <v>22</v>
      </c>
      <c r="EH5" s="180" t="s">
        <v>21</v>
      </c>
      <c r="EI5" s="180" t="s">
        <v>21</v>
      </c>
      <c r="EJ5" s="180" t="s">
        <v>21</v>
      </c>
      <c r="EK5" s="180" t="s">
        <v>27</v>
      </c>
      <c r="EL5" s="180" t="s">
        <v>27</v>
      </c>
      <c r="EM5" s="180" t="s">
        <v>21</v>
      </c>
      <c r="EN5" s="180" t="s">
        <v>22</v>
      </c>
      <c r="EO5" s="180" t="s">
        <v>27</v>
      </c>
      <c r="EP5" s="180" t="s">
        <v>27</v>
      </c>
      <c r="EQ5" s="180" t="s">
        <v>21</v>
      </c>
      <c r="ER5" s="180" t="s">
        <v>21</v>
      </c>
      <c r="ES5" s="180" t="s">
        <v>21</v>
      </c>
      <c r="ET5" s="180" t="s">
        <v>21</v>
      </c>
      <c r="EU5" s="180" t="s">
        <v>21</v>
      </c>
      <c r="EV5" s="180" t="s">
        <v>21</v>
      </c>
      <c r="EW5" s="180" t="s">
        <v>21</v>
      </c>
      <c r="EX5" s="180" t="s">
        <v>21</v>
      </c>
      <c r="EY5" s="180" t="s">
        <v>27</v>
      </c>
      <c r="EZ5" s="180" t="s">
        <v>27</v>
      </c>
      <c r="FA5" s="180" t="s">
        <v>27</v>
      </c>
      <c r="FB5" s="180" t="s">
        <v>45</v>
      </c>
      <c r="FC5" s="180" t="s">
        <v>45</v>
      </c>
      <c r="FD5" s="180" t="s">
        <v>45</v>
      </c>
      <c r="FE5" s="180" t="s">
        <v>22</v>
      </c>
      <c r="FF5" s="180" t="s">
        <v>22</v>
      </c>
      <c r="FG5" s="180" t="s">
        <v>27</v>
      </c>
      <c r="FH5" s="180" t="s">
        <v>22</v>
      </c>
      <c r="FI5" s="180" t="s">
        <v>27</v>
      </c>
      <c r="FJ5" s="180" t="s">
        <v>22</v>
      </c>
      <c r="FK5" s="180" t="s">
        <v>27</v>
      </c>
      <c r="FL5" s="180" t="s">
        <v>22</v>
      </c>
      <c r="FM5" s="180" t="s">
        <v>27</v>
      </c>
      <c r="FN5" s="180" t="s">
        <v>22</v>
      </c>
      <c r="FO5" s="180" t="s">
        <v>27</v>
      </c>
      <c r="FP5" s="180" t="s">
        <v>21</v>
      </c>
      <c r="FQ5" s="180" t="s">
        <v>22</v>
      </c>
      <c r="FR5" s="180" t="s">
        <v>21</v>
      </c>
      <c r="FS5" s="180" t="s">
        <v>21</v>
      </c>
      <c r="FT5" s="180" t="s">
        <v>21</v>
      </c>
      <c r="FU5" s="180" t="s">
        <v>22</v>
      </c>
      <c r="FV5" s="180" t="s">
        <v>174</v>
      </c>
      <c r="FW5" s="180" t="s">
        <v>21</v>
      </c>
      <c r="FX5" s="180" t="s">
        <v>45</v>
      </c>
      <c r="FY5" s="180" t="s">
        <v>27</v>
      </c>
      <c r="FZ5" s="180" t="s">
        <v>22</v>
      </c>
      <c r="GA5" s="180" t="s">
        <v>21</v>
      </c>
      <c r="GB5" s="180" t="s">
        <v>174</v>
      </c>
      <c r="GC5" s="180" t="s">
        <v>174</v>
      </c>
      <c r="GD5" s="180" t="s">
        <v>21</v>
      </c>
      <c r="GE5" s="180" t="s">
        <v>22</v>
      </c>
      <c r="GF5" s="180" t="s">
        <v>27</v>
      </c>
      <c r="GG5" s="180"/>
      <c r="GH5" s="967"/>
      <c r="GI5" s="967"/>
      <c r="GJ5" s="968"/>
      <c r="GK5" s="969"/>
      <c r="GL5" s="970"/>
      <c r="GM5" s="969"/>
      <c r="GN5" s="3063"/>
      <c r="GO5" s="971"/>
      <c r="GP5" s="971"/>
      <c r="GQ5" s="971"/>
      <c r="GR5" s="971"/>
      <c r="GS5" s="971"/>
      <c r="GT5" s="971"/>
      <c r="GU5" s="971"/>
      <c r="GV5" s="970"/>
      <c r="GW5" s="968"/>
    </row>
    <row r="6" spans="1:262" s="95" customFormat="1" ht="30" customHeight="1" thickBot="1">
      <c r="A6" s="5524" t="s">
        <v>177</v>
      </c>
      <c r="B6" s="180" t="s">
        <v>182</v>
      </c>
      <c r="C6" s="180" t="s">
        <v>1231</v>
      </c>
      <c r="D6" s="180" t="s">
        <v>183</v>
      </c>
      <c r="E6" s="180" t="s">
        <v>183</v>
      </c>
      <c r="F6" s="180" t="s">
        <v>819</v>
      </c>
      <c r="G6" s="180" t="s">
        <v>184</v>
      </c>
      <c r="H6" s="180" t="s">
        <v>825</v>
      </c>
      <c r="I6" s="180" t="s">
        <v>186</v>
      </c>
      <c r="J6" s="180" t="s">
        <v>297</v>
      </c>
      <c r="K6" s="180"/>
      <c r="L6" s="180" t="s">
        <v>185</v>
      </c>
      <c r="M6" s="180" t="s">
        <v>187</v>
      </c>
      <c r="N6" s="180" t="s">
        <v>189</v>
      </c>
      <c r="O6" s="180" t="s">
        <v>188</v>
      </c>
      <c r="P6" s="180" t="s">
        <v>190</v>
      </c>
      <c r="Q6" s="180" t="s">
        <v>677</v>
      </c>
      <c r="R6" s="180" t="s">
        <v>1081</v>
      </c>
      <c r="S6" s="180" t="s">
        <v>193</v>
      </c>
      <c r="T6" s="180" t="s">
        <v>194</v>
      </c>
      <c r="U6" s="180" t="s">
        <v>188</v>
      </c>
      <c r="V6" s="180" t="s">
        <v>196</v>
      </c>
      <c r="W6" s="180" t="s">
        <v>198</v>
      </c>
      <c r="X6" s="180" t="s">
        <v>191</v>
      </c>
      <c r="Y6" s="180" t="s">
        <v>678</v>
      </c>
      <c r="Z6" s="180" t="s">
        <v>195</v>
      </c>
      <c r="AA6" s="180" t="s">
        <v>197</v>
      </c>
      <c r="AB6" s="180" t="s">
        <v>252</v>
      </c>
      <c r="AC6" s="180" t="s">
        <v>199</v>
      </c>
      <c r="AD6" s="180" t="s">
        <v>199</v>
      </c>
      <c r="AE6" s="180" t="s">
        <v>192</v>
      </c>
      <c r="AF6" s="1430" t="s">
        <v>826</v>
      </c>
      <c r="AG6" s="1430" t="s">
        <v>827</v>
      </c>
      <c r="AH6" s="180" t="s">
        <v>200</v>
      </c>
      <c r="AI6" s="180" t="s">
        <v>200</v>
      </c>
      <c r="AJ6" s="180" t="s">
        <v>201</v>
      </c>
      <c r="AK6" s="180" t="s">
        <v>202</v>
      </c>
      <c r="AL6" s="180" t="s">
        <v>679</v>
      </c>
      <c r="AM6" s="180" t="s">
        <v>680</v>
      </c>
      <c r="AN6" s="180" t="s">
        <v>183</v>
      </c>
      <c r="AO6" s="180" t="s">
        <v>183</v>
      </c>
      <c r="AP6" s="180" t="s">
        <v>203</v>
      </c>
      <c r="AQ6" s="180" t="s">
        <v>820</v>
      </c>
      <c r="AR6" s="180" t="s">
        <v>820</v>
      </c>
      <c r="AS6" s="180" t="s">
        <v>204</v>
      </c>
      <c r="AT6" s="180" t="s">
        <v>204</v>
      </c>
      <c r="AU6" s="180"/>
      <c r="AV6" s="180" t="s">
        <v>1191</v>
      </c>
      <c r="AW6" s="180" t="s">
        <v>205</v>
      </c>
      <c r="AX6" s="180" t="s">
        <v>190</v>
      </c>
      <c r="AY6" s="180" t="s">
        <v>191</v>
      </c>
      <c r="AZ6" s="180" t="s">
        <v>681</v>
      </c>
      <c r="BA6" s="180" t="s">
        <v>253</v>
      </c>
      <c r="BB6" s="180" t="s">
        <v>192</v>
      </c>
      <c r="BC6" s="180" t="s">
        <v>206</v>
      </c>
      <c r="BD6" s="180" t="s">
        <v>207</v>
      </c>
      <c r="BE6" s="180" t="s">
        <v>207</v>
      </c>
      <c r="BF6" s="180" t="s">
        <v>207</v>
      </c>
      <c r="BG6" s="180" t="s">
        <v>209</v>
      </c>
      <c r="BH6" s="180" t="s">
        <v>209</v>
      </c>
      <c r="BI6" s="180" t="s">
        <v>208</v>
      </c>
      <c r="BJ6" s="180" t="s">
        <v>829</v>
      </c>
      <c r="BK6" s="180" t="s">
        <v>217</v>
      </c>
      <c r="BL6" s="180" t="s">
        <v>210</v>
      </c>
      <c r="BM6" s="180" t="s">
        <v>211</v>
      </c>
      <c r="BN6" s="180" t="s">
        <v>213</v>
      </c>
      <c r="BO6" s="180" t="s">
        <v>214</v>
      </c>
      <c r="BP6" s="180" t="s">
        <v>215</v>
      </c>
      <c r="BQ6" s="180" t="s">
        <v>216</v>
      </c>
      <c r="BR6" s="1430" t="s">
        <v>216</v>
      </c>
      <c r="BS6" s="180" t="s">
        <v>192</v>
      </c>
      <c r="BT6" s="180" t="s">
        <v>218</v>
      </c>
      <c r="BU6" s="180" t="s">
        <v>200</v>
      </c>
      <c r="BV6" s="180" t="s">
        <v>683</v>
      </c>
      <c r="BW6" s="180"/>
      <c r="BX6" s="180" t="s">
        <v>219</v>
      </c>
      <c r="BY6" s="180" t="s">
        <v>196</v>
      </c>
      <c r="BZ6" s="180" t="s">
        <v>192</v>
      </c>
      <c r="CA6" s="180" t="s">
        <v>220</v>
      </c>
      <c r="CB6" s="180" t="s">
        <v>221</v>
      </c>
      <c r="CC6" s="180" t="s">
        <v>222</v>
      </c>
      <c r="CD6" s="180" t="s">
        <v>223</v>
      </c>
      <c r="CE6" s="180" t="s">
        <v>224</v>
      </c>
      <c r="CF6" s="1430" t="s">
        <v>830</v>
      </c>
      <c r="CG6" s="180" t="s">
        <v>685</v>
      </c>
      <c r="CH6" s="180" t="s">
        <v>225</v>
      </c>
      <c r="CI6" s="180" t="s">
        <v>226</v>
      </c>
      <c r="CJ6" s="180" t="s">
        <v>227</v>
      </c>
      <c r="CK6" s="180" t="s">
        <v>1162</v>
      </c>
      <c r="CL6" s="180" t="s">
        <v>228</v>
      </c>
      <c r="CM6" s="180" t="s">
        <v>229</v>
      </c>
      <c r="CN6" s="180" t="s">
        <v>232</v>
      </c>
      <c r="CO6" s="180" t="s">
        <v>231</v>
      </c>
      <c r="CP6" s="180" t="s">
        <v>230</v>
      </c>
      <c r="CQ6" s="180" t="s">
        <v>218</v>
      </c>
      <c r="CR6" s="180" t="s">
        <v>822</v>
      </c>
      <c r="CS6" s="180" t="s">
        <v>821</v>
      </c>
      <c r="CT6" s="180" t="s">
        <v>865</v>
      </c>
      <c r="CU6" s="180" t="s">
        <v>1623</v>
      </c>
      <c r="CV6" s="180" t="s">
        <v>1629</v>
      </c>
      <c r="CW6" s="180" t="s">
        <v>838</v>
      </c>
      <c r="CX6" s="180" t="s">
        <v>1624</v>
      </c>
      <c r="CY6" s="180">
        <v>20</v>
      </c>
      <c r="CZ6" s="180" t="s">
        <v>1597</v>
      </c>
      <c r="DA6" s="180" t="s">
        <v>1598</v>
      </c>
      <c r="DB6" s="180" t="s">
        <v>869</v>
      </c>
      <c r="DC6" s="180" t="s">
        <v>1082</v>
      </c>
      <c r="DD6" s="180" t="s">
        <v>1630</v>
      </c>
      <c r="DE6" s="180" t="s">
        <v>1631</v>
      </c>
      <c r="DF6" s="180" t="s">
        <v>1631</v>
      </c>
      <c r="DG6" s="180" t="s">
        <v>880</v>
      </c>
      <c r="DH6" s="180" t="s">
        <v>1625</v>
      </c>
      <c r="DI6" s="180" t="s">
        <v>1077</v>
      </c>
      <c r="DJ6" s="180" t="s">
        <v>1627</v>
      </c>
      <c r="DK6" s="180" t="s">
        <v>1106</v>
      </c>
      <c r="DL6" s="180" t="s">
        <v>1111</v>
      </c>
      <c r="DM6" s="180" t="s">
        <v>1160</v>
      </c>
      <c r="DN6" s="180" t="s">
        <v>1082</v>
      </c>
      <c r="DO6" s="180" t="s">
        <v>1167</v>
      </c>
      <c r="DP6" s="180">
        <v>50</v>
      </c>
      <c r="DQ6" s="180" t="s">
        <v>1181</v>
      </c>
      <c r="DR6" s="180" t="s">
        <v>1183</v>
      </c>
      <c r="DS6" s="180" t="s">
        <v>244</v>
      </c>
      <c r="DT6" s="180" t="s">
        <v>1210</v>
      </c>
      <c r="DU6" s="180">
        <v>35</v>
      </c>
      <c r="DV6" s="180" t="s">
        <v>1628</v>
      </c>
      <c r="DW6" s="180" t="s">
        <v>1626</v>
      </c>
      <c r="DX6" s="180" t="s">
        <v>1809</v>
      </c>
      <c r="DY6" s="180"/>
      <c r="DZ6" s="180" t="s">
        <v>855</v>
      </c>
      <c r="EA6" s="180" t="s">
        <v>228</v>
      </c>
      <c r="EB6" s="180" t="s">
        <v>831</v>
      </c>
      <c r="EC6" s="180" t="s">
        <v>233</v>
      </c>
      <c r="ED6" s="180" t="s">
        <v>234</v>
      </c>
      <c r="EE6" s="180" t="s">
        <v>248</v>
      </c>
      <c r="EF6" s="180"/>
      <c r="EG6" s="180" t="s">
        <v>238</v>
      </c>
      <c r="EH6" s="180" t="s">
        <v>235</v>
      </c>
      <c r="EI6" s="180" t="s">
        <v>236</v>
      </c>
      <c r="EJ6" s="180" t="s">
        <v>237</v>
      </c>
      <c r="EK6" s="180" t="s">
        <v>242</v>
      </c>
      <c r="EL6" s="180" t="s">
        <v>241</v>
      </c>
      <c r="EM6" s="180" t="s">
        <v>239</v>
      </c>
      <c r="EN6" s="180" t="s">
        <v>240</v>
      </c>
      <c r="EO6" s="180" t="s">
        <v>244</v>
      </c>
      <c r="EP6" s="180" t="s">
        <v>243</v>
      </c>
      <c r="EQ6" s="180" t="s">
        <v>201</v>
      </c>
      <c r="ER6" s="180" t="s">
        <v>245</v>
      </c>
      <c r="ES6" s="180" t="s">
        <v>196</v>
      </c>
      <c r="ET6" s="180" t="s">
        <v>246</v>
      </c>
      <c r="EU6" s="180" t="s">
        <v>201</v>
      </c>
      <c r="EV6" s="180" t="s">
        <v>247</v>
      </c>
      <c r="EW6" s="180" t="s">
        <v>216</v>
      </c>
      <c r="EX6" s="180" t="s">
        <v>247</v>
      </c>
      <c r="EY6" s="180" t="s">
        <v>249</v>
      </c>
      <c r="EZ6" s="180" t="s">
        <v>250</v>
      </c>
      <c r="FA6" s="180" t="s">
        <v>218</v>
      </c>
      <c r="FB6" s="180" t="s">
        <v>251</v>
      </c>
      <c r="FC6" s="180" t="s">
        <v>251</v>
      </c>
      <c r="FD6" s="180" t="s">
        <v>823</v>
      </c>
      <c r="FE6" s="180" t="s">
        <v>228</v>
      </c>
      <c r="FF6" s="180" t="s">
        <v>228</v>
      </c>
      <c r="FG6" s="180" t="s">
        <v>248</v>
      </c>
      <c r="FH6" s="180" t="s">
        <v>248</v>
      </c>
      <c r="FI6" s="180" t="s">
        <v>248</v>
      </c>
      <c r="FJ6" s="180" t="s">
        <v>248</v>
      </c>
      <c r="FK6" s="180" t="s">
        <v>212</v>
      </c>
      <c r="FL6" s="180" t="s">
        <v>824</v>
      </c>
      <c r="FM6" s="180" t="s">
        <v>863</v>
      </c>
      <c r="FN6" s="180" t="s">
        <v>248</v>
      </c>
      <c r="FO6" s="180" t="s">
        <v>878</v>
      </c>
      <c r="FP6" s="180" t="s">
        <v>864</v>
      </c>
      <c r="FQ6" s="180" t="s">
        <v>1635</v>
      </c>
      <c r="FR6" s="180" t="s">
        <v>1633</v>
      </c>
      <c r="FS6" s="180" t="s">
        <v>1632</v>
      </c>
      <c r="FT6" s="180" t="s">
        <v>1634</v>
      </c>
      <c r="FU6" s="180" t="s">
        <v>1034</v>
      </c>
      <c r="FV6" s="180" t="s">
        <v>1038</v>
      </c>
      <c r="FW6" s="180" t="s">
        <v>1084</v>
      </c>
      <c r="FX6" s="180" t="s">
        <v>1203</v>
      </c>
      <c r="FY6" s="180">
        <v>220</v>
      </c>
      <c r="FZ6" s="180">
        <v>212</v>
      </c>
      <c r="GA6" s="180" t="s">
        <v>1184</v>
      </c>
      <c r="GB6" s="180" t="s">
        <v>1233</v>
      </c>
      <c r="GC6" s="180">
        <v>100</v>
      </c>
      <c r="GD6" s="180">
        <v>115</v>
      </c>
      <c r="GE6" s="180" t="s">
        <v>1828</v>
      </c>
      <c r="GF6" s="180" t="s">
        <v>1828</v>
      </c>
      <c r="GG6" s="180"/>
      <c r="GH6" s="967"/>
      <c r="GI6" s="967"/>
      <c r="GJ6" s="968"/>
      <c r="GK6" s="969"/>
      <c r="GL6" s="970"/>
      <c r="GM6" s="969"/>
      <c r="GN6" s="3063"/>
      <c r="GO6" s="971"/>
      <c r="GP6" s="971"/>
      <c r="GQ6" s="971"/>
      <c r="GR6" s="971"/>
      <c r="GS6" s="971"/>
      <c r="GT6" s="971"/>
      <c r="GU6" s="971"/>
      <c r="GV6" s="970"/>
      <c r="GW6" s="968"/>
    </row>
    <row r="7" spans="1:262" s="95" customFormat="1" ht="19.5" customHeight="1" thickBot="1">
      <c r="A7" s="5525"/>
      <c r="B7" s="180">
        <v>0</v>
      </c>
      <c r="C7" s="180">
        <v>260</v>
      </c>
      <c r="D7" s="180">
        <f>1*210</f>
        <v>210</v>
      </c>
      <c r="E7" s="180">
        <f>1*210</f>
        <v>210</v>
      </c>
      <c r="F7" s="180">
        <v>365</v>
      </c>
      <c r="G7" s="180">
        <v>108</v>
      </c>
      <c r="H7" s="180">
        <v>0</v>
      </c>
      <c r="I7" s="180">
        <f>1*273+1*139</f>
        <v>412</v>
      </c>
      <c r="J7" s="180">
        <f>1*235+1*125</f>
        <v>360</v>
      </c>
      <c r="K7" s="180"/>
      <c r="L7" s="180">
        <f>1*32</f>
        <v>32</v>
      </c>
      <c r="M7" s="180">
        <f>2*150+1*150</f>
        <v>450</v>
      </c>
      <c r="N7" s="180">
        <v>335</v>
      </c>
      <c r="O7" s="180">
        <v>100</v>
      </c>
      <c r="P7" s="180">
        <f>6*17</f>
        <v>102</v>
      </c>
      <c r="Q7" s="180">
        <v>55</v>
      </c>
      <c r="R7" s="180">
        <v>335</v>
      </c>
      <c r="S7" s="180">
        <f xml:space="preserve"> 1*210</f>
        <v>210</v>
      </c>
      <c r="T7" s="180">
        <f>2*105</f>
        <v>210</v>
      </c>
      <c r="U7" s="180">
        <v>100</v>
      </c>
      <c r="V7" s="180">
        <v>102</v>
      </c>
      <c r="W7" s="180">
        <v>149</v>
      </c>
      <c r="X7" s="180">
        <v>100</v>
      </c>
      <c r="Y7" s="180">
        <v>108</v>
      </c>
      <c r="Z7" s="180"/>
      <c r="AA7" s="180">
        <v>51</v>
      </c>
      <c r="AB7" s="180">
        <v>54</v>
      </c>
      <c r="AC7" s="180">
        <v>55</v>
      </c>
      <c r="AD7" s="180">
        <v>55</v>
      </c>
      <c r="AE7" s="180">
        <v>22</v>
      </c>
      <c r="AF7" s="1430">
        <v>45</v>
      </c>
      <c r="AG7" s="1430">
        <v>35</v>
      </c>
      <c r="AH7" s="180">
        <v>33</v>
      </c>
      <c r="AI7" s="180">
        <v>33</v>
      </c>
      <c r="AJ7" s="180">
        <v>52</v>
      </c>
      <c r="AK7" s="180">
        <f>1* 105</f>
        <v>105</v>
      </c>
      <c r="AL7" s="180">
        <f>2*40+50</f>
        <v>130</v>
      </c>
      <c r="AM7" s="180">
        <f>2*50</f>
        <v>100</v>
      </c>
      <c r="AN7" s="180">
        <f>1*210</f>
        <v>210</v>
      </c>
      <c r="AO7" s="180">
        <f>1*210</f>
        <v>210</v>
      </c>
      <c r="AP7" s="180">
        <v>25</v>
      </c>
      <c r="AQ7" s="180">
        <v>225</v>
      </c>
      <c r="AR7" s="180">
        <v>225</v>
      </c>
      <c r="AS7" s="180">
        <f>1*150</f>
        <v>150</v>
      </c>
      <c r="AT7" s="180">
        <f>1*150</f>
        <v>150</v>
      </c>
      <c r="AU7" s="180"/>
      <c r="AV7" s="180">
        <v>22</v>
      </c>
      <c r="AW7" s="180">
        <v>98</v>
      </c>
      <c r="AX7" s="180">
        <f>6*17</f>
        <v>102</v>
      </c>
      <c r="AY7" s="180">
        <v>100</v>
      </c>
      <c r="AZ7" s="545">
        <v>108</v>
      </c>
      <c r="BA7" s="180">
        <v>50</v>
      </c>
      <c r="BB7" s="180">
        <v>22</v>
      </c>
      <c r="BC7" s="180"/>
      <c r="BD7" s="180">
        <v>0</v>
      </c>
      <c r="BE7" s="180">
        <v>0</v>
      </c>
      <c r="BF7" s="180">
        <f>1*150</f>
        <v>150</v>
      </c>
      <c r="BG7" s="180">
        <v>360</v>
      </c>
      <c r="BH7" s="180">
        <f>1*360</f>
        <v>360</v>
      </c>
      <c r="BI7" s="180">
        <v>221</v>
      </c>
      <c r="BJ7" s="180">
        <v>195</v>
      </c>
      <c r="BK7" s="180">
        <f>1*106+1*57</f>
        <v>163</v>
      </c>
      <c r="BL7" s="545">
        <v>53</v>
      </c>
      <c r="BM7" s="180">
        <v>55</v>
      </c>
      <c r="BN7" s="180">
        <v>53</v>
      </c>
      <c r="BO7" s="180">
        <v>51</v>
      </c>
      <c r="BP7" s="180">
        <v>85</v>
      </c>
      <c r="BQ7" s="180">
        <v>52</v>
      </c>
      <c r="BR7" s="1430">
        <v>52</v>
      </c>
      <c r="BS7" s="180">
        <v>22</v>
      </c>
      <c r="BT7" s="180">
        <v>11</v>
      </c>
      <c r="BU7" s="180">
        <v>33</v>
      </c>
      <c r="BV7" s="180">
        <v>25</v>
      </c>
      <c r="BW7" s="180">
        <v>160</v>
      </c>
      <c r="BX7" s="180">
        <f>4*35+1*70</f>
        <v>210</v>
      </c>
      <c r="BY7" s="180">
        <v>95</v>
      </c>
      <c r="BZ7" s="180">
        <v>22</v>
      </c>
      <c r="CA7" s="180">
        <f>1*3</f>
        <v>3</v>
      </c>
      <c r="CB7" s="180">
        <f>2*32+1*33</f>
        <v>97</v>
      </c>
      <c r="CC7" s="180">
        <v>104</v>
      </c>
      <c r="CD7" s="180">
        <v>51</v>
      </c>
      <c r="CE7" s="180">
        <v>50</v>
      </c>
      <c r="CF7" s="1430">
        <v>163</v>
      </c>
      <c r="CG7" s="180">
        <v>330</v>
      </c>
      <c r="CH7" s="180">
        <f>2*35</f>
        <v>70</v>
      </c>
      <c r="CI7" s="180">
        <v>86</v>
      </c>
      <c r="CJ7" s="180">
        <v>50</v>
      </c>
      <c r="CK7" s="180">
        <f>1*142+1*89</f>
        <v>231</v>
      </c>
      <c r="CL7" s="180">
        <f>1*20</f>
        <v>20</v>
      </c>
      <c r="CM7" s="180">
        <v>50</v>
      </c>
      <c r="CN7" s="180">
        <v>10</v>
      </c>
      <c r="CO7" s="180">
        <f>1*222+1*119</f>
        <v>341</v>
      </c>
      <c r="CP7" s="180">
        <v>25</v>
      </c>
      <c r="CQ7" s="180">
        <v>11</v>
      </c>
      <c r="CR7" s="180">
        <v>200</v>
      </c>
      <c r="CS7" s="180">
        <v>300</v>
      </c>
      <c r="CT7" s="180">
        <v>300</v>
      </c>
      <c r="CU7" s="180">
        <v>100</v>
      </c>
      <c r="CV7" s="180">
        <v>200</v>
      </c>
      <c r="CW7" s="180">
        <v>100</v>
      </c>
      <c r="CX7" s="180">
        <v>149</v>
      </c>
      <c r="CY7" s="180">
        <v>20</v>
      </c>
      <c r="CZ7" s="180">
        <v>100</v>
      </c>
      <c r="DA7" s="180">
        <v>200</v>
      </c>
      <c r="DB7" s="180">
        <v>150</v>
      </c>
      <c r="DC7" s="180">
        <v>400</v>
      </c>
      <c r="DD7" s="180">
        <v>115</v>
      </c>
      <c r="DE7" s="180">
        <v>105</v>
      </c>
      <c r="DF7" s="180">
        <v>105</v>
      </c>
      <c r="DG7" s="180">
        <v>7</v>
      </c>
      <c r="DH7" s="180">
        <v>300</v>
      </c>
      <c r="DI7" s="180">
        <v>54</v>
      </c>
      <c r="DJ7" s="180">
        <v>110</v>
      </c>
      <c r="DK7" s="180">
        <v>114</v>
      </c>
      <c r="DL7" s="180">
        <v>113</v>
      </c>
      <c r="DM7" s="180">
        <v>100</v>
      </c>
      <c r="DN7" s="180">
        <v>383</v>
      </c>
      <c r="DO7" s="180">
        <v>104</v>
      </c>
      <c r="DP7" s="180">
        <v>50</v>
      </c>
      <c r="DQ7" s="180">
        <v>162</v>
      </c>
      <c r="DR7" s="180">
        <v>116</v>
      </c>
      <c r="DS7" s="180">
        <v>100</v>
      </c>
      <c r="DT7" s="180">
        <v>54</v>
      </c>
      <c r="DU7" s="180">
        <v>35</v>
      </c>
      <c r="DV7" s="180">
        <v>115</v>
      </c>
      <c r="DW7" s="180">
        <v>55</v>
      </c>
      <c r="DX7" s="180">
        <v>284</v>
      </c>
      <c r="DY7" s="180"/>
      <c r="DZ7" s="180">
        <v>1000</v>
      </c>
      <c r="EA7" s="180">
        <f>1*20</f>
        <v>20</v>
      </c>
      <c r="EB7" s="180">
        <v>410</v>
      </c>
      <c r="EC7" s="180"/>
      <c r="ED7" s="180">
        <v>115</v>
      </c>
      <c r="EE7" s="180">
        <v>230</v>
      </c>
      <c r="EF7" s="180"/>
      <c r="EG7" s="180"/>
      <c r="EH7" s="180">
        <v>54</v>
      </c>
      <c r="EI7" s="180">
        <v>109</v>
      </c>
      <c r="EJ7" s="180">
        <v>40</v>
      </c>
      <c r="EK7" s="180">
        <f>2*63+1*68</f>
        <v>194</v>
      </c>
      <c r="EL7" s="180">
        <v>40</v>
      </c>
      <c r="EM7" s="545">
        <v>110</v>
      </c>
      <c r="EN7" s="180">
        <f>2*20</f>
        <v>40</v>
      </c>
      <c r="EO7" s="180">
        <f>1*100</f>
        <v>100</v>
      </c>
      <c r="EP7" s="180">
        <f>1*71</f>
        <v>71</v>
      </c>
      <c r="EQ7" s="180">
        <v>52</v>
      </c>
      <c r="ER7" s="180">
        <v>71</v>
      </c>
      <c r="ES7" s="545">
        <v>104</v>
      </c>
      <c r="ET7" s="180">
        <v>50</v>
      </c>
      <c r="EU7" s="180">
        <v>50</v>
      </c>
      <c r="EV7" s="180">
        <v>50</v>
      </c>
      <c r="EW7" s="180">
        <v>52</v>
      </c>
      <c r="EX7" s="180">
        <v>50</v>
      </c>
      <c r="EY7" s="180">
        <v>22</v>
      </c>
      <c r="EZ7" s="180">
        <v>20</v>
      </c>
      <c r="FA7" s="180">
        <v>11</v>
      </c>
      <c r="FB7" s="180">
        <f>1*125</f>
        <v>125</v>
      </c>
      <c r="FC7" s="180">
        <f>1*125</f>
        <v>125</v>
      </c>
      <c r="FD7" s="180">
        <v>274</v>
      </c>
      <c r="FE7" s="180">
        <f>1*20</f>
        <v>20</v>
      </c>
      <c r="FF7" s="180">
        <f>1*20</f>
        <v>20</v>
      </c>
      <c r="FG7" s="180">
        <v>210</v>
      </c>
      <c r="FH7" s="180">
        <v>210</v>
      </c>
      <c r="FI7" s="180">
        <v>220</v>
      </c>
      <c r="FJ7" s="180">
        <v>220</v>
      </c>
      <c r="FK7" s="180">
        <v>0</v>
      </c>
      <c r="FL7" s="180">
        <v>100</v>
      </c>
      <c r="FM7" s="180">
        <v>220</v>
      </c>
      <c r="FN7" s="180">
        <v>220</v>
      </c>
      <c r="FO7" s="180">
        <v>414</v>
      </c>
      <c r="FP7" s="180">
        <v>105</v>
      </c>
      <c r="FQ7" s="180">
        <v>200</v>
      </c>
      <c r="FR7" s="180">
        <v>113</v>
      </c>
      <c r="FS7" s="180">
        <v>105</v>
      </c>
      <c r="FT7" s="180">
        <v>113</v>
      </c>
      <c r="FU7" s="180"/>
      <c r="FV7" s="180">
        <v>8</v>
      </c>
      <c r="FW7" s="180">
        <v>113</v>
      </c>
      <c r="FX7" s="180">
        <v>1244</v>
      </c>
      <c r="FY7" s="180">
        <v>220</v>
      </c>
      <c r="FZ7" s="180">
        <v>220</v>
      </c>
      <c r="GA7" s="180">
        <v>150</v>
      </c>
      <c r="GB7" s="180">
        <v>6</v>
      </c>
      <c r="GC7" s="180">
        <v>100</v>
      </c>
      <c r="GD7" s="180">
        <v>115</v>
      </c>
      <c r="GE7" s="180">
        <v>0</v>
      </c>
      <c r="GF7" s="180">
        <v>0</v>
      </c>
      <c r="GG7" s="180"/>
      <c r="GH7" s="967"/>
      <c r="GI7" s="967"/>
      <c r="GJ7" s="968"/>
      <c r="GK7" s="969"/>
      <c r="GL7" s="970"/>
      <c r="GM7" s="969"/>
      <c r="GN7" s="3063"/>
      <c r="GO7" s="971"/>
      <c r="GP7" s="971"/>
      <c r="GQ7" s="971"/>
      <c r="GR7" s="971"/>
      <c r="GS7" s="971"/>
      <c r="GT7" s="971"/>
      <c r="GU7" s="971"/>
      <c r="GV7" s="970"/>
      <c r="GW7" s="968"/>
      <c r="GY7" s="2877">
        <f>O7+P7+Q7+U7+V7+W7+X7+Y7+AA7+AB7+AC7+AD7+AJ7+AP7+AV7+AW7+AX7+AY7+AZ7+BA7+BQ7+BY7+CS7+CV7+CX7+DA7+DB7+CZ7+DD7+DE7+DF7+DH7+DI7+DJ7+DK7+DL7+DM7+DO7+DQ7+DR7+ED7+EH7+EI7+EJ7+EM7+EQ7+ER7+ES7+ET7+EU7+EV7+EW7+EX7+FP7+FR7+FS7+FT7+FW7+GA7+BR7</f>
        <v>5990</v>
      </c>
      <c r="GZ7" s="95">
        <f>AR7+AT7+CR7+CT7+CU7+CW7+EA7+EE7+EN7+FE7+FF7+FH7+FI7+FL7+FN7+FQ7</f>
        <v>2355</v>
      </c>
    </row>
    <row r="8" spans="1:262" s="95" customFormat="1" ht="24" customHeight="1" thickBot="1">
      <c r="A8" s="538" t="s">
        <v>178</v>
      </c>
      <c r="B8" s="180">
        <v>0</v>
      </c>
      <c r="C8" s="180">
        <v>260</v>
      </c>
      <c r="D8" s="180">
        <v>180</v>
      </c>
      <c r="E8" s="180">
        <v>190</v>
      </c>
      <c r="F8" s="180">
        <v>365</v>
      </c>
      <c r="G8" s="180">
        <v>108</v>
      </c>
      <c r="H8" s="180"/>
      <c r="I8" s="180">
        <v>412</v>
      </c>
      <c r="J8" s="180">
        <v>360</v>
      </c>
      <c r="K8" s="180"/>
      <c r="L8" s="180">
        <v>20</v>
      </c>
      <c r="M8" s="180">
        <v>450</v>
      </c>
      <c r="N8" s="180">
        <v>335</v>
      </c>
      <c r="O8" s="180">
        <v>100</v>
      </c>
      <c r="P8" s="180">
        <v>102</v>
      </c>
      <c r="Q8" s="180">
        <v>55</v>
      </c>
      <c r="R8" s="180">
        <v>335</v>
      </c>
      <c r="S8" s="180">
        <v>115</v>
      </c>
      <c r="T8" s="180">
        <v>210</v>
      </c>
      <c r="U8" s="180">
        <v>100</v>
      </c>
      <c r="V8" s="180">
        <v>102</v>
      </c>
      <c r="W8" s="180">
        <v>149</v>
      </c>
      <c r="X8" s="180">
        <v>0</v>
      </c>
      <c r="Y8" s="180">
        <v>0</v>
      </c>
      <c r="Z8" s="180"/>
      <c r="AA8" s="180">
        <v>0</v>
      </c>
      <c r="AB8" s="180">
        <v>54</v>
      </c>
      <c r="AC8" s="180">
        <v>55</v>
      </c>
      <c r="AD8" s="180">
        <v>55</v>
      </c>
      <c r="AE8" s="180">
        <v>22</v>
      </c>
      <c r="AF8" s="1430">
        <v>45</v>
      </c>
      <c r="AG8" s="1430">
        <v>35</v>
      </c>
      <c r="AH8" s="180">
        <v>33</v>
      </c>
      <c r="AI8" s="180">
        <v>33</v>
      </c>
      <c r="AJ8" s="180">
        <v>52</v>
      </c>
      <c r="AK8" s="180">
        <v>105</v>
      </c>
      <c r="AL8" s="180">
        <v>130</v>
      </c>
      <c r="AM8" s="180">
        <v>100</v>
      </c>
      <c r="AN8" s="180">
        <v>180</v>
      </c>
      <c r="AO8" s="180">
        <v>180</v>
      </c>
      <c r="AP8" s="180">
        <v>25</v>
      </c>
      <c r="AQ8" s="180">
        <v>225</v>
      </c>
      <c r="AR8" s="180">
        <v>225</v>
      </c>
      <c r="AS8" s="180">
        <v>150</v>
      </c>
      <c r="AT8" s="180">
        <v>150</v>
      </c>
      <c r="AU8" s="180"/>
      <c r="AV8" s="180">
        <v>22</v>
      </c>
      <c r="AW8" s="180">
        <v>98</v>
      </c>
      <c r="AX8" s="180">
        <v>102</v>
      </c>
      <c r="AY8" s="180">
        <v>100</v>
      </c>
      <c r="AZ8" s="180">
        <v>108</v>
      </c>
      <c r="BA8" s="180">
        <v>50</v>
      </c>
      <c r="BB8" s="180">
        <v>22</v>
      </c>
      <c r="BC8" s="180"/>
      <c r="BD8" s="180">
        <v>0</v>
      </c>
      <c r="BE8" s="180">
        <v>0</v>
      </c>
      <c r="BF8" s="180">
        <v>134</v>
      </c>
      <c r="BG8" s="180">
        <v>360</v>
      </c>
      <c r="BH8" s="180">
        <v>360</v>
      </c>
      <c r="BI8" s="180">
        <v>221</v>
      </c>
      <c r="BJ8" s="180">
        <v>195</v>
      </c>
      <c r="BK8" s="180">
        <v>163</v>
      </c>
      <c r="BL8" s="180">
        <v>45</v>
      </c>
      <c r="BM8" s="180">
        <v>55</v>
      </c>
      <c r="BN8" s="180">
        <v>53</v>
      </c>
      <c r="BO8" s="180">
        <v>51</v>
      </c>
      <c r="BP8" s="180">
        <v>85</v>
      </c>
      <c r="BQ8" s="180">
        <v>52</v>
      </c>
      <c r="BR8" s="1430">
        <v>52</v>
      </c>
      <c r="BS8" s="180">
        <v>22</v>
      </c>
      <c r="BT8" s="180">
        <v>11</v>
      </c>
      <c r="BU8" s="180">
        <v>33</v>
      </c>
      <c r="BV8" s="180">
        <v>25</v>
      </c>
      <c r="BW8" s="180">
        <v>160</v>
      </c>
      <c r="BX8" s="180">
        <v>202</v>
      </c>
      <c r="BY8" s="180">
        <v>0</v>
      </c>
      <c r="BZ8" s="180">
        <v>22</v>
      </c>
      <c r="CA8" s="180">
        <v>3</v>
      </c>
      <c r="CB8" s="180">
        <v>70</v>
      </c>
      <c r="CC8" s="180">
        <v>90</v>
      </c>
      <c r="CD8" s="180">
        <v>51</v>
      </c>
      <c r="CE8" s="180">
        <v>50</v>
      </c>
      <c r="CF8" s="1430">
        <v>163</v>
      </c>
      <c r="CG8" s="180">
        <v>330</v>
      </c>
      <c r="CH8" s="180">
        <v>66</v>
      </c>
      <c r="CI8" s="180">
        <v>86</v>
      </c>
      <c r="CJ8" s="180">
        <v>50</v>
      </c>
      <c r="CK8" s="180">
        <v>231</v>
      </c>
      <c r="CL8" s="180">
        <v>20</v>
      </c>
      <c r="CM8" s="180">
        <v>50</v>
      </c>
      <c r="CN8" s="180">
        <v>10</v>
      </c>
      <c r="CO8" s="180">
        <v>341</v>
      </c>
      <c r="CP8" s="180">
        <v>25</v>
      </c>
      <c r="CQ8" s="180">
        <v>11</v>
      </c>
      <c r="CR8" s="180">
        <v>200</v>
      </c>
      <c r="CS8" s="180">
        <v>300</v>
      </c>
      <c r="CT8" s="180">
        <v>300</v>
      </c>
      <c r="CU8" s="180">
        <v>100</v>
      </c>
      <c r="CV8" s="180">
        <v>200</v>
      </c>
      <c r="CW8" s="180">
        <v>100</v>
      </c>
      <c r="CX8" s="180">
        <v>149</v>
      </c>
      <c r="CY8" s="180">
        <v>20</v>
      </c>
      <c r="CZ8" s="180">
        <v>100</v>
      </c>
      <c r="DA8" s="180">
        <v>200</v>
      </c>
      <c r="DB8" s="180">
        <v>150</v>
      </c>
      <c r="DC8" s="180">
        <v>400</v>
      </c>
      <c r="DD8" s="180">
        <v>115</v>
      </c>
      <c r="DE8" s="180">
        <v>105</v>
      </c>
      <c r="DF8" s="180">
        <v>105</v>
      </c>
      <c r="DG8" s="180">
        <v>7</v>
      </c>
      <c r="DH8" s="180">
        <v>300</v>
      </c>
      <c r="DI8" s="180">
        <v>54</v>
      </c>
      <c r="DJ8" s="180">
        <v>110</v>
      </c>
      <c r="DK8" s="180">
        <v>114</v>
      </c>
      <c r="DL8" s="180">
        <v>113</v>
      </c>
      <c r="DM8" s="180">
        <v>100</v>
      </c>
      <c r="DN8" s="180">
        <v>383</v>
      </c>
      <c r="DO8" s="180">
        <v>104</v>
      </c>
      <c r="DP8" s="180">
        <v>50</v>
      </c>
      <c r="DQ8" s="180">
        <v>162</v>
      </c>
      <c r="DR8" s="180">
        <v>116</v>
      </c>
      <c r="DS8" s="180">
        <v>100</v>
      </c>
      <c r="DT8" s="180">
        <v>54</v>
      </c>
      <c r="DU8" s="180">
        <v>35</v>
      </c>
      <c r="DV8" s="180">
        <v>115</v>
      </c>
      <c r="DW8" s="180">
        <v>55</v>
      </c>
      <c r="DX8" s="180">
        <v>284</v>
      </c>
      <c r="DY8" s="180"/>
      <c r="DZ8" s="180">
        <v>1000</v>
      </c>
      <c r="EA8" s="180">
        <v>16</v>
      </c>
      <c r="EB8" s="180">
        <v>410</v>
      </c>
      <c r="EC8" s="180"/>
      <c r="ED8" s="180">
        <v>115</v>
      </c>
      <c r="EE8" s="180">
        <v>230</v>
      </c>
      <c r="EF8" s="180"/>
      <c r="EG8" s="180">
        <v>0</v>
      </c>
      <c r="EH8" s="180">
        <v>54</v>
      </c>
      <c r="EI8" s="180">
        <v>109</v>
      </c>
      <c r="EJ8" s="180">
        <v>40</v>
      </c>
      <c r="EK8" s="180">
        <v>194</v>
      </c>
      <c r="EL8" s="180">
        <v>40</v>
      </c>
      <c r="EM8" s="180">
        <v>110</v>
      </c>
      <c r="EN8" s="180">
        <v>30</v>
      </c>
      <c r="EO8" s="180">
        <v>100</v>
      </c>
      <c r="EP8" s="180">
        <v>71</v>
      </c>
      <c r="EQ8" s="180">
        <v>52</v>
      </c>
      <c r="ER8" s="180">
        <v>71</v>
      </c>
      <c r="ES8" s="180">
        <v>104</v>
      </c>
      <c r="ET8" s="180">
        <v>0</v>
      </c>
      <c r="EU8" s="180">
        <v>50</v>
      </c>
      <c r="EV8" s="180">
        <v>50</v>
      </c>
      <c r="EW8" s="180">
        <v>52</v>
      </c>
      <c r="EX8" s="180">
        <v>50</v>
      </c>
      <c r="EY8" s="180">
        <v>22</v>
      </c>
      <c r="EZ8" s="180"/>
      <c r="FA8" s="180">
        <v>11</v>
      </c>
      <c r="FB8" s="180">
        <v>85</v>
      </c>
      <c r="FC8" s="180">
        <v>85</v>
      </c>
      <c r="FD8" s="180">
        <v>274</v>
      </c>
      <c r="FE8" s="180">
        <v>20</v>
      </c>
      <c r="FF8" s="180">
        <v>20</v>
      </c>
      <c r="FG8" s="180">
        <v>210</v>
      </c>
      <c r="FH8" s="180">
        <v>210</v>
      </c>
      <c r="FI8" s="180">
        <v>220</v>
      </c>
      <c r="FJ8" s="180">
        <v>220</v>
      </c>
      <c r="FK8" s="180">
        <v>0</v>
      </c>
      <c r="FL8" s="180">
        <v>100</v>
      </c>
      <c r="FM8" s="180">
        <v>220</v>
      </c>
      <c r="FN8" s="180">
        <v>220</v>
      </c>
      <c r="FO8" s="180">
        <v>414</v>
      </c>
      <c r="FP8" s="180">
        <v>105</v>
      </c>
      <c r="FQ8" s="180">
        <v>200</v>
      </c>
      <c r="FR8" s="180">
        <v>113</v>
      </c>
      <c r="FS8" s="180">
        <v>105</v>
      </c>
      <c r="FT8" s="180">
        <v>113</v>
      </c>
      <c r="FU8" s="180"/>
      <c r="FV8" s="180">
        <v>8</v>
      </c>
      <c r="FW8" s="180">
        <v>113</v>
      </c>
      <c r="FX8" s="180">
        <v>1244</v>
      </c>
      <c r="FY8" s="180">
        <v>220</v>
      </c>
      <c r="FZ8" s="180">
        <v>220</v>
      </c>
      <c r="GA8" s="180">
        <v>150</v>
      </c>
      <c r="GB8" s="180">
        <v>6</v>
      </c>
      <c r="GC8" s="180">
        <v>100</v>
      </c>
      <c r="GD8" s="180">
        <v>115</v>
      </c>
      <c r="GE8" s="180"/>
      <c r="GF8" s="180"/>
      <c r="GG8" s="180"/>
      <c r="GH8" s="967"/>
      <c r="GI8" s="967"/>
      <c r="GJ8" s="968"/>
      <c r="GK8" s="969"/>
      <c r="GL8" s="970"/>
      <c r="GM8" s="969"/>
      <c r="GN8" s="3063"/>
      <c r="GO8" s="971"/>
      <c r="GP8" s="971"/>
      <c r="GQ8" s="971"/>
      <c r="GR8" s="971"/>
      <c r="GS8" s="971"/>
      <c r="GT8" s="971"/>
      <c r="GU8" s="971"/>
      <c r="GV8" s="970"/>
      <c r="GW8" s="968"/>
    </row>
    <row r="9" spans="1:262" s="95" customFormat="1" ht="19.5" customHeight="1" thickBot="1">
      <c r="A9" s="538" t="s">
        <v>25</v>
      </c>
      <c r="B9" s="180">
        <v>1.64</v>
      </c>
      <c r="C9" s="180">
        <v>1.48</v>
      </c>
      <c r="D9" s="180">
        <v>1.46</v>
      </c>
      <c r="E9" s="180">
        <v>1.49</v>
      </c>
      <c r="F9" s="180">
        <v>1.1200000000000001</v>
      </c>
      <c r="G9" s="180">
        <v>1.33</v>
      </c>
      <c r="H9" s="180">
        <v>1.7</v>
      </c>
      <c r="I9" s="180">
        <v>1.05</v>
      </c>
      <c r="J9" s="180">
        <v>1.08</v>
      </c>
      <c r="K9" s="180"/>
      <c r="L9" s="180">
        <v>2.1</v>
      </c>
      <c r="M9" s="180">
        <v>1.0900000000000001</v>
      </c>
      <c r="N9" s="180">
        <v>1.1100000000000001</v>
      </c>
      <c r="O9" s="180">
        <v>11.18</v>
      </c>
      <c r="P9" s="180">
        <v>13.25</v>
      </c>
      <c r="Q9" s="180">
        <v>13.25</v>
      </c>
      <c r="R9" s="180">
        <v>1.1200000000000001</v>
      </c>
      <c r="S9" s="180">
        <v>2.58</v>
      </c>
      <c r="T9" s="180">
        <v>1.75</v>
      </c>
      <c r="U9" s="180">
        <v>14.62</v>
      </c>
      <c r="V9" s="180">
        <v>14.07</v>
      </c>
      <c r="W9" s="180">
        <v>16.21</v>
      </c>
      <c r="X9" s="180">
        <v>9.2200000000000006</v>
      </c>
      <c r="Y9" s="180">
        <v>7.16</v>
      </c>
      <c r="Z9" s="180">
        <v>15.99</v>
      </c>
      <c r="AA9" s="180">
        <v>7.95</v>
      </c>
      <c r="AB9" s="180">
        <v>12.72</v>
      </c>
      <c r="AC9" s="180">
        <v>13.5</v>
      </c>
      <c r="AD9" s="180">
        <v>13.41</v>
      </c>
      <c r="AE9" s="180">
        <v>0.75</v>
      </c>
      <c r="AF9" s="180">
        <v>0.75</v>
      </c>
      <c r="AG9" s="180"/>
      <c r="AH9" s="180"/>
      <c r="AI9" s="180"/>
      <c r="AJ9" s="180">
        <v>17.010000000000002</v>
      </c>
      <c r="AK9" s="180">
        <v>2.44</v>
      </c>
      <c r="AL9" s="180">
        <v>0.27</v>
      </c>
      <c r="AM9" s="180">
        <v>0.27</v>
      </c>
      <c r="AN9" s="180">
        <v>1.89</v>
      </c>
      <c r="AO9" s="180">
        <v>1.89</v>
      </c>
      <c r="AP9" s="180">
        <v>16.350000000000001</v>
      </c>
      <c r="AQ9" s="180">
        <v>1.04</v>
      </c>
      <c r="AR9" s="180">
        <v>17.36</v>
      </c>
      <c r="AS9" s="180">
        <v>1.57</v>
      </c>
      <c r="AT9" s="180">
        <v>23.84</v>
      </c>
      <c r="AU9" s="180"/>
      <c r="AV9" s="180">
        <v>13.05</v>
      </c>
      <c r="AW9" s="180">
        <v>16.68</v>
      </c>
      <c r="AX9" s="180">
        <v>17.02</v>
      </c>
      <c r="AY9" s="180">
        <v>13.51</v>
      </c>
      <c r="AZ9" s="180">
        <v>12.68</v>
      </c>
      <c r="BA9" s="180">
        <v>11.57</v>
      </c>
      <c r="BB9" s="180">
        <v>1.27</v>
      </c>
      <c r="BC9" s="180">
        <v>3.33</v>
      </c>
      <c r="BD9" s="180">
        <v>1.48</v>
      </c>
      <c r="BE9" s="180">
        <v>1.48</v>
      </c>
      <c r="BF9" s="180">
        <v>1.48</v>
      </c>
      <c r="BG9" s="180">
        <v>1.1100000000000001</v>
      </c>
      <c r="BH9" s="180">
        <v>1.0900000000000001</v>
      </c>
      <c r="BI9" s="180">
        <v>1.1599999999999999</v>
      </c>
      <c r="BJ9" s="180">
        <v>1.29</v>
      </c>
      <c r="BK9" s="180">
        <v>1.22</v>
      </c>
      <c r="BL9" s="180">
        <v>1.1299999999999999</v>
      </c>
      <c r="BM9" s="180">
        <v>1.49</v>
      </c>
      <c r="BN9" s="180">
        <v>1.72</v>
      </c>
      <c r="BO9" s="180">
        <v>1.67</v>
      </c>
      <c r="BP9" s="180">
        <v>1.39</v>
      </c>
      <c r="BQ9" s="180">
        <v>17.27</v>
      </c>
      <c r="BR9" s="1430">
        <v>13.45</v>
      </c>
      <c r="BS9" s="180">
        <v>1.37</v>
      </c>
      <c r="BT9" s="180">
        <v>0.75</v>
      </c>
      <c r="BU9" s="180">
        <v>1.75</v>
      </c>
      <c r="BV9" s="180">
        <v>0.75</v>
      </c>
      <c r="BW9" s="180">
        <v>7.18</v>
      </c>
      <c r="BX9" s="180">
        <v>1.0900000000000001</v>
      </c>
      <c r="BY9" s="180">
        <v>10.5</v>
      </c>
      <c r="BZ9" s="180">
        <v>1.36</v>
      </c>
      <c r="CA9" s="180">
        <v>15.94</v>
      </c>
      <c r="CB9" s="180">
        <v>1.37</v>
      </c>
      <c r="CC9" s="180">
        <v>1.32</v>
      </c>
      <c r="CD9" s="180">
        <v>1.74</v>
      </c>
      <c r="CE9" s="180">
        <v>1.73</v>
      </c>
      <c r="CF9" s="180">
        <v>1.1499999999999999</v>
      </c>
      <c r="CG9" s="180">
        <v>1.07</v>
      </c>
      <c r="CH9" s="180">
        <v>1.94</v>
      </c>
      <c r="CI9" s="180">
        <v>2.2799999999999998</v>
      </c>
      <c r="CJ9" s="180">
        <v>1.49</v>
      </c>
      <c r="CK9" s="180">
        <v>1.01</v>
      </c>
      <c r="CL9" s="180">
        <v>2.15</v>
      </c>
      <c r="CM9" s="180">
        <v>1.49</v>
      </c>
      <c r="CN9" s="180">
        <v>1.98</v>
      </c>
      <c r="CO9" s="180">
        <v>1</v>
      </c>
      <c r="CP9" s="180">
        <v>0.75</v>
      </c>
      <c r="CQ9" s="180">
        <v>0.76</v>
      </c>
      <c r="CR9" s="180">
        <v>20.96</v>
      </c>
      <c r="CS9" s="180">
        <v>13.65</v>
      </c>
      <c r="CT9" s="180">
        <v>20.96</v>
      </c>
      <c r="CU9" s="180">
        <v>20.67</v>
      </c>
      <c r="CV9" s="180">
        <v>13.48</v>
      </c>
      <c r="CW9" s="180">
        <v>20.67</v>
      </c>
      <c r="CX9" s="180">
        <v>13.85</v>
      </c>
      <c r="CY9" s="180">
        <v>11.69</v>
      </c>
      <c r="CZ9" s="180">
        <v>10.32</v>
      </c>
      <c r="DA9" s="180">
        <v>13.66</v>
      </c>
      <c r="DB9" s="180">
        <v>13.27</v>
      </c>
      <c r="DC9" s="180">
        <v>0.92</v>
      </c>
      <c r="DD9" s="180">
        <v>12.16</v>
      </c>
      <c r="DE9" s="180">
        <v>14.46</v>
      </c>
      <c r="DF9" s="180">
        <v>12.65</v>
      </c>
      <c r="DG9" s="180"/>
      <c r="DH9" s="180">
        <v>11.74</v>
      </c>
      <c r="DI9" s="180">
        <v>10.89</v>
      </c>
      <c r="DJ9" s="180">
        <v>10.63</v>
      </c>
      <c r="DK9" s="180">
        <v>13.57</v>
      </c>
      <c r="DL9" s="180">
        <v>12.89</v>
      </c>
      <c r="DM9" s="180">
        <v>11.78</v>
      </c>
      <c r="DN9" s="180">
        <v>0.92</v>
      </c>
      <c r="DO9" s="180">
        <v>12.95</v>
      </c>
      <c r="DP9" s="180">
        <v>14.45</v>
      </c>
      <c r="DQ9" s="180">
        <v>12.69</v>
      </c>
      <c r="DR9" s="180">
        <v>11.38</v>
      </c>
      <c r="DS9" s="180">
        <v>1.29</v>
      </c>
      <c r="DT9" s="180">
        <v>13.06</v>
      </c>
      <c r="DU9" s="180">
        <v>11.95</v>
      </c>
      <c r="DV9" s="180">
        <v>14.97</v>
      </c>
      <c r="DW9" s="180">
        <v>13.17</v>
      </c>
      <c r="DX9" s="180"/>
      <c r="DY9" s="180"/>
      <c r="DZ9" s="180">
        <v>3</v>
      </c>
      <c r="EA9" s="180">
        <v>33.700000000000003</v>
      </c>
      <c r="EB9" s="180">
        <v>1.1200000000000001</v>
      </c>
      <c r="EC9" s="180">
        <v>7.86</v>
      </c>
      <c r="ED9" s="180">
        <v>10.41</v>
      </c>
      <c r="EE9" s="180">
        <v>16.5</v>
      </c>
      <c r="EF9" s="180"/>
      <c r="EG9" s="180">
        <v>15.96</v>
      </c>
      <c r="EH9" s="180">
        <v>18.010000000000002</v>
      </c>
      <c r="EI9" s="180">
        <v>18</v>
      </c>
      <c r="EJ9" s="180">
        <v>14.37</v>
      </c>
      <c r="EK9" s="180">
        <v>1.1200000000000001</v>
      </c>
      <c r="EL9" s="180">
        <v>1.94</v>
      </c>
      <c r="EM9" s="180">
        <v>10.9</v>
      </c>
      <c r="EN9" s="180">
        <v>2.78</v>
      </c>
      <c r="EO9" s="180">
        <v>2</v>
      </c>
      <c r="EP9" s="180">
        <v>2.0499999999999998</v>
      </c>
      <c r="EQ9" s="180">
        <v>16.77</v>
      </c>
      <c r="ER9" s="180">
        <v>17.489999999999998</v>
      </c>
      <c r="ES9" s="180">
        <v>15.64</v>
      </c>
      <c r="ET9" s="180">
        <v>7.7</v>
      </c>
      <c r="EU9" s="180">
        <v>16.559999999999999</v>
      </c>
      <c r="EV9" s="180">
        <v>16.91</v>
      </c>
      <c r="EW9" s="180">
        <v>13.63</v>
      </c>
      <c r="EX9" s="180">
        <v>16.87</v>
      </c>
      <c r="EY9" s="180">
        <v>2.0699999999999998</v>
      </c>
      <c r="EZ9" s="180">
        <v>1.55</v>
      </c>
      <c r="FA9" s="180">
        <v>0.75700000000000001</v>
      </c>
      <c r="FB9" s="180">
        <v>5.81</v>
      </c>
      <c r="FC9" s="180">
        <v>5.81</v>
      </c>
      <c r="FD9" s="180">
        <v>5.29</v>
      </c>
      <c r="FE9" s="180">
        <v>42.02</v>
      </c>
      <c r="FF9" s="180">
        <v>35.15</v>
      </c>
      <c r="FG9" s="180">
        <v>1.1599999999999999</v>
      </c>
      <c r="FH9" s="180">
        <v>16.940000000000001</v>
      </c>
      <c r="FI9" s="180">
        <v>1.28</v>
      </c>
      <c r="FJ9" s="180">
        <v>17.46</v>
      </c>
      <c r="FK9" s="180">
        <v>1.5</v>
      </c>
      <c r="FL9" s="180">
        <v>20.98</v>
      </c>
      <c r="FM9" s="180">
        <v>1.1599999999999999</v>
      </c>
      <c r="FN9" s="180">
        <v>17.34</v>
      </c>
      <c r="FO9" s="180">
        <v>0.99</v>
      </c>
      <c r="FP9" s="180">
        <v>13.44</v>
      </c>
      <c r="FQ9" s="180">
        <v>20.97</v>
      </c>
      <c r="FR9" s="180">
        <v>11.83</v>
      </c>
      <c r="FS9" s="180">
        <v>14.45</v>
      </c>
      <c r="FT9" s="180">
        <v>12.7</v>
      </c>
      <c r="FU9" s="180"/>
      <c r="FV9" s="180">
        <v>11.05</v>
      </c>
      <c r="FW9" s="180">
        <v>12.14</v>
      </c>
      <c r="FX9" s="180">
        <v>9.01</v>
      </c>
      <c r="FY9" s="180">
        <v>1.02</v>
      </c>
      <c r="FZ9" s="180"/>
      <c r="GA9" s="180">
        <v>7.4</v>
      </c>
      <c r="GB9" s="180">
        <v>11.31</v>
      </c>
      <c r="GC9" s="180">
        <v>11.73</v>
      </c>
      <c r="GD9" s="180">
        <v>15.33</v>
      </c>
      <c r="GE9" s="180"/>
      <c r="GF9" s="180"/>
      <c r="GG9" s="180"/>
      <c r="GH9" s="967"/>
      <c r="GI9" s="967"/>
      <c r="GJ9" s="968"/>
      <c r="GK9" s="969"/>
      <c r="GL9" s="970"/>
      <c r="GM9" s="969"/>
      <c r="GN9" s="3063"/>
      <c r="GO9" s="971"/>
      <c r="GP9" s="971"/>
      <c r="GQ9" s="971"/>
      <c r="GR9" s="971"/>
      <c r="GS9" s="971"/>
      <c r="GT9" s="971"/>
      <c r="GU9" s="971"/>
      <c r="GV9" s="970"/>
      <c r="GW9" s="968"/>
    </row>
    <row r="10" spans="1:262" s="95" customFormat="1" ht="19.5" customHeight="1" thickBot="1">
      <c r="A10" s="538" t="s">
        <v>712</v>
      </c>
      <c r="B10" s="180" t="s">
        <v>10</v>
      </c>
      <c r="C10" s="180" t="s">
        <v>10</v>
      </c>
      <c r="D10" s="180" t="s">
        <v>10</v>
      </c>
      <c r="E10" s="180" t="s">
        <v>10</v>
      </c>
      <c r="F10" s="180" t="s">
        <v>10</v>
      </c>
      <c r="G10" s="180" t="s">
        <v>10</v>
      </c>
      <c r="H10" s="180" t="s">
        <v>10</v>
      </c>
      <c r="I10" s="180" t="s">
        <v>10</v>
      </c>
      <c r="J10" s="180" t="s">
        <v>10</v>
      </c>
      <c r="K10" s="180"/>
      <c r="L10" s="180" t="s">
        <v>10</v>
      </c>
      <c r="M10" s="180" t="s">
        <v>10</v>
      </c>
      <c r="N10" s="180" t="s">
        <v>10</v>
      </c>
      <c r="O10" s="180" t="s">
        <v>10</v>
      </c>
      <c r="P10" s="180" t="s">
        <v>10</v>
      </c>
      <c r="Q10" s="180" t="s">
        <v>10</v>
      </c>
      <c r="R10" s="180" t="s">
        <v>10</v>
      </c>
      <c r="S10" s="180" t="s">
        <v>10</v>
      </c>
      <c r="T10" s="180" t="s">
        <v>10</v>
      </c>
      <c r="U10" s="180" t="s">
        <v>10</v>
      </c>
      <c r="V10" s="180" t="s">
        <v>10</v>
      </c>
      <c r="W10" s="180" t="s">
        <v>10</v>
      </c>
      <c r="X10" s="180" t="s">
        <v>10</v>
      </c>
      <c r="Y10" s="180" t="s">
        <v>10</v>
      </c>
      <c r="Z10" s="180" t="s">
        <v>10</v>
      </c>
      <c r="AA10" s="180" t="s">
        <v>10</v>
      </c>
      <c r="AB10" s="180" t="s">
        <v>10</v>
      </c>
      <c r="AC10" s="180" t="s">
        <v>10</v>
      </c>
      <c r="AD10" s="180" t="s">
        <v>10</v>
      </c>
      <c r="AE10" s="180" t="s">
        <v>10</v>
      </c>
      <c r="AF10" s="180" t="s">
        <v>10</v>
      </c>
      <c r="AG10" s="180" t="s">
        <v>10</v>
      </c>
      <c r="AH10" s="180" t="s">
        <v>10</v>
      </c>
      <c r="AI10" s="180" t="s">
        <v>10</v>
      </c>
      <c r="AJ10" s="180" t="s">
        <v>10</v>
      </c>
      <c r="AK10" s="180" t="s">
        <v>10</v>
      </c>
      <c r="AL10" s="180" t="s">
        <v>859</v>
      </c>
      <c r="AM10" s="180" t="s">
        <v>859</v>
      </c>
      <c r="AN10" s="180" t="s">
        <v>859</v>
      </c>
      <c r="AO10" s="180" t="s">
        <v>859</v>
      </c>
      <c r="AP10" s="180" t="s">
        <v>859</v>
      </c>
      <c r="AQ10" s="180" t="s">
        <v>859</v>
      </c>
      <c r="AR10" s="180" t="s">
        <v>859</v>
      </c>
      <c r="AS10" s="180" t="s">
        <v>859</v>
      </c>
      <c r="AT10" s="180" t="s">
        <v>859</v>
      </c>
      <c r="AU10" s="180"/>
      <c r="AV10" s="180" t="s">
        <v>106</v>
      </c>
      <c r="AW10" s="180" t="s">
        <v>859</v>
      </c>
      <c r="AX10" s="180" t="s">
        <v>859</v>
      </c>
      <c r="AY10" s="180" t="s">
        <v>859</v>
      </c>
      <c r="AZ10" s="180" t="s">
        <v>859</v>
      </c>
      <c r="BA10" s="180" t="s">
        <v>859</v>
      </c>
      <c r="BB10" s="180" t="s">
        <v>859</v>
      </c>
      <c r="BC10" s="180" t="s">
        <v>859</v>
      </c>
      <c r="BD10" s="180" t="s">
        <v>858</v>
      </c>
      <c r="BE10" s="180" t="s">
        <v>858</v>
      </c>
      <c r="BF10" s="180" t="s">
        <v>858</v>
      </c>
      <c r="BG10" s="180" t="s">
        <v>858</v>
      </c>
      <c r="BH10" s="180" t="s">
        <v>858</v>
      </c>
      <c r="BI10" s="180" t="s">
        <v>858</v>
      </c>
      <c r="BJ10" s="180" t="s">
        <v>858</v>
      </c>
      <c r="BK10" s="180" t="s">
        <v>858</v>
      </c>
      <c r="BL10" s="180" t="s">
        <v>858</v>
      </c>
      <c r="BM10" s="180" t="s">
        <v>858</v>
      </c>
      <c r="BN10" s="180" t="s">
        <v>858</v>
      </c>
      <c r="BO10" s="180" t="s">
        <v>858</v>
      </c>
      <c r="BP10" s="180" t="s">
        <v>858</v>
      </c>
      <c r="BQ10" s="180" t="s">
        <v>858</v>
      </c>
      <c r="BR10" s="1430" t="s">
        <v>858</v>
      </c>
      <c r="BS10" s="180" t="s">
        <v>858</v>
      </c>
      <c r="BT10" s="180" t="s">
        <v>858</v>
      </c>
      <c r="BU10" s="180" t="s">
        <v>858</v>
      </c>
      <c r="BV10" s="180" t="s">
        <v>858</v>
      </c>
      <c r="BW10" s="180" t="s">
        <v>858</v>
      </c>
      <c r="BX10" s="180" t="s">
        <v>106</v>
      </c>
      <c r="BY10" s="180" t="s">
        <v>106</v>
      </c>
      <c r="BZ10" s="180" t="s">
        <v>106</v>
      </c>
      <c r="CA10" s="180" t="s">
        <v>106</v>
      </c>
      <c r="CB10" s="180" t="s">
        <v>4</v>
      </c>
      <c r="CC10" s="180" t="s">
        <v>4</v>
      </c>
      <c r="CD10" s="180" t="s">
        <v>4</v>
      </c>
      <c r="CE10" s="180" t="s">
        <v>4</v>
      </c>
      <c r="CF10" s="180" t="s">
        <v>4</v>
      </c>
      <c r="CG10" s="180" t="s">
        <v>4</v>
      </c>
      <c r="CH10" s="180" t="s">
        <v>4</v>
      </c>
      <c r="CI10" s="180" t="s">
        <v>4</v>
      </c>
      <c r="CJ10" s="180" t="s">
        <v>4</v>
      </c>
      <c r="CK10" s="180" t="s">
        <v>4</v>
      </c>
      <c r="CL10" s="180" t="s">
        <v>4</v>
      </c>
      <c r="CM10" s="180" t="s">
        <v>4</v>
      </c>
      <c r="CN10" s="180" t="s">
        <v>4</v>
      </c>
      <c r="CO10" s="180" t="s">
        <v>4</v>
      </c>
      <c r="CP10" s="180" t="s">
        <v>4</v>
      </c>
      <c r="CQ10" s="180" t="s">
        <v>4</v>
      </c>
      <c r="CR10" s="180" t="s">
        <v>858</v>
      </c>
      <c r="CS10" s="180" t="s">
        <v>10</v>
      </c>
      <c r="CT10" s="180" t="s">
        <v>10</v>
      </c>
      <c r="CU10" s="180" t="s">
        <v>10</v>
      </c>
      <c r="CV10" s="180" t="s">
        <v>106</v>
      </c>
      <c r="CW10" s="180" t="s">
        <v>10</v>
      </c>
      <c r="CX10" s="180" t="s">
        <v>10</v>
      </c>
      <c r="CY10" s="180" t="s">
        <v>859</v>
      </c>
      <c r="CZ10" s="180" t="s">
        <v>859</v>
      </c>
      <c r="DA10" s="180" t="s">
        <v>858</v>
      </c>
      <c r="DB10" s="180" t="s">
        <v>858</v>
      </c>
      <c r="DC10" s="180" t="s">
        <v>4</v>
      </c>
      <c r="DD10" s="180" t="s">
        <v>106</v>
      </c>
      <c r="DE10" s="180" t="s">
        <v>10</v>
      </c>
      <c r="DF10" s="180" t="s">
        <v>859</v>
      </c>
      <c r="DG10" s="180" t="s">
        <v>859</v>
      </c>
      <c r="DH10" s="180" t="s">
        <v>859</v>
      </c>
      <c r="DI10" s="180" t="s">
        <v>859</v>
      </c>
      <c r="DJ10" s="180" t="s">
        <v>859</v>
      </c>
      <c r="DK10" s="180" t="s">
        <v>858</v>
      </c>
      <c r="DL10" s="180" t="s">
        <v>858</v>
      </c>
      <c r="DM10" s="180" t="s">
        <v>859</v>
      </c>
      <c r="DN10" s="180" t="s">
        <v>4</v>
      </c>
      <c r="DO10" s="180" t="s">
        <v>10</v>
      </c>
      <c r="DP10" s="180" t="s">
        <v>106</v>
      </c>
      <c r="DQ10" s="180" t="s">
        <v>10</v>
      </c>
      <c r="DR10" s="180" t="s">
        <v>859</v>
      </c>
      <c r="DS10" s="180" t="s">
        <v>4</v>
      </c>
      <c r="DT10" s="180" t="s">
        <v>858</v>
      </c>
      <c r="DU10" s="180" t="s">
        <v>10</v>
      </c>
      <c r="DV10" s="180" t="s">
        <v>858</v>
      </c>
      <c r="DW10" s="180" t="s">
        <v>10</v>
      </c>
      <c r="DX10" s="180" t="s">
        <v>858</v>
      </c>
      <c r="DY10" s="180"/>
      <c r="DZ10" s="180" t="s">
        <v>5</v>
      </c>
      <c r="EA10" s="180" t="s">
        <v>5</v>
      </c>
      <c r="EB10" s="180" t="s">
        <v>5</v>
      </c>
      <c r="EC10" s="180" t="s">
        <v>5</v>
      </c>
      <c r="ED10" s="180" t="s">
        <v>5</v>
      </c>
      <c r="EE10" s="180" t="s">
        <v>5</v>
      </c>
      <c r="EF10" s="180" t="s">
        <v>5</v>
      </c>
      <c r="EG10" s="180" t="s">
        <v>5</v>
      </c>
      <c r="EH10" s="180" t="s">
        <v>5</v>
      </c>
      <c r="EI10" s="180" t="s">
        <v>5</v>
      </c>
      <c r="EJ10" s="180" t="s">
        <v>5</v>
      </c>
      <c r="EK10" s="180" t="s">
        <v>5</v>
      </c>
      <c r="EL10" s="180" t="s">
        <v>5</v>
      </c>
      <c r="EM10" s="180" t="s">
        <v>5</v>
      </c>
      <c r="EN10" s="180" t="s">
        <v>5</v>
      </c>
      <c r="EO10" s="180" t="s">
        <v>55</v>
      </c>
      <c r="EP10" s="180" t="s">
        <v>55</v>
      </c>
      <c r="EQ10" s="180" t="s">
        <v>55</v>
      </c>
      <c r="ER10" s="180" t="s">
        <v>55</v>
      </c>
      <c r="ES10" s="180" t="s">
        <v>55</v>
      </c>
      <c r="ET10" s="180" t="s">
        <v>55</v>
      </c>
      <c r="EU10" s="180" t="s">
        <v>55</v>
      </c>
      <c r="EV10" s="180" t="s">
        <v>55</v>
      </c>
      <c r="EW10" s="180" t="s">
        <v>55</v>
      </c>
      <c r="EX10" s="180" t="s">
        <v>55</v>
      </c>
      <c r="EY10" s="180" t="s">
        <v>55</v>
      </c>
      <c r="EZ10" s="180" t="s">
        <v>55</v>
      </c>
      <c r="FA10" s="180" t="s">
        <v>55</v>
      </c>
      <c r="FB10" s="180" t="s">
        <v>6</v>
      </c>
      <c r="FC10" s="180" t="s">
        <v>6</v>
      </c>
      <c r="FD10" s="180" t="s">
        <v>6</v>
      </c>
      <c r="FE10" s="180" t="s">
        <v>6</v>
      </c>
      <c r="FF10" s="180" t="s">
        <v>6</v>
      </c>
      <c r="FG10" s="180" t="s">
        <v>55</v>
      </c>
      <c r="FH10" s="180" t="s">
        <v>55</v>
      </c>
      <c r="FI10" s="180" t="s">
        <v>55</v>
      </c>
      <c r="FJ10" s="180" t="s">
        <v>55</v>
      </c>
      <c r="FK10" s="180" t="s">
        <v>56</v>
      </c>
      <c r="FL10" s="180" t="s">
        <v>5</v>
      </c>
      <c r="FM10" s="180" t="s">
        <v>55</v>
      </c>
      <c r="FN10" s="180" t="s">
        <v>55</v>
      </c>
      <c r="FO10" s="180" t="s">
        <v>55</v>
      </c>
      <c r="FP10" s="180" t="s">
        <v>5</v>
      </c>
      <c r="FQ10" s="180" t="s">
        <v>55</v>
      </c>
      <c r="FR10" s="180" t="s">
        <v>55</v>
      </c>
      <c r="FS10" s="180" t="s">
        <v>5</v>
      </c>
      <c r="FT10" s="180" t="s">
        <v>6</v>
      </c>
      <c r="FU10" s="180" t="s">
        <v>55</v>
      </c>
      <c r="FV10" s="180" t="s">
        <v>6</v>
      </c>
      <c r="FW10" s="180" t="s">
        <v>55</v>
      </c>
      <c r="FX10" s="180" t="s">
        <v>5</v>
      </c>
      <c r="FY10" s="180" t="s">
        <v>1178</v>
      </c>
      <c r="FZ10" s="180" t="s">
        <v>1178</v>
      </c>
      <c r="GA10" s="180" t="s">
        <v>56</v>
      </c>
      <c r="GB10" s="180" t="s">
        <v>55</v>
      </c>
      <c r="GC10" s="180" t="s">
        <v>5</v>
      </c>
      <c r="GD10" s="180" t="s">
        <v>6</v>
      </c>
      <c r="GE10" s="180" t="s">
        <v>5</v>
      </c>
      <c r="GF10" s="180" t="s">
        <v>5</v>
      </c>
      <c r="GG10" s="180"/>
      <c r="GH10" s="967"/>
      <c r="GI10" s="967"/>
      <c r="GJ10" s="968"/>
      <c r="GK10" s="969"/>
      <c r="GL10" s="970"/>
      <c r="GM10" s="969"/>
      <c r="GN10" s="3063"/>
      <c r="GO10" s="971"/>
      <c r="GP10" s="971"/>
      <c r="GQ10" s="971"/>
      <c r="GR10" s="971"/>
      <c r="GS10" s="971"/>
      <c r="GT10" s="971"/>
      <c r="GU10" s="971"/>
      <c r="GV10" s="970"/>
      <c r="GW10" s="968"/>
    </row>
    <row r="11" spans="1:262" s="95" customFormat="1" ht="19.5" customHeight="1" thickBot="1">
      <c r="A11" s="538" t="s">
        <v>176</v>
      </c>
      <c r="B11" s="180" t="s">
        <v>758</v>
      </c>
      <c r="C11" s="180" t="s">
        <v>758</v>
      </c>
      <c r="D11" s="180" t="s">
        <v>758</v>
      </c>
      <c r="E11" s="180" t="s">
        <v>758</v>
      </c>
      <c r="F11" s="180" t="s">
        <v>758</v>
      </c>
      <c r="G11" s="180" t="s">
        <v>751</v>
      </c>
      <c r="H11" s="180" t="s">
        <v>751</v>
      </c>
      <c r="I11" s="180" t="s">
        <v>752</v>
      </c>
      <c r="J11" s="180" t="s">
        <v>751</v>
      </c>
      <c r="K11" s="180"/>
      <c r="L11" s="180" t="s">
        <v>752</v>
      </c>
      <c r="M11" s="180" t="s">
        <v>751</v>
      </c>
      <c r="N11" s="180" t="s">
        <v>751</v>
      </c>
      <c r="O11" s="180" t="s">
        <v>751</v>
      </c>
      <c r="P11" s="180" t="s">
        <v>751</v>
      </c>
      <c r="Q11" s="180" t="s">
        <v>751</v>
      </c>
      <c r="R11" s="180" t="s">
        <v>752</v>
      </c>
      <c r="S11" s="180" t="s">
        <v>752</v>
      </c>
      <c r="T11" s="180" t="s">
        <v>752</v>
      </c>
      <c r="U11" s="180" t="s">
        <v>751</v>
      </c>
      <c r="V11" s="180" t="s">
        <v>751</v>
      </c>
      <c r="W11" s="180" t="s">
        <v>752</v>
      </c>
      <c r="X11" s="180" t="s">
        <v>751</v>
      </c>
      <c r="Y11" s="180" t="s">
        <v>751</v>
      </c>
      <c r="Z11" s="180" t="s">
        <v>751</v>
      </c>
      <c r="AA11" s="180" t="s">
        <v>751</v>
      </c>
      <c r="AB11" s="180" t="s">
        <v>751</v>
      </c>
      <c r="AC11" s="180" t="s">
        <v>751</v>
      </c>
      <c r="AD11" s="180" t="s">
        <v>751</v>
      </c>
      <c r="AE11" s="180" t="s">
        <v>752</v>
      </c>
      <c r="AF11" s="180" t="s">
        <v>752</v>
      </c>
      <c r="AG11" s="180" t="s">
        <v>752</v>
      </c>
      <c r="AH11" s="180" t="s">
        <v>752</v>
      </c>
      <c r="AI11" s="180" t="s">
        <v>752</v>
      </c>
      <c r="AJ11" s="180" t="s">
        <v>751</v>
      </c>
      <c r="AK11" s="180" t="s">
        <v>752</v>
      </c>
      <c r="AL11" s="180" t="s">
        <v>752</v>
      </c>
      <c r="AM11" s="180" t="s">
        <v>752</v>
      </c>
      <c r="AN11" s="180" t="s">
        <v>752</v>
      </c>
      <c r="AO11" s="180" t="s">
        <v>752</v>
      </c>
      <c r="AP11" s="180" t="s">
        <v>751</v>
      </c>
      <c r="AQ11" s="180" t="s">
        <v>752</v>
      </c>
      <c r="AR11" s="180" t="s">
        <v>752</v>
      </c>
      <c r="AS11" s="180" t="s">
        <v>752</v>
      </c>
      <c r="AT11" s="180" t="s">
        <v>752</v>
      </c>
      <c r="AU11" s="180"/>
      <c r="AV11" s="180" t="s">
        <v>751</v>
      </c>
      <c r="AW11" s="180" t="s">
        <v>752</v>
      </c>
      <c r="AX11" s="180" t="s">
        <v>752</v>
      </c>
      <c r="AY11" s="180" t="s">
        <v>751</v>
      </c>
      <c r="AZ11" s="180" t="s">
        <v>751</v>
      </c>
      <c r="BA11" s="180" t="s">
        <v>751</v>
      </c>
      <c r="BB11" s="180" t="s">
        <v>752</v>
      </c>
      <c r="BC11" s="180" t="s">
        <v>751</v>
      </c>
      <c r="BD11" s="180" t="s">
        <v>752</v>
      </c>
      <c r="BE11" s="180" t="s">
        <v>752</v>
      </c>
      <c r="BF11" s="180" t="s">
        <v>752</v>
      </c>
      <c r="BG11" s="180" t="s">
        <v>752</v>
      </c>
      <c r="BH11" s="180" t="s">
        <v>752</v>
      </c>
      <c r="BI11" s="180" t="s">
        <v>752</v>
      </c>
      <c r="BJ11" s="180" t="s">
        <v>751</v>
      </c>
      <c r="BK11" s="180" t="s">
        <v>752</v>
      </c>
      <c r="BL11" s="180" t="s">
        <v>752</v>
      </c>
      <c r="BM11" s="180" t="s">
        <v>751</v>
      </c>
      <c r="BN11" s="180" t="s">
        <v>751</v>
      </c>
      <c r="BO11" s="180" t="s">
        <v>751</v>
      </c>
      <c r="BP11" s="180" t="s">
        <v>751</v>
      </c>
      <c r="BQ11" s="180" t="s">
        <v>752</v>
      </c>
      <c r="BR11" s="1430" t="s">
        <v>751</v>
      </c>
      <c r="BS11" s="180" t="s">
        <v>752</v>
      </c>
      <c r="BT11" s="180" t="s">
        <v>752</v>
      </c>
      <c r="BU11" s="180" t="s">
        <v>752</v>
      </c>
      <c r="BV11" s="180" t="s">
        <v>752</v>
      </c>
      <c r="BW11" s="180" t="s">
        <v>759</v>
      </c>
      <c r="BX11" s="180" t="s">
        <v>752</v>
      </c>
      <c r="BY11" s="180" t="s">
        <v>751</v>
      </c>
      <c r="BZ11" s="180" t="s">
        <v>752</v>
      </c>
      <c r="CA11" s="180" t="s">
        <v>751</v>
      </c>
      <c r="CB11" s="180" t="s">
        <v>752</v>
      </c>
      <c r="CC11" s="180" t="s">
        <v>752</v>
      </c>
      <c r="CD11" s="180" t="s">
        <v>751</v>
      </c>
      <c r="CE11" s="180" t="s">
        <v>751</v>
      </c>
      <c r="CF11" s="180" t="s">
        <v>751</v>
      </c>
      <c r="CG11" s="180" t="s">
        <v>752</v>
      </c>
      <c r="CH11" s="180" t="s">
        <v>752</v>
      </c>
      <c r="CI11" s="180" t="s">
        <v>751</v>
      </c>
      <c r="CJ11" s="180" t="s">
        <v>751</v>
      </c>
      <c r="CK11" s="180" t="s">
        <v>752</v>
      </c>
      <c r="CL11" s="180" t="s">
        <v>752</v>
      </c>
      <c r="CM11" s="180" t="s">
        <v>751</v>
      </c>
      <c r="CN11" s="180" t="s">
        <v>751</v>
      </c>
      <c r="CO11" s="180" t="s">
        <v>751</v>
      </c>
      <c r="CP11" s="180" t="s">
        <v>752</v>
      </c>
      <c r="CQ11" s="180" t="s">
        <v>752</v>
      </c>
      <c r="CR11" s="180" t="s">
        <v>751</v>
      </c>
      <c r="CS11" s="180" t="s">
        <v>751</v>
      </c>
      <c r="CT11" s="180" t="s">
        <v>751</v>
      </c>
      <c r="CU11" s="180" t="s">
        <v>751</v>
      </c>
      <c r="CV11" s="180" t="s">
        <v>751</v>
      </c>
      <c r="CW11" s="180" t="s">
        <v>751</v>
      </c>
      <c r="CX11" s="180" t="s">
        <v>751</v>
      </c>
      <c r="CY11" s="180" t="s">
        <v>751</v>
      </c>
      <c r="CZ11" s="180" t="s">
        <v>751</v>
      </c>
      <c r="DA11" s="180" t="s">
        <v>751</v>
      </c>
      <c r="DB11" s="180" t="s">
        <v>751</v>
      </c>
      <c r="DC11" s="180" t="s">
        <v>752</v>
      </c>
      <c r="DD11" s="180" t="s">
        <v>751</v>
      </c>
      <c r="DE11" s="180" t="s">
        <v>751</v>
      </c>
      <c r="DF11" s="180" t="s">
        <v>751</v>
      </c>
      <c r="DG11" s="180" t="s">
        <v>752</v>
      </c>
      <c r="DH11" s="180" t="s">
        <v>751</v>
      </c>
      <c r="DI11" s="180" t="s">
        <v>751</v>
      </c>
      <c r="DJ11" s="180" t="s">
        <v>751</v>
      </c>
      <c r="DK11" s="180" t="s">
        <v>751</v>
      </c>
      <c r="DL11" s="180" t="s">
        <v>751</v>
      </c>
      <c r="DM11" s="180" t="s">
        <v>751</v>
      </c>
      <c r="DN11" s="180" t="s">
        <v>752</v>
      </c>
      <c r="DO11" s="180" t="s">
        <v>751</v>
      </c>
      <c r="DP11" s="180" t="s">
        <v>751</v>
      </c>
      <c r="DQ11" s="180" t="s">
        <v>751</v>
      </c>
      <c r="DR11" s="180" t="s">
        <v>751</v>
      </c>
      <c r="DS11" s="180" t="s">
        <v>752</v>
      </c>
      <c r="DT11" s="180" t="s">
        <v>751</v>
      </c>
      <c r="DU11" s="180" t="s">
        <v>751</v>
      </c>
      <c r="DV11" s="180" t="s">
        <v>751</v>
      </c>
      <c r="DW11" s="180" t="s">
        <v>751</v>
      </c>
      <c r="DX11" s="180" t="s">
        <v>752</v>
      </c>
      <c r="DY11" s="180"/>
      <c r="DZ11" s="180" t="s">
        <v>759</v>
      </c>
      <c r="EA11" s="180" t="s">
        <v>752</v>
      </c>
      <c r="EB11" s="180" t="s">
        <v>752</v>
      </c>
      <c r="EC11" s="180" t="s">
        <v>751</v>
      </c>
      <c r="ED11" s="180" t="s">
        <v>751</v>
      </c>
      <c r="EE11" s="180" t="s">
        <v>752</v>
      </c>
      <c r="EF11" s="180" t="s">
        <v>752</v>
      </c>
      <c r="EG11" s="180" t="s">
        <v>751</v>
      </c>
      <c r="EH11" s="180" t="s">
        <v>752</v>
      </c>
      <c r="EI11" s="180" t="s">
        <v>752</v>
      </c>
      <c r="EJ11" s="180" t="s">
        <v>751</v>
      </c>
      <c r="EK11" s="180" t="s">
        <v>752</v>
      </c>
      <c r="EL11" s="180" t="s">
        <v>751</v>
      </c>
      <c r="EM11" s="180" t="s">
        <v>751</v>
      </c>
      <c r="EN11" s="180" t="s">
        <v>752</v>
      </c>
      <c r="EO11" s="180" t="s">
        <v>752</v>
      </c>
      <c r="EP11" s="180" t="s">
        <v>752</v>
      </c>
      <c r="EQ11" s="180" t="s">
        <v>752</v>
      </c>
      <c r="ER11" s="180" t="s">
        <v>752</v>
      </c>
      <c r="ES11" s="180" t="s">
        <v>752</v>
      </c>
      <c r="ET11" s="180" t="s">
        <v>751</v>
      </c>
      <c r="EU11" s="180" t="s">
        <v>751</v>
      </c>
      <c r="EV11" s="180" t="s">
        <v>752</v>
      </c>
      <c r="EW11" s="180" t="s">
        <v>751</v>
      </c>
      <c r="EX11" s="180" t="s">
        <v>752</v>
      </c>
      <c r="EY11" s="180" t="s">
        <v>751</v>
      </c>
      <c r="EZ11" s="180" t="s">
        <v>751</v>
      </c>
      <c r="FA11" s="180" t="s">
        <v>752</v>
      </c>
      <c r="FB11" s="180" t="s">
        <v>752</v>
      </c>
      <c r="FC11" s="180" t="s">
        <v>752</v>
      </c>
      <c r="FD11" s="180" t="s">
        <v>752</v>
      </c>
      <c r="FE11" s="180" t="s">
        <v>752</v>
      </c>
      <c r="FF11" s="180" t="s">
        <v>752</v>
      </c>
      <c r="FG11" s="180" t="s">
        <v>752</v>
      </c>
      <c r="FH11" s="180" t="s">
        <v>752</v>
      </c>
      <c r="FI11" s="180" t="s">
        <v>752</v>
      </c>
      <c r="FJ11" s="180" t="s">
        <v>752</v>
      </c>
      <c r="FK11" s="180" t="s">
        <v>751</v>
      </c>
      <c r="FL11" s="180" t="s">
        <v>751</v>
      </c>
      <c r="FM11" s="180" t="s">
        <v>752</v>
      </c>
      <c r="FN11" s="180" t="s">
        <v>752</v>
      </c>
      <c r="FO11" s="180" t="s">
        <v>752</v>
      </c>
      <c r="FP11" s="180" t="s">
        <v>751</v>
      </c>
      <c r="FQ11" s="180" t="s">
        <v>751</v>
      </c>
      <c r="FR11" s="180" t="s">
        <v>751</v>
      </c>
      <c r="FS11" s="180" t="s">
        <v>751</v>
      </c>
      <c r="FT11" s="180" t="s">
        <v>751</v>
      </c>
      <c r="FU11" s="180" t="s">
        <v>752</v>
      </c>
      <c r="FV11" s="180" t="s">
        <v>751</v>
      </c>
      <c r="FW11" s="180" t="s">
        <v>751</v>
      </c>
      <c r="FX11" s="180" t="s">
        <v>752</v>
      </c>
      <c r="FY11" s="180" t="s">
        <v>751</v>
      </c>
      <c r="FZ11" s="180" t="s">
        <v>751</v>
      </c>
      <c r="GA11" s="180" t="s">
        <v>751</v>
      </c>
      <c r="GB11" s="180" t="s">
        <v>751</v>
      </c>
      <c r="GC11" s="180" t="s">
        <v>751</v>
      </c>
      <c r="GD11" s="180" t="s">
        <v>751</v>
      </c>
      <c r="GE11" s="180" t="s">
        <v>752</v>
      </c>
      <c r="GF11" s="180" t="s">
        <v>752</v>
      </c>
      <c r="GG11" s="180"/>
      <c r="GH11" s="967"/>
      <c r="GI11" s="967"/>
      <c r="GJ11" s="968"/>
      <c r="GK11" s="969"/>
      <c r="GL11" s="970"/>
      <c r="GM11" s="969"/>
      <c r="GN11" s="3063"/>
      <c r="GO11" s="971"/>
      <c r="GP11" s="971"/>
      <c r="GQ11" s="971"/>
      <c r="GR11" s="971"/>
      <c r="GS11" s="971"/>
      <c r="GT11" s="971"/>
      <c r="GU11" s="971"/>
      <c r="GV11" s="970"/>
      <c r="GW11" s="968"/>
    </row>
    <row r="12" spans="1:262" s="95" customFormat="1" ht="21.75" customHeight="1" thickBot="1">
      <c r="A12" s="536" t="s">
        <v>267</v>
      </c>
      <c r="B12" s="539"/>
      <c r="C12" s="539"/>
      <c r="D12" s="539"/>
      <c r="E12" s="539"/>
      <c r="F12" s="539"/>
      <c r="G12" s="539"/>
      <c r="H12" s="539"/>
      <c r="I12" s="539"/>
      <c r="J12" s="539"/>
      <c r="K12" s="539"/>
      <c r="L12" s="539"/>
      <c r="M12" s="539"/>
      <c r="N12" s="539"/>
      <c r="O12" s="539"/>
      <c r="P12" s="539"/>
      <c r="Q12" s="539"/>
      <c r="R12" s="539"/>
      <c r="S12" s="539"/>
      <c r="T12" s="539"/>
      <c r="U12" s="539"/>
      <c r="V12" s="539"/>
      <c r="W12" s="539"/>
      <c r="X12" s="539"/>
      <c r="Y12" s="539"/>
      <c r="Z12" s="539"/>
      <c r="AA12" s="539"/>
      <c r="AB12" s="539"/>
      <c r="AC12" s="539"/>
      <c r="AD12" s="539"/>
      <c r="AE12" s="539"/>
      <c r="AF12" s="539"/>
      <c r="AG12" s="539"/>
      <c r="AH12" s="539"/>
      <c r="AI12" s="539"/>
      <c r="AJ12" s="539"/>
      <c r="AK12" s="539"/>
      <c r="AL12" s="539"/>
      <c r="AM12" s="539"/>
      <c r="AN12" s="539"/>
      <c r="AO12" s="539"/>
      <c r="AP12" s="539"/>
      <c r="AQ12" s="539"/>
      <c r="AR12" s="539"/>
      <c r="AS12" s="539"/>
      <c r="AT12" s="539"/>
      <c r="AU12" s="539"/>
      <c r="AV12" s="539"/>
      <c r="AW12" s="539"/>
      <c r="AX12" s="539"/>
      <c r="AY12" s="539"/>
      <c r="AZ12" s="539"/>
      <c r="BA12" s="539"/>
      <c r="BB12" s="539"/>
      <c r="BC12" s="539"/>
      <c r="BD12" s="539"/>
      <c r="BE12" s="539"/>
      <c r="BF12" s="539"/>
      <c r="BG12" s="539"/>
      <c r="BH12" s="539"/>
      <c r="BI12" s="539"/>
      <c r="BJ12" s="539"/>
      <c r="BK12" s="539"/>
      <c r="BL12" s="539"/>
      <c r="BM12" s="539"/>
      <c r="BN12" s="539"/>
      <c r="BO12" s="539"/>
      <c r="BP12" s="539"/>
      <c r="BQ12" s="539"/>
      <c r="BR12" s="539"/>
      <c r="BS12" s="539"/>
      <c r="BT12" s="539"/>
      <c r="BU12" s="539"/>
      <c r="BV12" s="539"/>
      <c r="BW12" s="539"/>
      <c r="BX12" s="539"/>
      <c r="BY12" s="539"/>
      <c r="BZ12" s="539"/>
      <c r="CA12" s="539"/>
      <c r="CB12" s="539"/>
      <c r="CC12" s="539"/>
      <c r="CD12" s="539"/>
      <c r="CE12" s="539"/>
      <c r="CF12" s="539"/>
      <c r="CG12" s="539"/>
      <c r="CH12" s="539"/>
      <c r="CI12" s="539"/>
      <c r="CJ12" s="539"/>
      <c r="CK12" s="539"/>
      <c r="CL12" s="539"/>
      <c r="CM12" s="539"/>
      <c r="CN12" s="539"/>
      <c r="CO12" s="539"/>
      <c r="CP12" s="539"/>
      <c r="CQ12" s="539"/>
      <c r="CR12" s="539"/>
      <c r="CS12" s="539"/>
      <c r="CT12" s="539"/>
      <c r="CU12" s="539"/>
      <c r="CV12" s="909">
        <v>41798</v>
      </c>
      <c r="CW12" s="909">
        <v>41813</v>
      </c>
      <c r="CX12" s="909">
        <v>41826</v>
      </c>
      <c r="CY12" s="909">
        <v>41894</v>
      </c>
      <c r="CZ12" s="909">
        <v>41934</v>
      </c>
      <c r="DA12" s="909">
        <v>41939</v>
      </c>
      <c r="DB12" s="909">
        <v>41944</v>
      </c>
      <c r="DC12" s="909">
        <v>41965</v>
      </c>
      <c r="DD12" s="909">
        <v>42031</v>
      </c>
      <c r="DE12" s="909">
        <v>42109</v>
      </c>
      <c r="DF12" s="909">
        <v>42138</v>
      </c>
      <c r="DG12" s="909">
        <v>42129</v>
      </c>
      <c r="DH12" s="909">
        <v>42145</v>
      </c>
      <c r="DI12" s="909">
        <v>42212</v>
      </c>
      <c r="DJ12" s="909">
        <v>42214</v>
      </c>
      <c r="DK12" s="909">
        <v>42322</v>
      </c>
      <c r="DL12" s="909">
        <v>42359</v>
      </c>
      <c r="DM12" s="909">
        <v>42443</v>
      </c>
      <c r="DN12" s="909">
        <v>42524</v>
      </c>
      <c r="DO12" s="909">
        <v>42543</v>
      </c>
      <c r="DP12" s="909">
        <v>42667</v>
      </c>
      <c r="DQ12" s="909">
        <v>42665</v>
      </c>
      <c r="DR12" s="909">
        <v>42697</v>
      </c>
      <c r="DS12" s="909">
        <v>42678</v>
      </c>
      <c r="DT12" s="909">
        <v>42771</v>
      </c>
      <c r="DU12" s="909">
        <v>42773</v>
      </c>
      <c r="DV12" s="909">
        <v>43062</v>
      </c>
      <c r="DW12" s="909">
        <v>43069</v>
      </c>
      <c r="DX12" s="909">
        <v>43270</v>
      </c>
      <c r="DY12" s="909"/>
      <c r="DZ12" s="539"/>
      <c r="EA12" s="539"/>
      <c r="EB12" s="539"/>
      <c r="EC12" s="539"/>
      <c r="ED12" s="539"/>
      <c r="EE12" s="539"/>
      <c r="EF12" s="539"/>
      <c r="EG12" s="539"/>
      <c r="EH12" s="539"/>
      <c r="EI12" s="539"/>
      <c r="EJ12" s="539"/>
      <c r="EK12" s="539"/>
      <c r="EL12" s="539"/>
      <c r="EM12" s="539"/>
      <c r="EN12" s="539"/>
      <c r="EO12" s="539"/>
      <c r="EP12" s="539"/>
      <c r="EQ12" s="539"/>
      <c r="ER12" s="539"/>
      <c r="ES12" s="539"/>
      <c r="ET12" s="539"/>
      <c r="EU12" s="539"/>
      <c r="EV12" s="539"/>
      <c r="EW12" s="539"/>
      <c r="EX12" s="539"/>
      <c r="EY12" s="539"/>
      <c r="EZ12" s="539"/>
      <c r="FA12" s="539"/>
      <c r="FB12" s="539"/>
      <c r="FC12" s="539"/>
      <c r="FD12" s="539"/>
      <c r="FE12" s="539"/>
      <c r="FF12" s="539"/>
      <c r="FG12" s="909">
        <v>39921</v>
      </c>
      <c r="FH12" s="909">
        <v>41414</v>
      </c>
      <c r="FI12" s="909">
        <v>41673</v>
      </c>
      <c r="FJ12" s="909">
        <v>41670</v>
      </c>
      <c r="FK12" s="909"/>
      <c r="FL12" s="909"/>
      <c r="FM12" s="909">
        <v>41786</v>
      </c>
      <c r="FN12" s="909">
        <v>41786</v>
      </c>
      <c r="FO12" s="909">
        <v>41885</v>
      </c>
      <c r="FP12" s="909">
        <v>41918</v>
      </c>
      <c r="FQ12" s="909">
        <v>42013</v>
      </c>
      <c r="FR12" s="909">
        <v>42031</v>
      </c>
      <c r="FS12" s="909">
        <v>42078</v>
      </c>
      <c r="FT12" s="909">
        <v>42152</v>
      </c>
      <c r="FU12" s="909">
        <v>42193</v>
      </c>
      <c r="FV12" s="909">
        <v>42206</v>
      </c>
      <c r="FW12" s="909">
        <v>42295</v>
      </c>
      <c r="FX12" s="909">
        <v>42381</v>
      </c>
      <c r="FY12" s="909">
        <v>42668</v>
      </c>
      <c r="FZ12" s="909">
        <v>42668</v>
      </c>
      <c r="GA12" s="909">
        <v>42693</v>
      </c>
      <c r="GB12" s="909">
        <v>42871</v>
      </c>
      <c r="GC12" s="909">
        <v>43081</v>
      </c>
      <c r="GD12" s="909">
        <v>43089</v>
      </c>
      <c r="GE12" s="909">
        <v>43277</v>
      </c>
      <c r="GF12" s="909">
        <v>43277</v>
      </c>
      <c r="GG12" s="539"/>
      <c r="GH12" s="972"/>
      <c r="GI12" s="972"/>
      <c r="GJ12" s="973"/>
      <c r="GK12" s="974"/>
      <c r="GL12" s="975"/>
      <c r="GM12" s="974"/>
      <c r="GN12" s="3064"/>
      <c r="GO12" s="976"/>
      <c r="GP12" s="976"/>
      <c r="GQ12" s="976"/>
      <c r="GR12" s="3065"/>
      <c r="GS12" s="976"/>
      <c r="GT12" s="976"/>
      <c r="GU12" s="976"/>
      <c r="GV12" s="975"/>
      <c r="GW12" s="973"/>
    </row>
    <row r="13" spans="1:262" s="131" customFormat="1" ht="7.5" customHeight="1" thickBot="1">
      <c r="A13" s="812"/>
      <c r="B13" s="813"/>
      <c r="C13" s="813"/>
      <c r="D13" s="813"/>
      <c r="E13" s="813"/>
      <c r="F13" s="813"/>
      <c r="G13" s="813"/>
      <c r="H13" s="813"/>
      <c r="I13" s="813"/>
      <c r="J13" s="813"/>
      <c r="K13" s="813"/>
      <c r="L13" s="813"/>
      <c r="M13" s="813"/>
      <c r="N13" s="813"/>
      <c r="O13" s="813"/>
      <c r="P13" s="813"/>
      <c r="Q13" s="813"/>
      <c r="R13" s="813"/>
      <c r="S13" s="813"/>
      <c r="T13" s="813"/>
      <c r="U13" s="813"/>
      <c r="V13" s="813"/>
      <c r="W13" s="813"/>
      <c r="X13" s="813"/>
      <c r="Y13" s="813"/>
      <c r="Z13" s="813"/>
      <c r="AA13" s="813"/>
      <c r="AB13" s="813"/>
      <c r="AC13" s="813"/>
      <c r="AD13" s="813"/>
      <c r="AE13" s="813"/>
      <c r="AF13" s="813"/>
      <c r="AG13" s="813"/>
      <c r="AH13" s="813"/>
      <c r="AI13" s="813"/>
      <c r="AJ13" s="813"/>
      <c r="AK13" s="813"/>
      <c r="AL13" s="813"/>
      <c r="AM13" s="813"/>
      <c r="AN13" s="813"/>
      <c r="AO13" s="813"/>
      <c r="AP13" s="813"/>
      <c r="AQ13" s="813"/>
      <c r="AR13" s="813"/>
      <c r="AS13" s="813"/>
      <c r="AT13" s="813"/>
      <c r="AU13" s="813"/>
      <c r="AV13" s="813"/>
      <c r="AW13" s="813"/>
      <c r="AX13" s="813"/>
      <c r="AY13" s="813"/>
      <c r="AZ13" s="813"/>
      <c r="BA13" s="813"/>
      <c r="BB13" s="813"/>
      <c r="BC13" s="813"/>
      <c r="BD13" s="813"/>
      <c r="BE13" s="813"/>
      <c r="BF13" s="813"/>
      <c r="BG13" s="813"/>
      <c r="BH13" s="813"/>
      <c r="BI13" s="813"/>
      <c r="BJ13" s="813"/>
      <c r="BK13" s="813"/>
      <c r="BL13" s="813"/>
      <c r="BM13" s="813"/>
      <c r="BN13" s="813"/>
      <c r="BO13" s="813"/>
      <c r="BP13" s="813"/>
      <c r="BQ13" s="813"/>
      <c r="BR13" s="813"/>
      <c r="BS13" s="813"/>
      <c r="BT13" s="813"/>
      <c r="BU13" s="813"/>
      <c r="BV13" s="813"/>
      <c r="BW13" s="813"/>
      <c r="BX13" s="813"/>
      <c r="BY13" s="813"/>
      <c r="BZ13" s="813"/>
      <c r="CA13" s="813"/>
      <c r="CB13" s="813"/>
      <c r="CC13" s="813"/>
      <c r="CD13" s="813"/>
      <c r="CE13" s="813"/>
      <c r="CF13" s="813"/>
      <c r="CG13" s="813"/>
      <c r="CH13" s="813"/>
      <c r="CI13" s="813"/>
      <c r="CJ13" s="813"/>
      <c r="CK13" s="813"/>
      <c r="CL13" s="813"/>
      <c r="CM13" s="813"/>
      <c r="CN13" s="813"/>
      <c r="CO13" s="813"/>
      <c r="CP13" s="813"/>
      <c r="CQ13" s="813"/>
      <c r="CR13" s="815"/>
      <c r="CS13" s="815"/>
      <c r="CT13" s="815"/>
      <c r="CU13" s="815"/>
      <c r="CV13" s="815"/>
      <c r="CW13" s="815"/>
      <c r="CX13" s="815"/>
      <c r="CY13" s="815"/>
      <c r="CZ13" s="815"/>
      <c r="DA13" s="815"/>
      <c r="DB13" s="815"/>
      <c r="DC13" s="815"/>
      <c r="DD13" s="815"/>
      <c r="DE13" s="815"/>
      <c r="DF13" s="815"/>
      <c r="DG13" s="815"/>
      <c r="DH13" s="815"/>
      <c r="DI13" s="815"/>
      <c r="DJ13" s="815"/>
      <c r="DK13" s="815"/>
      <c r="DL13" s="815"/>
      <c r="DM13" s="2394"/>
      <c r="DN13" s="815"/>
      <c r="DO13" s="815"/>
      <c r="DP13" s="815"/>
      <c r="DQ13" s="815"/>
      <c r="DR13" s="2394"/>
      <c r="DS13" s="2394"/>
      <c r="DT13" s="815"/>
      <c r="DU13" s="815"/>
      <c r="DV13" s="815"/>
      <c r="DW13" s="815"/>
      <c r="DX13" s="815"/>
      <c r="DY13" s="815"/>
      <c r="DZ13" s="813"/>
      <c r="EA13" s="813"/>
      <c r="EB13" s="813"/>
      <c r="EC13" s="813"/>
      <c r="ED13" s="813"/>
      <c r="EE13" s="813"/>
      <c r="EF13" s="813"/>
      <c r="EG13" s="813"/>
      <c r="EH13" s="813"/>
      <c r="EI13" s="813"/>
      <c r="EJ13" s="813"/>
      <c r="EK13" s="813"/>
      <c r="EL13" s="813"/>
      <c r="EM13" s="813"/>
      <c r="EN13" s="813"/>
      <c r="EO13" s="813"/>
      <c r="EP13" s="813"/>
      <c r="EQ13" s="813"/>
      <c r="ER13" s="813"/>
      <c r="ES13" s="813"/>
      <c r="ET13" s="813"/>
      <c r="EU13" s="813"/>
      <c r="EV13" s="813"/>
      <c r="EW13" s="813"/>
      <c r="EX13" s="813"/>
      <c r="EY13" s="813"/>
      <c r="EZ13" s="813"/>
      <c r="FA13" s="813"/>
      <c r="FB13" s="813"/>
      <c r="FC13" s="813"/>
      <c r="FD13" s="813"/>
      <c r="FE13" s="813"/>
      <c r="FF13" s="813"/>
      <c r="FG13" s="815"/>
      <c r="FH13" s="815"/>
      <c r="FI13" s="815"/>
      <c r="FJ13" s="815"/>
      <c r="FK13" s="815"/>
      <c r="FL13" s="815"/>
      <c r="FM13" s="815"/>
      <c r="FN13" s="815"/>
      <c r="FO13" s="815"/>
      <c r="FP13" s="815"/>
      <c r="FQ13" s="815"/>
      <c r="FR13" s="815"/>
      <c r="FS13" s="815"/>
      <c r="FT13" s="815"/>
      <c r="FU13" s="815"/>
      <c r="FV13" s="815"/>
      <c r="FW13" s="815"/>
      <c r="FX13" s="815"/>
      <c r="FY13" s="815"/>
      <c r="FZ13" s="815"/>
      <c r="GA13" s="815"/>
      <c r="GB13" s="2394"/>
      <c r="GC13" s="815"/>
      <c r="GD13" s="815"/>
      <c r="GE13" s="2394"/>
      <c r="GF13" s="2394"/>
      <c r="GG13" s="815"/>
      <c r="GH13" s="813"/>
      <c r="GI13" s="813"/>
      <c r="GJ13" s="813"/>
      <c r="GK13" s="928"/>
      <c r="GL13" s="549"/>
      <c r="GM13" s="549"/>
      <c r="GN13" s="796"/>
      <c r="GO13" s="549"/>
      <c r="GP13" s="549"/>
      <c r="GQ13" s="549"/>
      <c r="GR13" s="796"/>
      <c r="GS13" s="549"/>
      <c r="GT13" s="549"/>
      <c r="GU13" s="549"/>
      <c r="GV13" s="796"/>
      <c r="GW13" s="796"/>
    </row>
    <row r="14" spans="1:262" ht="23.25" customHeight="1" thickBot="1">
      <c r="A14" s="540">
        <v>4.1666666666666602E-2</v>
      </c>
      <c r="B14" s="691">
        <f>GEntry!W4</f>
        <v>0</v>
      </c>
      <c r="C14" s="687">
        <f>GEntry!X4</f>
        <v>0</v>
      </c>
      <c r="D14" s="687">
        <f>GEntry!Y4</f>
        <v>0</v>
      </c>
      <c r="E14" s="687">
        <f>GEntry!Z4</f>
        <v>180</v>
      </c>
      <c r="F14" s="688">
        <f>GEntry!AB4</f>
        <v>200</v>
      </c>
      <c r="G14" s="688">
        <f>GEntry!BZ4</f>
        <v>87</v>
      </c>
      <c r="H14" s="687">
        <f>GEntry!CT4</f>
        <v>0</v>
      </c>
      <c r="I14" s="687">
        <f>GEntry!AP4</f>
        <v>399</v>
      </c>
      <c r="J14" s="687">
        <f>GEntry!AR4</f>
        <v>281</v>
      </c>
      <c r="K14" s="687"/>
      <c r="L14" s="687">
        <f>GEntry!AO4</f>
        <v>0</v>
      </c>
      <c r="M14" s="687">
        <f>GEntry!AQ4</f>
        <v>225</v>
      </c>
      <c r="N14" s="687">
        <f>GEntry!CQ4</f>
        <v>0</v>
      </c>
      <c r="O14" s="687">
        <f>GEntry!CR4</f>
        <v>7</v>
      </c>
      <c r="P14" s="687">
        <f>GEntry!CM4</f>
        <v>0</v>
      </c>
      <c r="Q14" s="687">
        <f>GEntry!DD4</f>
        <v>30</v>
      </c>
      <c r="R14" s="687">
        <f>GEntry!T4</f>
        <v>0</v>
      </c>
      <c r="S14" s="687">
        <f>GEntry!R4</f>
        <v>0</v>
      </c>
      <c r="T14" s="687">
        <f>GEntry!S4</f>
        <v>0</v>
      </c>
      <c r="U14" s="687">
        <f>GEntry!CD4</f>
        <v>8</v>
      </c>
      <c r="V14" s="688">
        <f>GEntry!CY4</f>
        <v>8</v>
      </c>
      <c r="W14" s="687">
        <f>GEntry!CF4</f>
        <v>48</v>
      </c>
      <c r="X14" s="687">
        <f>GEntry!CP4</f>
        <v>0</v>
      </c>
      <c r="Y14" s="687">
        <f>GEntry!DC4</f>
        <v>0</v>
      </c>
      <c r="Z14" s="687">
        <f>GEntry!CN4</f>
        <v>0</v>
      </c>
      <c r="AA14" s="687">
        <f>GEntry!DB4</f>
        <v>0</v>
      </c>
      <c r="AB14" s="687">
        <f>GEntry!DH4</f>
        <v>35</v>
      </c>
      <c r="AC14" s="687">
        <f>GEntry!DE4</f>
        <v>55</v>
      </c>
      <c r="AD14" s="687">
        <f>GEntry!BK4</f>
        <v>35</v>
      </c>
      <c r="AE14" s="687">
        <f>GEntry!BN4</f>
        <v>22</v>
      </c>
      <c r="AF14" s="687">
        <f>GEntry!BV4</f>
        <v>25</v>
      </c>
      <c r="AG14" s="687">
        <f>GEntry!BW4</f>
        <v>27</v>
      </c>
      <c r="AH14" s="687">
        <f>GEntry!BX4</f>
        <v>33</v>
      </c>
      <c r="AI14" s="687">
        <f>GEntry!BY4</f>
        <v>33</v>
      </c>
      <c r="AJ14" s="687">
        <f>GEntry!CE4</f>
        <v>49</v>
      </c>
      <c r="AK14" s="687">
        <f>GEntry!AN4</f>
        <v>0</v>
      </c>
      <c r="AL14" s="1074">
        <f>GEntry!B4</f>
        <v>81</v>
      </c>
      <c r="AM14" s="1074">
        <f>GEntry!C4</f>
        <v>35</v>
      </c>
      <c r="AN14" s="687">
        <f>GEntry!D4</f>
        <v>100</v>
      </c>
      <c r="AO14" s="687">
        <f>GEntry!E4</f>
        <v>0</v>
      </c>
      <c r="AP14" s="687">
        <f>GEntry!F4</f>
        <v>25</v>
      </c>
      <c r="AQ14" s="687">
        <f>GEntry!H4</f>
        <v>0</v>
      </c>
      <c r="AR14" s="687">
        <f>GEntry!I4</f>
        <v>0</v>
      </c>
      <c r="AS14" s="687">
        <f>GEntry!K4</f>
        <v>0</v>
      </c>
      <c r="AT14" s="687">
        <f>GEntry!L4</f>
        <v>0</v>
      </c>
      <c r="AU14" s="687"/>
      <c r="AV14" s="687">
        <f>GEntry!BL4</f>
        <v>11</v>
      </c>
      <c r="AW14" s="687">
        <f>GEntry!N4</f>
        <v>26</v>
      </c>
      <c r="AX14" s="687">
        <f>GEntry!M4</f>
        <v>51</v>
      </c>
      <c r="AY14" s="687">
        <f>GEntry!CV4</f>
        <v>33</v>
      </c>
      <c r="AZ14" s="687">
        <f>GEntry!DA4</f>
        <v>12</v>
      </c>
      <c r="BA14" s="687">
        <f>GEntry!CZ4</f>
        <v>25</v>
      </c>
      <c r="BB14" s="687">
        <f>GEntry!BM4</f>
        <v>15</v>
      </c>
      <c r="BC14" s="687">
        <f>GEntry!BQ4</f>
        <v>38</v>
      </c>
      <c r="BD14" s="687">
        <f>GEntry!AD4</f>
        <v>0</v>
      </c>
      <c r="BE14" s="687">
        <f>GEntry!AE4</f>
        <v>0</v>
      </c>
      <c r="BF14" s="687">
        <f>GEntry!AF4</f>
        <v>0</v>
      </c>
      <c r="BG14" s="687">
        <f>GEntry!AJ4</f>
        <v>320</v>
      </c>
      <c r="BH14" s="687">
        <f>GEntry!AI4</f>
        <v>320</v>
      </c>
      <c r="BI14" s="687">
        <f>GEntry!AH4</f>
        <v>195</v>
      </c>
      <c r="BJ14" s="687">
        <f>GEntry!V4</f>
        <v>8</v>
      </c>
      <c r="BK14" s="687">
        <f>GEntry!AM4</f>
        <v>127</v>
      </c>
      <c r="BL14" s="687">
        <f>GEntry!AG4</f>
        <v>42</v>
      </c>
      <c r="BM14" s="687">
        <f>GEntry!AL4</f>
        <v>52</v>
      </c>
      <c r="BN14" s="687">
        <f>GEntry!CU4</f>
        <v>0</v>
      </c>
      <c r="BO14" s="688">
        <f>GEntry!CX4</f>
        <v>51</v>
      </c>
      <c r="BP14" s="688">
        <f>GEntry!CO4</f>
        <v>0</v>
      </c>
      <c r="BQ14" s="688">
        <f>GEntry!Q4</f>
        <v>39</v>
      </c>
      <c r="BR14" s="687">
        <f>GEntry!CH4</f>
        <v>8</v>
      </c>
      <c r="BS14" s="688">
        <f>GEntry!BR4</f>
        <v>21</v>
      </c>
      <c r="BT14" s="688">
        <f>GEntry!BS4</f>
        <v>10</v>
      </c>
      <c r="BU14" s="688">
        <f>GEntry!BT4</f>
        <v>33</v>
      </c>
      <c r="BV14" s="688">
        <f>GEntry!BU4</f>
        <v>20</v>
      </c>
      <c r="BW14" s="679">
        <f>GEntry!BP4</f>
        <v>162</v>
      </c>
      <c r="BX14" s="688">
        <f>GEntry!AS4</f>
        <v>100</v>
      </c>
      <c r="BY14" s="688">
        <f>GEntry!CG4</f>
        <v>0</v>
      </c>
      <c r="BZ14" s="688">
        <f>GEntry!BO4</f>
        <v>22</v>
      </c>
      <c r="CA14" s="1076">
        <f>GEntry!DG4</f>
        <v>0</v>
      </c>
      <c r="CB14" s="688">
        <f>GEntry!AU4</f>
        <v>43</v>
      </c>
      <c r="CC14" s="688">
        <f>GEntry!AV4</f>
        <v>41</v>
      </c>
      <c r="CD14" s="688">
        <f>GEntry!BG4</f>
        <v>50</v>
      </c>
      <c r="CE14" s="688">
        <f>GEntry!CW4</f>
        <v>48</v>
      </c>
      <c r="CF14" s="688">
        <f>GEntry!DF4</f>
        <v>110</v>
      </c>
      <c r="CG14" s="688">
        <f>GEntry!AW4</f>
        <v>0</v>
      </c>
      <c r="CH14" s="688">
        <f>GEntry!AX4</f>
        <v>60</v>
      </c>
      <c r="CI14" s="688">
        <f>GEntry!AY4</f>
        <v>81</v>
      </c>
      <c r="CJ14" s="688">
        <f>GEntry!BA4</f>
        <v>0</v>
      </c>
      <c r="CK14" s="688">
        <f>GEntry!BB4</f>
        <v>221</v>
      </c>
      <c r="CL14" s="688">
        <f>GEntry!BC4</f>
        <v>0</v>
      </c>
      <c r="CM14" s="688">
        <f>GEntry!BD4</f>
        <v>31</v>
      </c>
      <c r="CN14" s="688">
        <f>GEntry!BE4</f>
        <v>0</v>
      </c>
      <c r="CO14" s="688">
        <f>GEntry!BI4</f>
        <v>310</v>
      </c>
      <c r="CP14" s="688">
        <f>GEntry!BH4</f>
        <v>16</v>
      </c>
      <c r="CQ14" s="910">
        <f>GEntry!BF4</f>
        <v>0</v>
      </c>
      <c r="CR14" s="910">
        <f>GEntry!P4</f>
        <v>197</v>
      </c>
      <c r="CS14" s="910">
        <f>GEntry!U4</f>
        <v>112</v>
      </c>
      <c r="CT14" s="688">
        <f>GEntry!DI4</f>
        <v>298</v>
      </c>
      <c r="CU14" s="910">
        <f>GEntry!DJ4</f>
        <v>95</v>
      </c>
      <c r="CV14" s="910">
        <f>GEntry!DK4</f>
        <v>47</v>
      </c>
      <c r="CW14" s="688">
        <f>GEntry!DL4</f>
        <v>96</v>
      </c>
      <c r="CX14" s="910">
        <f>GEntry!DM4</f>
        <v>97</v>
      </c>
      <c r="CY14" s="910">
        <f>GEntry!G4</f>
        <v>0</v>
      </c>
      <c r="CZ14" s="910">
        <f>GEntry!DN4</f>
        <v>21</v>
      </c>
      <c r="DA14" s="688">
        <f>GEntry!DO4</f>
        <v>34</v>
      </c>
      <c r="DB14" s="910">
        <f>GEntry!DP4</f>
        <v>133</v>
      </c>
      <c r="DC14" s="688">
        <f>GEntry!DQ4</f>
        <v>403</v>
      </c>
      <c r="DD14" s="910">
        <f>GEntry!DR4</f>
        <v>48</v>
      </c>
      <c r="DE14" s="688">
        <f>GEntry!CI4</f>
        <v>105</v>
      </c>
      <c r="DF14" s="910">
        <f>GEntry!O4</f>
        <v>87</v>
      </c>
      <c r="DG14" s="688">
        <f>GEntry!CJ4</f>
        <v>0</v>
      </c>
      <c r="DH14" s="910">
        <f>GEntry!DS4</f>
        <v>16</v>
      </c>
      <c r="DI14" s="688">
        <f>GEntry!CK4</f>
        <v>23</v>
      </c>
      <c r="DJ14" s="688">
        <f>GEntry!CL4</f>
        <v>56</v>
      </c>
      <c r="DK14" s="910">
        <f>GEntry!CA4</f>
        <v>17</v>
      </c>
      <c r="DL14" s="910">
        <f>GEntry!CB4</f>
        <v>42</v>
      </c>
      <c r="DM14" s="688">
        <f>GEntry!DT4</f>
        <v>55</v>
      </c>
      <c r="DN14" s="910">
        <f>GEntry!BJ4</f>
        <v>0</v>
      </c>
      <c r="DO14" s="688">
        <f>GEntry!CS4</f>
        <v>0</v>
      </c>
      <c r="DP14" s="910">
        <f>GEntry!AT4</f>
        <v>0</v>
      </c>
      <c r="DQ14" s="910">
        <f>GEntry!CC4</f>
        <v>51</v>
      </c>
      <c r="DR14" s="910">
        <f>GEntry!DU4</f>
        <v>108</v>
      </c>
      <c r="DS14" s="688">
        <f>GEntry!AZ4</f>
        <v>0</v>
      </c>
      <c r="DT14" s="910">
        <f>GEntry!DV4</f>
        <v>35</v>
      </c>
      <c r="DU14" s="688">
        <f>GEntry!DW4</f>
        <v>0</v>
      </c>
      <c r="DV14" s="688">
        <f>GEntry!DX4</f>
        <v>76</v>
      </c>
      <c r="DW14" s="688">
        <f>GEntry!DY4</f>
        <v>55</v>
      </c>
      <c r="DX14" s="688">
        <f>GEntry!AK4</f>
        <v>0</v>
      </c>
      <c r="DY14" s="914"/>
      <c r="DZ14" s="697">
        <f>GEntry!EZ4</f>
        <v>914</v>
      </c>
      <c r="EA14" s="693">
        <f>GEntry!EX4</f>
        <v>0</v>
      </c>
      <c r="EB14" s="693">
        <f>GEntry!FA4</f>
        <v>150</v>
      </c>
      <c r="EC14" s="693">
        <f>GEntry!EC4</f>
        <v>0</v>
      </c>
      <c r="ED14" s="693">
        <f>GEntry!ED4</f>
        <v>26</v>
      </c>
      <c r="EE14" s="693">
        <f>GEntry!EI4</f>
        <v>224</v>
      </c>
      <c r="EF14" s="693">
        <f>GEntry!EB4</f>
        <v>0</v>
      </c>
      <c r="EG14" s="693">
        <f>GEntry!EG4</f>
        <v>0</v>
      </c>
      <c r="EH14" s="693">
        <f>GEntry!EH4</f>
        <v>21</v>
      </c>
      <c r="EI14" s="693">
        <f>GEntry!EW4</f>
        <v>60</v>
      </c>
      <c r="EJ14" s="693">
        <f>GEntry!EV4</f>
        <v>8</v>
      </c>
      <c r="EK14" s="693">
        <f>GEntry!ES4</f>
        <v>84</v>
      </c>
      <c r="EL14" s="693">
        <f>GEntry!ET4</f>
        <v>30</v>
      </c>
      <c r="EM14" s="693">
        <f>GEntry!EP4</f>
        <v>64</v>
      </c>
      <c r="EN14" s="693">
        <f>GEntry!EQ4</f>
        <v>0</v>
      </c>
      <c r="EO14" s="693">
        <f>GEntry!FH4</f>
        <v>0</v>
      </c>
      <c r="EP14" s="693">
        <f>GEntry!FG4</f>
        <v>0</v>
      </c>
      <c r="EQ14" s="693">
        <f>GEntry!FI4</f>
        <v>32</v>
      </c>
      <c r="ER14" s="693">
        <f>GEntry!FS4</f>
        <v>27</v>
      </c>
      <c r="ES14" s="693">
        <f>GEntry!GB4</f>
        <v>72</v>
      </c>
      <c r="ET14" s="693">
        <f>GEntry!FW4</f>
        <v>0</v>
      </c>
      <c r="EU14" s="693">
        <f>GEntry!FX4</f>
        <v>0</v>
      </c>
      <c r="EV14" s="693">
        <f>GEntry!FY4</f>
        <v>24</v>
      </c>
      <c r="EW14" s="693">
        <f>GEntry!GA4</f>
        <v>8</v>
      </c>
      <c r="EX14" s="693">
        <f>GEntry!FZ4</f>
        <v>34</v>
      </c>
      <c r="EY14" s="693">
        <f>GEntry!FT4</f>
        <v>22</v>
      </c>
      <c r="EZ14" s="695">
        <f>GEntry!FU4</f>
        <v>0</v>
      </c>
      <c r="FA14" s="695">
        <f>GEntry!FV4</f>
        <v>11</v>
      </c>
      <c r="FB14" s="1072">
        <f>GEntry!FD4</f>
        <v>0</v>
      </c>
      <c r="FC14" s="1072">
        <f>GEntry!FE4</f>
        <v>0</v>
      </c>
      <c r="FD14" s="1072">
        <f>GEntry!FF4</f>
        <v>250</v>
      </c>
      <c r="FE14" s="693">
        <f>GEntry!GF4</f>
        <v>0</v>
      </c>
      <c r="FF14" s="694">
        <f>GEntry!GG4</f>
        <v>0</v>
      </c>
      <c r="FG14" s="694">
        <f>GEntry!FK4</f>
        <v>173</v>
      </c>
      <c r="FH14" s="694">
        <f>GEntry!FL4</f>
        <v>0</v>
      </c>
      <c r="FI14" s="694">
        <f>GEntry!FM4</f>
        <v>0</v>
      </c>
      <c r="FJ14" s="694">
        <f>GEntry!FN4</f>
        <v>206</v>
      </c>
      <c r="FK14" s="694">
        <f>GEntry!ER4</f>
        <v>0</v>
      </c>
      <c r="FL14" s="694">
        <f>GEntry!EU4</f>
        <v>96</v>
      </c>
      <c r="FM14" s="694">
        <f>GEntry!FO4</f>
        <v>145</v>
      </c>
      <c r="FN14" s="694">
        <f>GEntry!FP4</f>
        <v>0</v>
      </c>
      <c r="FO14" s="693">
        <f>GEntry!FQ4</f>
        <v>274</v>
      </c>
      <c r="FP14" s="694">
        <f>GEntry!EJ4</f>
        <v>0</v>
      </c>
      <c r="FQ14" s="693">
        <f>GEntry!GC4</f>
        <v>169</v>
      </c>
      <c r="FR14" s="693">
        <f>GEntry!GD4</f>
        <v>50</v>
      </c>
      <c r="FS14" s="694">
        <f>GEntry!EY4</f>
        <v>89</v>
      </c>
      <c r="FT14" s="694">
        <f>GEntry!GH4</f>
        <v>56</v>
      </c>
      <c r="FU14" s="693">
        <f>GEntry!FR4</f>
        <v>0</v>
      </c>
      <c r="FV14" s="694">
        <f>GEntry!GI4</f>
        <v>0</v>
      </c>
      <c r="FW14" s="694">
        <f>GEntry!GE4</f>
        <v>95</v>
      </c>
      <c r="FX14" s="693">
        <f>GEntry!FB4</f>
        <v>660</v>
      </c>
      <c r="FY14" s="693">
        <f>GEntry!EN4</f>
        <v>210</v>
      </c>
      <c r="FZ14" s="694">
        <f>GEntry!EO4</f>
        <v>0</v>
      </c>
      <c r="GA14" s="693">
        <f>GEntry!EM4</f>
        <v>90</v>
      </c>
      <c r="GB14" s="694">
        <f>GEntry!FJ4</f>
        <v>0</v>
      </c>
      <c r="GC14" s="694">
        <f>GEntry!EK4</f>
        <v>0</v>
      </c>
      <c r="GD14" s="693">
        <f>GEntry!GJ4</f>
        <v>34</v>
      </c>
      <c r="GE14" s="694">
        <f>GEntry!EF4</f>
        <v>0</v>
      </c>
      <c r="GF14" s="693">
        <f>GEntry!EE4</f>
        <v>0</v>
      </c>
      <c r="GG14" s="917"/>
      <c r="GH14" s="841">
        <f>SUM(B14:DY14)</f>
        <v>7087</v>
      </c>
      <c r="GI14" s="840">
        <f>SUM(DZ14:GG14)</f>
        <v>4408</v>
      </c>
      <c r="GJ14" s="837">
        <f>GH14+GI14</f>
        <v>11495</v>
      </c>
      <c r="GK14" s="583">
        <f t="shared" ref="GK14:GK41" si="0">B14+C14+D14+E14+F14+I14+L14+R14+S14+T14+AE14+AF14+AG14+AH14+AI14+AK14+AN14+AO14+AQ14+AS14+AU14++BB14+BD14+BE14+BF14+BG14+BH14+BI14+BK14+BL14+BS14+BT14+BU14+BV14+BX14+BZ14+CB14++CC14+CG14+CH14+CK14+CL14+CP14+CQ14+EB14+EK14  +EO14+EP14+FA14+FG14+FI14+FM14+DC14+DN14+DS14+DX14+GF14</f>
        <v>3591</v>
      </c>
      <c r="GL14" s="583">
        <f t="shared" ref="GL14:GL41" si="1">DZ14</f>
        <v>914</v>
      </c>
      <c r="GM14" s="583">
        <f>G14+H14 +J14+M14+N14+BC14+BJ14+BM14 +BN14+BO14+BP14+CD14+CE14+CF14+CI14+CJ14+CM14+CN14+CO14+EL14+EY14+EZ14+FK14+FO14+FY14</f>
        <v>1908</v>
      </c>
      <c r="GN14" s="583">
        <f>Z14+CR14+CT14+CU14+CW14+EG14+FL14+FQ14+FZ14</f>
        <v>951</v>
      </c>
      <c r="GO14" s="583">
        <f t="shared" ref="GO14:GO41" si="2">K14+O14+P14+Q14 +U14+V14+X14+Y14+AA14+AB14+AC14+AD14+AJ14+AP14+AV14+AY14+AZ14+BA14+BR14+BY14+EC14+ED14+EJ14+EM14+ET14+EU14+EW14+CS14+CV14+CX14+FP14+CZ14+DA14+DB14+DD14+FR14+FS14+DE14+DF14+DH14+FT14+DI14+DJ14+FW14+DK14+DL14+DM14+DO14+DQ14+GA14+DR14+DT14+DV14+DW14+GD14</f>
        <v>2079</v>
      </c>
      <c r="GP14" s="583">
        <f t="shared" ref="GP14:GP41" si="3">FB14+FC14+FD14+FX14</f>
        <v>910</v>
      </c>
      <c r="GQ14" s="583">
        <f t="shared" ref="GQ14:GQ41" si="4">AL14+AM14</f>
        <v>116</v>
      </c>
      <c r="GR14" s="583">
        <f t="shared" ref="GR14:GR41" si="5">AR14+AT14+EA14+EE14+EN14+FE14+FF14+FH14+FJ14+FN14+FU14+GE14</f>
        <v>430</v>
      </c>
      <c r="GS14" s="583">
        <f>W14+AW14+AX14+BQ14+EH14+EI14+EQ14+ER14+ES14+EV14+EX14+FJ14</f>
        <v>640</v>
      </c>
      <c r="GT14" s="583">
        <f t="shared" ref="GT14:GT41" si="6">BW14</f>
        <v>162</v>
      </c>
      <c r="GU14" s="836">
        <f t="shared" ref="GU14:GU41" si="7">CA14+CY14+DG14+FV14+DP14+DU14+GB14+GC14</f>
        <v>0</v>
      </c>
      <c r="GV14" s="835">
        <f>FWise!M6</f>
        <v>1538.1086749999995</v>
      </c>
      <c r="GW14" s="2510">
        <f>GEntry!GN4</f>
        <v>94.02</v>
      </c>
      <c r="GX14" s="12"/>
      <c r="GY14" s="12"/>
      <c r="GZ14" s="12"/>
      <c r="HI14" s="134"/>
      <c r="HJ14" s="134"/>
      <c r="JA14" s="134"/>
      <c r="JB14" s="134"/>
    </row>
    <row r="15" spans="1:262" ht="23.25" customHeight="1" thickBot="1">
      <c r="A15" s="541">
        <v>8.3333333333333301E-2</v>
      </c>
      <c r="B15" s="692">
        <f>GEntry!W5</f>
        <v>0</v>
      </c>
      <c r="C15" s="689">
        <f>GEntry!X5</f>
        <v>0</v>
      </c>
      <c r="D15" s="689">
        <f>GEntry!Y5</f>
        <v>0</v>
      </c>
      <c r="E15" s="689">
        <f>GEntry!Z5</f>
        <v>180</v>
      </c>
      <c r="F15" s="690">
        <f>GEntry!AB5</f>
        <v>200</v>
      </c>
      <c r="G15" s="690">
        <f>GEntry!BZ5</f>
        <v>87</v>
      </c>
      <c r="H15" s="689">
        <f>GEntry!CT5</f>
        <v>0</v>
      </c>
      <c r="I15" s="689">
        <f>GEntry!AP5</f>
        <v>402</v>
      </c>
      <c r="J15" s="689">
        <f>GEntry!AR5</f>
        <v>291</v>
      </c>
      <c r="K15" s="689"/>
      <c r="L15" s="689">
        <f>GEntry!AO5</f>
        <v>0</v>
      </c>
      <c r="M15" s="689">
        <f>GEntry!AQ5</f>
        <v>225</v>
      </c>
      <c r="N15" s="689">
        <f>GEntry!CQ5</f>
        <v>0</v>
      </c>
      <c r="O15" s="689">
        <f>GEntry!CR5</f>
        <v>7</v>
      </c>
      <c r="P15" s="689">
        <f>GEntry!CM5</f>
        <v>0</v>
      </c>
      <c r="Q15" s="689">
        <f>GEntry!DD5</f>
        <v>30</v>
      </c>
      <c r="R15" s="689">
        <f>GEntry!T5</f>
        <v>0</v>
      </c>
      <c r="S15" s="689">
        <f>GEntry!R5</f>
        <v>0</v>
      </c>
      <c r="T15" s="689">
        <f>GEntry!S5</f>
        <v>0</v>
      </c>
      <c r="U15" s="689">
        <f>GEntry!CD5</f>
        <v>8</v>
      </c>
      <c r="V15" s="690">
        <f>GEntry!CY5</f>
        <v>8</v>
      </c>
      <c r="W15" s="689">
        <f>GEntry!CF5</f>
        <v>48</v>
      </c>
      <c r="X15" s="689">
        <f>GEntry!CP5</f>
        <v>0</v>
      </c>
      <c r="Y15" s="689">
        <f>GEntry!DC5</f>
        <v>0</v>
      </c>
      <c r="Z15" s="689">
        <f>GEntry!CN5</f>
        <v>0</v>
      </c>
      <c r="AA15" s="689">
        <f>GEntry!DB5</f>
        <v>0</v>
      </c>
      <c r="AB15" s="689">
        <f>GEntry!DH5</f>
        <v>35</v>
      </c>
      <c r="AC15" s="689">
        <f>GEntry!DE5</f>
        <v>55</v>
      </c>
      <c r="AD15" s="689">
        <f>GEntry!BK5</f>
        <v>35</v>
      </c>
      <c r="AE15" s="689">
        <f>GEntry!BN5</f>
        <v>22</v>
      </c>
      <c r="AF15" s="689">
        <f>GEntry!BV5</f>
        <v>25</v>
      </c>
      <c r="AG15" s="689">
        <f>GEntry!BW5</f>
        <v>24</v>
      </c>
      <c r="AH15" s="689">
        <f>GEntry!BX5</f>
        <v>33</v>
      </c>
      <c r="AI15" s="689">
        <f>GEntry!BY5</f>
        <v>33</v>
      </c>
      <c r="AJ15" s="689">
        <f>GEntry!CE5</f>
        <v>49</v>
      </c>
      <c r="AK15" s="689">
        <f>GEntry!AN5</f>
        <v>0</v>
      </c>
      <c r="AL15" s="1075">
        <f>GEntry!B5</f>
        <v>83</v>
      </c>
      <c r="AM15" s="1075">
        <f>GEntry!C5</f>
        <v>35</v>
      </c>
      <c r="AN15" s="689">
        <f>GEntry!D5</f>
        <v>100</v>
      </c>
      <c r="AO15" s="689">
        <f>GEntry!E5</f>
        <v>0</v>
      </c>
      <c r="AP15" s="689">
        <f>GEntry!F5</f>
        <v>25</v>
      </c>
      <c r="AQ15" s="689">
        <f>GEntry!H5</f>
        <v>0</v>
      </c>
      <c r="AR15" s="689">
        <f>GEntry!I5</f>
        <v>0</v>
      </c>
      <c r="AS15" s="689">
        <f>GEntry!K5</f>
        <v>0</v>
      </c>
      <c r="AT15" s="689">
        <f>GEntry!L5</f>
        <v>0</v>
      </c>
      <c r="AU15" s="689"/>
      <c r="AV15" s="689">
        <f>GEntry!BL5</f>
        <v>11</v>
      </c>
      <c r="AW15" s="689">
        <f>GEntry!N5</f>
        <v>26</v>
      </c>
      <c r="AX15" s="689">
        <f>GEntry!M5</f>
        <v>51</v>
      </c>
      <c r="AY15" s="689">
        <f>GEntry!CV5</f>
        <v>33</v>
      </c>
      <c r="AZ15" s="689">
        <f>GEntry!DA5</f>
        <v>12</v>
      </c>
      <c r="BA15" s="689">
        <f>GEntry!CZ5</f>
        <v>20</v>
      </c>
      <c r="BB15" s="689">
        <f>GEntry!BM5</f>
        <v>15</v>
      </c>
      <c r="BC15" s="689">
        <f>GEntry!BQ5</f>
        <v>38</v>
      </c>
      <c r="BD15" s="689">
        <f>GEntry!AD5</f>
        <v>0</v>
      </c>
      <c r="BE15" s="689">
        <f>GEntry!AE5</f>
        <v>0</v>
      </c>
      <c r="BF15" s="689">
        <f>GEntry!AF5</f>
        <v>0</v>
      </c>
      <c r="BG15" s="689">
        <f>GEntry!AJ5</f>
        <v>320</v>
      </c>
      <c r="BH15" s="689">
        <f>GEntry!AI5</f>
        <v>320</v>
      </c>
      <c r="BI15" s="689">
        <f>GEntry!AH5</f>
        <v>193</v>
      </c>
      <c r="BJ15" s="689">
        <f>GEntry!V5</f>
        <v>8</v>
      </c>
      <c r="BK15" s="689">
        <f>GEntry!AM5</f>
        <v>127</v>
      </c>
      <c r="BL15" s="689">
        <f>GEntry!AG5</f>
        <v>42</v>
      </c>
      <c r="BM15" s="689">
        <f>GEntry!AL5</f>
        <v>52</v>
      </c>
      <c r="BN15" s="689">
        <f>GEntry!CU5</f>
        <v>0</v>
      </c>
      <c r="BO15" s="690">
        <f>GEntry!CX5</f>
        <v>51</v>
      </c>
      <c r="BP15" s="690">
        <f>GEntry!CO5</f>
        <v>0</v>
      </c>
      <c r="BQ15" s="690">
        <f>GEntry!Q5</f>
        <v>39</v>
      </c>
      <c r="BR15" s="689">
        <f>GEntry!CH5</f>
        <v>8</v>
      </c>
      <c r="BS15" s="690">
        <f>GEntry!BR5</f>
        <v>21</v>
      </c>
      <c r="BT15" s="690">
        <f>GEntry!BS5</f>
        <v>10</v>
      </c>
      <c r="BU15" s="690">
        <f>GEntry!BT5</f>
        <v>33</v>
      </c>
      <c r="BV15" s="690">
        <f>GEntry!BU5</f>
        <v>20</v>
      </c>
      <c r="BW15" s="680">
        <f>GEntry!BP5</f>
        <v>162</v>
      </c>
      <c r="BX15" s="690">
        <f>GEntry!AS5</f>
        <v>100</v>
      </c>
      <c r="BY15" s="690">
        <f>GEntry!CG5</f>
        <v>0</v>
      </c>
      <c r="BZ15" s="690">
        <f>GEntry!BO5</f>
        <v>22</v>
      </c>
      <c r="CA15" s="1077">
        <f>GEntry!DG5</f>
        <v>0</v>
      </c>
      <c r="CB15" s="690">
        <f>GEntry!AU5</f>
        <v>43</v>
      </c>
      <c r="CC15" s="690">
        <f>GEntry!AV5</f>
        <v>41</v>
      </c>
      <c r="CD15" s="690">
        <f>GEntry!BG5</f>
        <v>50</v>
      </c>
      <c r="CE15" s="690">
        <f>GEntry!CW5</f>
        <v>45</v>
      </c>
      <c r="CF15" s="690">
        <f>GEntry!DF5</f>
        <v>110</v>
      </c>
      <c r="CG15" s="690">
        <f>GEntry!AW5</f>
        <v>0</v>
      </c>
      <c r="CH15" s="690">
        <f>GEntry!AX5</f>
        <v>60</v>
      </c>
      <c r="CI15" s="690">
        <f>GEntry!AY5</f>
        <v>40</v>
      </c>
      <c r="CJ15" s="690">
        <f>GEntry!BA5</f>
        <v>0</v>
      </c>
      <c r="CK15" s="690">
        <f>GEntry!BB5</f>
        <v>220</v>
      </c>
      <c r="CL15" s="690">
        <f>GEntry!BC5</f>
        <v>0</v>
      </c>
      <c r="CM15" s="690">
        <f>GEntry!BD5</f>
        <v>31</v>
      </c>
      <c r="CN15" s="690">
        <f>GEntry!BE5</f>
        <v>9</v>
      </c>
      <c r="CO15" s="690">
        <f>GEntry!BI5</f>
        <v>325</v>
      </c>
      <c r="CP15" s="690">
        <f>GEntry!BH5</f>
        <v>16</v>
      </c>
      <c r="CQ15" s="911">
        <f>GEntry!BF5</f>
        <v>0</v>
      </c>
      <c r="CR15" s="911">
        <f>GEntry!P5</f>
        <v>197</v>
      </c>
      <c r="CS15" s="911">
        <f>GEntry!U5</f>
        <v>97</v>
      </c>
      <c r="CT15" s="690">
        <f>GEntry!DI5</f>
        <v>296</v>
      </c>
      <c r="CU15" s="911">
        <f>GEntry!DJ5</f>
        <v>97</v>
      </c>
      <c r="CV15" s="911">
        <f>GEntry!DK5</f>
        <v>48</v>
      </c>
      <c r="CW15" s="690">
        <f>GEntry!DL5</f>
        <v>96</v>
      </c>
      <c r="CX15" s="911">
        <f>GEntry!DM5</f>
        <v>97</v>
      </c>
      <c r="CY15" s="911">
        <f>GEntry!G5</f>
        <v>0</v>
      </c>
      <c r="CZ15" s="911">
        <f>GEntry!DN5</f>
        <v>21</v>
      </c>
      <c r="DA15" s="690">
        <f>GEntry!DO5</f>
        <v>34</v>
      </c>
      <c r="DB15" s="1530">
        <f>GEntry!DP5</f>
        <v>133</v>
      </c>
      <c r="DC15" s="1520">
        <f>GEntry!DQ5</f>
        <v>398</v>
      </c>
      <c r="DD15" s="1617">
        <f>GEntry!DR5</f>
        <v>48</v>
      </c>
      <c r="DE15" s="1616">
        <f>GEntry!CI5</f>
        <v>105</v>
      </c>
      <c r="DF15" s="1700">
        <f>GEntry!O5</f>
        <v>87</v>
      </c>
      <c r="DG15" s="1694">
        <f>GEntry!CJ5</f>
        <v>0</v>
      </c>
      <c r="DH15" s="1847">
        <f>GEntry!DS5</f>
        <v>16</v>
      </c>
      <c r="DI15" s="1848">
        <f>GEntry!CK5</f>
        <v>36</v>
      </c>
      <c r="DJ15" s="1859">
        <f>GEntry!CL5</f>
        <v>56</v>
      </c>
      <c r="DK15" s="2176">
        <f>GEntry!CA5</f>
        <v>17</v>
      </c>
      <c r="DL15" s="2396">
        <f>GEntry!CB5</f>
        <v>38</v>
      </c>
      <c r="DM15" s="2177">
        <f>GEntry!DT5</f>
        <v>20</v>
      </c>
      <c r="DN15" s="2495">
        <f>GEntry!BJ5</f>
        <v>0</v>
      </c>
      <c r="DO15" s="2496">
        <f>GEntry!CS5</f>
        <v>0</v>
      </c>
      <c r="DP15" s="2603">
        <f>GEntry!AT5</f>
        <v>0</v>
      </c>
      <c r="DQ15" s="2642">
        <f>GEntry!CC5</f>
        <v>35</v>
      </c>
      <c r="DR15" s="2667">
        <f>GEntry!DU5</f>
        <v>108</v>
      </c>
      <c r="DS15" s="2669">
        <f>GEntry!AZ5</f>
        <v>0</v>
      </c>
      <c r="DT15" s="2734">
        <f>GEntry!DV5</f>
        <v>35</v>
      </c>
      <c r="DU15" s="2736">
        <f>GEntry!DW5</f>
        <v>0</v>
      </c>
      <c r="DV15" s="3114">
        <f>GEntry!DX5</f>
        <v>76</v>
      </c>
      <c r="DW15" s="3114">
        <f>GEntry!DY5</f>
        <v>55</v>
      </c>
      <c r="DX15" s="4684">
        <f>GEntry!AK5</f>
        <v>0</v>
      </c>
      <c r="DY15" s="915"/>
      <c r="DZ15" s="698">
        <f>GEntry!EZ5</f>
        <v>914</v>
      </c>
      <c r="EA15" s="695">
        <f>GEntry!EX5</f>
        <v>0</v>
      </c>
      <c r="EB15" s="695">
        <f>GEntry!FA5</f>
        <v>155</v>
      </c>
      <c r="EC15" s="695">
        <f>GEntry!EC5</f>
        <v>0</v>
      </c>
      <c r="ED15" s="695">
        <f>GEntry!ED5</f>
        <v>16</v>
      </c>
      <c r="EE15" s="695">
        <f>GEntry!EI5</f>
        <v>226</v>
      </c>
      <c r="EF15" s="695">
        <f>GEntry!EB5</f>
        <v>0</v>
      </c>
      <c r="EG15" s="695">
        <f>GEntry!EG5</f>
        <v>0</v>
      </c>
      <c r="EH15" s="695">
        <f>GEntry!EH5</f>
        <v>21</v>
      </c>
      <c r="EI15" s="695">
        <f>GEntry!EW5</f>
        <v>55</v>
      </c>
      <c r="EJ15" s="695">
        <f>GEntry!EV5</f>
        <v>0</v>
      </c>
      <c r="EK15" s="695">
        <f>GEntry!ES5</f>
        <v>88</v>
      </c>
      <c r="EL15" s="695">
        <f>GEntry!ET5</f>
        <v>29</v>
      </c>
      <c r="EM15" s="695">
        <f>GEntry!EP5</f>
        <v>64</v>
      </c>
      <c r="EN15" s="695">
        <f>GEntry!EQ5</f>
        <v>0</v>
      </c>
      <c r="EO15" s="695">
        <f>GEntry!FH5</f>
        <v>0</v>
      </c>
      <c r="EP15" s="695">
        <f>GEntry!FG5</f>
        <v>0</v>
      </c>
      <c r="EQ15" s="695">
        <f>GEntry!FI5</f>
        <v>32</v>
      </c>
      <c r="ER15" s="695">
        <f>GEntry!FS5</f>
        <v>27</v>
      </c>
      <c r="ES15" s="695">
        <f>GEntry!GB5</f>
        <v>65</v>
      </c>
      <c r="ET15" s="695">
        <f>GEntry!FW5</f>
        <v>0</v>
      </c>
      <c r="EU15" s="695">
        <f>GEntry!FX5</f>
        <v>0</v>
      </c>
      <c r="EV15" s="695">
        <f>GEntry!FY5</f>
        <v>24</v>
      </c>
      <c r="EW15" s="695">
        <f>GEntry!GA5</f>
        <v>8</v>
      </c>
      <c r="EX15" s="695">
        <f>GEntry!FZ5</f>
        <v>34</v>
      </c>
      <c r="EY15" s="695">
        <f>GEntry!FT5</f>
        <v>22</v>
      </c>
      <c r="EZ15" s="695">
        <f>GEntry!FU5</f>
        <v>0</v>
      </c>
      <c r="FA15" s="695">
        <f>GEntry!FV5</f>
        <v>11</v>
      </c>
      <c r="FB15" s="1073">
        <f>GEntry!FD5</f>
        <v>0</v>
      </c>
      <c r="FC15" s="1073">
        <f>GEntry!FE5</f>
        <v>0</v>
      </c>
      <c r="FD15" s="1073">
        <f>GEntry!FF5</f>
        <v>250</v>
      </c>
      <c r="FE15" s="695">
        <f>GEntry!GF5</f>
        <v>0</v>
      </c>
      <c r="FF15" s="696">
        <f>GEntry!GG5</f>
        <v>0</v>
      </c>
      <c r="FG15" s="696">
        <f>GEntry!FK5</f>
        <v>172</v>
      </c>
      <c r="FH15" s="696">
        <f>GEntry!FL5</f>
        <v>0</v>
      </c>
      <c r="FI15" s="696">
        <f>GEntry!FM5</f>
        <v>0</v>
      </c>
      <c r="FJ15" s="696">
        <f>GEntry!FN5</f>
        <v>208</v>
      </c>
      <c r="FK15" s="696">
        <f>GEntry!ER5</f>
        <v>0</v>
      </c>
      <c r="FL15" s="696">
        <f>GEntry!EU5</f>
        <v>96</v>
      </c>
      <c r="FM15" s="694">
        <f>GEntry!FO5</f>
        <v>145</v>
      </c>
      <c r="FN15" s="696">
        <f>GEntry!FP5</f>
        <v>0</v>
      </c>
      <c r="FO15" s="695">
        <f>GEntry!FQ5</f>
        <v>276</v>
      </c>
      <c r="FP15" s="1548">
        <f>GEntry!EJ5</f>
        <v>0</v>
      </c>
      <c r="FQ15" s="1550">
        <f>GEntry!GC5</f>
        <v>168</v>
      </c>
      <c r="FR15" s="1553">
        <f>GEntry!GD5</f>
        <v>50</v>
      </c>
      <c r="FS15" s="1704">
        <f>GEntry!EY5</f>
        <v>89</v>
      </c>
      <c r="FT15" s="1779">
        <f>GEntry!GH5</f>
        <v>55</v>
      </c>
      <c r="FU15" s="1781">
        <f>GEntry!FR5</f>
        <v>0</v>
      </c>
      <c r="FV15" s="1903">
        <f>GEntry!GI5</f>
        <v>0</v>
      </c>
      <c r="FW15" s="2214">
        <f>GEntry!GE5</f>
        <v>57</v>
      </c>
      <c r="FX15" s="695">
        <f>GEntry!FB5</f>
        <v>650</v>
      </c>
      <c r="FY15" s="2585">
        <f>GEntry!EN5</f>
        <v>220</v>
      </c>
      <c r="FZ15" s="2624">
        <f>GEntry!EO5</f>
        <v>0</v>
      </c>
      <c r="GA15" s="2626">
        <f>GEntry!EM5</f>
        <v>90</v>
      </c>
      <c r="GB15" s="3134">
        <f>GEntry!FJ5</f>
        <v>0</v>
      </c>
      <c r="GC15" s="3179">
        <f>GEntry!EK5</f>
        <v>0</v>
      </c>
      <c r="GD15" s="2585">
        <f>GEntry!GJ5</f>
        <v>34</v>
      </c>
      <c r="GE15" s="4736">
        <f>GEntry!EF5</f>
        <v>0</v>
      </c>
      <c r="GF15" s="4737">
        <f>GEntry!EE5</f>
        <v>0</v>
      </c>
      <c r="GG15" s="918"/>
      <c r="GH15" s="841">
        <f>SUM(B15:DY15)</f>
        <v>7010</v>
      </c>
      <c r="GI15" s="840">
        <f t="shared" ref="GI15:GI41" si="8">SUM(DZ15:GG15)</f>
        <v>4351</v>
      </c>
      <c r="GJ15" s="837">
        <f t="shared" ref="GJ15:GJ41" si="9">GH15+GI15</f>
        <v>11361</v>
      </c>
      <c r="GK15" s="583">
        <f t="shared" si="0"/>
        <v>3591</v>
      </c>
      <c r="GL15" s="583">
        <f t="shared" si="1"/>
        <v>914</v>
      </c>
      <c r="GM15" s="583">
        <f>G15+H15 +J15+M15+N15+BC15+BJ15+BM15 +BN15+BO15+BP15+CD15+CE15+CF15+CI15+CJ15+CM15+CN15+CO15+EL15+EY15+EZ15+FK15+FO15+FY15</f>
        <v>1909</v>
      </c>
      <c r="GN15" s="583">
        <f t="shared" ref="GN15:GN41" si="10">Z15+CR15+CT15+CU15+CW15+EG15+FL15+FQ15+FZ15</f>
        <v>950</v>
      </c>
      <c r="GO15" s="583">
        <f t="shared" si="2"/>
        <v>1961</v>
      </c>
      <c r="GP15" s="583">
        <f t="shared" si="3"/>
        <v>900</v>
      </c>
      <c r="GQ15" s="583">
        <f t="shared" si="4"/>
        <v>118</v>
      </c>
      <c r="GR15" s="583">
        <f t="shared" si="5"/>
        <v>434</v>
      </c>
      <c r="GS15" s="583">
        <f>W15+AW15+AX15+BQ15+EH15+EI15+EQ15+ER15+ES15+EV15+EX15+FJ15</f>
        <v>630</v>
      </c>
      <c r="GT15" s="583">
        <f t="shared" si="6"/>
        <v>162</v>
      </c>
      <c r="GU15" s="836">
        <f t="shared" si="7"/>
        <v>0</v>
      </c>
      <c r="GV15" s="835">
        <f>FWise!M7</f>
        <v>1680.0312249999988</v>
      </c>
      <c r="GW15" s="2510">
        <f>GEntry!GN5</f>
        <v>94.05</v>
      </c>
      <c r="GX15" s="12"/>
      <c r="GY15" s="12"/>
      <c r="GZ15" s="12"/>
      <c r="HI15" s="134"/>
      <c r="HJ15" s="134"/>
      <c r="JA15" s="134"/>
      <c r="JB15" s="134"/>
    </row>
    <row r="16" spans="1:262" ht="21" customHeight="1" thickBot="1">
      <c r="A16" s="541">
        <v>0.125</v>
      </c>
      <c r="B16" s="692">
        <f>GEntry!W6</f>
        <v>0</v>
      </c>
      <c r="C16" s="689">
        <f>GEntry!X6</f>
        <v>0</v>
      </c>
      <c r="D16" s="689">
        <f>GEntry!Y6</f>
        <v>0</v>
      </c>
      <c r="E16" s="689">
        <f>GEntry!Z6</f>
        <v>180</v>
      </c>
      <c r="F16" s="690">
        <f>GEntry!AB6</f>
        <v>200</v>
      </c>
      <c r="G16" s="690">
        <f>GEntry!BZ6</f>
        <v>88</v>
      </c>
      <c r="H16" s="689">
        <f>GEntry!CT6</f>
        <v>0</v>
      </c>
      <c r="I16" s="689">
        <f>GEntry!AP6</f>
        <v>410</v>
      </c>
      <c r="J16" s="689">
        <f>GEntry!AR6</f>
        <v>293</v>
      </c>
      <c r="K16" s="689"/>
      <c r="L16" s="689">
        <f>GEntry!AO6</f>
        <v>0</v>
      </c>
      <c r="M16" s="689">
        <f>GEntry!AQ6</f>
        <v>225</v>
      </c>
      <c r="N16" s="689">
        <f>GEntry!CQ6</f>
        <v>0</v>
      </c>
      <c r="O16" s="689">
        <f>GEntry!CR6</f>
        <v>8</v>
      </c>
      <c r="P16" s="689">
        <f>GEntry!CM6</f>
        <v>0</v>
      </c>
      <c r="Q16" s="689">
        <f>GEntry!DD6</f>
        <v>30</v>
      </c>
      <c r="R16" s="689">
        <f>GEntry!T6</f>
        <v>0</v>
      </c>
      <c r="S16" s="689">
        <f>GEntry!R6</f>
        <v>0</v>
      </c>
      <c r="T16" s="689">
        <f>GEntry!S6</f>
        <v>0</v>
      </c>
      <c r="U16" s="689">
        <f>GEntry!CD6</f>
        <v>8</v>
      </c>
      <c r="V16" s="690">
        <f>GEntry!CY6</f>
        <v>8</v>
      </c>
      <c r="W16" s="689">
        <f>GEntry!CF6</f>
        <v>48</v>
      </c>
      <c r="X16" s="689">
        <f>GEntry!CP6</f>
        <v>0</v>
      </c>
      <c r="Y16" s="689">
        <f>GEntry!DC6</f>
        <v>0</v>
      </c>
      <c r="Z16" s="689">
        <f>GEntry!CN6</f>
        <v>0</v>
      </c>
      <c r="AA16" s="689">
        <f>GEntry!DB6</f>
        <v>0</v>
      </c>
      <c r="AB16" s="689">
        <f>GEntry!DH6</f>
        <v>35</v>
      </c>
      <c r="AC16" s="689">
        <f>GEntry!DE6</f>
        <v>55</v>
      </c>
      <c r="AD16" s="689">
        <f>GEntry!BK6</f>
        <v>35</v>
      </c>
      <c r="AE16" s="689">
        <f>GEntry!BN6</f>
        <v>22</v>
      </c>
      <c r="AF16" s="689">
        <f>GEntry!BV6</f>
        <v>25</v>
      </c>
      <c r="AG16" s="689">
        <f>GEntry!BW6</f>
        <v>27</v>
      </c>
      <c r="AH16" s="689">
        <f>GEntry!BX6</f>
        <v>33</v>
      </c>
      <c r="AI16" s="689">
        <f>GEntry!BY6</f>
        <v>33</v>
      </c>
      <c r="AJ16" s="689">
        <f>GEntry!CE6</f>
        <v>49</v>
      </c>
      <c r="AK16" s="689">
        <f>GEntry!AN6</f>
        <v>0</v>
      </c>
      <c r="AL16" s="1075">
        <f>GEntry!B6</f>
        <v>83</v>
      </c>
      <c r="AM16" s="1075">
        <f>GEntry!C6</f>
        <v>35</v>
      </c>
      <c r="AN16" s="689">
        <f>GEntry!D6</f>
        <v>100</v>
      </c>
      <c r="AO16" s="689">
        <f>GEntry!E6</f>
        <v>0</v>
      </c>
      <c r="AP16" s="689">
        <f>GEntry!F6</f>
        <v>25</v>
      </c>
      <c r="AQ16" s="689">
        <f>GEntry!H6</f>
        <v>0</v>
      </c>
      <c r="AR16" s="689">
        <f>GEntry!I6</f>
        <v>0</v>
      </c>
      <c r="AS16" s="689">
        <f>GEntry!K6</f>
        <v>0</v>
      </c>
      <c r="AT16" s="689">
        <f>GEntry!L6</f>
        <v>0</v>
      </c>
      <c r="AU16" s="689"/>
      <c r="AV16" s="689">
        <f>GEntry!BL6</f>
        <v>11</v>
      </c>
      <c r="AW16" s="689">
        <f>GEntry!N6</f>
        <v>26</v>
      </c>
      <c r="AX16" s="689">
        <f>GEntry!M6</f>
        <v>51</v>
      </c>
      <c r="AY16" s="689">
        <f>GEntry!CV6</f>
        <v>33</v>
      </c>
      <c r="AZ16" s="689">
        <f>GEntry!DA6</f>
        <v>12</v>
      </c>
      <c r="BA16" s="689">
        <f>GEntry!CZ6</f>
        <v>23</v>
      </c>
      <c r="BB16" s="689">
        <f>GEntry!BM6</f>
        <v>15</v>
      </c>
      <c r="BC16" s="689">
        <f>GEntry!BQ6</f>
        <v>38</v>
      </c>
      <c r="BD16" s="689">
        <f>GEntry!AD6</f>
        <v>0</v>
      </c>
      <c r="BE16" s="689">
        <f>GEntry!AE6</f>
        <v>0</v>
      </c>
      <c r="BF16" s="689">
        <f>GEntry!AF6</f>
        <v>0</v>
      </c>
      <c r="BG16" s="689">
        <f>GEntry!AJ6</f>
        <v>320</v>
      </c>
      <c r="BH16" s="689">
        <f>GEntry!AI6</f>
        <v>320</v>
      </c>
      <c r="BI16" s="689">
        <f>GEntry!AH6</f>
        <v>194</v>
      </c>
      <c r="BJ16" s="689">
        <f>GEntry!V6</f>
        <v>8</v>
      </c>
      <c r="BK16" s="689">
        <f>GEntry!AM6</f>
        <v>128</v>
      </c>
      <c r="BL16" s="689">
        <f>GEntry!AG6</f>
        <v>42</v>
      </c>
      <c r="BM16" s="689">
        <f>GEntry!AL6</f>
        <v>52</v>
      </c>
      <c r="BN16" s="689">
        <f>GEntry!CU6</f>
        <v>0</v>
      </c>
      <c r="BO16" s="690">
        <f>GEntry!CX6</f>
        <v>51</v>
      </c>
      <c r="BP16" s="690">
        <f>GEntry!CO6</f>
        <v>0</v>
      </c>
      <c r="BQ16" s="690">
        <f>GEntry!Q6</f>
        <v>39</v>
      </c>
      <c r="BR16" s="689">
        <f>GEntry!CH6</f>
        <v>8</v>
      </c>
      <c r="BS16" s="690">
        <f>GEntry!BR6</f>
        <v>21</v>
      </c>
      <c r="BT16" s="690">
        <f>GEntry!BS6</f>
        <v>10</v>
      </c>
      <c r="BU16" s="690">
        <f>GEntry!BT6</f>
        <v>33</v>
      </c>
      <c r="BV16" s="690">
        <f>GEntry!BU6</f>
        <v>20</v>
      </c>
      <c r="BW16" s="680">
        <f>GEntry!BP6</f>
        <v>168</v>
      </c>
      <c r="BX16" s="690">
        <f>GEntry!AS6</f>
        <v>102</v>
      </c>
      <c r="BY16" s="690">
        <f>GEntry!CG6</f>
        <v>0</v>
      </c>
      <c r="BZ16" s="690">
        <f>GEntry!BO6</f>
        <v>22</v>
      </c>
      <c r="CA16" s="1077">
        <f>GEntry!DG6</f>
        <v>0</v>
      </c>
      <c r="CB16" s="690">
        <f>GEntry!AU6</f>
        <v>43</v>
      </c>
      <c r="CC16" s="690">
        <f>GEntry!AV6</f>
        <v>41</v>
      </c>
      <c r="CD16" s="690">
        <f>GEntry!BG6</f>
        <v>31</v>
      </c>
      <c r="CE16" s="690">
        <f>GEntry!CW6</f>
        <v>30</v>
      </c>
      <c r="CF16" s="690">
        <f>GEntry!DF6</f>
        <v>110</v>
      </c>
      <c r="CG16" s="690">
        <f>GEntry!AW6</f>
        <v>0</v>
      </c>
      <c r="CH16" s="690">
        <f>GEntry!AX6</f>
        <v>60</v>
      </c>
      <c r="CI16" s="690">
        <f>GEntry!AY6</f>
        <v>10</v>
      </c>
      <c r="CJ16" s="690">
        <f>GEntry!BA6</f>
        <v>0</v>
      </c>
      <c r="CK16" s="690">
        <f>GEntry!BB6</f>
        <v>220</v>
      </c>
      <c r="CL16" s="690">
        <f>GEntry!BC6</f>
        <v>0</v>
      </c>
      <c r="CM16" s="690">
        <f>GEntry!BD6</f>
        <v>31</v>
      </c>
      <c r="CN16" s="690">
        <f>GEntry!BE6</f>
        <v>7</v>
      </c>
      <c r="CO16" s="690">
        <f>GEntry!BI6</f>
        <v>300</v>
      </c>
      <c r="CP16" s="690">
        <f>GEntry!BH6</f>
        <v>16</v>
      </c>
      <c r="CQ16" s="911">
        <f>GEntry!BF6</f>
        <v>0</v>
      </c>
      <c r="CR16" s="911">
        <f>GEntry!P6</f>
        <v>197</v>
      </c>
      <c r="CS16" s="911">
        <f>GEntry!U6</f>
        <v>97</v>
      </c>
      <c r="CT16" s="690">
        <f>GEntry!DI6</f>
        <v>298</v>
      </c>
      <c r="CU16" s="911">
        <f>GEntry!DJ6</f>
        <v>98</v>
      </c>
      <c r="CV16" s="911">
        <f>GEntry!DK6</f>
        <v>48</v>
      </c>
      <c r="CW16" s="690">
        <f>GEntry!DL6</f>
        <v>95</v>
      </c>
      <c r="CX16" s="911">
        <f>GEntry!DM6</f>
        <v>98</v>
      </c>
      <c r="CY16" s="911">
        <f>GEntry!G6</f>
        <v>0</v>
      </c>
      <c r="CZ16" s="911">
        <f>GEntry!DN6</f>
        <v>21</v>
      </c>
      <c r="DA16" s="690">
        <f>GEntry!DO6</f>
        <v>34</v>
      </c>
      <c r="DB16" s="1530">
        <f>GEntry!DP6</f>
        <v>135</v>
      </c>
      <c r="DC16" s="1520">
        <f>GEntry!DQ6</f>
        <v>398</v>
      </c>
      <c r="DD16" s="1617">
        <f>GEntry!DR6</f>
        <v>48</v>
      </c>
      <c r="DE16" s="1616">
        <f>GEntry!CI6</f>
        <v>105</v>
      </c>
      <c r="DF16" s="1700">
        <f>GEntry!O6</f>
        <v>87</v>
      </c>
      <c r="DG16" s="1694">
        <f>GEntry!CJ6</f>
        <v>0</v>
      </c>
      <c r="DH16" s="1847">
        <f>GEntry!DS6</f>
        <v>16</v>
      </c>
      <c r="DI16" s="1848">
        <f>GEntry!CK6</f>
        <v>36</v>
      </c>
      <c r="DJ16" s="1859">
        <f>GEntry!CL6</f>
        <v>56</v>
      </c>
      <c r="DK16" s="2176">
        <f>GEntry!CA6</f>
        <v>17</v>
      </c>
      <c r="DL16" s="2396">
        <f>GEntry!CB6</f>
        <v>38</v>
      </c>
      <c r="DM16" s="2177">
        <f>GEntry!DT6</f>
        <v>20</v>
      </c>
      <c r="DN16" s="2495">
        <f>GEntry!BJ6</f>
        <v>0</v>
      </c>
      <c r="DO16" s="2496">
        <f>GEntry!CS6</f>
        <v>0</v>
      </c>
      <c r="DP16" s="2603">
        <f>GEntry!AT6</f>
        <v>0</v>
      </c>
      <c r="DQ16" s="2642">
        <f>GEntry!CC6</f>
        <v>35</v>
      </c>
      <c r="DR16" s="2667">
        <f>GEntry!DU6</f>
        <v>108</v>
      </c>
      <c r="DS16" s="2669">
        <f>GEntry!AZ6</f>
        <v>0</v>
      </c>
      <c r="DT16" s="2734">
        <f>GEntry!DV6</f>
        <v>35</v>
      </c>
      <c r="DU16" s="2736">
        <f>GEntry!DW6</f>
        <v>0</v>
      </c>
      <c r="DV16" s="3114">
        <f>GEntry!DX6</f>
        <v>75</v>
      </c>
      <c r="DW16" s="3114">
        <f>GEntry!DY6</f>
        <v>55</v>
      </c>
      <c r="DX16" s="4684">
        <f>GEntry!AK6</f>
        <v>0</v>
      </c>
      <c r="DY16" s="915"/>
      <c r="DZ16" s="698">
        <f>GEntry!EZ6</f>
        <v>914</v>
      </c>
      <c r="EA16" s="695">
        <f>GEntry!EX6</f>
        <v>0</v>
      </c>
      <c r="EB16" s="695">
        <f>GEntry!FA6</f>
        <v>160</v>
      </c>
      <c r="EC16" s="695">
        <f>GEntry!EC6</f>
        <v>0</v>
      </c>
      <c r="ED16" s="695">
        <f>GEntry!ED6</f>
        <v>16</v>
      </c>
      <c r="EE16" s="695">
        <f>GEntry!EI6</f>
        <v>227</v>
      </c>
      <c r="EF16" s="695">
        <f>GEntry!EB6</f>
        <v>0</v>
      </c>
      <c r="EG16" s="695">
        <f>GEntry!EG6</f>
        <v>0</v>
      </c>
      <c r="EH16" s="695">
        <f>GEntry!EH6</f>
        <v>21</v>
      </c>
      <c r="EI16" s="695">
        <f>GEntry!EW6</f>
        <v>55</v>
      </c>
      <c r="EJ16" s="695">
        <f>GEntry!EV6</f>
        <v>0</v>
      </c>
      <c r="EK16" s="695">
        <f>GEntry!ES6</f>
        <v>88</v>
      </c>
      <c r="EL16" s="695">
        <f>GEntry!ET6</f>
        <v>30</v>
      </c>
      <c r="EM16" s="695">
        <f>GEntry!EP6</f>
        <v>64</v>
      </c>
      <c r="EN16" s="695">
        <f>GEntry!EQ6</f>
        <v>0</v>
      </c>
      <c r="EO16" s="695">
        <f>GEntry!FH6</f>
        <v>0</v>
      </c>
      <c r="EP16" s="695">
        <f>GEntry!FG6</f>
        <v>0</v>
      </c>
      <c r="EQ16" s="695">
        <f>GEntry!FI6</f>
        <v>32</v>
      </c>
      <c r="ER16" s="695">
        <f>GEntry!FS6</f>
        <v>32</v>
      </c>
      <c r="ES16" s="695">
        <f>GEntry!GB6</f>
        <v>64</v>
      </c>
      <c r="ET16" s="695">
        <f>GEntry!FW6</f>
        <v>0</v>
      </c>
      <c r="EU16" s="695">
        <f>GEntry!FX6</f>
        <v>0</v>
      </c>
      <c r="EV16" s="695">
        <f>GEntry!FY6</f>
        <v>24</v>
      </c>
      <c r="EW16" s="695">
        <f>GEntry!GA6</f>
        <v>8</v>
      </c>
      <c r="EX16" s="695">
        <f>GEntry!FZ6</f>
        <v>34</v>
      </c>
      <c r="EY16" s="695">
        <f>GEntry!FT6</f>
        <v>22</v>
      </c>
      <c r="EZ16" s="695">
        <f>GEntry!FU6</f>
        <v>0</v>
      </c>
      <c r="FA16" s="695">
        <f>GEntry!FV6</f>
        <v>11</v>
      </c>
      <c r="FB16" s="1073">
        <f>GEntry!FD6</f>
        <v>0</v>
      </c>
      <c r="FC16" s="1073">
        <f>GEntry!FE6</f>
        <v>0</v>
      </c>
      <c r="FD16" s="1073">
        <f>GEntry!FF6</f>
        <v>250</v>
      </c>
      <c r="FE16" s="695">
        <f>GEntry!GF6</f>
        <v>0</v>
      </c>
      <c r="FF16" s="696">
        <f>GEntry!GG6</f>
        <v>0</v>
      </c>
      <c r="FG16" s="696">
        <f>GEntry!FK6</f>
        <v>172</v>
      </c>
      <c r="FH16" s="696">
        <f>GEntry!FL6</f>
        <v>0</v>
      </c>
      <c r="FI16" s="696">
        <f>GEntry!FM6</f>
        <v>0</v>
      </c>
      <c r="FJ16" s="696">
        <f>GEntry!FN6</f>
        <v>215</v>
      </c>
      <c r="FK16" s="696">
        <f>GEntry!ER6</f>
        <v>0</v>
      </c>
      <c r="FL16" s="696">
        <f>GEntry!EU6</f>
        <v>96</v>
      </c>
      <c r="FM16" s="694">
        <f>GEntry!FO6</f>
        <v>145</v>
      </c>
      <c r="FN16" s="696">
        <f>GEntry!FP6</f>
        <v>0</v>
      </c>
      <c r="FO16" s="695">
        <f>GEntry!FQ6</f>
        <v>291</v>
      </c>
      <c r="FP16" s="1548">
        <f>GEntry!EJ6</f>
        <v>0</v>
      </c>
      <c r="FQ16" s="1550">
        <f>GEntry!GC6</f>
        <v>168</v>
      </c>
      <c r="FR16" s="1553">
        <f>GEntry!GD6</f>
        <v>50</v>
      </c>
      <c r="FS16" s="1704">
        <f>GEntry!EY6</f>
        <v>89</v>
      </c>
      <c r="FT16" s="1779">
        <f>GEntry!GH6</f>
        <v>56</v>
      </c>
      <c r="FU16" s="1781">
        <f>GEntry!FR6</f>
        <v>0</v>
      </c>
      <c r="FV16" s="1903">
        <f>GEntry!GI6</f>
        <v>0</v>
      </c>
      <c r="FW16" s="2214">
        <f>GEntry!GE6</f>
        <v>57</v>
      </c>
      <c r="FX16" s="695">
        <f>GEntry!FB6</f>
        <v>650</v>
      </c>
      <c r="FY16" s="2585">
        <f>GEntry!EN6</f>
        <v>220</v>
      </c>
      <c r="FZ16" s="2624">
        <f>GEntry!EO6</f>
        <v>0</v>
      </c>
      <c r="GA16" s="2626">
        <f>GEntry!EM6</f>
        <v>90</v>
      </c>
      <c r="GB16" s="3134">
        <f>GEntry!FJ6</f>
        <v>0</v>
      </c>
      <c r="GC16" s="3179">
        <f>GEntry!EK6</f>
        <v>0</v>
      </c>
      <c r="GD16" s="2585">
        <f>GEntry!GJ6</f>
        <v>34</v>
      </c>
      <c r="GE16" s="4736">
        <f>GEntry!EF6</f>
        <v>0</v>
      </c>
      <c r="GF16" s="4737">
        <f>GEntry!EE6</f>
        <v>0</v>
      </c>
      <c r="GG16" s="918"/>
      <c r="GH16" s="841">
        <f>SUM(B16:DY16)</f>
        <v>6951</v>
      </c>
      <c r="GI16" s="840">
        <f t="shared" si="8"/>
        <v>4385</v>
      </c>
      <c r="GJ16" s="837">
        <f t="shared" si="9"/>
        <v>11336</v>
      </c>
      <c r="GK16" s="583">
        <f t="shared" si="0"/>
        <v>3611</v>
      </c>
      <c r="GL16" s="583">
        <f t="shared" si="1"/>
        <v>914</v>
      </c>
      <c r="GM16" s="583">
        <f>G16+H16 +J16+M16+N16+BC16+BJ16+BM16 +BN16+BO16+BP16+CD16+CE16+CF16+CI16+CJ16+CM16+CN16+CO16+EL16+EY16+EZ16+FK16+FO16+FY16</f>
        <v>1837</v>
      </c>
      <c r="GN16" s="583">
        <f t="shared" si="10"/>
        <v>952</v>
      </c>
      <c r="GO16" s="583">
        <f t="shared" si="2"/>
        <v>1968</v>
      </c>
      <c r="GP16" s="583">
        <f t="shared" si="3"/>
        <v>900</v>
      </c>
      <c r="GQ16" s="583">
        <f t="shared" si="4"/>
        <v>118</v>
      </c>
      <c r="GR16" s="583">
        <f t="shared" si="5"/>
        <v>442</v>
      </c>
      <c r="GS16" s="583">
        <f t="shared" ref="GS16:GS39" si="11">W16+AW16+AX16+BQ16+EH16+EI16+EQ16+ER16+ES16+EV16+EX16+FJ16</f>
        <v>641</v>
      </c>
      <c r="GT16" s="583">
        <f t="shared" si="6"/>
        <v>168</v>
      </c>
      <c r="GU16" s="836">
        <f t="shared" si="7"/>
        <v>0</v>
      </c>
      <c r="GV16" s="835">
        <f>FWise!M8</f>
        <v>1589.7168750000001</v>
      </c>
      <c r="GW16" s="2510">
        <f>GEntry!GN6</f>
        <v>94.08</v>
      </c>
      <c r="GX16" s="12"/>
      <c r="GY16" s="12"/>
      <c r="GZ16" s="12"/>
      <c r="HI16" s="134"/>
      <c r="HJ16" s="134"/>
      <c r="JA16" s="134"/>
      <c r="JB16" s="134"/>
    </row>
    <row r="17" spans="1:278" ht="23.25" customHeight="1" thickBot="1">
      <c r="A17" s="541">
        <v>0.16666666666666699</v>
      </c>
      <c r="B17" s="692">
        <f>GEntry!W7</f>
        <v>0</v>
      </c>
      <c r="C17" s="689">
        <f>GEntry!X8</f>
        <v>0</v>
      </c>
      <c r="D17" s="689">
        <f>GEntry!Y7</f>
        <v>0</v>
      </c>
      <c r="E17" s="689">
        <f>GEntry!Z7</f>
        <v>180</v>
      </c>
      <c r="F17" s="690">
        <f>GEntry!AB7</f>
        <v>200</v>
      </c>
      <c r="G17" s="690">
        <f>GEntry!BZ7</f>
        <v>90</v>
      </c>
      <c r="H17" s="689">
        <f>GEntry!CT7</f>
        <v>0</v>
      </c>
      <c r="I17" s="689">
        <f>GEntry!AP7</f>
        <v>407</v>
      </c>
      <c r="J17" s="689">
        <f>GEntry!AR7</f>
        <v>302</v>
      </c>
      <c r="K17" s="689"/>
      <c r="L17" s="689">
        <f>GEntry!AO7</f>
        <v>0</v>
      </c>
      <c r="M17" s="689">
        <f>GEntry!AQ7</f>
        <v>225</v>
      </c>
      <c r="N17" s="689">
        <f>GEntry!CQ7</f>
        <v>0</v>
      </c>
      <c r="O17" s="689">
        <f>GEntry!CR7</f>
        <v>7</v>
      </c>
      <c r="P17" s="689">
        <f>GEntry!CM7</f>
        <v>0</v>
      </c>
      <c r="Q17" s="689">
        <f>GEntry!DD7</f>
        <v>30</v>
      </c>
      <c r="R17" s="689">
        <f>GEntry!T7</f>
        <v>0</v>
      </c>
      <c r="S17" s="689">
        <f>GEntry!R7</f>
        <v>0</v>
      </c>
      <c r="T17" s="689">
        <f>GEntry!S7</f>
        <v>0</v>
      </c>
      <c r="U17" s="689">
        <f>GEntry!CD7</f>
        <v>8</v>
      </c>
      <c r="V17" s="690">
        <f>GEntry!CY7</f>
        <v>8</v>
      </c>
      <c r="W17" s="689">
        <f>GEntry!CF7</f>
        <v>48</v>
      </c>
      <c r="X17" s="689">
        <f>GEntry!CP7</f>
        <v>0</v>
      </c>
      <c r="Y17" s="689">
        <f>GEntry!DC7</f>
        <v>0</v>
      </c>
      <c r="Z17" s="689">
        <f>GEntry!CN7</f>
        <v>0</v>
      </c>
      <c r="AA17" s="689">
        <f>GEntry!DB7</f>
        <v>0</v>
      </c>
      <c r="AB17" s="689">
        <f>GEntry!DH7</f>
        <v>35</v>
      </c>
      <c r="AC17" s="689">
        <f>GEntry!DE7</f>
        <v>55</v>
      </c>
      <c r="AD17" s="689">
        <f>GEntry!BK7</f>
        <v>35</v>
      </c>
      <c r="AE17" s="689">
        <f>GEntry!BN7</f>
        <v>22</v>
      </c>
      <c r="AF17" s="689">
        <f>GEntry!BV7</f>
        <v>25</v>
      </c>
      <c r="AG17" s="689">
        <f>GEntry!BW7</f>
        <v>27</v>
      </c>
      <c r="AH17" s="689">
        <f>GEntry!BX7</f>
        <v>33</v>
      </c>
      <c r="AI17" s="689">
        <f>GEntry!BY7</f>
        <v>33</v>
      </c>
      <c r="AJ17" s="689">
        <f>GEntry!CE7</f>
        <v>49</v>
      </c>
      <c r="AK17" s="689">
        <f>GEntry!AN7</f>
        <v>0</v>
      </c>
      <c r="AL17" s="1075">
        <f>GEntry!B7</f>
        <v>83</v>
      </c>
      <c r="AM17" s="1075">
        <f>GEntry!C7</f>
        <v>35</v>
      </c>
      <c r="AN17" s="689">
        <f>GEntry!D7</f>
        <v>100</v>
      </c>
      <c r="AO17" s="689">
        <f>GEntry!E7</f>
        <v>0</v>
      </c>
      <c r="AP17" s="689">
        <f>GEntry!F7</f>
        <v>25</v>
      </c>
      <c r="AQ17" s="689">
        <f>GEntry!H7</f>
        <v>0</v>
      </c>
      <c r="AR17" s="689">
        <f>GEntry!I7</f>
        <v>0</v>
      </c>
      <c r="AS17" s="689">
        <f>GEntry!K7</f>
        <v>0</v>
      </c>
      <c r="AT17" s="689">
        <f>GEntry!L7</f>
        <v>0</v>
      </c>
      <c r="AU17" s="689"/>
      <c r="AV17" s="689">
        <f>GEntry!BL7</f>
        <v>11</v>
      </c>
      <c r="AW17" s="689">
        <f>GEntry!N7</f>
        <v>26</v>
      </c>
      <c r="AX17" s="689">
        <f>GEntry!M7</f>
        <v>17</v>
      </c>
      <c r="AY17" s="689">
        <f>GEntry!CV7</f>
        <v>33</v>
      </c>
      <c r="AZ17" s="689">
        <f>GEntry!DA7</f>
        <v>12</v>
      </c>
      <c r="BA17" s="689">
        <f>GEntry!CZ7</f>
        <v>25</v>
      </c>
      <c r="BB17" s="689">
        <f>GEntry!BM7</f>
        <v>15</v>
      </c>
      <c r="BC17" s="689">
        <f>GEntry!BQ7</f>
        <v>38</v>
      </c>
      <c r="BD17" s="689">
        <f>GEntry!AD7</f>
        <v>0</v>
      </c>
      <c r="BE17" s="689">
        <f>GEntry!AE7</f>
        <v>0</v>
      </c>
      <c r="BF17" s="689">
        <f>GEntry!AF7</f>
        <v>0</v>
      </c>
      <c r="BG17" s="689">
        <f>GEntry!AJ7</f>
        <v>320</v>
      </c>
      <c r="BH17" s="689">
        <f>GEntry!AI7</f>
        <v>320</v>
      </c>
      <c r="BI17" s="689">
        <f>GEntry!AH7</f>
        <v>201</v>
      </c>
      <c r="BJ17" s="689">
        <f>GEntry!V7</f>
        <v>8</v>
      </c>
      <c r="BK17" s="689">
        <f>GEntry!AM7</f>
        <v>128</v>
      </c>
      <c r="BL17" s="689">
        <f>GEntry!AG7</f>
        <v>40</v>
      </c>
      <c r="BM17" s="689">
        <f>GEntry!AL7</f>
        <v>53</v>
      </c>
      <c r="BN17" s="689">
        <f>GEntry!CU7</f>
        <v>0</v>
      </c>
      <c r="BO17" s="690">
        <f>GEntry!CX7</f>
        <v>51</v>
      </c>
      <c r="BP17" s="690">
        <f>GEntry!CO7</f>
        <v>0</v>
      </c>
      <c r="BQ17" s="690">
        <f>GEntry!Q7</f>
        <v>39</v>
      </c>
      <c r="BR17" s="689">
        <f>GEntry!CH7</f>
        <v>8</v>
      </c>
      <c r="BS17" s="690">
        <f>GEntry!BR7</f>
        <v>21</v>
      </c>
      <c r="BT17" s="690">
        <f>GEntry!BS7</f>
        <v>10</v>
      </c>
      <c r="BU17" s="690">
        <f>GEntry!BT7</f>
        <v>33</v>
      </c>
      <c r="BV17" s="690">
        <f>GEntry!BU7</f>
        <v>20</v>
      </c>
      <c r="BW17" s="680">
        <f>GEntry!BP7</f>
        <v>168</v>
      </c>
      <c r="BX17" s="690">
        <f>GEntry!AS7</f>
        <v>101</v>
      </c>
      <c r="BY17" s="690">
        <f>GEntry!CG7</f>
        <v>0</v>
      </c>
      <c r="BZ17" s="690">
        <f>GEntry!BO7</f>
        <v>22</v>
      </c>
      <c r="CA17" s="1077">
        <f>GEntry!DG7</f>
        <v>0</v>
      </c>
      <c r="CB17" s="690">
        <f>GEntry!AU7</f>
        <v>43</v>
      </c>
      <c r="CC17" s="690">
        <f>GEntry!AV7</f>
        <v>41</v>
      </c>
      <c r="CD17" s="690">
        <f>GEntry!BG7</f>
        <v>31</v>
      </c>
      <c r="CE17" s="690">
        <f>GEntry!CW7</f>
        <v>30</v>
      </c>
      <c r="CF17" s="690">
        <f>GEntry!DF7</f>
        <v>110</v>
      </c>
      <c r="CG17" s="690">
        <f>GEntry!AW7</f>
        <v>0</v>
      </c>
      <c r="CH17" s="690">
        <f>GEntry!AX7</f>
        <v>55</v>
      </c>
      <c r="CI17" s="690">
        <f>GEntry!AY7</f>
        <v>10</v>
      </c>
      <c r="CJ17" s="690">
        <f>GEntry!BA7</f>
        <v>0</v>
      </c>
      <c r="CK17" s="690">
        <f>GEntry!BB7</f>
        <v>220</v>
      </c>
      <c r="CL17" s="690">
        <f>GEntry!BC7</f>
        <v>0</v>
      </c>
      <c r="CM17" s="690">
        <f>GEntry!BD7</f>
        <v>31</v>
      </c>
      <c r="CN17" s="690">
        <f>GEntry!BE7</f>
        <v>7</v>
      </c>
      <c r="CO17" s="690">
        <f>GEntry!BI7</f>
        <v>315</v>
      </c>
      <c r="CP17" s="690">
        <f>GEntry!BH7</f>
        <v>16</v>
      </c>
      <c r="CQ17" s="911">
        <f>GEntry!BF7</f>
        <v>0</v>
      </c>
      <c r="CR17" s="911">
        <f>GEntry!P7</f>
        <v>197</v>
      </c>
      <c r="CS17" s="911">
        <f>GEntry!U7</f>
        <v>97</v>
      </c>
      <c r="CT17" s="690">
        <f>GEntry!DI7</f>
        <v>301</v>
      </c>
      <c r="CU17" s="911">
        <f>GEntry!DJ7</f>
        <v>98</v>
      </c>
      <c r="CV17" s="911">
        <f>GEntry!DK7</f>
        <v>48</v>
      </c>
      <c r="CW17" s="690">
        <f>GEntry!DL7</f>
        <v>96</v>
      </c>
      <c r="CX17" s="911">
        <f>GEntry!DM7</f>
        <v>98</v>
      </c>
      <c r="CY17" s="911">
        <f>GEntry!G7</f>
        <v>0</v>
      </c>
      <c r="CZ17" s="911">
        <f>GEntry!DN7</f>
        <v>21</v>
      </c>
      <c r="DA17" s="690">
        <f>GEntry!DO7</f>
        <v>34</v>
      </c>
      <c r="DB17" s="1530">
        <f>GEntry!DP7</f>
        <v>135</v>
      </c>
      <c r="DC17" s="1520">
        <f>GEntry!DQ7</f>
        <v>402</v>
      </c>
      <c r="DD17" s="1617">
        <f>GEntry!DR7</f>
        <v>48</v>
      </c>
      <c r="DE17" s="1616">
        <f>GEntry!CI7</f>
        <v>105</v>
      </c>
      <c r="DF17" s="1700">
        <f>GEntry!O7</f>
        <v>87</v>
      </c>
      <c r="DG17" s="1694">
        <f>GEntry!CJ7</f>
        <v>0</v>
      </c>
      <c r="DH17" s="1847">
        <f>GEntry!DS7</f>
        <v>16</v>
      </c>
      <c r="DI17" s="1848">
        <f>GEntry!CK7</f>
        <v>36</v>
      </c>
      <c r="DJ17" s="1859">
        <f>GEntry!CL7</f>
        <v>55</v>
      </c>
      <c r="DK17" s="2176">
        <f>GEntry!CA7</f>
        <v>17</v>
      </c>
      <c r="DL17" s="2396">
        <f>GEntry!CB7</f>
        <v>38</v>
      </c>
      <c r="DM17" s="2177">
        <f>GEntry!DT7</f>
        <v>20</v>
      </c>
      <c r="DN17" s="2495">
        <f>GEntry!BJ7</f>
        <v>0</v>
      </c>
      <c r="DO17" s="2496">
        <f>GEntry!CS7</f>
        <v>0</v>
      </c>
      <c r="DP17" s="2603">
        <f>GEntry!AT7</f>
        <v>0</v>
      </c>
      <c r="DQ17" s="2642">
        <f>GEntry!CC7</f>
        <v>35</v>
      </c>
      <c r="DR17" s="2667">
        <f>GEntry!DU7</f>
        <v>108</v>
      </c>
      <c r="DS17" s="2669">
        <f>GEntry!AZ7</f>
        <v>0</v>
      </c>
      <c r="DT17" s="2734">
        <f>GEntry!DV7</f>
        <v>35</v>
      </c>
      <c r="DU17" s="2736">
        <f>GEntry!DW7</f>
        <v>0</v>
      </c>
      <c r="DV17" s="3114">
        <f>GEntry!DX7</f>
        <v>75</v>
      </c>
      <c r="DW17" s="3114">
        <f>GEntry!DY7</f>
        <v>55</v>
      </c>
      <c r="DX17" s="4684">
        <f>GEntry!AK7</f>
        <v>0</v>
      </c>
      <c r="DY17" s="915"/>
      <c r="DZ17" s="698">
        <f>GEntry!EZ7</f>
        <v>914</v>
      </c>
      <c r="EA17" s="695">
        <f>GEntry!EX7</f>
        <v>0</v>
      </c>
      <c r="EB17" s="695">
        <f>GEntry!FA7</f>
        <v>160</v>
      </c>
      <c r="EC17" s="695">
        <f>GEntry!EC7</f>
        <v>0</v>
      </c>
      <c r="ED17" s="695">
        <f>GEntry!ED7</f>
        <v>16</v>
      </c>
      <c r="EE17" s="695">
        <f>GEntry!EI7</f>
        <v>226</v>
      </c>
      <c r="EF17" s="695">
        <f>GEntry!EB7</f>
        <v>0</v>
      </c>
      <c r="EG17" s="695">
        <f>GEntry!EG7</f>
        <v>0</v>
      </c>
      <c r="EH17" s="695">
        <f>GEntry!EH7</f>
        <v>21</v>
      </c>
      <c r="EI17" s="695">
        <f>GEntry!EW7</f>
        <v>55</v>
      </c>
      <c r="EJ17" s="695">
        <f>GEntry!EV7</f>
        <v>0</v>
      </c>
      <c r="EK17" s="695">
        <f>GEntry!ES7</f>
        <v>86</v>
      </c>
      <c r="EL17" s="695">
        <f>GEntry!ET7</f>
        <v>27</v>
      </c>
      <c r="EM17" s="695">
        <f>GEntry!EP7</f>
        <v>64</v>
      </c>
      <c r="EN17" s="695">
        <f>GEntry!EQ7</f>
        <v>0</v>
      </c>
      <c r="EO17" s="695">
        <f>GEntry!FH7</f>
        <v>0</v>
      </c>
      <c r="EP17" s="695">
        <f>GEntry!FG7</f>
        <v>0</v>
      </c>
      <c r="EQ17" s="695">
        <f>GEntry!FI7</f>
        <v>32</v>
      </c>
      <c r="ER17" s="695">
        <f>GEntry!FS7</f>
        <v>0</v>
      </c>
      <c r="ES17" s="695">
        <f>GEntry!GB7</f>
        <v>59</v>
      </c>
      <c r="ET17" s="695">
        <f>GEntry!FW7</f>
        <v>0</v>
      </c>
      <c r="EU17" s="695">
        <f>GEntry!FX7</f>
        <v>0</v>
      </c>
      <c r="EV17" s="695">
        <f>GEntry!FY7</f>
        <v>24</v>
      </c>
      <c r="EW17" s="695">
        <f>GEntry!GA7</f>
        <v>8</v>
      </c>
      <c r="EX17" s="695">
        <f>GEntry!FZ7</f>
        <v>34</v>
      </c>
      <c r="EY17" s="695">
        <f>GEntry!FT7</f>
        <v>22</v>
      </c>
      <c r="EZ17" s="695">
        <f>GEntry!FU7</f>
        <v>0</v>
      </c>
      <c r="FA17" s="695">
        <f>GEntry!FV7</f>
        <v>11</v>
      </c>
      <c r="FB17" s="1073">
        <f>GEntry!FD7</f>
        <v>0</v>
      </c>
      <c r="FC17" s="1073">
        <f>GEntry!FE7</f>
        <v>0</v>
      </c>
      <c r="FD17" s="1073">
        <f>GEntry!FF7</f>
        <v>250</v>
      </c>
      <c r="FE17" s="695">
        <f>GEntry!GF7</f>
        <v>0</v>
      </c>
      <c r="FF17" s="696">
        <f>GEntry!GG7</f>
        <v>0</v>
      </c>
      <c r="FG17" s="696">
        <f>GEntry!FK7</f>
        <v>175</v>
      </c>
      <c r="FH17" s="696">
        <f>GEntry!FL7</f>
        <v>0</v>
      </c>
      <c r="FI17" s="696">
        <f>GEntry!FM7</f>
        <v>0</v>
      </c>
      <c r="FJ17" s="696">
        <f>GEntry!FN7</f>
        <v>213</v>
      </c>
      <c r="FK17" s="696">
        <f>GEntry!ER7</f>
        <v>0</v>
      </c>
      <c r="FL17" s="696">
        <f>GEntry!EU7</f>
        <v>96</v>
      </c>
      <c r="FM17" s="694">
        <f>GEntry!FO7</f>
        <v>147</v>
      </c>
      <c r="FN17" s="696">
        <f>GEntry!FP7</f>
        <v>0</v>
      </c>
      <c r="FO17" s="695">
        <f>GEntry!FQ7</f>
        <v>297</v>
      </c>
      <c r="FP17" s="1548">
        <f>GEntry!EJ7</f>
        <v>0</v>
      </c>
      <c r="FQ17" s="1550">
        <f>GEntry!GC7</f>
        <v>169</v>
      </c>
      <c r="FR17" s="1553">
        <f>GEntry!GD7</f>
        <v>50</v>
      </c>
      <c r="FS17" s="1704">
        <f>GEntry!EY7</f>
        <v>90</v>
      </c>
      <c r="FT17" s="1779">
        <f>GEntry!GH7</f>
        <v>56</v>
      </c>
      <c r="FU17" s="1781">
        <f>GEntry!FR7</f>
        <v>0</v>
      </c>
      <c r="FV17" s="1903">
        <f>GEntry!GI7</f>
        <v>0</v>
      </c>
      <c r="FW17" s="2214">
        <f>GEntry!GE7</f>
        <v>55</v>
      </c>
      <c r="FX17" s="695">
        <f>GEntry!FB7</f>
        <v>620</v>
      </c>
      <c r="FY17" s="2585">
        <f>GEntry!EN7</f>
        <v>220</v>
      </c>
      <c r="FZ17" s="2624">
        <f>GEntry!EO7</f>
        <v>0</v>
      </c>
      <c r="GA17" s="2626">
        <f>GEntry!EM7</f>
        <v>90</v>
      </c>
      <c r="GB17" s="3134">
        <f>GEntry!FJ7</f>
        <v>0</v>
      </c>
      <c r="GC17" s="3179">
        <f>GEntry!EK7</f>
        <v>0</v>
      </c>
      <c r="GD17" s="2585">
        <f>GEntry!GJ7</f>
        <v>34</v>
      </c>
      <c r="GE17" s="4736">
        <f>GEntry!EF7</f>
        <v>0</v>
      </c>
      <c r="GF17" s="4737">
        <f>GEntry!EE7</f>
        <v>0</v>
      </c>
      <c r="GG17" s="918"/>
      <c r="GH17" s="841">
        <f t="shared" ref="GH17:GH39" si="12">SUM(B17:DY17)</f>
        <v>6948</v>
      </c>
      <c r="GI17" s="840">
        <f t="shared" si="8"/>
        <v>4321</v>
      </c>
      <c r="GJ17" s="837">
        <f t="shared" si="9"/>
        <v>11269</v>
      </c>
      <c r="GK17" s="583">
        <f t="shared" si="0"/>
        <v>3614</v>
      </c>
      <c r="GL17" s="583">
        <f t="shared" si="1"/>
        <v>914</v>
      </c>
      <c r="GM17" s="583">
        <f t="shared" ref="GM17:GM41" si="13">G17+H17 +J17+M17+N17+BC17+BJ17+BM17 +BN17+BO17+BP17+CD17+CE17+CF17+CI17+CJ17+CM17+CN17+CO17+EL17+EY17+EZ17+FK17+FO17+FY17</f>
        <v>1867</v>
      </c>
      <c r="GN17" s="583">
        <f t="shared" si="10"/>
        <v>957</v>
      </c>
      <c r="GO17" s="583">
        <f t="shared" si="2"/>
        <v>1967</v>
      </c>
      <c r="GP17" s="583">
        <f t="shared" si="3"/>
        <v>870</v>
      </c>
      <c r="GQ17" s="583">
        <f t="shared" si="4"/>
        <v>118</v>
      </c>
      <c r="GR17" s="583">
        <f t="shared" si="5"/>
        <v>439</v>
      </c>
      <c r="GS17" s="583">
        <f t="shared" si="11"/>
        <v>568</v>
      </c>
      <c r="GT17" s="583">
        <f t="shared" si="6"/>
        <v>168</v>
      </c>
      <c r="GU17" s="836">
        <f t="shared" si="7"/>
        <v>0</v>
      </c>
      <c r="GV17" s="835">
        <f>FWise!M9</f>
        <v>1552.8538749999989</v>
      </c>
      <c r="GW17" s="2510">
        <f>GEntry!GN7</f>
        <v>94.11</v>
      </c>
      <c r="GX17" s="12"/>
      <c r="GY17" s="12"/>
      <c r="GZ17" s="12"/>
      <c r="HI17" s="134"/>
      <c r="HJ17" s="134"/>
      <c r="JA17" s="134"/>
      <c r="JB17" s="134"/>
    </row>
    <row r="18" spans="1:278" ht="22.5" customHeight="1" thickBot="1">
      <c r="A18" s="542">
        <v>0.20833333333333401</v>
      </c>
      <c r="B18" s="692">
        <f>GEntry!W8</f>
        <v>0</v>
      </c>
      <c r="C18" s="689">
        <f>GEntry!X9</f>
        <v>0</v>
      </c>
      <c r="D18" s="689">
        <f>GEntry!Y8</f>
        <v>0</v>
      </c>
      <c r="E18" s="689">
        <f>GEntry!Z8</f>
        <v>180</v>
      </c>
      <c r="F18" s="690">
        <f>GEntry!AB8</f>
        <v>200</v>
      </c>
      <c r="G18" s="690">
        <f>GEntry!BZ8</f>
        <v>90</v>
      </c>
      <c r="H18" s="689">
        <f>GEntry!CT8</f>
        <v>0</v>
      </c>
      <c r="I18" s="689">
        <f>GEntry!AP8</f>
        <v>405</v>
      </c>
      <c r="J18" s="689">
        <f>GEntry!AR8</f>
        <v>318</v>
      </c>
      <c r="K18" s="689"/>
      <c r="L18" s="689">
        <f>GEntry!AO8</f>
        <v>0</v>
      </c>
      <c r="M18" s="689">
        <f>GEntry!AQ8</f>
        <v>225</v>
      </c>
      <c r="N18" s="689">
        <f>GEntry!CQ8</f>
        <v>0</v>
      </c>
      <c r="O18" s="689">
        <f>GEntry!CR8</f>
        <v>7</v>
      </c>
      <c r="P18" s="689">
        <f>GEntry!CM8</f>
        <v>0</v>
      </c>
      <c r="Q18" s="689">
        <f>GEntry!DD8</f>
        <v>30</v>
      </c>
      <c r="R18" s="689">
        <f>GEntry!T8</f>
        <v>0</v>
      </c>
      <c r="S18" s="689">
        <f>GEntry!R8</f>
        <v>0</v>
      </c>
      <c r="T18" s="689">
        <f>GEntry!S8</f>
        <v>0</v>
      </c>
      <c r="U18" s="689">
        <f>GEntry!CD8</f>
        <v>8</v>
      </c>
      <c r="V18" s="690">
        <f>GEntry!CY8</f>
        <v>8</v>
      </c>
      <c r="W18" s="689">
        <f>GEntry!CF8</f>
        <v>48</v>
      </c>
      <c r="X18" s="689">
        <f>GEntry!CP8</f>
        <v>0</v>
      </c>
      <c r="Y18" s="689">
        <f>GEntry!DC8</f>
        <v>0</v>
      </c>
      <c r="Z18" s="689">
        <f>GEntry!CN8</f>
        <v>0</v>
      </c>
      <c r="AA18" s="689">
        <f>GEntry!DB8</f>
        <v>0</v>
      </c>
      <c r="AB18" s="689">
        <f>GEntry!DH8</f>
        <v>35</v>
      </c>
      <c r="AC18" s="689">
        <f>GEntry!DE8</f>
        <v>55</v>
      </c>
      <c r="AD18" s="689">
        <f>GEntry!BK8</f>
        <v>35</v>
      </c>
      <c r="AE18" s="689">
        <f>GEntry!BN8</f>
        <v>22</v>
      </c>
      <c r="AF18" s="689">
        <f>GEntry!BV8</f>
        <v>25</v>
      </c>
      <c r="AG18" s="689">
        <f>GEntry!BW8</f>
        <v>27</v>
      </c>
      <c r="AH18" s="689">
        <f>GEntry!BX8</f>
        <v>33</v>
      </c>
      <c r="AI18" s="689">
        <f>GEntry!BY8</f>
        <v>33</v>
      </c>
      <c r="AJ18" s="689">
        <f>GEntry!CE8</f>
        <v>49</v>
      </c>
      <c r="AK18" s="689">
        <f>GEntry!AN8</f>
        <v>0</v>
      </c>
      <c r="AL18" s="1075">
        <f>GEntry!B8</f>
        <v>83</v>
      </c>
      <c r="AM18" s="1075">
        <f>GEntry!C8</f>
        <v>35</v>
      </c>
      <c r="AN18" s="689">
        <f>GEntry!D8</f>
        <v>100</v>
      </c>
      <c r="AO18" s="689">
        <f>GEntry!E8</f>
        <v>0</v>
      </c>
      <c r="AP18" s="689">
        <f>GEntry!F8</f>
        <v>25</v>
      </c>
      <c r="AQ18" s="689">
        <f>GEntry!H8</f>
        <v>0</v>
      </c>
      <c r="AR18" s="689">
        <f>GEntry!I8</f>
        <v>0</v>
      </c>
      <c r="AS18" s="689">
        <f>GEntry!K8</f>
        <v>0</v>
      </c>
      <c r="AT18" s="689">
        <f>GEntry!L8</f>
        <v>0</v>
      </c>
      <c r="AU18" s="689"/>
      <c r="AV18" s="689">
        <f>GEntry!BL8</f>
        <v>11</v>
      </c>
      <c r="AW18" s="689">
        <f>GEntry!N8</f>
        <v>26</v>
      </c>
      <c r="AX18" s="689">
        <f>GEntry!M8</f>
        <v>17</v>
      </c>
      <c r="AY18" s="689">
        <f>GEntry!CV8</f>
        <v>33</v>
      </c>
      <c r="AZ18" s="689">
        <f>GEntry!DA8</f>
        <v>12</v>
      </c>
      <c r="BA18" s="689">
        <f>GEntry!CZ8</f>
        <v>25</v>
      </c>
      <c r="BB18" s="689">
        <f>GEntry!BM8</f>
        <v>15</v>
      </c>
      <c r="BC18" s="689">
        <f>GEntry!BQ8</f>
        <v>32</v>
      </c>
      <c r="BD18" s="689">
        <f>GEntry!AD8</f>
        <v>0</v>
      </c>
      <c r="BE18" s="689">
        <f>GEntry!AE8</f>
        <v>0</v>
      </c>
      <c r="BF18" s="689">
        <f>GEntry!AF8</f>
        <v>0</v>
      </c>
      <c r="BG18" s="689">
        <f>GEntry!AJ8</f>
        <v>320</v>
      </c>
      <c r="BH18" s="689">
        <f>GEntry!AI8</f>
        <v>320</v>
      </c>
      <c r="BI18" s="689">
        <f>GEntry!AH8</f>
        <v>204</v>
      </c>
      <c r="BJ18" s="689">
        <f>GEntry!V8</f>
        <v>8</v>
      </c>
      <c r="BK18" s="689">
        <f>GEntry!AM8</f>
        <v>127</v>
      </c>
      <c r="BL18" s="689">
        <f>GEntry!AG8</f>
        <v>40</v>
      </c>
      <c r="BM18" s="689">
        <f>GEntry!AL8</f>
        <v>52</v>
      </c>
      <c r="BN18" s="689">
        <f>GEntry!CU8</f>
        <v>0</v>
      </c>
      <c r="BO18" s="690">
        <f>GEntry!CX8</f>
        <v>51</v>
      </c>
      <c r="BP18" s="690">
        <f>GEntry!CO8</f>
        <v>0</v>
      </c>
      <c r="BQ18" s="690">
        <f>GEntry!Q8</f>
        <v>39</v>
      </c>
      <c r="BR18" s="689">
        <f>GEntry!CH8</f>
        <v>8</v>
      </c>
      <c r="BS18" s="690">
        <f>GEntry!BR8</f>
        <v>21</v>
      </c>
      <c r="BT18" s="690">
        <f>GEntry!BS8</f>
        <v>10</v>
      </c>
      <c r="BU18" s="690">
        <f>GEntry!BT8</f>
        <v>33</v>
      </c>
      <c r="BV18" s="690">
        <f>GEntry!BU8</f>
        <v>20</v>
      </c>
      <c r="BW18" s="680">
        <f>GEntry!BP8</f>
        <v>160</v>
      </c>
      <c r="BX18" s="690">
        <f>GEntry!AS8</f>
        <v>102</v>
      </c>
      <c r="BY18" s="690">
        <f>GEntry!CG8</f>
        <v>0</v>
      </c>
      <c r="BZ18" s="690">
        <f>GEntry!BO8</f>
        <v>22</v>
      </c>
      <c r="CA18" s="1077">
        <f>GEntry!DG8</f>
        <v>0</v>
      </c>
      <c r="CB18" s="690">
        <f>GEntry!AU8</f>
        <v>43</v>
      </c>
      <c r="CC18" s="690">
        <f>GEntry!AV8</f>
        <v>41</v>
      </c>
      <c r="CD18" s="690">
        <f>GEntry!BG8</f>
        <v>31</v>
      </c>
      <c r="CE18" s="690">
        <f>GEntry!CW8</f>
        <v>30</v>
      </c>
      <c r="CF18" s="690">
        <f>GEntry!DF8</f>
        <v>110</v>
      </c>
      <c r="CG18" s="690">
        <f>GEntry!AW8</f>
        <v>0</v>
      </c>
      <c r="CH18" s="690">
        <f>GEntry!AX8</f>
        <v>55</v>
      </c>
      <c r="CI18" s="690">
        <f>GEntry!AY8</f>
        <v>10</v>
      </c>
      <c r="CJ18" s="690">
        <f>GEntry!BA8</f>
        <v>0</v>
      </c>
      <c r="CK18" s="690">
        <f>GEntry!BB8</f>
        <v>220</v>
      </c>
      <c r="CL18" s="690">
        <f>GEntry!BC8</f>
        <v>0</v>
      </c>
      <c r="CM18" s="690">
        <f>GEntry!BD8</f>
        <v>31</v>
      </c>
      <c r="CN18" s="690">
        <f>GEntry!BE8</f>
        <v>9</v>
      </c>
      <c r="CO18" s="690">
        <f>GEntry!BI8</f>
        <v>330</v>
      </c>
      <c r="CP18" s="690">
        <f>GEntry!BH8</f>
        <v>16</v>
      </c>
      <c r="CQ18" s="911">
        <f>GEntry!BF8</f>
        <v>0</v>
      </c>
      <c r="CR18" s="911">
        <f>GEntry!P8</f>
        <v>197</v>
      </c>
      <c r="CS18" s="911">
        <f>GEntry!U8</f>
        <v>97</v>
      </c>
      <c r="CT18" s="690">
        <f>GEntry!DI8</f>
        <v>298</v>
      </c>
      <c r="CU18" s="911">
        <f>GEntry!DJ8</f>
        <v>99</v>
      </c>
      <c r="CV18" s="911">
        <f>GEntry!DK8</f>
        <v>48</v>
      </c>
      <c r="CW18" s="690">
        <f>GEntry!DL8</f>
        <v>94</v>
      </c>
      <c r="CX18" s="911">
        <f>GEntry!DM8</f>
        <v>98</v>
      </c>
      <c r="CY18" s="911">
        <f>GEntry!G8</f>
        <v>0</v>
      </c>
      <c r="CZ18" s="911">
        <f>GEntry!DN8</f>
        <v>21</v>
      </c>
      <c r="DA18" s="690">
        <f>GEntry!DO8</f>
        <v>34</v>
      </c>
      <c r="DB18" s="1530">
        <f>GEntry!DP8</f>
        <v>135</v>
      </c>
      <c r="DC18" s="1520">
        <f>GEntry!DQ8</f>
        <v>402</v>
      </c>
      <c r="DD18" s="1617">
        <f>GEntry!DR8</f>
        <v>48</v>
      </c>
      <c r="DE18" s="1616">
        <f>GEntry!CI8</f>
        <v>105</v>
      </c>
      <c r="DF18" s="1700">
        <f>GEntry!O8</f>
        <v>87</v>
      </c>
      <c r="DG18" s="1694">
        <f>GEntry!CJ8</f>
        <v>0</v>
      </c>
      <c r="DH18" s="1847">
        <f>GEntry!DS8</f>
        <v>16</v>
      </c>
      <c r="DI18" s="1848">
        <f>GEntry!CK8</f>
        <v>36</v>
      </c>
      <c r="DJ18" s="1859">
        <f>GEntry!CL8</f>
        <v>55</v>
      </c>
      <c r="DK18" s="2176">
        <f>GEntry!CA8</f>
        <v>17</v>
      </c>
      <c r="DL18" s="2396">
        <f>GEntry!CB8</f>
        <v>38</v>
      </c>
      <c r="DM18" s="2177">
        <f>GEntry!DT8</f>
        <v>20</v>
      </c>
      <c r="DN18" s="2495">
        <f>GEntry!BJ8</f>
        <v>0</v>
      </c>
      <c r="DO18" s="2496">
        <f>GEntry!CS8</f>
        <v>0</v>
      </c>
      <c r="DP18" s="2603">
        <f>GEntry!AT8</f>
        <v>0</v>
      </c>
      <c r="DQ18" s="2642">
        <f>GEntry!CC8</f>
        <v>35</v>
      </c>
      <c r="DR18" s="2667">
        <f>GEntry!DU8</f>
        <v>92</v>
      </c>
      <c r="DS18" s="2669">
        <f>GEntry!AZ8</f>
        <v>0</v>
      </c>
      <c r="DT18" s="2734">
        <f>GEntry!DV8</f>
        <v>35</v>
      </c>
      <c r="DU18" s="2736">
        <f>GEntry!DW8</f>
        <v>0</v>
      </c>
      <c r="DV18" s="3114">
        <f>GEntry!DX8</f>
        <v>74</v>
      </c>
      <c r="DW18" s="3114">
        <f>GEntry!DY8</f>
        <v>55</v>
      </c>
      <c r="DX18" s="4684">
        <f>GEntry!AK8</f>
        <v>0</v>
      </c>
      <c r="DY18" s="915"/>
      <c r="DZ18" s="698">
        <f>GEntry!EZ8</f>
        <v>914</v>
      </c>
      <c r="EA18" s="695">
        <f>GEntry!EX8</f>
        <v>0</v>
      </c>
      <c r="EB18" s="695">
        <f>GEntry!FA8</f>
        <v>160</v>
      </c>
      <c r="EC18" s="695">
        <f>GEntry!EC8</f>
        <v>0</v>
      </c>
      <c r="ED18" s="695">
        <f>GEntry!ED8</f>
        <v>16</v>
      </c>
      <c r="EE18" s="695">
        <f>GEntry!EI8</f>
        <v>227</v>
      </c>
      <c r="EF18" s="695">
        <f>GEntry!EB8</f>
        <v>0</v>
      </c>
      <c r="EG18" s="695">
        <f>GEntry!EG8</f>
        <v>0</v>
      </c>
      <c r="EH18" s="695">
        <f>GEntry!EH8</f>
        <v>21</v>
      </c>
      <c r="EI18" s="695">
        <f>GEntry!EW8</f>
        <v>55</v>
      </c>
      <c r="EJ18" s="695">
        <f>GEntry!EV8</f>
        <v>0</v>
      </c>
      <c r="EK18" s="695">
        <f>GEntry!ES8</f>
        <v>88</v>
      </c>
      <c r="EL18" s="695">
        <f>GEntry!ET8</f>
        <v>27</v>
      </c>
      <c r="EM18" s="695">
        <f>GEntry!EP8</f>
        <v>64</v>
      </c>
      <c r="EN18" s="695">
        <f>GEntry!EQ8</f>
        <v>0</v>
      </c>
      <c r="EO18" s="695">
        <f>GEntry!FH8</f>
        <v>0</v>
      </c>
      <c r="EP18" s="695">
        <f>GEntry!FG8</f>
        <v>0</v>
      </c>
      <c r="EQ18" s="695">
        <f>GEntry!FI8</f>
        <v>32</v>
      </c>
      <c r="ER18" s="695">
        <f>GEntry!FS8</f>
        <v>0</v>
      </c>
      <c r="ES18" s="695">
        <f>GEntry!GB8</f>
        <v>59</v>
      </c>
      <c r="ET18" s="695">
        <f>GEntry!FW8</f>
        <v>0</v>
      </c>
      <c r="EU18" s="695">
        <f>GEntry!FX8</f>
        <v>0</v>
      </c>
      <c r="EV18" s="695">
        <f>GEntry!FY8</f>
        <v>24</v>
      </c>
      <c r="EW18" s="695">
        <f>GEntry!GA8</f>
        <v>8</v>
      </c>
      <c r="EX18" s="695">
        <f>GEntry!FZ8</f>
        <v>33</v>
      </c>
      <c r="EY18" s="695">
        <f>GEntry!FT8</f>
        <v>22</v>
      </c>
      <c r="EZ18" s="695">
        <f>GEntry!FU8</f>
        <v>0</v>
      </c>
      <c r="FA18" s="695">
        <f>GEntry!FV8</f>
        <v>11</v>
      </c>
      <c r="FB18" s="1073">
        <f>GEntry!FD8</f>
        <v>0</v>
      </c>
      <c r="FC18" s="1073">
        <f>GEntry!FE8</f>
        <v>0</v>
      </c>
      <c r="FD18" s="1073">
        <f>GEntry!FF8</f>
        <v>250</v>
      </c>
      <c r="FE18" s="695">
        <f>GEntry!GF8</f>
        <v>0</v>
      </c>
      <c r="FF18" s="696">
        <f>GEntry!GG8</f>
        <v>0</v>
      </c>
      <c r="FG18" s="696">
        <f>GEntry!FK8</f>
        <v>177</v>
      </c>
      <c r="FH18" s="696">
        <f>GEntry!FL8</f>
        <v>0</v>
      </c>
      <c r="FI18" s="696">
        <f>GEntry!FM8</f>
        <v>0</v>
      </c>
      <c r="FJ18" s="696">
        <f>GEntry!FN8</f>
        <v>209</v>
      </c>
      <c r="FK18" s="696">
        <f>GEntry!ER8</f>
        <v>0</v>
      </c>
      <c r="FL18" s="696">
        <f>GEntry!EU8</f>
        <v>96</v>
      </c>
      <c r="FM18" s="694">
        <f>GEntry!FO8</f>
        <v>148</v>
      </c>
      <c r="FN18" s="696">
        <f>GEntry!FP8</f>
        <v>0</v>
      </c>
      <c r="FO18" s="695">
        <f>GEntry!FQ8</f>
        <v>303</v>
      </c>
      <c r="FP18" s="1548">
        <f>GEntry!EJ8</f>
        <v>0</v>
      </c>
      <c r="FQ18" s="1550">
        <f>GEntry!GC8</f>
        <v>169</v>
      </c>
      <c r="FR18" s="1553">
        <f>GEntry!GD8</f>
        <v>50</v>
      </c>
      <c r="FS18" s="1704">
        <f>GEntry!EY8</f>
        <v>89</v>
      </c>
      <c r="FT18" s="1779">
        <f>GEntry!GH8</f>
        <v>56</v>
      </c>
      <c r="FU18" s="1781">
        <f>GEntry!FR8</f>
        <v>0</v>
      </c>
      <c r="FV18" s="1903">
        <f>GEntry!GI8</f>
        <v>0</v>
      </c>
      <c r="FW18" s="2214">
        <f>GEntry!GE8</f>
        <v>55</v>
      </c>
      <c r="FX18" s="695">
        <f>GEntry!FB8</f>
        <v>620</v>
      </c>
      <c r="FY18" s="2585">
        <f>GEntry!EN8</f>
        <v>220</v>
      </c>
      <c r="FZ18" s="2624">
        <f>GEntry!EO8</f>
        <v>0</v>
      </c>
      <c r="GA18" s="2626">
        <f>GEntry!EM8</f>
        <v>90</v>
      </c>
      <c r="GB18" s="3134">
        <f>GEntry!FJ8</f>
        <v>0</v>
      </c>
      <c r="GC18" s="3179">
        <f>GEntry!EK8</f>
        <v>0</v>
      </c>
      <c r="GD18" s="2585">
        <f>GEntry!GJ8</f>
        <v>34</v>
      </c>
      <c r="GE18" s="4736">
        <f>GEntry!EF8</f>
        <v>0</v>
      </c>
      <c r="GF18" s="4737">
        <f>GEntry!EE8</f>
        <v>0</v>
      </c>
      <c r="GG18" s="918"/>
      <c r="GH18" s="841">
        <f t="shared" si="12"/>
        <v>6946</v>
      </c>
      <c r="GI18" s="840">
        <f t="shared" si="8"/>
        <v>4327</v>
      </c>
      <c r="GJ18" s="837">
        <f t="shared" si="9"/>
        <v>11273</v>
      </c>
      <c r="GK18" s="583">
        <f t="shared" si="0"/>
        <v>3620</v>
      </c>
      <c r="GL18" s="583">
        <f t="shared" si="1"/>
        <v>914</v>
      </c>
      <c r="GM18" s="583">
        <f t="shared" si="13"/>
        <v>1899</v>
      </c>
      <c r="GN18" s="583">
        <f t="shared" si="10"/>
        <v>953</v>
      </c>
      <c r="GO18" s="583">
        <f t="shared" si="2"/>
        <v>1949</v>
      </c>
      <c r="GP18" s="583">
        <f t="shared" si="3"/>
        <v>870</v>
      </c>
      <c r="GQ18" s="583">
        <f t="shared" si="4"/>
        <v>118</v>
      </c>
      <c r="GR18" s="583">
        <f t="shared" si="5"/>
        <v>436</v>
      </c>
      <c r="GS18" s="583">
        <f t="shared" si="11"/>
        <v>563</v>
      </c>
      <c r="GT18" s="583">
        <f t="shared" si="6"/>
        <v>160</v>
      </c>
      <c r="GU18" s="836">
        <f t="shared" si="7"/>
        <v>0</v>
      </c>
      <c r="GV18" s="835">
        <f>FWise!M10</f>
        <v>1247.8125500000006</v>
      </c>
      <c r="GW18" s="2510">
        <f>GEntry!GN8</f>
        <v>94.14</v>
      </c>
      <c r="GX18" s="12"/>
      <c r="GY18" s="12"/>
      <c r="GZ18" s="12"/>
      <c r="HI18" s="134"/>
      <c r="HJ18" s="134"/>
      <c r="JA18" s="134"/>
      <c r="JB18" s="134"/>
    </row>
    <row r="19" spans="1:278" ht="21.75" customHeight="1" thickBot="1">
      <c r="A19" s="542">
        <v>0.25</v>
      </c>
      <c r="B19" s="692">
        <f>GEntry!W9</f>
        <v>0</v>
      </c>
      <c r="C19" s="689">
        <f>GEntry!X9</f>
        <v>0</v>
      </c>
      <c r="D19" s="689">
        <f>GEntry!Y9</f>
        <v>0</v>
      </c>
      <c r="E19" s="689">
        <f>GEntry!Z9</f>
        <v>180</v>
      </c>
      <c r="F19" s="690">
        <f>GEntry!AB9</f>
        <v>200</v>
      </c>
      <c r="G19" s="690">
        <f>GEntry!BZ9</f>
        <v>90</v>
      </c>
      <c r="H19" s="689">
        <f>GEntry!CT9</f>
        <v>0</v>
      </c>
      <c r="I19" s="689">
        <f>GEntry!AP9</f>
        <v>407</v>
      </c>
      <c r="J19" s="689">
        <f>GEntry!AR9</f>
        <v>317</v>
      </c>
      <c r="K19" s="689"/>
      <c r="L19" s="689">
        <f>GEntry!AO9</f>
        <v>0</v>
      </c>
      <c r="M19" s="689">
        <f>GEntry!AQ9</f>
        <v>225</v>
      </c>
      <c r="N19" s="689">
        <f>GEntry!CQ9</f>
        <v>0</v>
      </c>
      <c r="O19" s="689">
        <f>GEntry!CR9</f>
        <v>8</v>
      </c>
      <c r="P19" s="689">
        <f>GEntry!CM9</f>
        <v>0</v>
      </c>
      <c r="Q19" s="689">
        <f>GEntry!DD9</f>
        <v>30</v>
      </c>
      <c r="R19" s="689">
        <f>GEntry!T9</f>
        <v>0</v>
      </c>
      <c r="S19" s="689">
        <f>GEntry!R9</f>
        <v>0</v>
      </c>
      <c r="T19" s="689">
        <f>GEntry!S9</f>
        <v>0</v>
      </c>
      <c r="U19" s="689">
        <f>GEntry!CD9</f>
        <v>8</v>
      </c>
      <c r="V19" s="690">
        <f>GEntry!CY9</f>
        <v>8</v>
      </c>
      <c r="W19" s="689">
        <f>GEntry!CF9</f>
        <v>48</v>
      </c>
      <c r="X19" s="689">
        <f>GEntry!CP9</f>
        <v>0</v>
      </c>
      <c r="Y19" s="689">
        <f>GEntry!DC9</f>
        <v>0</v>
      </c>
      <c r="Z19" s="689">
        <f>GEntry!CN9</f>
        <v>0</v>
      </c>
      <c r="AA19" s="689">
        <f>GEntry!DB9</f>
        <v>0</v>
      </c>
      <c r="AB19" s="689">
        <f>GEntry!DH9</f>
        <v>35</v>
      </c>
      <c r="AC19" s="689">
        <f>GEntry!DE9</f>
        <v>55</v>
      </c>
      <c r="AD19" s="689">
        <f>GEntry!BK9</f>
        <v>35</v>
      </c>
      <c r="AE19" s="689">
        <f>GEntry!BN9</f>
        <v>22</v>
      </c>
      <c r="AF19" s="689">
        <f>GEntry!BV9</f>
        <v>25</v>
      </c>
      <c r="AG19" s="689">
        <f>GEntry!BW9</f>
        <v>27</v>
      </c>
      <c r="AH19" s="689">
        <f>GEntry!BX9</f>
        <v>33</v>
      </c>
      <c r="AI19" s="689">
        <f>GEntry!BY9</f>
        <v>33</v>
      </c>
      <c r="AJ19" s="689">
        <f>GEntry!CE9</f>
        <v>50</v>
      </c>
      <c r="AK19" s="689">
        <f>GEntry!AN9</f>
        <v>0</v>
      </c>
      <c r="AL19" s="1075">
        <f>GEntry!B9</f>
        <v>83</v>
      </c>
      <c r="AM19" s="1075">
        <f>GEntry!C9</f>
        <v>35</v>
      </c>
      <c r="AN19" s="689">
        <f>GEntry!D9</f>
        <v>100</v>
      </c>
      <c r="AO19" s="689">
        <f>GEntry!E9</f>
        <v>0</v>
      </c>
      <c r="AP19" s="689">
        <f>GEntry!F9</f>
        <v>25</v>
      </c>
      <c r="AQ19" s="689">
        <f>GEntry!H9</f>
        <v>0</v>
      </c>
      <c r="AR19" s="689">
        <f>GEntry!I9</f>
        <v>0</v>
      </c>
      <c r="AS19" s="689">
        <f>GEntry!K9</f>
        <v>0</v>
      </c>
      <c r="AT19" s="689">
        <f>GEntry!L9</f>
        <v>0</v>
      </c>
      <c r="AU19" s="689"/>
      <c r="AV19" s="689">
        <f>GEntry!BL9</f>
        <v>11</v>
      </c>
      <c r="AW19" s="689">
        <f>GEntry!N9</f>
        <v>26</v>
      </c>
      <c r="AX19" s="689">
        <f>GEntry!M9</f>
        <v>17</v>
      </c>
      <c r="AY19" s="689">
        <f>GEntry!CV9</f>
        <v>33</v>
      </c>
      <c r="AZ19" s="689">
        <f>GEntry!DA9</f>
        <v>12</v>
      </c>
      <c r="BA19" s="689">
        <f>GEntry!CZ9</f>
        <v>25</v>
      </c>
      <c r="BB19" s="689">
        <f>GEntry!BM9</f>
        <v>15</v>
      </c>
      <c r="BC19" s="689">
        <f>GEntry!BQ9</f>
        <v>38</v>
      </c>
      <c r="BD19" s="689">
        <f>GEntry!AD9</f>
        <v>0</v>
      </c>
      <c r="BE19" s="689">
        <f>GEntry!AE9</f>
        <v>0</v>
      </c>
      <c r="BF19" s="689">
        <f>GEntry!AF9</f>
        <v>0</v>
      </c>
      <c r="BG19" s="689">
        <f>GEntry!AJ9</f>
        <v>320</v>
      </c>
      <c r="BH19" s="689">
        <f>GEntry!AI9</f>
        <v>320</v>
      </c>
      <c r="BI19" s="689">
        <f>GEntry!AH9</f>
        <v>207</v>
      </c>
      <c r="BJ19" s="689">
        <f>GEntry!V9</f>
        <v>8</v>
      </c>
      <c r="BK19" s="689">
        <f>GEntry!AM9</f>
        <v>127</v>
      </c>
      <c r="BL19" s="689">
        <f>GEntry!AG9</f>
        <v>40</v>
      </c>
      <c r="BM19" s="689">
        <f>GEntry!AL9</f>
        <v>53</v>
      </c>
      <c r="BN19" s="689">
        <f>GEntry!CU9</f>
        <v>0</v>
      </c>
      <c r="BO19" s="690">
        <f>GEntry!CX9</f>
        <v>51</v>
      </c>
      <c r="BP19" s="690">
        <f>GEntry!CO9</f>
        <v>0</v>
      </c>
      <c r="BQ19" s="690">
        <f>GEntry!Q9</f>
        <v>39</v>
      </c>
      <c r="BR19" s="689">
        <f>GEntry!CH9</f>
        <v>8</v>
      </c>
      <c r="BS19" s="690">
        <f>GEntry!BR9</f>
        <v>21</v>
      </c>
      <c r="BT19" s="690">
        <f>GEntry!BS9</f>
        <v>10</v>
      </c>
      <c r="BU19" s="690">
        <f>GEntry!BT9</f>
        <v>33</v>
      </c>
      <c r="BV19" s="690">
        <f>GEntry!BU9</f>
        <v>15</v>
      </c>
      <c r="BW19" s="680">
        <f>GEntry!BP9</f>
        <v>152</v>
      </c>
      <c r="BX19" s="690">
        <f>GEntry!AS9</f>
        <v>102</v>
      </c>
      <c r="BY19" s="690">
        <f>GEntry!CG9</f>
        <v>0</v>
      </c>
      <c r="BZ19" s="690">
        <f>GEntry!BO9</f>
        <v>22</v>
      </c>
      <c r="CA19" s="1077">
        <f>GEntry!DG9</f>
        <v>0</v>
      </c>
      <c r="CB19" s="690">
        <f>GEntry!AU9</f>
        <v>43</v>
      </c>
      <c r="CC19" s="690">
        <f>GEntry!AV9</f>
        <v>41</v>
      </c>
      <c r="CD19" s="690">
        <f>GEntry!BG9</f>
        <v>31</v>
      </c>
      <c r="CE19" s="690">
        <f>GEntry!CW9</f>
        <v>30</v>
      </c>
      <c r="CF19" s="690">
        <f>GEntry!DF9</f>
        <v>110</v>
      </c>
      <c r="CG19" s="690">
        <f>GEntry!AW9</f>
        <v>0</v>
      </c>
      <c r="CH19" s="690">
        <f>GEntry!AX9</f>
        <v>55</v>
      </c>
      <c r="CI19" s="690">
        <f>GEntry!AY9</f>
        <v>10</v>
      </c>
      <c r="CJ19" s="690">
        <f>GEntry!BA9</f>
        <v>0</v>
      </c>
      <c r="CK19" s="690">
        <f>GEntry!BB9</f>
        <v>220</v>
      </c>
      <c r="CL19" s="690">
        <f>GEntry!BC9</f>
        <v>0</v>
      </c>
      <c r="CM19" s="690">
        <f>GEntry!BD9</f>
        <v>31</v>
      </c>
      <c r="CN19" s="690">
        <f>GEntry!BE9</f>
        <v>9</v>
      </c>
      <c r="CO19" s="690">
        <f>GEntry!BI9</f>
        <v>315</v>
      </c>
      <c r="CP19" s="690">
        <f>GEntry!BH9</f>
        <v>16</v>
      </c>
      <c r="CQ19" s="911">
        <f>GEntry!BF9</f>
        <v>0</v>
      </c>
      <c r="CR19" s="911">
        <f>GEntry!P9</f>
        <v>197</v>
      </c>
      <c r="CS19" s="911">
        <f>GEntry!U9</f>
        <v>95</v>
      </c>
      <c r="CT19" s="690">
        <f>GEntry!DI9</f>
        <v>301</v>
      </c>
      <c r="CU19" s="911">
        <f>GEntry!DJ9</f>
        <v>99</v>
      </c>
      <c r="CV19" s="911">
        <f>GEntry!DK9</f>
        <v>48</v>
      </c>
      <c r="CW19" s="690">
        <f>GEntry!DL9</f>
        <v>93</v>
      </c>
      <c r="CX19" s="911">
        <f>GEntry!DM9</f>
        <v>90</v>
      </c>
      <c r="CY19" s="911">
        <f>GEntry!G9</f>
        <v>0</v>
      </c>
      <c r="CZ19" s="911">
        <f>GEntry!DN9</f>
        <v>21</v>
      </c>
      <c r="DA19" s="690">
        <f>GEntry!DO9</f>
        <v>34</v>
      </c>
      <c r="DB19" s="1530">
        <f>GEntry!DP9</f>
        <v>135</v>
      </c>
      <c r="DC19" s="1520">
        <f>GEntry!DQ9</f>
        <v>401</v>
      </c>
      <c r="DD19" s="1617">
        <f>GEntry!DR9</f>
        <v>49</v>
      </c>
      <c r="DE19" s="1616">
        <f>GEntry!CI9</f>
        <v>105</v>
      </c>
      <c r="DF19" s="1700">
        <f>GEntry!O9</f>
        <v>80</v>
      </c>
      <c r="DG19" s="1694">
        <f>GEntry!CJ9</f>
        <v>0</v>
      </c>
      <c r="DH19" s="1847">
        <f>GEntry!DS9</f>
        <v>16</v>
      </c>
      <c r="DI19" s="1848">
        <f>GEntry!CK9</f>
        <v>36</v>
      </c>
      <c r="DJ19" s="1859">
        <f>GEntry!CL9</f>
        <v>55</v>
      </c>
      <c r="DK19" s="2176">
        <f>GEntry!CA9</f>
        <v>17</v>
      </c>
      <c r="DL19" s="2396">
        <f>GEntry!CB9</f>
        <v>38</v>
      </c>
      <c r="DM19" s="2177">
        <f>GEntry!DT9</f>
        <v>20</v>
      </c>
      <c r="DN19" s="2495">
        <f>GEntry!BJ9</f>
        <v>0</v>
      </c>
      <c r="DO19" s="2496">
        <f>GEntry!CS9</f>
        <v>0</v>
      </c>
      <c r="DP19" s="2603">
        <f>GEntry!AT9</f>
        <v>1</v>
      </c>
      <c r="DQ19" s="2642">
        <f>GEntry!CC9</f>
        <v>35</v>
      </c>
      <c r="DR19" s="2667">
        <f>GEntry!DU9</f>
        <v>108</v>
      </c>
      <c r="DS19" s="2669">
        <f>GEntry!AZ9</f>
        <v>0</v>
      </c>
      <c r="DT19" s="2734">
        <f>GEntry!DV9</f>
        <v>35</v>
      </c>
      <c r="DU19" s="2736">
        <f>GEntry!DW9</f>
        <v>0</v>
      </c>
      <c r="DV19" s="3114">
        <f>GEntry!DX9</f>
        <v>75</v>
      </c>
      <c r="DW19" s="3114">
        <f>GEntry!DY9</f>
        <v>55</v>
      </c>
      <c r="DX19" s="4684">
        <f>GEntry!AK9</f>
        <v>0</v>
      </c>
      <c r="DY19" s="915"/>
      <c r="DZ19" s="698">
        <f>GEntry!EZ9</f>
        <v>914</v>
      </c>
      <c r="EA19" s="695">
        <f>GEntry!EX9</f>
        <v>0</v>
      </c>
      <c r="EB19" s="695">
        <f>GEntry!FA9</f>
        <v>165</v>
      </c>
      <c r="EC19" s="695">
        <f>GEntry!EC9</f>
        <v>0</v>
      </c>
      <c r="ED19" s="695">
        <f>GEntry!ED9</f>
        <v>16</v>
      </c>
      <c r="EE19" s="695">
        <f>GEntry!EI9</f>
        <v>227</v>
      </c>
      <c r="EF19" s="695">
        <f>GEntry!EB9</f>
        <v>0</v>
      </c>
      <c r="EG19" s="695">
        <f>GEntry!EG9</f>
        <v>0</v>
      </c>
      <c r="EH19" s="695">
        <f>GEntry!EH9</f>
        <v>21</v>
      </c>
      <c r="EI19" s="695">
        <f>GEntry!EW9</f>
        <v>55</v>
      </c>
      <c r="EJ19" s="695">
        <f>GEntry!EV9</f>
        <v>0</v>
      </c>
      <c r="EK19" s="695">
        <f>GEntry!ES9</f>
        <v>86</v>
      </c>
      <c r="EL19" s="695">
        <f>GEntry!ET9</f>
        <v>25</v>
      </c>
      <c r="EM19" s="695">
        <f>GEntry!EP9</f>
        <v>64</v>
      </c>
      <c r="EN19" s="695">
        <f>GEntry!EQ9</f>
        <v>0</v>
      </c>
      <c r="EO19" s="695">
        <f>GEntry!FH9</f>
        <v>0</v>
      </c>
      <c r="EP19" s="695">
        <f>GEntry!FG9</f>
        <v>0</v>
      </c>
      <c r="EQ19" s="695">
        <f>GEntry!FI9</f>
        <v>32</v>
      </c>
      <c r="ER19" s="695">
        <f>GEntry!FS9</f>
        <v>0</v>
      </c>
      <c r="ES19" s="695">
        <f>GEntry!GB9</f>
        <v>51</v>
      </c>
      <c r="ET19" s="695">
        <f>GEntry!FW9</f>
        <v>0</v>
      </c>
      <c r="EU19" s="695">
        <f>GEntry!FX9</f>
        <v>0</v>
      </c>
      <c r="EV19" s="695">
        <f>GEntry!FY9</f>
        <v>24</v>
      </c>
      <c r="EW19" s="695">
        <f>GEntry!GA9</f>
        <v>8</v>
      </c>
      <c r="EX19" s="695">
        <f>GEntry!FZ9</f>
        <v>33</v>
      </c>
      <c r="EY19" s="695">
        <f>GEntry!FT9</f>
        <v>22</v>
      </c>
      <c r="EZ19" s="695">
        <f>GEntry!FU9</f>
        <v>0</v>
      </c>
      <c r="FA19" s="695">
        <f>GEntry!FV9</f>
        <v>11</v>
      </c>
      <c r="FB19" s="1073">
        <f>GEntry!FD9</f>
        <v>0</v>
      </c>
      <c r="FC19" s="1073">
        <f>GEntry!FE9</f>
        <v>0</v>
      </c>
      <c r="FD19" s="1073">
        <f>GEntry!FF9</f>
        <v>250</v>
      </c>
      <c r="FE19" s="695">
        <f>GEntry!GF9</f>
        <v>0</v>
      </c>
      <c r="FF19" s="696">
        <f>GEntry!GG9</f>
        <v>0</v>
      </c>
      <c r="FG19" s="696">
        <f>GEntry!FK9</f>
        <v>176</v>
      </c>
      <c r="FH19" s="696">
        <f>GEntry!FL9</f>
        <v>0</v>
      </c>
      <c r="FI19" s="696">
        <f>GEntry!FM9</f>
        <v>0</v>
      </c>
      <c r="FJ19" s="696">
        <f>GEntry!FN9</f>
        <v>214</v>
      </c>
      <c r="FK19" s="696">
        <f>GEntry!ER9</f>
        <v>0</v>
      </c>
      <c r="FL19" s="696">
        <f>GEntry!EU9</f>
        <v>97</v>
      </c>
      <c r="FM19" s="694">
        <f>GEntry!FO9</f>
        <v>149</v>
      </c>
      <c r="FN19" s="696">
        <f>GEntry!FP9</f>
        <v>0</v>
      </c>
      <c r="FO19" s="695">
        <f>GEntry!FQ9</f>
        <v>317</v>
      </c>
      <c r="FP19" s="1548">
        <f>GEntry!EJ9</f>
        <v>0</v>
      </c>
      <c r="FQ19" s="1550">
        <f>GEntry!GC9</f>
        <v>169</v>
      </c>
      <c r="FR19" s="1553">
        <f>GEntry!GD9</f>
        <v>50</v>
      </c>
      <c r="FS19" s="1704">
        <f>GEntry!EY9</f>
        <v>89</v>
      </c>
      <c r="FT19" s="1779">
        <f>GEntry!GH9</f>
        <v>56</v>
      </c>
      <c r="FU19" s="1781">
        <f>GEntry!FR9</f>
        <v>0</v>
      </c>
      <c r="FV19" s="1903">
        <f>GEntry!GI9</f>
        <v>0</v>
      </c>
      <c r="FW19" s="2214">
        <f>GEntry!GE9</f>
        <v>55</v>
      </c>
      <c r="FX19" s="695">
        <f>GEntry!FB9</f>
        <v>610</v>
      </c>
      <c r="FY19" s="2585">
        <f>GEntry!EN9</f>
        <v>220</v>
      </c>
      <c r="FZ19" s="2624">
        <f>GEntry!EO9</f>
        <v>0</v>
      </c>
      <c r="GA19" s="2626">
        <f>GEntry!EM9</f>
        <v>90</v>
      </c>
      <c r="GB19" s="3134">
        <f>GEntry!FJ9</f>
        <v>0</v>
      </c>
      <c r="GC19" s="3179">
        <f>GEntry!EK9</f>
        <v>1</v>
      </c>
      <c r="GD19" s="2585">
        <f>GEntry!GJ9</f>
        <v>34</v>
      </c>
      <c r="GE19" s="4736">
        <f>GEntry!EF9</f>
        <v>0</v>
      </c>
      <c r="GF19" s="4737">
        <f>GEntry!EE9</f>
        <v>0</v>
      </c>
      <c r="GG19" s="918"/>
      <c r="GH19" s="841">
        <f t="shared" si="12"/>
        <v>6934</v>
      </c>
      <c r="GI19" s="840">
        <f t="shared" si="8"/>
        <v>4331</v>
      </c>
      <c r="GJ19" s="837">
        <f t="shared" si="9"/>
        <v>11265</v>
      </c>
      <c r="GK19" s="583">
        <f t="shared" si="0"/>
        <v>3622</v>
      </c>
      <c r="GL19" s="583">
        <f t="shared" si="1"/>
        <v>914</v>
      </c>
      <c r="GM19" s="583">
        <f t="shared" si="13"/>
        <v>1902</v>
      </c>
      <c r="GN19" s="583">
        <f t="shared" si="10"/>
        <v>956</v>
      </c>
      <c r="GO19" s="583">
        <f t="shared" si="2"/>
        <v>1952</v>
      </c>
      <c r="GP19" s="583">
        <f t="shared" si="3"/>
        <v>860</v>
      </c>
      <c r="GQ19" s="583">
        <f t="shared" si="4"/>
        <v>118</v>
      </c>
      <c r="GR19" s="583">
        <f t="shared" si="5"/>
        <v>441</v>
      </c>
      <c r="GS19" s="583">
        <f t="shared" si="11"/>
        <v>560</v>
      </c>
      <c r="GT19" s="583">
        <f t="shared" si="6"/>
        <v>152</v>
      </c>
      <c r="GU19" s="836">
        <f t="shared" si="7"/>
        <v>2</v>
      </c>
      <c r="GV19" s="835">
        <f>FWise!M11</f>
        <v>1087.4585000000006</v>
      </c>
      <c r="GW19" s="2510">
        <f>GEntry!GN9</f>
        <v>94.17</v>
      </c>
      <c r="GX19" s="12"/>
      <c r="GY19" s="12"/>
      <c r="GZ19" s="12"/>
      <c r="HI19" s="134"/>
      <c r="HJ19" s="134"/>
      <c r="IC19" s="134"/>
      <c r="ID19" s="134"/>
      <c r="JA19" s="134"/>
      <c r="JB19" s="134"/>
    </row>
    <row r="20" spans="1:278" ht="20.25" customHeight="1" thickBot="1">
      <c r="A20" s="542">
        <v>0.29166666666666669</v>
      </c>
      <c r="B20" s="692">
        <f>GEntry!W10</f>
        <v>0</v>
      </c>
      <c r="C20" s="689">
        <f>GEntry!X10</f>
        <v>0</v>
      </c>
      <c r="D20" s="689">
        <f>GEntry!Y10</f>
        <v>0</v>
      </c>
      <c r="E20" s="689">
        <f>GEntry!Z10</f>
        <v>180</v>
      </c>
      <c r="F20" s="690">
        <f>GEntry!AB10</f>
        <v>200</v>
      </c>
      <c r="G20" s="690">
        <f>GEntry!BZ10</f>
        <v>89</v>
      </c>
      <c r="H20" s="689">
        <f>GEntry!CT10</f>
        <v>0</v>
      </c>
      <c r="I20" s="689">
        <f>GEntry!AP10</f>
        <v>406</v>
      </c>
      <c r="J20" s="689">
        <f>GEntry!AR10</f>
        <v>321</v>
      </c>
      <c r="K20" s="689"/>
      <c r="L20" s="689">
        <f>GEntry!AO10</f>
        <v>0</v>
      </c>
      <c r="M20" s="689">
        <f>GEntry!AQ10</f>
        <v>225</v>
      </c>
      <c r="N20" s="689">
        <f>GEntry!CQ10</f>
        <v>0</v>
      </c>
      <c r="O20" s="689">
        <f>GEntry!CR10</f>
        <v>7</v>
      </c>
      <c r="P20" s="689">
        <f>GEntry!CM10</f>
        <v>0</v>
      </c>
      <c r="Q20" s="689">
        <f>GEntry!DD10</f>
        <v>30</v>
      </c>
      <c r="R20" s="689">
        <f>GEntry!T10</f>
        <v>0</v>
      </c>
      <c r="S20" s="689">
        <f>GEntry!R10</f>
        <v>0</v>
      </c>
      <c r="T20" s="689">
        <f>GEntry!S10</f>
        <v>0</v>
      </c>
      <c r="U20" s="689">
        <f>GEntry!CD10</f>
        <v>8</v>
      </c>
      <c r="V20" s="690">
        <f>GEntry!CY10</f>
        <v>8</v>
      </c>
      <c r="W20" s="689">
        <f>GEntry!CF10</f>
        <v>48</v>
      </c>
      <c r="X20" s="689">
        <f>GEntry!CP10</f>
        <v>0</v>
      </c>
      <c r="Y20" s="689">
        <f>GEntry!DC10</f>
        <v>0</v>
      </c>
      <c r="Z20" s="689">
        <f>GEntry!CN10</f>
        <v>0</v>
      </c>
      <c r="AA20" s="689">
        <f>GEntry!DB10</f>
        <v>0</v>
      </c>
      <c r="AB20" s="689">
        <f>GEntry!DH10</f>
        <v>35</v>
      </c>
      <c r="AC20" s="689">
        <f>GEntry!DE10</f>
        <v>55</v>
      </c>
      <c r="AD20" s="689">
        <f>GEntry!BK10</f>
        <v>35</v>
      </c>
      <c r="AE20" s="689">
        <f>GEntry!BN10</f>
        <v>22</v>
      </c>
      <c r="AF20" s="689">
        <f>GEntry!BV10</f>
        <v>25</v>
      </c>
      <c r="AG20" s="689">
        <f>GEntry!BW10</f>
        <v>27</v>
      </c>
      <c r="AH20" s="689">
        <f>GEntry!BX10</f>
        <v>33</v>
      </c>
      <c r="AI20" s="689">
        <f>GEntry!BY10</f>
        <v>33</v>
      </c>
      <c r="AJ20" s="689">
        <f>GEntry!CE10</f>
        <v>42</v>
      </c>
      <c r="AK20" s="689">
        <f>GEntry!AN10</f>
        <v>0</v>
      </c>
      <c r="AL20" s="1075">
        <f>GEntry!B10</f>
        <v>83</v>
      </c>
      <c r="AM20" s="1075">
        <f>GEntry!C10</f>
        <v>35</v>
      </c>
      <c r="AN20" s="689">
        <f>GEntry!D10</f>
        <v>100</v>
      </c>
      <c r="AO20" s="689">
        <f>GEntry!E10</f>
        <v>0</v>
      </c>
      <c r="AP20" s="689">
        <f>GEntry!F10</f>
        <v>25</v>
      </c>
      <c r="AQ20" s="689">
        <f>GEntry!H10</f>
        <v>0</v>
      </c>
      <c r="AR20" s="689">
        <f>GEntry!I10</f>
        <v>0</v>
      </c>
      <c r="AS20" s="689">
        <f>GEntry!K10</f>
        <v>0</v>
      </c>
      <c r="AT20" s="689">
        <f>GEntry!L10</f>
        <v>0</v>
      </c>
      <c r="AU20" s="689"/>
      <c r="AV20" s="689">
        <f>GEntry!BL10</f>
        <v>11</v>
      </c>
      <c r="AW20" s="689">
        <f>GEntry!N10</f>
        <v>26</v>
      </c>
      <c r="AX20" s="689">
        <f>GEntry!M10</f>
        <v>17</v>
      </c>
      <c r="AY20" s="689">
        <f>GEntry!CV10</f>
        <v>33</v>
      </c>
      <c r="AZ20" s="689">
        <f>GEntry!DA10</f>
        <v>12</v>
      </c>
      <c r="BA20" s="689">
        <f>GEntry!CZ10</f>
        <v>25</v>
      </c>
      <c r="BB20" s="689">
        <f>GEntry!BM10</f>
        <v>15</v>
      </c>
      <c r="BC20" s="689">
        <f>GEntry!BQ10</f>
        <v>28</v>
      </c>
      <c r="BD20" s="689">
        <f>GEntry!AD10</f>
        <v>0</v>
      </c>
      <c r="BE20" s="689">
        <f>GEntry!AE10</f>
        <v>0</v>
      </c>
      <c r="BF20" s="689">
        <f>GEntry!AF10</f>
        <v>0</v>
      </c>
      <c r="BG20" s="689">
        <f>GEntry!AJ10</f>
        <v>320</v>
      </c>
      <c r="BH20" s="689">
        <f>GEntry!AI10</f>
        <v>320</v>
      </c>
      <c r="BI20" s="689">
        <f>GEntry!AH10</f>
        <v>206</v>
      </c>
      <c r="BJ20" s="689">
        <f>GEntry!V10</f>
        <v>8</v>
      </c>
      <c r="BK20" s="689">
        <f>GEntry!AM10</f>
        <v>135</v>
      </c>
      <c r="BL20" s="689">
        <f>GEntry!AG10</f>
        <v>36</v>
      </c>
      <c r="BM20" s="689">
        <f>GEntry!AL10</f>
        <v>53</v>
      </c>
      <c r="BN20" s="689">
        <f>GEntry!CU10</f>
        <v>0</v>
      </c>
      <c r="BO20" s="690">
        <f>GEntry!CX10</f>
        <v>51</v>
      </c>
      <c r="BP20" s="690">
        <f>GEntry!CO10</f>
        <v>0</v>
      </c>
      <c r="BQ20" s="690">
        <f>GEntry!Q10</f>
        <v>30</v>
      </c>
      <c r="BR20" s="689">
        <f>GEntry!CH10</f>
        <v>8</v>
      </c>
      <c r="BS20" s="690">
        <f>GEntry!BR10</f>
        <v>21</v>
      </c>
      <c r="BT20" s="690">
        <f>GEntry!BS10</f>
        <v>10</v>
      </c>
      <c r="BU20" s="690">
        <f>GEntry!BT10</f>
        <v>33</v>
      </c>
      <c r="BV20" s="690">
        <f>GEntry!BU10</f>
        <v>15</v>
      </c>
      <c r="BW20" s="680">
        <f>GEntry!BP10</f>
        <v>136</v>
      </c>
      <c r="BX20" s="690">
        <f>GEntry!AS10</f>
        <v>102</v>
      </c>
      <c r="BY20" s="690">
        <f>GEntry!CG10</f>
        <v>0</v>
      </c>
      <c r="BZ20" s="690">
        <f>GEntry!BO10</f>
        <v>22</v>
      </c>
      <c r="CA20" s="1077">
        <f>GEntry!DG10</f>
        <v>0</v>
      </c>
      <c r="CB20" s="690">
        <f>GEntry!AU10</f>
        <v>43</v>
      </c>
      <c r="CC20" s="690">
        <f>GEntry!AV10</f>
        <v>41</v>
      </c>
      <c r="CD20" s="690">
        <f>GEntry!BG10</f>
        <v>31</v>
      </c>
      <c r="CE20" s="690">
        <f>GEntry!CW10</f>
        <v>30</v>
      </c>
      <c r="CF20" s="690">
        <f>GEntry!DF10</f>
        <v>110</v>
      </c>
      <c r="CG20" s="690">
        <f>GEntry!AW10</f>
        <v>0</v>
      </c>
      <c r="CH20" s="690">
        <f>GEntry!AX10</f>
        <v>60</v>
      </c>
      <c r="CI20" s="690">
        <f>GEntry!AY10</f>
        <v>10</v>
      </c>
      <c r="CJ20" s="690">
        <f>GEntry!BA10</f>
        <v>0</v>
      </c>
      <c r="CK20" s="690">
        <f>GEntry!BB10</f>
        <v>221</v>
      </c>
      <c r="CL20" s="690">
        <f>GEntry!BC10</f>
        <v>0</v>
      </c>
      <c r="CM20" s="690">
        <f>GEntry!BD10</f>
        <v>31</v>
      </c>
      <c r="CN20" s="690">
        <f>GEntry!BE10</f>
        <v>9</v>
      </c>
      <c r="CO20" s="690">
        <f>GEntry!BI10</f>
        <v>325</v>
      </c>
      <c r="CP20" s="690">
        <f>GEntry!BH10</f>
        <v>8</v>
      </c>
      <c r="CQ20" s="911">
        <f>GEntry!BF10</f>
        <v>0</v>
      </c>
      <c r="CR20" s="911">
        <f>GEntry!P10</f>
        <v>197</v>
      </c>
      <c r="CS20" s="911">
        <f>GEntry!U10</f>
        <v>95</v>
      </c>
      <c r="CT20" s="690">
        <f>GEntry!DI10</f>
        <v>301</v>
      </c>
      <c r="CU20" s="911">
        <f>GEntry!DJ10</f>
        <v>98</v>
      </c>
      <c r="CV20" s="911">
        <f>GEntry!DK10</f>
        <v>48</v>
      </c>
      <c r="CW20" s="690">
        <f>GEntry!DL10</f>
        <v>93</v>
      </c>
      <c r="CX20" s="911">
        <f>GEntry!DM10</f>
        <v>88</v>
      </c>
      <c r="CY20" s="911">
        <f>GEntry!G10</f>
        <v>0</v>
      </c>
      <c r="CZ20" s="911">
        <f>GEntry!DN10</f>
        <v>21</v>
      </c>
      <c r="DA20" s="690">
        <f>GEntry!DO10</f>
        <v>34</v>
      </c>
      <c r="DB20" s="1530">
        <f>GEntry!DP10</f>
        <v>135</v>
      </c>
      <c r="DC20" s="1520">
        <f>GEntry!DQ10</f>
        <v>401</v>
      </c>
      <c r="DD20" s="1617">
        <f>GEntry!DR10</f>
        <v>49</v>
      </c>
      <c r="DE20" s="1616">
        <f>GEntry!CI10</f>
        <v>105</v>
      </c>
      <c r="DF20" s="1700">
        <f>GEntry!O10</f>
        <v>84</v>
      </c>
      <c r="DG20" s="1694">
        <f>GEntry!CJ10</f>
        <v>1</v>
      </c>
      <c r="DH20" s="1847">
        <f>GEntry!DS10</f>
        <v>16</v>
      </c>
      <c r="DI20" s="1848">
        <f>GEntry!CK10</f>
        <v>36</v>
      </c>
      <c r="DJ20" s="1859">
        <f>GEntry!CL10</f>
        <v>55</v>
      </c>
      <c r="DK20" s="2176">
        <f>GEntry!CA10</f>
        <v>17</v>
      </c>
      <c r="DL20" s="2396">
        <f>GEntry!CB10</f>
        <v>38</v>
      </c>
      <c r="DM20" s="2177">
        <f>GEntry!DT10</f>
        <v>20</v>
      </c>
      <c r="DN20" s="2495">
        <f>GEntry!BJ10</f>
        <v>0</v>
      </c>
      <c r="DO20" s="2496">
        <f>GEntry!CS10</f>
        <v>5</v>
      </c>
      <c r="DP20" s="2603">
        <f>GEntry!AT10</f>
        <v>1</v>
      </c>
      <c r="DQ20" s="2642">
        <f>GEntry!CC10</f>
        <v>35</v>
      </c>
      <c r="DR20" s="2667">
        <f>GEntry!DU10</f>
        <v>108</v>
      </c>
      <c r="DS20" s="2669">
        <f>GEntry!AZ10</f>
        <v>0</v>
      </c>
      <c r="DT20" s="2734">
        <f>GEntry!DV10</f>
        <v>35</v>
      </c>
      <c r="DU20" s="2736">
        <f>GEntry!DW10</f>
        <v>5</v>
      </c>
      <c r="DV20" s="3114">
        <f>GEntry!DX10</f>
        <v>75</v>
      </c>
      <c r="DW20" s="3114">
        <f>GEntry!DY10</f>
        <v>55</v>
      </c>
      <c r="DX20" s="4684">
        <f>GEntry!AK10</f>
        <v>0</v>
      </c>
      <c r="DY20" s="915"/>
      <c r="DZ20" s="698">
        <f>GEntry!EZ10</f>
        <v>914</v>
      </c>
      <c r="EA20" s="695">
        <f>GEntry!EX10</f>
        <v>0</v>
      </c>
      <c r="EB20" s="695">
        <f>GEntry!FA10</f>
        <v>165</v>
      </c>
      <c r="EC20" s="695">
        <f>GEntry!EC10</f>
        <v>0</v>
      </c>
      <c r="ED20" s="695">
        <f>GEntry!ED10</f>
        <v>16</v>
      </c>
      <c r="EE20" s="695">
        <f>GEntry!EI10</f>
        <v>227</v>
      </c>
      <c r="EF20" s="695">
        <f>GEntry!EB10</f>
        <v>0</v>
      </c>
      <c r="EG20" s="695">
        <f>GEntry!EG10</f>
        <v>0</v>
      </c>
      <c r="EH20" s="695">
        <f>GEntry!EH10</f>
        <v>21</v>
      </c>
      <c r="EI20" s="695">
        <f>GEntry!EW10</f>
        <v>55</v>
      </c>
      <c r="EJ20" s="695">
        <f>GEntry!EV10</f>
        <v>0</v>
      </c>
      <c r="EK20" s="695">
        <f>GEntry!ES10</f>
        <v>86</v>
      </c>
      <c r="EL20" s="695">
        <f>GEntry!ET10</f>
        <v>20</v>
      </c>
      <c r="EM20" s="695">
        <f>GEntry!EP10</f>
        <v>64</v>
      </c>
      <c r="EN20" s="695">
        <f>GEntry!EQ10</f>
        <v>0</v>
      </c>
      <c r="EO20" s="695">
        <f>GEntry!FH10</f>
        <v>0</v>
      </c>
      <c r="EP20" s="695">
        <f>GEntry!FG10</f>
        <v>0</v>
      </c>
      <c r="EQ20" s="695">
        <f>GEntry!FI10</f>
        <v>32</v>
      </c>
      <c r="ER20" s="695">
        <f>GEntry!FS10</f>
        <v>0</v>
      </c>
      <c r="ES20" s="695">
        <f>GEntry!GB10</f>
        <v>51</v>
      </c>
      <c r="ET20" s="695">
        <f>GEntry!FW10</f>
        <v>0</v>
      </c>
      <c r="EU20" s="695">
        <f>GEntry!FX10</f>
        <v>0</v>
      </c>
      <c r="EV20" s="695">
        <f>GEntry!FY10</f>
        <v>24</v>
      </c>
      <c r="EW20" s="695">
        <f>GEntry!GA10</f>
        <v>8</v>
      </c>
      <c r="EX20" s="695">
        <f>GEntry!FZ10</f>
        <v>33</v>
      </c>
      <c r="EY20" s="695">
        <f>GEntry!FT10</f>
        <v>22</v>
      </c>
      <c r="EZ20" s="695">
        <f>GEntry!FU10</f>
        <v>0</v>
      </c>
      <c r="FA20" s="695">
        <f>GEntry!FV10</f>
        <v>11</v>
      </c>
      <c r="FB20" s="1073">
        <f>GEntry!FD10</f>
        <v>0</v>
      </c>
      <c r="FC20" s="1073">
        <f>GEntry!FE10</f>
        <v>0</v>
      </c>
      <c r="FD20" s="1073">
        <f>GEntry!FF10</f>
        <v>250</v>
      </c>
      <c r="FE20" s="695">
        <f>GEntry!GF10</f>
        <v>0</v>
      </c>
      <c r="FF20" s="696">
        <f>GEntry!GG10</f>
        <v>0</v>
      </c>
      <c r="FG20" s="696">
        <f>GEntry!FK10</f>
        <v>175</v>
      </c>
      <c r="FH20" s="696">
        <f>GEntry!FL10</f>
        <v>0</v>
      </c>
      <c r="FI20" s="696">
        <f>GEntry!FM10</f>
        <v>0</v>
      </c>
      <c r="FJ20" s="696">
        <f>GEntry!FN10</f>
        <v>213</v>
      </c>
      <c r="FK20" s="696">
        <f>GEntry!ER10</f>
        <v>0</v>
      </c>
      <c r="FL20" s="696">
        <f>GEntry!EU10</f>
        <v>97</v>
      </c>
      <c r="FM20" s="694">
        <f>GEntry!FO10</f>
        <v>150</v>
      </c>
      <c r="FN20" s="696">
        <f>GEntry!FP10</f>
        <v>0</v>
      </c>
      <c r="FO20" s="695">
        <f>GEntry!FQ10</f>
        <v>318</v>
      </c>
      <c r="FP20" s="1548">
        <f>GEntry!EJ10</f>
        <v>0</v>
      </c>
      <c r="FQ20" s="1550">
        <f>GEntry!GC10</f>
        <v>169</v>
      </c>
      <c r="FR20" s="1553">
        <f>GEntry!GD10</f>
        <v>50</v>
      </c>
      <c r="FS20" s="1704">
        <f>GEntry!EY10</f>
        <v>71</v>
      </c>
      <c r="FT20" s="1779">
        <f>GEntry!GH10</f>
        <v>56</v>
      </c>
      <c r="FU20" s="1781">
        <f>GEntry!FR10</f>
        <v>0</v>
      </c>
      <c r="FV20" s="1903">
        <f>GEntry!GI10</f>
        <v>1</v>
      </c>
      <c r="FW20" s="2214">
        <f>GEntry!GE10</f>
        <v>55</v>
      </c>
      <c r="FX20" s="695">
        <f>GEntry!FB10</f>
        <v>600</v>
      </c>
      <c r="FY20" s="2585">
        <f>GEntry!EN10</f>
        <v>219</v>
      </c>
      <c r="FZ20" s="2624">
        <f>GEntry!EO10</f>
        <v>0</v>
      </c>
      <c r="GA20" s="2626">
        <f>GEntry!EM10</f>
        <v>90</v>
      </c>
      <c r="GB20" s="3134">
        <f>GEntry!FJ10</f>
        <v>0</v>
      </c>
      <c r="GC20" s="3179">
        <f>GEntry!EK10</f>
        <v>10</v>
      </c>
      <c r="GD20" s="2585">
        <f>GEntry!GJ10</f>
        <v>34</v>
      </c>
      <c r="GE20" s="4736">
        <f>GEntry!EF10</f>
        <v>0</v>
      </c>
      <c r="GF20" s="4737">
        <f>GEntry!EE10</f>
        <v>0</v>
      </c>
      <c r="GG20" s="918"/>
      <c r="GH20" s="841">
        <f t="shared" si="12"/>
        <v>6915</v>
      </c>
      <c r="GI20" s="840">
        <f t="shared" si="8"/>
        <v>4307</v>
      </c>
      <c r="GJ20" s="837">
        <f t="shared" si="9"/>
        <v>11222</v>
      </c>
      <c r="GK20" s="583">
        <f t="shared" si="0"/>
        <v>3622</v>
      </c>
      <c r="GL20" s="583">
        <f t="shared" si="1"/>
        <v>914</v>
      </c>
      <c r="GM20" s="583">
        <f t="shared" si="13"/>
        <v>1900</v>
      </c>
      <c r="GN20" s="583">
        <f t="shared" si="10"/>
        <v>955</v>
      </c>
      <c r="GO20" s="583">
        <f t="shared" si="2"/>
        <v>1932</v>
      </c>
      <c r="GP20" s="583">
        <f t="shared" si="3"/>
        <v>850</v>
      </c>
      <c r="GQ20" s="583">
        <f t="shared" si="4"/>
        <v>118</v>
      </c>
      <c r="GR20" s="583">
        <f t="shared" si="5"/>
        <v>440</v>
      </c>
      <c r="GS20" s="583">
        <f t="shared" si="11"/>
        <v>550</v>
      </c>
      <c r="GT20" s="583">
        <f t="shared" si="6"/>
        <v>136</v>
      </c>
      <c r="GU20" s="836">
        <f t="shared" si="7"/>
        <v>18</v>
      </c>
      <c r="GV20" s="835">
        <f>FWise!M12</f>
        <v>967.65374999999949</v>
      </c>
      <c r="GW20" s="2510">
        <f>GEntry!GN10</f>
        <v>94.19</v>
      </c>
      <c r="GX20" s="12"/>
      <c r="GY20" s="12"/>
      <c r="GZ20" s="12"/>
      <c r="HI20" s="132"/>
      <c r="HJ20" s="13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32"/>
      <c r="ID20" s="13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12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</row>
    <row r="21" spans="1:278" ht="20.25" customHeight="1" thickBot="1">
      <c r="A21" s="542">
        <v>0.33333333333333331</v>
      </c>
      <c r="B21" s="692">
        <f>GEntry!W11</f>
        <v>0</v>
      </c>
      <c r="C21" s="689">
        <f>GEntry!X11</f>
        <v>0</v>
      </c>
      <c r="D21" s="689">
        <f>GEntry!Y11</f>
        <v>0</v>
      </c>
      <c r="E21" s="689">
        <f>GEntry!Z11</f>
        <v>180</v>
      </c>
      <c r="F21" s="690">
        <f>GEntry!AB11</f>
        <v>200</v>
      </c>
      <c r="G21" s="690">
        <f>GEntry!BZ11</f>
        <v>84</v>
      </c>
      <c r="H21" s="689">
        <f>GEntry!CT11</f>
        <v>0</v>
      </c>
      <c r="I21" s="689">
        <f>GEntry!AP11</f>
        <v>410</v>
      </c>
      <c r="J21" s="689">
        <f>GEntry!AR11</f>
        <v>320</v>
      </c>
      <c r="K21" s="689"/>
      <c r="L21" s="689">
        <f>GEntry!AO11</f>
        <v>0</v>
      </c>
      <c r="M21" s="689">
        <f>GEntry!AQ11</f>
        <v>225</v>
      </c>
      <c r="N21" s="689">
        <f>GEntry!CQ11</f>
        <v>0</v>
      </c>
      <c r="O21" s="689">
        <f>GEntry!CR11</f>
        <v>8</v>
      </c>
      <c r="P21" s="689">
        <f>GEntry!CM11</f>
        <v>0</v>
      </c>
      <c r="Q21" s="689">
        <f>GEntry!DD11</f>
        <v>30</v>
      </c>
      <c r="R21" s="689">
        <f>GEntry!T11</f>
        <v>0</v>
      </c>
      <c r="S21" s="689">
        <f>GEntry!R11</f>
        <v>0</v>
      </c>
      <c r="T21" s="689">
        <f>GEntry!S11</f>
        <v>0</v>
      </c>
      <c r="U21" s="689">
        <f>GEntry!CD11</f>
        <v>8</v>
      </c>
      <c r="V21" s="690">
        <f>GEntry!CY11</f>
        <v>8</v>
      </c>
      <c r="W21" s="689">
        <f>GEntry!CF11</f>
        <v>48</v>
      </c>
      <c r="X21" s="689">
        <f>GEntry!CP11</f>
        <v>0</v>
      </c>
      <c r="Y21" s="689">
        <f>GEntry!DC11</f>
        <v>0</v>
      </c>
      <c r="Z21" s="689">
        <f>GEntry!CN11</f>
        <v>0</v>
      </c>
      <c r="AA21" s="689">
        <f>GEntry!DB11</f>
        <v>0</v>
      </c>
      <c r="AB21" s="689">
        <f>GEntry!DH11</f>
        <v>35</v>
      </c>
      <c r="AC21" s="689">
        <f>GEntry!DE11</f>
        <v>55</v>
      </c>
      <c r="AD21" s="689">
        <f>GEntry!BK11</f>
        <v>35</v>
      </c>
      <c r="AE21" s="689">
        <f>GEntry!BN11</f>
        <v>19</v>
      </c>
      <c r="AF21" s="689">
        <f>GEntry!BV11</f>
        <v>25</v>
      </c>
      <c r="AG21" s="689">
        <f>GEntry!BW11</f>
        <v>20</v>
      </c>
      <c r="AH21" s="689">
        <f>GEntry!BX11</f>
        <v>33</v>
      </c>
      <c r="AI21" s="689">
        <f>GEntry!BY11</f>
        <v>32</v>
      </c>
      <c r="AJ21" s="689">
        <f>GEntry!CE11</f>
        <v>50</v>
      </c>
      <c r="AK21" s="689">
        <f>GEntry!AN11</f>
        <v>0</v>
      </c>
      <c r="AL21" s="1075">
        <f>GEntry!B11</f>
        <v>83</v>
      </c>
      <c r="AM21" s="1075">
        <f>GEntry!C11</f>
        <v>35</v>
      </c>
      <c r="AN21" s="689">
        <f>GEntry!D11</f>
        <v>100</v>
      </c>
      <c r="AO21" s="689">
        <f>GEntry!E11</f>
        <v>0</v>
      </c>
      <c r="AP21" s="689">
        <f>GEntry!F11</f>
        <v>25</v>
      </c>
      <c r="AQ21" s="689">
        <f>GEntry!H11</f>
        <v>0</v>
      </c>
      <c r="AR21" s="689">
        <f>GEntry!I11</f>
        <v>0</v>
      </c>
      <c r="AS21" s="689">
        <f>GEntry!K11</f>
        <v>0</v>
      </c>
      <c r="AT21" s="689">
        <f>GEntry!L11</f>
        <v>0</v>
      </c>
      <c r="AU21" s="689"/>
      <c r="AV21" s="689">
        <f>GEntry!BL11</f>
        <v>11</v>
      </c>
      <c r="AW21" s="689">
        <f>GEntry!N11</f>
        <v>26</v>
      </c>
      <c r="AX21" s="689">
        <f>GEntry!M11</f>
        <v>17</v>
      </c>
      <c r="AY21" s="689">
        <f>GEntry!CV11</f>
        <v>33</v>
      </c>
      <c r="AZ21" s="689">
        <f>GEntry!DA11</f>
        <v>16</v>
      </c>
      <c r="BA21" s="689">
        <f>GEntry!CZ11</f>
        <v>25</v>
      </c>
      <c r="BB21" s="689">
        <f>GEntry!BM11</f>
        <v>15</v>
      </c>
      <c r="BC21" s="689">
        <f>GEntry!BQ11</f>
        <v>4</v>
      </c>
      <c r="BD21" s="689">
        <f>GEntry!AD11</f>
        <v>0</v>
      </c>
      <c r="BE21" s="689">
        <f>GEntry!AE11</f>
        <v>0</v>
      </c>
      <c r="BF21" s="689">
        <f>GEntry!AF11</f>
        <v>0</v>
      </c>
      <c r="BG21" s="689">
        <f>GEntry!AJ11</f>
        <v>320</v>
      </c>
      <c r="BH21" s="689">
        <f>GEntry!AI11</f>
        <v>320</v>
      </c>
      <c r="BI21" s="689">
        <f>GEntry!AH11</f>
        <v>206</v>
      </c>
      <c r="BJ21" s="689">
        <f>GEntry!V11</f>
        <v>8</v>
      </c>
      <c r="BK21" s="689">
        <f>GEntry!AM11</f>
        <v>134</v>
      </c>
      <c r="BL21" s="689">
        <f>GEntry!AG11</f>
        <v>39</v>
      </c>
      <c r="BM21" s="689">
        <f>GEntry!AL11</f>
        <v>49</v>
      </c>
      <c r="BN21" s="689">
        <f>GEntry!CU11</f>
        <v>0</v>
      </c>
      <c r="BO21" s="690">
        <f>GEntry!CX11</f>
        <v>51</v>
      </c>
      <c r="BP21" s="690">
        <f>GEntry!CO11</f>
        <v>0</v>
      </c>
      <c r="BQ21" s="690">
        <f>GEntry!Q11</f>
        <v>30</v>
      </c>
      <c r="BR21" s="689">
        <f>GEntry!CH11</f>
        <v>8</v>
      </c>
      <c r="BS21" s="690">
        <f>GEntry!BR11</f>
        <v>21</v>
      </c>
      <c r="BT21" s="690">
        <f>GEntry!BS11</f>
        <v>10</v>
      </c>
      <c r="BU21" s="690">
        <f>GEntry!BT11</f>
        <v>33</v>
      </c>
      <c r="BV21" s="690">
        <f>GEntry!BU11</f>
        <v>20</v>
      </c>
      <c r="BW21" s="680">
        <f>GEntry!BP11</f>
        <v>142</v>
      </c>
      <c r="BX21" s="690">
        <f>GEntry!AS11</f>
        <v>95</v>
      </c>
      <c r="BY21" s="690">
        <f>GEntry!CG11</f>
        <v>0</v>
      </c>
      <c r="BZ21" s="690">
        <f>GEntry!BO11</f>
        <v>22</v>
      </c>
      <c r="CA21" s="1077">
        <f>GEntry!DG11</f>
        <v>0</v>
      </c>
      <c r="CB21" s="690">
        <f>GEntry!AU11</f>
        <v>43</v>
      </c>
      <c r="CC21" s="690">
        <f>GEntry!AV11</f>
        <v>41</v>
      </c>
      <c r="CD21" s="690">
        <f>GEntry!BG11</f>
        <v>31</v>
      </c>
      <c r="CE21" s="690">
        <f>GEntry!CW11</f>
        <v>30</v>
      </c>
      <c r="CF21" s="690">
        <f>GEntry!DF11</f>
        <v>110</v>
      </c>
      <c r="CG21" s="690">
        <f>GEntry!AW11</f>
        <v>0</v>
      </c>
      <c r="CH21" s="690">
        <f>GEntry!AX11</f>
        <v>59</v>
      </c>
      <c r="CI21" s="690">
        <f>GEntry!AY11</f>
        <v>10</v>
      </c>
      <c r="CJ21" s="690">
        <f>GEntry!BA11</f>
        <v>0</v>
      </c>
      <c r="CK21" s="690">
        <f>GEntry!BB11</f>
        <v>220</v>
      </c>
      <c r="CL21" s="690">
        <f>GEntry!BC11</f>
        <v>0</v>
      </c>
      <c r="CM21" s="690">
        <f>GEntry!BD11</f>
        <v>31</v>
      </c>
      <c r="CN21" s="690">
        <f>GEntry!BE11</f>
        <v>9</v>
      </c>
      <c r="CO21" s="690">
        <f>GEntry!BI11</f>
        <v>300</v>
      </c>
      <c r="CP21" s="690">
        <f>GEntry!BH11</f>
        <v>8</v>
      </c>
      <c r="CQ21" s="911">
        <f>GEntry!BF11</f>
        <v>0</v>
      </c>
      <c r="CR21" s="911">
        <f>GEntry!P11</f>
        <v>195</v>
      </c>
      <c r="CS21" s="911">
        <f>GEntry!U11</f>
        <v>95</v>
      </c>
      <c r="CT21" s="690">
        <f>GEntry!DI11</f>
        <v>250</v>
      </c>
      <c r="CU21" s="911">
        <f>GEntry!DJ11</f>
        <v>97</v>
      </c>
      <c r="CV21" s="911">
        <f>GEntry!DK11</f>
        <v>48</v>
      </c>
      <c r="CW21" s="690">
        <f>GEntry!DL11</f>
        <v>93</v>
      </c>
      <c r="CX21" s="911">
        <f>GEntry!DM11</f>
        <v>89</v>
      </c>
      <c r="CY21" s="911">
        <f>GEntry!G11</f>
        <v>0</v>
      </c>
      <c r="CZ21" s="911">
        <f>GEntry!DN11</f>
        <v>21</v>
      </c>
      <c r="DA21" s="690">
        <f>GEntry!DO11</f>
        <v>34</v>
      </c>
      <c r="DB21" s="1530">
        <f>GEntry!DP11</f>
        <v>118</v>
      </c>
      <c r="DC21" s="1520">
        <f>GEntry!DQ11</f>
        <v>400</v>
      </c>
      <c r="DD21" s="1617">
        <f>GEntry!DR11</f>
        <v>49</v>
      </c>
      <c r="DE21" s="1616">
        <f>GEntry!CI11</f>
        <v>105</v>
      </c>
      <c r="DF21" s="1700">
        <f>GEntry!O11</f>
        <v>70</v>
      </c>
      <c r="DG21" s="1694">
        <f>GEntry!CJ11</f>
        <v>1</v>
      </c>
      <c r="DH21" s="1847">
        <f>GEntry!DS11</f>
        <v>50</v>
      </c>
      <c r="DI21" s="1848">
        <f>GEntry!CK11</f>
        <v>36</v>
      </c>
      <c r="DJ21" s="1859">
        <f>GEntry!CL11</f>
        <v>55</v>
      </c>
      <c r="DK21" s="2176">
        <f>GEntry!CA11</f>
        <v>17</v>
      </c>
      <c r="DL21" s="2396">
        <f>GEntry!CB11</f>
        <v>39</v>
      </c>
      <c r="DM21" s="2177">
        <f>GEntry!DT11</f>
        <v>20</v>
      </c>
      <c r="DN21" s="2495">
        <f>GEntry!BJ11</f>
        <v>0</v>
      </c>
      <c r="DO21" s="2496">
        <f>GEntry!CS11</f>
        <v>17</v>
      </c>
      <c r="DP21" s="2603">
        <f>GEntry!AT11</f>
        <v>10</v>
      </c>
      <c r="DQ21" s="2642">
        <f>GEntry!CC11</f>
        <v>35</v>
      </c>
      <c r="DR21" s="2667">
        <f>GEntry!DU11</f>
        <v>108</v>
      </c>
      <c r="DS21" s="2669">
        <f>GEntry!AZ11</f>
        <v>0</v>
      </c>
      <c r="DT21" s="2734">
        <f>GEntry!DV11</f>
        <v>35</v>
      </c>
      <c r="DU21" s="2736">
        <f>GEntry!DW11</f>
        <v>8</v>
      </c>
      <c r="DV21" s="3114">
        <f>GEntry!DX11</f>
        <v>71</v>
      </c>
      <c r="DW21" s="3114">
        <f>GEntry!DY11</f>
        <v>55</v>
      </c>
      <c r="DX21" s="4684">
        <f>GEntry!AK11</f>
        <v>0</v>
      </c>
      <c r="DY21" s="915"/>
      <c r="DZ21" s="698">
        <f>GEntry!EZ11</f>
        <v>914</v>
      </c>
      <c r="EA21" s="695">
        <f>GEntry!EX11</f>
        <v>0</v>
      </c>
      <c r="EB21" s="695">
        <f>GEntry!FA11</f>
        <v>160</v>
      </c>
      <c r="EC21" s="695">
        <f>GEntry!EC11</f>
        <v>0</v>
      </c>
      <c r="ED21" s="695">
        <f>GEntry!ED11</f>
        <v>16</v>
      </c>
      <c r="EE21" s="695">
        <f>GEntry!EI11</f>
        <v>237</v>
      </c>
      <c r="EF21" s="695">
        <f>GEntry!EB11</f>
        <v>0</v>
      </c>
      <c r="EG21" s="695">
        <f>GEntry!EG11</f>
        <v>0</v>
      </c>
      <c r="EH21" s="695">
        <f>GEntry!EH11</f>
        <v>21</v>
      </c>
      <c r="EI21" s="695">
        <f>GEntry!EW11</f>
        <v>60</v>
      </c>
      <c r="EJ21" s="695">
        <f>GEntry!EV11</f>
        <v>0</v>
      </c>
      <c r="EK21" s="695">
        <f>GEntry!ES11</f>
        <v>87</v>
      </c>
      <c r="EL21" s="695">
        <f>GEntry!ET11</f>
        <v>19</v>
      </c>
      <c r="EM21" s="695">
        <f>GEntry!EP11</f>
        <v>64</v>
      </c>
      <c r="EN21" s="695">
        <f>GEntry!EQ11</f>
        <v>0</v>
      </c>
      <c r="EO21" s="695">
        <f>GEntry!FH11</f>
        <v>0</v>
      </c>
      <c r="EP21" s="695">
        <f>GEntry!FG11</f>
        <v>0</v>
      </c>
      <c r="EQ21" s="695">
        <f>GEntry!FI11</f>
        <v>32</v>
      </c>
      <c r="ER21" s="695">
        <f>GEntry!FS11</f>
        <v>0</v>
      </c>
      <c r="ES21" s="695">
        <f>GEntry!GB11</f>
        <v>51</v>
      </c>
      <c r="ET21" s="695">
        <f>GEntry!FW11</f>
        <v>0</v>
      </c>
      <c r="EU21" s="695">
        <f>GEntry!FX11</f>
        <v>0</v>
      </c>
      <c r="EV21" s="695">
        <f>GEntry!FY11</f>
        <v>32</v>
      </c>
      <c r="EW21" s="695">
        <f>GEntry!GA11</f>
        <v>8</v>
      </c>
      <c r="EX21" s="695">
        <f>GEntry!FZ11</f>
        <v>33</v>
      </c>
      <c r="EY21" s="695">
        <f>GEntry!FT11</f>
        <v>20</v>
      </c>
      <c r="EZ21" s="695">
        <f>GEntry!FU11</f>
        <v>0</v>
      </c>
      <c r="FA21" s="695">
        <f>GEntry!FV11</f>
        <v>11</v>
      </c>
      <c r="FB21" s="1073">
        <f>GEntry!FD11</f>
        <v>0</v>
      </c>
      <c r="FC21" s="1073">
        <f>GEntry!FE11</f>
        <v>0</v>
      </c>
      <c r="FD21" s="1073">
        <f>GEntry!FF11</f>
        <v>250</v>
      </c>
      <c r="FE21" s="695">
        <f>GEntry!GF11</f>
        <v>0</v>
      </c>
      <c r="FF21" s="696">
        <f>GEntry!GG11</f>
        <v>0</v>
      </c>
      <c r="FG21" s="696">
        <f>GEntry!FK11</f>
        <v>179</v>
      </c>
      <c r="FH21" s="696">
        <f>GEntry!FL11</f>
        <v>0</v>
      </c>
      <c r="FI21" s="696">
        <f>GEntry!FM11</f>
        <v>0</v>
      </c>
      <c r="FJ21" s="696">
        <f>GEntry!FN11</f>
        <v>216</v>
      </c>
      <c r="FK21" s="696">
        <f>GEntry!ER11</f>
        <v>0</v>
      </c>
      <c r="FL21" s="696">
        <f>GEntry!EU11</f>
        <v>60</v>
      </c>
      <c r="FM21" s="694">
        <f>GEntry!FO11</f>
        <v>150</v>
      </c>
      <c r="FN21" s="696">
        <f>GEntry!FP11</f>
        <v>0</v>
      </c>
      <c r="FO21" s="695">
        <f>GEntry!FQ11</f>
        <v>312</v>
      </c>
      <c r="FP21" s="1548">
        <f>GEntry!EJ11</f>
        <v>0</v>
      </c>
      <c r="FQ21" s="1550">
        <f>GEntry!GC11</f>
        <v>169</v>
      </c>
      <c r="FR21" s="1553">
        <f>GEntry!GD11</f>
        <v>50</v>
      </c>
      <c r="FS21" s="1704">
        <f>GEntry!EY11</f>
        <v>75</v>
      </c>
      <c r="FT21" s="1779">
        <f>GEntry!GH11</f>
        <v>56</v>
      </c>
      <c r="FU21" s="1781">
        <f>GEntry!FR11</f>
        <v>0</v>
      </c>
      <c r="FV21" s="1903">
        <f>GEntry!GI11</f>
        <v>1</v>
      </c>
      <c r="FW21" s="2214">
        <f>GEntry!GE11</f>
        <v>55</v>
      </c>
      <c r="FX21" s="695">
        <f>GEntry!FB11</f>
        <v>600</v>
      </c>
      <c r="FY21" s="2585">
        <f>GEntry!EN11</f>
        <v>220</v>
      </c>
      <c r="FZ21" s="2624">
        <f>GEntry!EO11</f>
        <v>0</v>
      </c>
      <c r="GA21" s="2626">
        <f>GEntry!EM11</f>
        <v>90</v>
      </c>
      <c r="GB21" s="3134">
        <f>GEntry!FJ11</f>
        <v>1</v>
      </c>
      <c r="GC21" s="3179">
        <f>GEntry!EK11</f>
        <v>47</v>
      </c>
      <c r="GD21" s="2585">
        <f>GEntry!GJ11</f>
        <v>34</v>
      </c>
      <c r="GE21" s="4736">
        <f>GEntry!EF11</f>
        <v>0</v>
      </c>
      <c r="GF21" s="4737">
        <f>GEntry!EE11</f>
        <v>0</v>
      </c>
      <c r="GG21" s="918"/>
      <c r="GH21" s="841">
        <f t="shared" si="12"/>
        <v>6836</v>
      </c>
      <c r="GI21" s="840">
        <f t="shared" si="8"/>
        <v>4330</v>
      </c>
      <c r="GJ21" s="837">
        <f t="shared" si="9"/>
        <v>11166</v>
      </c>
      <c r="GK21" s="583">
        <f t="shared" si="0"/>
        <v>3612</v>
      </c>
      <c r="GL21" s="583">
        <f t="shared" si="1"/>
        <v>914</v>
      </c>
      <c r="GM21" s="583">
        <f t="shared" si="13"/>
        <v>1833</v>
      </c>
      <c r="GN21" s="583">
        <f t="shared" si="10"/>
        <v>864</v>
      </c>
      <c r="GO21" s="583">
        <f t="shared" si="2"/>
        <v>1962</v>
      </c>
      <c r="GP21" s="583">
        <f t="shared" si="3"/>
        <v>850</v>
      </c>
      <c r="GQ21" s="583">
        <f t="shared" si="4"/>
        <v>118</v>
      </c>
      <c r="GR21" s="583">
        <f t="shared" si="5"/>
        <v>453</v>
      </c>
      <c r="GS21" s="583">
        <f t="shared" si="11"/>
        <v>566</v>
      </c>
      <c r="GT21" s="583">
        <f t="shared" si="6"/>
        <v>142</v>
      </c>
      <c r="GU21" s="836">
        <f t="shared" si="7"/>
        <v>68</v>
      </c>
      <c r="GV21" s="835">
        <f>FWise!M13</f>
        <v>1299.4207499999993</v>
      </c>
      <c r="GW21" s="2510">
        <f>GEntry!GN11</f>
        <v>94.22</v>
      </c>
      <c r="GX21" s="12"/>
      <c r="GY21" s="12"/>
      <c r="GZ21" s="12"/>
      <c r="HI21" s="134"/>
      <c r="HJ21" s="134"/>
      <c r="IC21" s="134"/>
      <c r="ID21" s="134"/>
    </row>
    <row r="22" spans="1:278" ht="19.5" customHeight="1" thickBot="1">
      <c r="A22" s="542">
        <v>0.375</v>
      </c>
      <c r="B22" s="692">
        <f>GEntry!W12</f>
        <v>0</v>
      </c>
      <c r="C22" s="689">
        <f>GEntry!X12</f>
        <v>0</v>
      </c>
      <c r="D22" s="689">
        <f>GEntry!Y12</f>
        <v>0</v>
      </c>
      <c r="E22" s="689">
        <f>GEntry!Z12</f>
        <v>180</v>
      </c>
      <c r="F22" s="690">
        <f>GEntry!AB12</f>
        <v>0</v>
      </c>
      <c r="G22" s="690">
        <f>GEntry!BZ12</f>
        <v>83</v>
      </c>
      <c r="H22" s="689">
        <f>GEntry!CT12</f>
        <v>0</v>
      </c>
      <c r="I22" s="689">
        <f>GEntry!AP12</f>
        <v>406</v>
      </c>
      <c r="J22" s="689">
        <f>GEntry!AR12</f>
        <v>320</v>
      </c>
      <c r="K22" s="689"/>
      <c r="L22" s="689">
        <f>GEntry!AO12</f>
        <v>0</v>
      </c>
      <c r="M22" s="689">
        <f>GEntry!AQ12</f>
        <v>225</v>
      </c>
      <c r="N22" s="689">
        <f>GEntry!CQ12</f>
        <v>0</v>
      </c>
      <c r="O22" s="689">
        <f>GEntry!CR12</f>
        <v>7</v>
      </c>
      <c r="P22" s="689">
        <f>GEntry!CM12</f>
        <v>0</v>
      </c>
      <c r="Q22" s="689">
        <f>GEntry!DD12</f>
        <v>30</v>
      </c>
      <c r="R22" s="689">
        <f>GEntry!T12</f>
        <v>0</v>
      </c>
      <c r="S22" s="689">
        <f>GEntry!R12</f>
        <v>0</v>
      </c>
      <c r="T22" s="689">
        <f>GEntry!S12</f>
        <v>0</v>
      </c>
      <c r="U22" s="689">
        <f>GEntry!CD12</f>
        <v>8</v>
      </c>
      <c r="V22" s="690">
        <f>GEntry!CY12</f>
        <v>8</v>
      </c>
      <c r="W22" s="689">
        <f>GEntry!CF12</f>
        <v>48</v>
      </c>
      <c r="X22" s="689">
        <f>GEntry!CP12</f>
        <v>0</v>
      </c>
      <c r="Y22" s="689">
        <f>GEntry!DC12</f>
        <v>0</v>
      </c>
      <c r="Z22" s="689">
        <f>GEntry!CN12</f>
        <v>0</v>
      </c>
      <c r="AA22" s="689">
        <f>GEntry!DB12</f>
        <v>0</v>
      </c>
      <c r="AB22" s="689">
        <f>GEntry!DH12</f>
        <v>35</v>
      </c>
      <c r="AC22" s="689">
        <f>GEntry!DE12</f>
        <v>55</v>
      </c>
      <c r="AD22" s="689">
        <f>GEntry!BK12</f>
        <v>35</v>
      </c>
      <c r="AE22" s="689">
        <f>GEntry!BN12</f>
        <v>19</v>
      </c>
      <c r="AF22" s="689">
        <f>GEntry!BV12</f>
        <v>25</v>
      </c>
      <c r="AG22" s="689">
        <f>GEntry!BW12</f>
        <v>27</v>
      </c>
      <c r="AH22" s="689">
        <f>GEntry!BX12</f>
        <v>33</v>
      </c>
      <c r="AI22" s="689">
        <f>GEntry!BY12</f>
        <v>30</v>
      </c>
      <c r="AJ22" s="689">
        <f>GEntry!CE12</f>
        <v>50</v>
      </c>
      <c r="AK22" s="689">
        <f>GEntry!AN12</f>
        <v>0</v>
      </c>
      <c r="AL22" s="1075">
        <f>GEntry!B12</f>
        <v>82</v>
      </c>
      <c r="AM22" s="1075">
        <f>GEntry!C12</f>
        <v>35</v>
      </c>
      <c r="AN22" s="689">
        <f>GEntry!D12</f>
        <v>100</v>
      </c>
      <c r="AO22" s="689">
        <f>GEntry!E12</f>
        <v>0</v>
      </c>
      <c r="AP22" s="689">
        <f>GEntry!F12</f>
        <v>25</v>
      </c>
      <c r="AQ22" s="689">
        <f>GEntry!H12</f>
        <v>0</v>
      </c>
      <c r="AR22" s="689">
        <f>GEntry!I12</f>
        <v>0</v>
      </c>
      <c r="AS22" s="689">
        <f>GEntry!K12</f>
        <v>0</v>
      </c>
      <c r="AT22" s="689">
        <f>GEntry!L12</f>
        <v>0</v>
      </c>
      <c r="AU22" s="689"/>
      <c r="AV22" s="689">
        <f>GEntry!BL12</f>
        <v>11</v>
      </c>
      <c r="AW22" s="689">
        <f>GEntry!N12</f>
        <v>26</v>
      </c>
      <c r="AX22" s="689">
        <f>GEntry!M12</f>
        <v>17</v>
      </c>
      <c r="AY22" s="689">
        <f>GEntry!CV12</f>
        <v>33</v>
      </c>
      <c r="AZ22" s="689">
        <f>GEntry!DA12</f>
        <v>11</v>
      </c>
      <c r="BA22" s="689">
        <f>GEntry!CZ12</f>
        <v>25</v>
      </c>
      <c r="BB22" s="689">
        <f>GEntry!BM12</f>
        <v>15</v>
      </c>
      <c r="BC22" s="689">
        <f>GEntry!BQ12</f>
        <v>3</v>
      </c>
      <c r="BD22" s="689">
        <f>GEntry!AD12</f>
        <v>0</v>
      </c>
      <c r="BE22" s="689">
        <f>GEntry!AE12</f>
        <v>0</v>
      </c>
      <c r="BF22" s="689">
        <f>GEntry!AF12</f>
        <v>0</v>
      </c>
      <c r="BG22" s="689">
        <f>GEntry!AJ12</f>
        <v>320</v>
      </c>
      <c r="BH22" s="689">
        <f>GEntry!AI12</f>
        <v>320</v>
      </c>
      <c r="BI22" s="689">
        <f>GEntry!AH12</f>
        <v>198</v>
      </c>
      <c r="BJ22" s="689">
        <f>GEntry!V12</f>
        <v>8</v>
      </c>
      <c r="BK22" s="689">
        <f>GEntry!AM12</f>
        <v>135</v>
      </c>
      <c r="BL22" s="689">
        <f>GEntry!AG12</f>
        <v>39</v>
      </c>
      <c r="BM22" s="689">
        <f>GEntry!AL12</f>
        <v>49</v>
      </c>
      <c r="BN22" s="689">
        <f>GEntry!CU12</f>
        <v>0</v>
      </c>
      <c r="BO22" s="690">
        <f>GEntry!CX12</f>
        <v>51</v>
      </c>
      <c r="BP22" s="690">
        <f>GEntry!CO12</f>
        <v>0</v>
      </c>
      <c r="BQ22" s="690">
        <f>GEntry!Q12</f>
        <v>30</v>
      </c>
      <c r="BR22" s="689">
        <f>GEntry!CH12</f>
        <v>8</v>
      </c>
      <c r="BS22" s="690">
        <f>GEntry!BR12</f>
        <v>21</v>
      </c>
      <c r="BT22" s="690">
        <f>GEntry!BS12</f>
        <v>10</v>
      </c>
      <c r="BU22" s="690">
        <f>GEntry!BT12</f>
        <v>33</v>
      </c>
      <c r="BV22" s="690">
        <f>GEntry!BU12</f>
        <v>20</v>
      </c>
      <c r="BW22" s="680">
        <f>GEntry!BP12</f>
        <v>154</v>
      </c>
      <c r="BX22" s="690">
        <f>GEntry!AS12</f>
        <v>70</v>
      </c>
      <c r="BY22" s="690">
        <f>GEntry!CG12</f>
        <v>0</v>
      </c>
      <c r="BZ22" s="690">
        <f>GEntry!BO12</f>
        <v>22</v>
      </c>
      <c r="CA22" s="1077">
        <f>GEntry!DG12</f>
        <v>2</v>
      </c>
      <c r="CB22" s="690">
        <f>GEntry!AU12</f>
        <v>44</v>
      </c>
      <c r="CC22" s="690">
        <f>GEntry!AV12</f>
        <v>41</v>
      </c>
      <c r="CD22" s="690">
        <f>GEntry!BG12</f>
        <v>31</v>
      </c>
      <c r="CE22" s="690">
        <f>GEntry!CW12</f>
        <v>30</v>
      </c>
      <c r="CF22" s="690">
        <f>GEntry!DF12</f>
        <v>110</v>
      </c>
      <c r="CG22" s="690">
        <f>GEntry!AW12</f>
        <v>0</v>
      </c>
      <c r="CH22" s="690">
        <f>GEntry!AX12</f>
        <v>60</v>
      </c>
      <c r="CI22" s="690">
        <f>GEntry!AY12</f>
        <v>10</v>
      </c>
      <c r="CJ22" s="690">
        <f>GEntry!BA12</f>
        <v>0</v>
      </c>
      <c r="CK22" s="690">
        <f>GEntry!BB12</f>
        <v>220</v>
      </c>
      <c r="CL22" s="690">
        <f>GEntry!BC12</f>
        <v>0</v>
      </c>
      <c r="CM22" s="690">
        <f>GEntry!BD12</f>
        <v>31</v>
      </c>
      <c r="CN22" s="690">
        <f>GEntry!BE12</f>
        <v>9</v>
      </c>
      <c r="CO22" s="690">
        <f>GEntry!BI12</f>
        <v>300</v>
      </c>
      <c r="CP22" s="690">
        <f>GEntry!BH12</f>
        <v>8</v>
      </c>
      <c r="CQ22" s="911">
        <f>GEntry!BF12</f>
        <v>0</v>
      </c>
      <c r="CR22" s="911">
        <f>GEntry!P12</f>
        <v>196</v>
      </c>
      <c r="CS22" s="911">
        <f>GEntry!U12</f>
        <v>95</v>
      </c>
      <c r="CT22" s="690">
        <f>GEntry!DI12</f>
        <v>246</v>
      </c>
      <c r="CU22" s="911">
        <f>GEntry!DJ12</f>
        <v>98</v>
      </c>
      <c r="CV22" s="911">
        <f>GEntry!DK12</f>
        <v>48</v>
      </c>
      <c r="CW22" s="690">
        <f>GEntry!DL12</f>
        <v>93</v>
      </c>
      <c r="CX22" s="911">
        <f>GEntry!DM12</f>
        <v>90</v>
      </c>
      <c r="CY22" s="911">
        <f>GEntry!G12</f>
        <v>5</v>
      </c>
      <c r="CZ22" s="911">
        <f>GEntry!DN12</f>
        <v>21</v>
      </c>
      <c r="DA22" s="690">
        <f>GEntry!DO12</f>
        <v>34</v>
      </c>
      <c r="DB22" s="1530">
        <f>GEntry!DP12</f>
        <v>120</v>
      </c>
      <c r="DC22" s="1520">
        <f>GEntry!DQ12</f>
        <v>402</v>
      </c>
      <c r="DD22" s="1617">
        <f>GEntry!DR12</f>
        <v>47</v>
      </c>
      <c r="DE22" s="1616">
        <f>GEntry!CI12</f>
        <v>88</v>
      </c>
      <c r="DF22" s="1700">
        <f>GEntry!O12</f>
        <v>69</v>
      </c>
      <c r="DG22" s="1694">
        <f>GEntry!CJ12</f>
        <v>2</v>
      </c>
      <c r="DH22" s="1847">
        <f>GEntry!DS12</f>
        <v>52</v>
      </c>
      <c r="DI22" s="1848">
        <f>GEntry!CK12</f>
        <v>36</v>
      </c>
      <c r="DJ22" s="1859">
        <f>GEntry!CL12</f>
        <v>55</v>
      </c>
      <c r="DK22" s="2176">
        <f>GEntry!CA12</f>
        <v>17</v>
      </c>
      <c r="DL22" s="2396">
        <f>GEntry!CB12</f>
        <v>38</v>
      </c>
      <c r="DM22" s="2177">
        <f>GEntry!DT12</f>
        <v>20</v>
      </c>
      <c r="DN22" s="2495">
        <f>GEntry!BJ12</f>
        <v>0</v>
      </c>
      <c r="DO22" s="2496">
        <f>GEntry!CS12</f>
        <v>17</v>
      </c>
      <c r="DP22" s="2603">
        <f>GEntry!AT12</f>
        <v>21</v>
      </c>
      <c r="DQ22" s="2642">
        <f>GEntry!CC12</f>
        <v>35</v>
      </c>
      <c r="DR22" s="2667">
        <f>GEntry!DU12</f>
        <v>108</v>
      </c>
      <c r="DS22" s="2669">
        <f>GEntry!AZ12</f>
        <v>0</v>
      </c>
      <c r="DT22" s="2734">
        <f>GEntry!DV12</f>
        <v>35</v>
      </c>
      <c r="DU22" s="2736">
        <f>GEntry!DW12</f>
        <v>18</v>
      </c>
      <c r="DV22" s="3114">
        <f>GEntry!DX12</f>
        <v>72</v>
      </c>
      <c r="DW22" s="3114">
        <f>GEntry!DY12</f>
        <v>55</v>
      </c>
      <c r="DX22" s="4684">
        <f>GEntry!AK12</f>
        <v>0</v>
      </c>
      <c r="DY22" s="915"/>
      <c r="DZ22" s="698">
        <f>GEntry!EZ12</f>
        <v>915</v>
      </c>
      <c r="EA22" s="695">
        <f>GEntry!EX12</f>
        <v>0</v>
      </c>
      <c r="EB22" s="695">
        <f>GEntry!FA12</f>
        <v>150</v>
      </c>
      <c r="EC22" s="695">
        <f>GEntry!EC12</f>
        <v>0</v>
      </c>
      <c r="ED22" s="695">
        <f>GEntry!ED12</f>
        <v>16</v>
      </c>
      <c r="EE22" s="695">
        <f>GEntry!EI12</f>
        <v>237</v>
      </c>
      <c r="EF22" s="695">
        <f>GEntry!EB12</f>
        <v>0</v>
      </c>
      <c r="EG22" s="695">
        <f>GEntry!EG12</f>
        <v>0</v>
      </c>
      <c r="EH22" s="695">
        <f>GEntry!EH12</f>
        <v>21</v>
      </c>
      <c r="EI22" s="695">
        <f>GEntry!EW12</f>
        <v>60</v>
      </c>
      <c r="EJ22" s="695">
        <f>GEntry!EV12</f>
        <v>0</v>
      </c>
      <c r="EK22" s="695">
        <f>GEntry!ES12</f>
        <v>88</v>
      </c>
      <c r="EL22" s="695">
        <f>GEntry!ET12</f>
        <v>18</v>
      </c>
      <c r="EM22" s="695">
        <f>GEntry!EP12</f>
        <v>48</v>
      </c>
      <c r="EN22" s="695">
        <f>GEntry!EQ12</f>
        <v>0</v>
      </c>
      <c r="EO22" s="695">
        <f>GEntry!FH12</f>
        <v>0</v>
      </c>
      <c r="EP22" s="695">
        <f>GEntry!FG12</f>
        <v>0</v>
      </c>
      <c r="EQ22" s="695">
        <f>GEntry!FI12</f>
        <v>32</v>
      </c>
      <c r="ER22" s="695">
        <f>GEntry!FS12</f>
        <v>0</v>
      </c>
      <c r="ES22" s="695">
        <f>GEntry!GB12</f>
        <v>51</v>
      </c>
      <c r="ET22" s="695">
        <f>GEntry!FW12</f>
        <v>0</v>
      </c>
      <c r="EU22" s="695">
        <f>GEntry!FX12</f>
        <v>0</v>
      </c>
      <c r="EV22" s="695">
        <f>GEntry!FY12</f>
        <v>32</v>
      </c>
      <c r="EW22" s="695">
        <f>GEntry!GA12</f>
        <v>8</v>
      </c>
      <c r="EX22" s="695">
        <f>GEntry!FZ12</f>
        <v>33</v>
      </c>
      <c r="EY22" s="695">
        <f>GEntry!FT12</f>
        <v>19</v>
      </c>
      <c r="EZ22" s="695">
        <f>GEntry!FU12</f>
        <v>0</v>
      </c>
      <c r="FA22" s="695">
        <f>GEntry!FV12</f>
        <v>11</v>
      </c>
      <c r="FB22" s="1073">
        <f>GEntry!FD12</f>
        <v>0</v>
      </c>
      <c r="FC22" s="1073">
        <f>GEntry!FE12</f>
        <v>0</v>
      </c>
      <c r="FD22" s="1073">
        <f>GEntry!FF12</f>
        <v>250</v>
      </c>
      <c r="FE22" s="695">
        <f>GEntry!GF12</f>
        <v>0</v>
      </c>
      <c r="FF22" s="696">
        <f>GEntry!GG12</f>
        <v>0</v>
      </c>
      <c r="FG22" s="696">
        <f>GEntry!FK12</f>
        <v>179</v>
      </c>
      <c r="FH22" s="696">
        <f>GEntry!FL12</f>
        <v>0</v>
      </c>
      <c r="FI22" s="696">
        <f>GEntry!FM12</f>
        <v>0</v>
      </c>
      <c r="FJ22" s="696">
        <f>GEntry!FN12</f>
        <v>215</v>
      </c>
      <c r="FK22" s="696">
        <f>GEntry!ER12</f>
        <v>0</v>
      </c>
      <c r="FL22" s="696">
        <f>GEntry!EU12</f>
        <v>55</v>
      </c>
      <c r="FM22" s="694">
        <f>GEntry!FO12</f>
        <v>150</v>
      </c>
      <c r="FN22" s="696">
        <f>GEntry!FP12</f>
        <v>0</v>
      </c>
      <c r="FO22" s="695">
        <f>GEntry!FQ12</f>
        <v>297</v>
      </c>
      <c r="FP22" s="1548">
        <f>GEntry!EJ12</f>
        <v>0</v>
      </c>
      <c r="FQ22" s="1550">
        <f>GEntry!GC12</f>
        <v>169</v>
      </c>
      <c r="FR22" s="1553">
        <f>GEntry!GD12</f>
        <v>50</v>
      </c>
      <c r="FS22" s="1704">
        <f>GEntry!EY12</f>
        <v>89</v>
      </c>
      <c r="FT22" s="1779">
        <f>GEntry!GH12</f>
        <v>56</v>
      </c>
      <c r="FU22" s="1781">
        <f>GEntry!FR12</f>
        <v>0</v>
      </c>
      <c r="FV22" s="1903">
        <f>GEntry!GI12</f>
        <v>1</v>
      </c>
      <c r="FW22" s="2214">
        <f>GEntry!GE12</f>
        <v>50</v>
      </c>
      <c r="FX22" s="695">
        <f>GEntry!FB12</f>
        <v>600</v>
      </c>
      <c r="FY22" s="2585">
        <f>GEntry!EN12</f>
        <v>220</v>
      </c>
      <c r="FZ22" s="2624">
        <f>GEntry!EO12</f>
        <v>0</v>
      </c>
      <c r="GA22" s="2626">
        <f>GEntry!EM12</f>
        <v>90</v>
      </c>
      <c r="GB22" s="3134">
        <f>GEntry!FJ12</f>
        <v>4</v>
      </c>
      <c r="GC22" s="3179">
        <f>GEntry!EK12</f>
        <v>74</v>
      </c>
      <c r="GD22" s="2585">
        <f>GEntry!GJ12</f>
        <v>34</v>
      </c>
      <c r="GE22" s="4736">
        <f>GEntry!EF12</f>
        <v>0</v>
      </c>
      <c r="GF22" s="4737">
        <f>GEntry!EE12</f>
        <v>0</v>
      </c>
      <c r="GG22" s="918"/>
      <c r="GH22" s="841">
        <f t="shared" si="12"/>
        <v>6624</v>
      </c>
      <c r="GI22" s="840">
        <f t="shared" si="8"/>
        <v>4322</v>
      </c>
      <c r="GJ22" s="837">
        <f t="shared" si="9"/>
        <v>10946</v>
      </c>
      <c r="GK22" s="583">
        <f t="shared" si="0"/>
        <v>3376</v>
      </c>
      <c r="GL22" s="583">
        <f t="shared" si="1"/>
        <v>915</v>
      </c>
      <c r="GM22" s="583">
        <f t="shared" si="13"/>
        <v>1814</v>
      </c>
      <c r="GN22" s="583">
        <f t="shared" si="10"/>
        <v>857</v>
      </c>
      <c r="GO22" s="583">
        <f t="shared" si="2"/>
        <v>1934</v>
      </c>
      <c r="GP22" s="583">
        <f t="shared" si="3"/>
        <v>850</v>
      </c>
      <c r="GQ22" s="583">
        <f t="shared" si="4"/>
        <v>117</v>
      </c>
      <c r="GR22" s="583">
        <f t="shared" si="5"/>
        <v>452</v>
      </c>
      <c r="GS22" s="583">
        <f t="shared" si="11"/>
        <v>565</v>
      </c>
      <c r="GT22" s="583">
        <f t="shared" si="6"/>
        <v>154</v>
      </c>
      <c r="GU22" s="836">
        <f t="shared" si="7"/>
        <v>127</v>
      </c>
      <c r="GV22" s="835">
        <f>FWise!M14</f>
        <v>1613.6778250000007</v>
      </c>
      <c r="GW22" s="2510">
        <f>GEntry!GN12</f>
        <v>94.25</v>
      </c>
      <c r="GX22" s="814"/>
      <c r="GY22" s="12"/>
      <c r="GZ22" s="12"/>
      <c r="IC22" s="134"/>
      <c r="ID22" s="134"/>
    </row>
    <row r="23" spans="1:278" ht="22.5" customHeight="1" thickBot="1">
      <c r="A23" s="542">
        <v>0.41666666666666669</v>
      </c>
      <c r="B23" s="692">
        <f>GEntry!W13</f>
        <v>0</v>
      </c>
      <c r="C23" s="689">
        <f>GEntry!X13</f>
        <v>0</v>
      </c>
      <c r="D23" s="689">
        <f>GEntry!Y13</f>
        <v>0</v>
      </c>
      <c r="E23" s="689">
        <f>GEntry!Z13</f>
        <v>180</v>
      </c>
      <c r="F23" s="690">
        <f>GEntry!AB13</f>
        <v>30</v>
      </c>
      <c r="G23" s="690">
        <f>GEntry!BZ13</f>
        <v>86</v>
      </c>
      <c r="H23" s="689">
        <f>GEntry!CT13</f>
        <v>0</v>
      </c>
      <c r="I23" s="689">
        <f>GEntry!AP13</f>
        <v>403</v>
      </c>
      <c r="J23" s="689">
        <f>GEntry!AR13</f>
        <v>318</v>
      </c>
      <c r="K23" s="689"/>
      <c r="L23" s="689">
        <f>GEntry!AO13</f>
        <v>0</v>
      </c>
      <c r="M23" s="689">
        <f>GEntry!AQ13</f>
        <v>225</v>
      </c>
      <c r="N23" s="689">
        <f>GEntry!CQ13</f>
        <v>0</v>
      </c>
      <c r="O23" s="689">
        <f>GEntry!CR13</f>
        <v>7</v>
      </c>
      <c r="P23" s="689">
        <f>GEntry!CM13</f>
        <v>0</v>
      </c>
      <c r="Q23" s="689">
        <f>GEntry!DD13</f>
        <v>30</v>
      </c>
      <c r="R23" s="689">
        <f>GEntry!T13</f>
        <v>0</v>
      </c>
      <c r="S23" s="689">
        <f>GEntry!R13</f>
        <v>0</v>
      </c>
      <c r="T23" s="689">
        <f>GEntry!S13</f>
        <v>0</v>
      </c>
      <c r="U23" s="689">
        <f>GEntry!CD13</f>
        <v>8</v>
      </c>
      <c r="V23" s="690">
        <f>GEntry!CY13</f>
        <v>8</v>
      </c>
      <c r="W23" s="689">
        <f>GEntry!CF13</f>
        <v>64</v>
      </c>
      <c r="X23" s="689">
        <f>GEntry!CP13</f>
        <v>0</v>
      </c>
      <c r="Y23" s="689">
        <f>GEntry!DC13</f>
        <v>0</v>
      </c>
      <c r="Z23" s="689">
        <f>GEntry!CN13</f>
        <v>0</v>
      </c>
      <c r="AA23" s="689">
        <f>GEntry!DB13</f>
        <v>0</v>
      </c>
      <c r="AB23" s="689">
        <f>GEntry!DH13</f>
        <v>17</v>
      </c>
      <c r="AC23" s="689">
        <f>GEntry!DE13</f>
        <v>55</v>
      </c>
      <c r="AD23" s="689">
        <f>GEntry!BK13</f>
        <v>35</v>
      </c>
      <c r="AE23" s="689">
        <f>GEntry!BN13</f>
        <v>19</v>
      </c>
      <c r="AF23" s="689">
        <f>GEntry!BV13</f>
        <v>25</v>
      </c>
      <c r="AG23" s="689">
        <f>GEntry!BW13</f>
        <v>28</v>
      </c>
      <c r="AH23" s="689">
        <f>GEntry!BX13</f>
        <v>33</v>
      </c>
      <c r="AI23" s="689">
        <f>GEntry!BY13</f>
        <v>30</v>
      </c>
      <c r="AJ23" s="689">
        <f>GEntry!CE13</f>
        <v>47</v>
      </c>
      <c r="AK23" s="689">
        <f>GEntry!AN13</f>
        <v>0</v>
      </c>
      <c r="AL23" s="1075">
        <f>GEntry!B13</f>
        <v>81</v>
      </c>
      <c r="AM23" s="1075">
        <f>GEntry!C13</f>
        <v>35</v>
      </c>
      <c r="AN23" s="689">
        <f>GEntry!D13</f>
        <v>100</v>
      </c>
      <c r="AO23" s="689">
        <f>GEntry!E13</f>
        <v>0</v>
      </c>
      <c r="AP23" s="689">
        <f>GEntry!F13</f>
        <v>25</v>
      </c>
      <c r="AQ23" s="689">
        <f>GEntry!H13</f>
        <v>0</v>
      </c>
      <c r="AR23" s="689">
        <f>GEntry!I13</f>
        <v>0</v>
      </c>
      <c r="AS23" s="689">
        <f>GEntry!K13</f>
        <v>0</v>
      </c>
      <c r="AT23" s="689">
        <f>GEntry!L13</f>
        <v>0</v>
      </c>
      <c r="AU23" s="689"/>
      <c r="AV23" s="689">
        <f>GEntry!BL13</f>
        <v>6</v>
      </c>
      <c r="AW23" s="689">
        <f>GEntry!N13</f>
        <v>26</v>
      </c>
      <c r="AX23" s="689">
        <f>GEntry!M13</f>
        <v>17</v>
      </c>
      <c r="AY23" s="689">
        <f>GEntry!CV13</f>
        <v>33</v>
      </c>
      <c r="AZ23" s="689">
        <f>GEntry!DA13</f>
        <v>12</v>
      </c>
      <c r="BA23" s="689">
        <f>GEntry!CZ13</f>
        <v>25</v>
      </c>
      <c r="BB23" s="689">
        <f>GEntry!BM13</f>
        <v>15</v>
      </c>
      <c r="BC23" s="689">
        <f>GEntry!BQ13</f>
        <v>2</v>
      </c>
      <c r="BD23" s="689">
        <f>GEntry!AD13</f>
        <v>0</v>
      </c>
      <c r="BE23" s="689">
        <f>GEntry!AE13</f>
        <v>0</v>
      </c>
      <c r="BF23" s="689">
        <f>GEntry!AF13</f>
        <v>0</v>
      </c>
      <c r="BG23" s="689">
        <f>GEntry!AJ13</f>
        <v>320</v>
      </c>
      <c r="BH23" s="689">
        <f>GEntry!AI13</f>
        <v>320</v>
      </c>
      <c r="BI23" s="689">
        <f>GEntry!AH13</f>
        <v>199</v>
      </c>
      <c r="BJ23" s="689">
        <f>GEntry!V13</f>
        <v>8</v>
      </c>
      <c r="BK23" s="689">
        <f>GEntry!AM13</f>
        <v>135</v>
      </c>
      <c r="BL23" s="689">
        <f>GEntry!AG13</f>
        <v>39</v>
      </c>
      <c r="BM23" s="689">
        <f>GEntry!AL13</f>
        <v>47</v>
      </c>
      <c r="BN23" s="689">
        <f>GEntry!CU13</f>
        <v>0</v>
      </c>
      <c r="BO23" s="690">
        <f>GEntry!CX13</f>
        <v>43</v>
      </c>
      <c r="BP23" s="690">
        <f>GEntry!CO13</f>
        <v>0</v>
      </c>
      <c r="BQ23" s="690">
        <f>GEntry!Q13</f>
        <v>30</v>
      </c>
      <c r="BR23" s="689">
        <f>GEntry!CH13</f>
        <v>8</v>
      </c>
      <c r="BS23" s="690">
        <f>GEntry!BR13</f>
        <v>21</v>
      </c>
      <c r="BT23" s="690">
        <f>GEntry!BS13</f>
        <v>10</v>
      </c>
      <c r="BU23" s="690">
        <f>GEntry!BT13</f>
        <v>28</v>
      </c>
      <c r="BV23" s="690">
        <f>GEntry!BU13</f>
        <v>20</v>
      </c>
      <c r="BW23" s="680">
        <f>GEntry!BP13</f>
        <v>136</v>
      </c>
      <c r="BX23" s="690">
        <f>GEntry!AS13</f>
        <v>71</v>
      </c>
      <c r="BY23" s="690">
        <f>GEntry!CG13</f>
        <v>0</v>
      </c>
      <c r="BZ23" s="690">
        <f>GEntry!BO13</f>
        <v>22</v>
      </c>
      <c r="CA23" s="1077">
        <f>GEntry!DG13</f>
        <v>1</v>
      </c>
      <c r="CB23" s="690">
        <f>GEntry!AU13</f>
        <v>44</v>
      </c>
      <c r="CC23" s="690">
        <f>GEntry!AV13</f>
        <v>41</v>
      </c>
      <c r="CD23" s="690">
        <f>GEntry!BG13</f>
        <v>31</v>
      </c>
      <c r="CE23" s="690">
        <f>GEntry!CW13</f>
        <v>30</v>
      </c>
      <c r="CF23" s="690">
        <f>GEntry!DF13</f>
        <v>110</v>
      </c>
      <c r="CG23" s="690">
        <f>GEntry!AW13</f>
        <v>0</v>
      </c>
      <c r="CH23" s="690">
        <f>GEntry!AX13</f>
        <v>55</v>
      </c>
      <c r="CI23" s="690">
        <f>GEntry!AY13</f>
        <v>10</v>
      </c>
      <c r="CJ23" s="690">
        <f>GEntry!BA13</f>
        <v>0</v>
      </c>
      <c r="CK23" s="690">
        <f>GEntry!BB13</f>
        <v>215</v>
      </c>
      <c r="CL23" s="690">
        <f>GEntry!BC13</f>
        <v>0</v>
      </c>
      <c r="CM23" s="690">
        <f>GEntry!BD13</f>
        <v>30</v>
      </c>
      <c r="CN23" s="690">
        <f>GEntry!BE13</f>
        <v>9</v>
      </c>
      <c r="CO23" s="690">
        <f>GEntry!BI13</f>
        <v>310</v>
      </c>
      <c r="CP23" s="690">
        <f>GEntry!BH13</f>
        <v>8</v>
      </c>
      <c r="CQ23" s="911">
        <f>GEntry!BF13</f>
        <v>0</v>
      </c>
      <c r="CR23" s="911">
        <f>GEntry!P13</f>
        <v>196</v>
      </c>
      <c r="CS23" s="911">
        <f>GEntry!U13</f>
        <v>95</v>
      </c>
      <c r="CT23" s="690">
        <f>GEntry!DI13</f>
        <v>300</v>
      </c>
      <c r="CU23" s="911">
        <f>GEntry!DJ13</f>
        <v>98</v>
      </c>
      <c r="CV23" s="911">
        <f>GEntry!DK13</f>
        <v>46</v>
      </c>
      <c r="CW23" s="690">
        <f>GEntry!DL13</f>
        <v>95</v>
      </c>
      <c r="CX23" s="911">
        <f>GEntry!DM13</f>
        <v>89</v>
      </c>
      <c r="CY23" s="911">
        <f>GEntry!G13</f>
        <v>10</v>
      </c>
      <c r="CZ23" s="911">
        <f>GEntry!DN13</f>
        <v>21</v>
      </c>
      <c r="DA23" s="690">
        <f>GEntry!DO13</f>
        <v>34</v>
      </c>
      <c r="DB23" s="1530">
        <f>GEntry!DP13</f>
        <v>120</v>
      </c>
      <c r="DC23" s="1520">
        <f>GEntry!DQ13</f>
        <v>403</v>
      </c>
      <c r="DD23" s="1617">
        <f>GEntry!DR13</f>
        <v>47</v>
      </c>
      <c r="DE23" s="1616">
        <f>GEntry!CI13</f>
        <v>88</v>
      </c>
      <c r="DF23" s="1700">
        <f>GEntry!O13</f>
        <v>69</v>
      </c>
      <c r="DG23" s="1694">
        <f>GEntry!CJ13</f>
        <v>4</v>
      </c>
      <c r="DH23" s="1847">
        <f>GEntry!DS13</f>
        <v>52</v>
      </c>
      <c r="DI23" s="1848">
        <f>GEntry!CK13</f>
        <v>17</v>
      </c>
      <c r="DJ23" s="1859">
        <f>GEntry!CL13</f>
        <v>55</v>
      </c>
      <c r="DK23" s="2176">
        <f>GEntry!CA13</f>
        <v>17</v>
      </c>
      <c r="DL23" s="2396">
        <f>GEntry!CB13</f>
        <v>39</v>
      </c>
      <c r="DM23" s="2177">
        <f>GEntry!DT13</f>
        <v>20</v>
      </c>
      <c r="DN23" s="2495">
        <f>GEntry!BJ13</f>
        <v>0</v>
      </c>
      <c r="DO23" s="2496">
        <f>GEntry!CS13</f>
        <v>17</v>
      </c>
      <c r="DP23" s="2603">
        <f>GEntry!AT13</f>
        <v>53</v>
      </c>
      <c r="DQ23" s="2642">
        <f>GEntry!CC13</f>
        <v>35</v>
      </c>
      <c r="DR23" s="2667">
        <f>GEntry!DU13</f>
        <v>108</v>
      </c>
      <c r="DS23" s="2669">
        <f>GEntry!AZ13</f>
        <v>0</v>
      </c>
      <c r="DT23" s="2734">
        <f>GEntry!DV13</f>
        <v>35</v>
      </c>
      <c r="DU23" s="2736">
        <f>GEntry!DW13</f>
        <v>32</v>
      </c>
      <c r="DV23" s="3114">
        <f>GEntry!DX13</f>
        <v>75</v>
      </c>
      <c r="DW23" s="3114">
        <f>GEntry!DY13</f>
        <v>55</v>
      </c>
      <c r="DX23" s="4684">
        <f>GEntry!AK13</f>
        <v>0</v>
      </c>
      <c r="DY23" s="915"/>
      <c r="DZ23" s="698">
        <f>GEntry!EZ13</f>
        <v>914</v>
      </c>
      <c r="EA23" s="695">
        <f>GEntry!EX13</f>
        <v>0</v>
      </c>
      <c r="EB23" s="695">
        <f>GEntry!FA13</f>
        <v>145</v>
      </c>
      <c r="EC23" s="695">
        <f>GEntry!EC13</f>
        <v>0</v>
      </c>
      <c r="ED23" s="695">
        <f>GEntry!ED13</f>
        <v>16</v>
      </c>
      <c r="EE23" s="695">
        <f>GEntry!EI13</f>
        <v>234</v>
      </c>
      <c r="EF23" s="695">
        <f>GEntry!EB13</f>
        <v>0</v>
      </c>
      <c r="EG23" s="695">
        <f>GEntry!EG13</f>
        <v>0</v>
      </c>
      <c r="EH23" s="695">
        <f>GEntry!EH13</f>
        <v>21</v>
      </c>
      <c r="EI23" s="695">
        <f>GEntry!EW13</f>
        <v>59</v>
      </c>
      <c r="EJ23" s="695">
        <f>GEntry!EV13</f>
        <v>0</v>
      </c>
      <c r="EK23" s="695">
        <f>GEntry!ES13</f>
        <v>86</v>
      </c>
      <c r="EL23" s="695">
        <f>GEntry!ET13</f>
        <v>17</v>
      </c>
      <c r="EM23" s="695">
        <f>GEntry!EP13</f>
        <v>0</v>
      </c>
      <c r="EN23" s="695">
        <f>GEntry!EQ13</f>
        <v>0</v>
      </c>
      <c r="EO23" s="695">
        <f>GEntry!FH13</f>
        <v>0</v>
      </c>
      <c r="EP23" s="695">
        <f>GEntry!FG13</f>
        <v>0</v>
      </c>
      <c r="EQ23" s="695">
        <f>GEntry!FI13</f>
        <v>32</v>
      </c>
      <c r="ER23" s="695">
        <f>GEntry!FS13</f>
        <v>0</v>
      </c>
      <c r="ES23" s="695">
        <f>GEntry!GB13</f>
        <v>44</v>
      </c>
      <c r="ET23" s="695">
        <f>GEntry!FW13</f>
        <v>0</v>
      </c>
      <c r="EU23" s="695">
        <f>GEntry!FX13</f>
        <v>0</v>
      </c>
      <c r="EV23" s="695">
        <f>GEntry!FY13</f>
        <v>16</v>
      </c>
      <c r="EW23" s="695">
        <f>GEntry!GA13</f>
        <v>8</v>
      </c>
      <c r="EX23" s="695">
        <f>GEntry!FZ13</f>
        <v>14</v>
      </c>
      <c r="EY23" s="695">
        <f>GEntry!FT13</f>
        <v>18</v>
      </c>
      <c r="EZ23" s="695">
        <f>GEntry!FU13</f>
        <v>0</v>
      </c>
      <c r="FA23" s="695">
        <f>GEntry!FV13</f>
        <v>11</v>
      </c>
      <c r="FB23" s="1073">
        <f>GEntry!FD13</f>
        <v>0</v>
      </c>
      <c r="FC23" s="1073">
        <f>GEntry!FE13</f>
        <v>0</v>
      </c>
      <c r="FD23" s="1073">
        <f>GEntry!FF13</f>
        <v>250</v>
      </c>
      <c r="FE23" s="695">
        <f>GEntry!GF13</f>
        <v>0</v>
      </c>
      <c r="FF23" s="696">
        <f>GEntry!GG13</f>
        <v>0</v>
      </c>
      <c r="FG23" s="696">
        <f>GEntry!FK13</f>
        <v>175</v>
      </c>
      <c r="FH23" s="696">
        <f>GEntry!FL13</f>
        <v>0</v>
      </c>
      <c r="FI23" s="696">
        <f>GEntry!FM13</f>
        <v>0</v>
      </c>
      <c r="FJ23" s="696">
        <f>GEntry!FN13</f>
        <v>213</v>
      </c>
      <c r="FK23" s="696">
        <f>GEntry!ER13</f>
        <v>0</v>
      </c>
      <c r="FL23" s="696">
        <f>GEntry!EU13</f>
        <v>94</v>
      </c>
      <c r="FM23" s="694">
        <f>GEntry!FO13</f>
        <v>147</v>
      </c>
      <c r="FN23" s="696">
        <f>GEntry!FP13</f>
        <v>0</v>
      </c>
      <c r="FO23" s="695">
        <f>GEntry!FQ13</f>
        <v>286</v>
      </c>
      <c r="FP23" s="1548">
        <f>GEntry!EJ13</f>
        <v>0</v>
      </c>
      <c r="FQ23" s="1550">
        <f>GEntry!GC13</f>
        <v>169</v>
      </c>
      <c r="FR23" s="1553">
        <f>GEntry!GD13</f>
        <v>50</v>
      </c>
      <c r="FS23" s="1704">
        <f>GEntry!EY13</f>
        <v>71</v>
      </c>
      <c r="FT23" s="1779">
        <f>GEntry!GH13</f>
        <v>56</v>
      </c>
      <c r="FU23" s="1781">
        <f>GEntry!FR13</f>
        <v>0</v>
      </c>
      <c r="FV23" s="1903">
        <f>GEntry!GI13</f>
        <v>2</v>
      </c>
      <c r="FW23" s="2214">
        <f>GEntry!GE13</f>
        <v>55</v>
      </c>
      <c r="FX23" s="695">
        <f>GEntry!FB13</f>
        <v>300</v>
      </c>
      <c r="FY23" s="2585">
        <f>GEntry!EN13</f>
        <v>220</v>
      </c>
      <c r="FZ23" s="2624">
        <f>GEntry!EO13</f>
        <v>0</v>
      </c>
      <c r="GA23" s="2626">
        <f>GEntry!EM13</f>
        <v>0</v>
      </c>
      <c r="GB23" s="3134">
        <f>GEntry!FJ13</f>
        <v>5</v>
      </c>
      <c r="GC23" s="3179">
        <f>GEntry!EK13</f>
        <v>42</v>
      </c>
      <c r="GD23" s="2585">
        <f>GEntry!GJ13</f>
        <v>34</v>
      </c>
      <c r="GE23" s="4736">
        <f>GEntry!EF13</f>
        <v>0</v>
      </c>
      <c r="GF23" s="4737">
        <f>GEntry!EE13</f>
        <v>0</v>
      </c>
      <c r="GG23" s="918"/>
      <c r="GH23" s="841">
        <f t="shared" si="12"/>
        <v>6701</v>
      </c>
      <c r="GI23" s="840">
        <f t="shared" si="8"/>
        <v>3804</v>
      </c>
      <c r="GJ23" s="837">
        <f t="shared" si="9"/>
        <v>10505</v>
      </c>
      <c r="GK23" s="583">
        <f t="shared" si="0"/>
        <v>3378</v>
      </c>
      <c r="GL23" s="583">
        <f t="shared" si="1"/>
        <v>914</v>
      </c>
      <c r="GM23" s="583">
        <f t="shared" si="13"/>
        <v>1800</v>
      </c>
      <c r="GN23" s="583">
        <f t="shared" si="10"/>
        <v>952</v>
      </c>
      <c r="GO23" s="583">
        <f t="shared" si="2"/>
        <v>1740</v>
      </c>
      <c r="GP23" s="583">
        <f t="shared" si="3"/>
        <v>550</v>
      </c>
      <c r="GQ23" s="583">
        <f t="shared" si="4"/>
        <v>116</v>
      </c>
      <c r="GR23" s="583">
        <f t="shared" si="5"/>
        <v>447</v>
      </c>
      <c r="GS23" s="583">
        <f t="shared" si="11"/>
        <v>536</v>
      </c>
      <c r="GT23" s="583">
        <f t="shared" si="6"/>
        <v>136</v>
      </c>
      <c r="GU23" s="836">
        <f t="shared" si="7"/>
        <v>149</v>
      </c>
      <c r="GV23" s="835">
        <f>FWise!M15</f>
        <v>1976.7783749999999</v>
      </c>
      <c r="GW23" s="2510">
        <f>GEntry!GN13</f>
        <v>94.28</v>
      </c>
      <c r="GX23" s="179"/>
      <c r="GY23" s="12"/>
      <c r="GZ23" s="12"/>
      <c r="HB23" s="175"/>
      <c r="HC23" s="176"/>
      <c r="HD23" s="176"/>
      <c r="HE23" s="176"/>
      <c r="HF23" s="176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12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</row>
    <row r="24" spans="1:278" ht="22.5" customHeight="1" thickBot="1">
      <c r="A24" s="542">
        <v>0.45833333333333331</v>
      </c>
      <c r="B24" s="692">
        <f>GEntry!W14</f>
        <v>0</v>
      </c>
      <c r="C24" s="689">
        <f>GEntry!X14</f>
        <v>0</v>
      </c>
      <c r="D24" s="689">
        <f>GEntry!Y14</f>
        <v>0</v>
      </c>
      <c r="E24" s="689">
        <f>GEntry!Z14</f>
        <v>180</v>
      </c>
      <c r="F24" s="690">
        <f>GEntry!AB14</f>
        <v>70</v>
      </c>
      <c r="G24" s="690">
        <f>GEntry!BZ14</f>
        <v>84</v>
      </c>
      <c r="H24" s="689">
        <f>GEntry!CT14</f>
        <v>0</v>
      </c>
      <c r="I24" s="689">
        <f>GEntry!AP14</f>
        <v>400</v>
      </c>
      <c r="J24" s="689">
        <f>GEntry!AR14</f>
        <v>255</v>
      </c>
      <c r="K24" s="689"/>
      <c r="L24" s="689">
        <f>GEntry!AO14</f>
        <v>0</v>
      </c>
      <c r="M24" s="689">
        <f>GEntry!AQ14</f>
        <v>225</v>
      </c>
      <c r="N24" s="689">
        <f>GEntry!CQ14</f>
        <v>0</v>
      </c>
      <c r="O24" s="689">
        <f>GEntry!CR14</f>
        <v>7</v>
      </c>
      <c r="P24" s="689">
        <f>GEntry!CM14</f>
        <v>0</v>
      </c>
      <c r="Q24" s="689">
        <f>GEntry!DD14</f>
        <v>30</v>
      </c>
      <c r="R24" s="689">
        <f>GEntry!T14</f>
        <v>0</v>
      </c>
      <c r="S24" s="689">
        <f>GEntry!R14</f>
        <v>0</v>
      </c>
      <c r="T24" s="689">
        <f>GEntry!S14</f>
        <v>0</v>
      </c>
      <c r="U24" s="689">
        <f>GEntry!CD14</f>
        <v>8</v>
      </c>
      <c r="V24" s="690">
        <f>GEntry!CY14</f>
        <v>8</v>
      </c>
      <c r="W24" s="689">
        <f>GEntry!CF14</f>
        <v>50</v>
      </c>
      <c r="X24" s="689">
        <f>GEntry!CP14</f>
        <v>0</v>
      </c>
      <c r="Y24" s="689">
        <f>GEntry!DC14</f>
        <v>0</v>
      </c>
      <c r="Z24" s="689">
        <f>GEntry!CN14</f>
        <v>0</v>
      </c>
      <c r="AA24" s="689">
        <f>GEntry!DB14</f>
        <v>0</v>
      </c>
      <c r="AB24" s="689">
        <f>GEntry!DH14</f>
        <v>17</v>
      </c>
      <c r="AC24" s="689">
        <f>GEntry!DE14</f>
        <v>55</v>
      </c>
      <c r="AD24" s="689">
        <f>GEntry!BK14</f>
        <v>35</v>
      </c>
      <c r="AE24" s="689">
        <f>GEntry!BN14</f>
        <v>19</v>
      </c>
      <c r="AF24" s="689">
        <f>GEntry!BV14</f>
        <v>25</v>
      </c>
      <c r="AG24" s="689">
        <f>GEntry!BW14</f>
        <v>28</v>
      </c>
      <c r="AH24" s="689">
        <f>GEntry!BX14</f>
        <v>33</v>
      </c>
      <c r="AI24" s="689">
        <f>GEntry!BY14</f>
        <v>30</v>
      </c>
      <c r="AJ24" s="689">
        <f>GEntry!CE14</f>
        <v>42</v>
      </c>
      <c r="AK24" s="689">
        <f>GEntry!AN14</f>
        <v>0</v>
      </c>
      <c r="AL24" s="1075">
        <f>GEntry!B14</f>
        <v>80</v>
      </c>
      <c r="AM24" s="1075">
        <f>GEntry!C14</f>
        <v>35</v>
      </c>
      <c r="AN24" s="689">
        <f>GEntry!D14</f>
        <v>100</v>
      </c>
      <c r="AO24" s="689">
        <f>GEntry!E14</f>
        <v>0</v>
      </c>
      <c r="AP24" s="689">
        <f>GEntry!F14</f>
        <v>25</v>
      </c>
      <c r="AQ24" s="689">
        <f>GEntry!H14</f>
        <v>0</v>
      </c>
      <c r="AR24" s="689">
        <f>GEntry!I14</f>
        <v>0</v>
      </c>
      <c r="AS24" s="689">
        <f>GEntry!K14</f>
        <v>0</v>
      </c>
      <c r="AT24" s="689">
        <f>GEntry!L14</f>
        <v>0</v>
      </c>
      <c r="AU24" s="689"/>
      <c r="AV24" s="689">
        <f>GEntry!BL14</f>
        <v>7</v>
      </c>
      <c r="AW24" s="689">
        <f>GEntry!N14</f>
        <v>26</v>
      </c>
      <c r="AX24" s="689">
        <f>GEntry!M14</f>
        <v>17</v>
      </c>
      <c r="AY24" s="689">
        <f>GEntry!CV14</f>
        <v>65</v>
      </c>
      <c r="AZ24" s="689">
        <f>GEntry!DA14</f>
        <v>12</v>
      </c>
      <c r="BA24" s="689">
        <f>GEntry!CZ14</f>
        <v>25</v>
      </c>
      <c r="BB24" s="689">
        <f>GEntry!BM14</f>
        <v>15</v>
      </c>
      <c r="BC24" s="689">
        <f>GEntry!BQ14</f>
        <v>2</v>
      </c>
      <c r="BD24" s="689">
        <f>GEntry!AD14</f>
        <v>0</v>
      </c>
      <c r="BE24" s="689">
        <f>GEntry!AE14</f>
        <v>0</v>
      </c>
      <c r="BF24" s="689">
        <f>GEntry!AF14</f>
        <v>0</v>
      </c>
      <c r="BG24" s="689">
        <f>GEntry!AJ14</f>
        <v>320</v>
      </c>
      <c r="BH24" s="689">
        <f>GEntry!AI14</f>
        <v>320</v>
      </c>
      <c r="BI24" s="689">
        <f>GEntry!AH14</f>
        <v>194</v>
      </c>
      <c r="BJ24" s="689">
        <f>GEntry!V14</f>
        <v>8</v>
      </c>
      <c r="BK24" s="689">
        <f>GEntry!AM14</f>
        <v>128</v>
      </c>
      <c r="BL24" s="689">
        <f>GEntry!AG14</f>
        <v>39</v>
      </c>
      <c r="BM24" s="689">
        <f>GEntry!AL14</f>
        <v>51</v>
      </c>
      <c r="BN24" s="689">
        <f>GEntry!CU14</f>
        <v>0</v>
      </c>
      <c r="BO24" s="690">
        <f>GEntry!CX14</f>
        <v>43</v>
      </c>
      <c r="BP24" s="690">
        <f>GEntry!CO14</f>
        <v>0</v>
      </c>
      <c r="BQ24" s="690">
        <f>GEntry!Q14</f>
        <v>30</v>
      </c>
      <c r="BR24" s="689">
        <f>GEntry!CH14</f>
        <v>8</v>
      </c>
      <c r="BS24" s="690">
        <f>GEntry!BR14</f>
        <v>19</v>
      </c>
      <c r="BT24" s="690">
        <f>GEntry!BS14</f>
        <v>10</v>
      </c>
      <c r="BU24" s="690">
        <f>GEntry!BT14</f>
        <v>21</v>
      </c>
      <c r="BV24" s="690">
        <f>GEntry!BU14</f>
        <v>20</v>
      </c>
      <c r="BW24" s="680">
        <f>GEntry!BP14</f>
        <v>150</v>
      </c>
      <c r="BX24" s="690">
        <f>GEntry!AS14</f>
        <v>69</v>
      </c>
      <c r="BY24" s="690">
        <f>GEntry!CG14</f>
        <v>0</v>
      </c>
      <c r="BZ24" s="690">
        <f>GEntry!BO14</f>
        <v>22</v>
      </c>
      <c r="CA24" s="1077">
        <f>GEntry!DG14</f>
        <v>2</v>
      </c>
      <c r="CB24" s="690">
        <f>GEntry!AU14</f>
        <v>43</v>
      </c>
      <c r="CC24" s="690">
        <f>GEntry!AV14</f>
        <v>41</v>
      </c>
      <c r="CD24" s="690">
        <f>GEntry!BG14</f>
        <v>33</v>
      </c>
      <c r="CE24" s="690">
        <f>GEntry!CW14</f>
        <v>30</v>
      </c>
      <c r="CF24" s="690">
        <f>GEntry!DF14</f>
        <v>110</v>
      </c>
      <c r="CG24" s="690">
        <f>GEntry!AW14</f>
        <v>0</v>
      </c>
      <c r="CH24" s="690">
        <f>GEntry!AX14</f>
        <v>60</v>
      </c>
      <c r="CI24" s="690">
        <f>GEntry!AY14</f>
        <v>10</v>
      </c>
      <c r="CJ24" s="690">
        <f>GEntry!BA14</f>
        <v>0</v>
      </c>
      <c r="CK24" s="690">
        <f>GEntry!BB14</f>
        <v>221</v>
      </c>
      <c r="CL24" s="690">
        <f>GEntry!BC14</f>
        <v>0</v>
      </c>
      <c r="CM24" s="690">
        <f>GEntry!BD14</f>
        <v>30</v>
      </c>
      <c r="CN24" s="690">
        <f>GEntry!BE14</f>
        <v>9</v>
      </c>
      <c r="CO24" s="690">
        <f>GEntry!BI14</f>
        <v>320</v>
      </c>
      <c r="CP24" s="690">
        <f>GEntry!BH14</f>
        <v>8</v>
      </c>
      <c r="CQ24" s="911">
        <f>GEntry!BF14</f>
        <v>0</v>
      </c>
      <c r="CR24" s="911">
        <f>GEntry!P14</f>
        <v>198</v>
      </c>
      <c r="CS24" s="911">
        <f>GEntry!U14</f>
        <v>95</v>
      </c>
      <c r="CT24" s="690">
        <f>GEntry!DI14</f>
        <v>300</v>
      </c>
      <c r="CU24" s="911">
        <f>GEntry!DJ14</f>
        <v>97</v>
      </c>
      <c r="CV24" s="911">
        <f>GEntry!DK14</f>
        <v>46</v>
      </c>
      <c r="CW24" s="690">
        <f>GEntry!DL14</f>
        <v>96</v>
      </c>
      <c r="CX24" s="911">
        <f>GEntry!DM14</f>
        <v>89</v>
      </c>
      <c r="CY24" s="911">
        <f>GEntry!G14</f>
        <v>3</v>
      </c>
      <c r="CZ24" s="911">
        <f>GEntry!DN14</f>
        <v>21</v>
      </c>
      <c r="DA24" s="690">
        <f>GEntry!DO14</f>
        <v>34</v>
      </c>
      <c r="DB24" s="1530">
        <f>GEntry!DP14</f>
        <v>120</v>
      </c>
      <c r="DC24" s="1520">
        <f>GEntry!DQ14</f>
        <v>390</v>
      </c>
      <c r="DD24" s="1617">
        <f>GEntry!DR14</f>
        <v>47</v>
      </c>
      <c r="DE24" s="1616">
        <f>GEntry!CI14</f>
        <v>88</v>
      </c>
      <c r="DF24" s="1700">
        <f>GEntry!O14</f>
        <v>69</v>
      </c>
      <c r="DG24" s="1694">
        <f>GEntry!CJ14</f>
        <v>5</v>
      </c>
      <c r="DH24" s="1847">
        <f>GEntry!DS14</f>
        <v>52</v>
      </c>
      <c r="DI24" s="1848">
        <f>GEntry!CK14</f>
        <v>17</v>
      </c>
      <c r="DJ24" s="1859">
        <f>GEntry!CL14</f>
        <v>55</v>
      </c>
      <c r="DK24" s="2176">
        <f>GEntry!CA14</f>
        <v>17</v>
      </c>
      <c r="DL24" s="2396">
        <f>GEntry!CB14</f>
        <v>39</v>
      </c>
      <c r="DM24" s="2177">
        <f>GEntry!DT14</f>
        <v>0</v>
      </c>
      <c r="DN24" s="2495">
        <f>GEntry!BJ14</f>
        <v>0</v>
      </c>
      <c r="DO24" s="2496">
        <f>GEntry!CS14</f>
        <v>17</v>
      </c>
      <c r="DP24" s="2603">
        <f>GEntry!AT14</f>
        <v>35</v>
      </c>
      <c r="DQ24" s="2642">
        <f>GEntry!CC14</f>
        <v>35</v>
      </c>
      <c r="DR24" s="2667">
        <f>GEntry!DU14</f>
        <v>95</v>
      </c>
      <c r="DS24" s="2669">
        <f>GEntry!AZ14</f>
        <v>0</v>
      </c>
      <c r="DT24" s="2734">
        <f>GEntry!DV14</f>
        <v>35</v>
      </c>
      <c r="DU24" s="2736">
        <f>GEntry!DW14</f>
        <v>33</v>
      </c>
      <c r="DV24" s="3114">
        <f>GEntry!DX14</f>
        <v>75</v>
      </c>
      <c r="DW24" s="3114">
        <f>GEntry!DY14</f>
        <v>55</v>
      </c>
      <c r="DX24" s="4684">
        <f>GEntry!AK14</f>
        <v>0</v>
      </c>
      <c r="DY24" s="915"/>
      <c r="DZ24" s="698">
        <f>GEntry!EZ14</f>
        <v>914</v>
      </c>
      <c r="EA24" s="695">
        <f>GEntry!EX14</f>
        <v>0</v>
      </c>
      <c r="EB24" s="695">
        <f>GEntry!FA14</f>
        <v>140</v>
      </c>
      <c r="EC24" s="695">
        <f>GEntry!EC14</f>
        <v>0</v>
      </c>
      <c r="ED24" s="695">
        <f>GEntry!ED14</f>
        <v>16</v>
      </c>
      <c r="EE24" s="695">
        <f>GEntry!EI14</f>
        <v>238</v>
      </c>
      <c r="EF24" s="695">
        <f>GEntry!EB14</f>
        <v>0</v>
      </c>
      <c r="EG24" s="695">
        <f>GEntry!EG14</f>
        <v>0</v>
      </c>
      <c r="EH24" s="695">
        <f>GEntry!EH14</f>
        <v>21</v>
      </c>
      <c r="EI24" s="695">
        <f>GEntry!EW14</f>
        <v>59</v>
      </c>
      <c r="EJ24" s="695">
        <f>GEntry!EV14</f>
        <v>0</v>
      </c>
      <c r="EK24" s="695">
        <f>GEntry!ES14</f>
        <v>84</v>
      </c>
      <c r="EL24" s="695">
        <f>GEntry!ET14</f>
        <v>14</v>
      </c>
      <c r="EM24" s="695">
        <f>GEntry!EP14</f>
        <v>0</v>
      </c>
      <c r="EN24" s="695">
        <f>GEntry!EQ14</f>
        <v>0</v>
      </c>
      <c r="EO24" s="695">
        <f>GEntry!FH14</f>
        <v>0</v>
      </c>
      <c r="EP24" s="695">
        <f>GEntry!FG14</f>
        <v>0</v>
      </c>
      <c r="EQ24" s="695">
        <f>GEntry!FI14</f>
        <v>32</v>
      </c>
      <c r="ER24" s="695">
        <f>GEntry!FS14</f>
        <v>0</v>
      </c>
      <c r="ES24" s="695">
        <f>GEntry!GB14</f>
        <v>44</v>
      </c>
      <c r="ET24" s="695">
        <f>GEntry!FW14</f>
        <v>0</v>
      </c>
      <c r="EU24" s="695">
        <f>GEntry!FX14</f>
        <v>0</v>
      </c>
      <c r="EV24" s="695">
        <f>GEntry!FY14</f>
        <v>24</v>
      </c>
      <c r="EW24" s="695">
        <f>GEntry!GA14</f>
        <v>8</v>
      </c>
      <c r="EX24" s="695">
        <f>GEntry!FZ14</f>
        <v>14</v>
      </c>
      <c r="EY24" s="695">
        <f>GEntry!FT14</f>
        <v>17</v>
      </c>
      <c r="EZ24" s="695">
        <f>GEntry!FU14</f>
        <v>0</v>
      </c>
      <c r="FA24" s="695">
        <f>GEntry!FV14</f>
        <v>11</v>
      </c>
      <c r="FB24" s="1073">
        <f>GEntry!FD14</f>
        <v>0</v>
      </c>
      <c r="FC24" s="1073">
        <f>GEntry!FE14</f>
        <v>0</v>
      </c>
      <c r="FD24" s="1073">
        <f>GEntry!FF14</f>
        <v>251</v>
      </c>
      <c r="FE24" s="695">
        <f>GEntry!GF14</f>
        <v>0</v>
      </c>
      <c r="FF24" s="696">
        <f>GEntry!GG14</f>
        <v>0</v>
      </c>
      <c r="FG24" s="696">
        <f>GEntry!FK14</f>
        <v>172</v>
      </c>
      <c r="FH24" s="696">
        <f>GEntry!FL14</f>
        <v>0</v>
      </c>
      <c r="FI24" s="696">
        <f>GEntry!FM14</f>
        <v>0</v>
      </c>
      <c r="FJ24" s="696">
        <f>GEntry!FN14</f>
        <v>207</v>
      </c>
      <c r="FK24" s="696">
        <f>GEntry!ER14</f>
        <v>0</v>
      </c>
      <c r="FL24" s="696">
        <f>GEntry!EU14</f>
        <v>95</v>
      </c>
      <c r="FM24" s="694">
        <f>GEntry!FO14</f>
        <v>144</v>
      </c>
      <c r="FN24" s="696">
        <f>GEntry!FP14</f>
        <v>0</v>
      </c>
      <c r="FO24" s="695">
        <f>GEntry!FQ14</f>
        <v>281</v>
      </c>
      <c r="FP24" s="1548">
        <f>GEntry!EJ14</f>
        <v>17</v>
      </c>
      <c r="FQ24" s="1550">
        <f>GEntry!GC14</f>
        <v>168</v>
      </c>
      <c r="FR24" s="1553">
        <f>GEntry!GD14</f>
        <v>50</v>
      </c>
      <c r="FS24" s="1704">
        <f>GEntry!EY14</f>
        <v>71</v>
      </c>
      <c r="FT24" s="1779">
        <f>GEntry!GH14</f>
        <v>56</v>
      </c>
      <c r="FU24" s="1781">
        <f>GEntry!FR14</f>
        <v>0</v>
      </c>
      <c r="FV24" s="1903">
        <f>GEntry!GI14</f>
        <v>4</v>
      </c>
      <c r="FW24" s="2214">
        <f>GEntry!GE14</f>
        <v>55</v>
      </c>
      <c r="FX24" s="695">
        <f>GEntry!FB14</f>
        <v>370</v>
      </c>
      <c r="FY24" s="2585">
        <f>GEntry!EN14</f>
        <v>214</v>
      </c>
      <c r="FZ24" s="2624">
        <f>GEntry!EO14</f>
        <v>0</v>
      </c>
      <c r="GA24" s="2626">
        <f>GEntry!EM14</f>
        <v>18</v>
      </c>
      <c r="GB24" s="3134">
        <f>GEntry!FJ14</f>
        <v>5</v>
      </c>
      <c r="GC24" s="3179">
        <f>GEntry!EK14</f>
        <v>88</v>
      </c>
      <c r="GD24" s="2585">
        <f>GEntry!GJ14</f>
        <v>34</v>
      </c>
      <c r="GE24" s="4736">
        <f>GEntry!EF14</f>
        <v>0</v>
      </c>
      <c r="GF24" s="4737">
        <f>GEntry!EE14</f>
        <v>0</v>
      </c>
      <c r="GG24" s="918"/>
      <c r="GH24" s="841">
        <f t="shared" si="12"/>
        <v>6637</v>
      </c>
      <c r="GI24" s="840">
        <f t="shared" si="8"/>
        <v>3936</v>
      </c>
      <c r="GJ24" s="837">
        <f t="shared" si="9"/>
        <v>10573</v>
      </c>
      <c r="GK24" s="583">
        <f t="shared" si="0"/>
        <v>3376</v>
      </c>
      <c r="GL24" s="583">
        <f t="shared" si="1"/>
        <v>914</v>
      </c>
      <c r="GM24" s="583">
        <f t="shared" si="13"/>
        <v>1736</v>
      </c>
      <c r="GN24" s="583">
        <f t="shared" si="10"/>
        <v>954</v>
      </c>
      <c r="GO24" s="583">
        <f t="shared" si="2"/>
        <v>1770</v>
      </c>
      <c r="GP24" s="583">
        <f t="shared" si="3"/>
        <v>621</v>
      </c>
      <c r="GQ24" s="583">
        <f t="shared" si="4"/>
        <v>115</v>
      </c>
      <c r="GR24" s="583">
        <f t="shared" si="5"/>
        <v>445</v>
      </c>
      <c r="GS24" s="583">
        <f t="shared" si="11"/>
        <v>524</v>
      </c>
      <c r="GT24" s="583">
        <f t="shared" si="6"/>
        <v>150</v>
      </c>
      <c r="GU24" s="836">
        <f t="shared" si="7"/>
        <v>175</v>
      </c>
      <c r="GV24" s="835">
        <f>FWise!M16</f>
        <v>2025.6218499999995</v>
      </c>
      <c r="GW24" s="2510">
        <f>GEntry!GN14</f>
        <v>94.31</v>
      </c>
      <c r="GX24" s="12"/>
      <c r="GY24" s="12"/>
      <c r="GZ24" s="12"/>
      <c r="HB24" s="177"/>
      <c r="HC24" s="176"/>
      <c r="HD24" s="178"/>
      <c r="HE24" s="178"/>
      <c r="HF24" s="178"/>
      <c r="HG24" s="12"/>
      <c r="HH24" s="12"/>
      <c r="HI24" s="12"/>
      <c r="HJ24" s="12"/>
      <c r="HK24" s="12"/>
      <c r="HL24" s="12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12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12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32"/>
      <c r="JP24" s="12"/>
      <c r="JQ24" s="12"/>
      <c r="JR24" s="12"/>
    </row>
    <row r="25" spans="1:278" ht="23.25" customHeight="1" thickBot="1">
      <c r="A25" s="542">
        <v>0.5</v>
      </c>
      <c r="B25" s="692">
        <f>GEntry!W15</f>
        <v>0</v>
      </c>
      <c r="C25" s="689">
        <f>GEntry!X15</f>
        <v>0</v>
      </c>
      <c r="D25" s="689">
        <f>GEntry!Y15</f>
        <v>0</v>
      </c>
      <c r="E25" s="689">
        <f>GEntry!Z15</f>
        <v>0</v>
      </c>
      <c r="F25" s="690">
        <f>GEntry!AB15</f>
        <v>0</v>
      </c>
      <c r="G25" s="690">
        <f>GEntry!BZ15</f>
        <v>0</v>
      </c>
      <c r="H25" s="689">
        <f>GEntry!CT15</f>
        <v>0</v>
      </c>
      <c r="I25" s="689">
        <f>GEntry!AP15</f>
        <v>0</v>
      </c>
      <c r="J25" s="689">
        <f>GEntry!AR15</f>
        <v>0</v>
      </c>
      <c r="K25" s="689"/>
      <c r="L25" s="689">
        <f>GEntry!AO15</f>
        <v>0</v>
      </c>
      <c r="M25" s="689">
        <f>GEntry!AQ15</f>
        <v>0</v>
      </c>
      <c r="N25" s="689">
        <f>GEntry!CQ15</f>
        <v>0</v>
      </c>
      <c r="O25" s="689">
        <f>GEntry!CR15</f>
        <v>0</v>
      </c>
      <c r="P25" s="689">
        <f>GEntry!CM15</f>
        <v>0</v>
      </c>
      <c r="Q25" s="689">
        <f>GEntry!DD15</f>
        <v>0</v>
      </c>
      <c r="R25" s="689">
        <f>GEntry!T15</f>
        <v>0</v>
      </c>
      <c r="S25" s="689">
        <f>GEntry!R15</f>
        <v>0</v>
      </c>
      <c r="T25" s="689">
        <f>GEntry!S15</f>
        <v>0</v>
      </c>
      <c r="U25" s="689">
        <f>GEntry!CD15</f>
        <v>0</v>
      </c>
      <c r="V25" s="690">
        <f>GEntry!CY15</f>
        <v>0</v>
      </c>
      <c r="W25" s="689">
        <f>GEntry!CF15</f>
        <v>0</v>
      </c>
      <c r="X25" s="689">
        <f>GEntry!CP15</f>
        <v>0</v>
      </c>
      <c r="Y25" s="689">
        <f>GEntry!DC15</f>
        <v>0</v>
      </c>
      <c r="Z25" s="689">
        <f>GEntry!CN15</f>
        <v>0</v>
      </c>
      <c r="AA25" s="689">
        <f>GEntry!DB15</f>
        <v>0</v>
      </c>
      <c r="AB25" s="689">
        <f>GEntry!DH15</f>
        <v>0</v>
      </c>
      <c r="AC25" s="689">
        <f>GEntry!DE15</f>
        <v>0</v>
      </c>
      <c r="AD25" s="689">
        <f>GEntry!BK15</f>
        <v>0</v>
      </c>
      <c r="AE25" s="689">
        <f>GEntry!BN15</f>
        <v>0</v>
      </c>
      <c r="AF25" s="689">
        <f>GEntry!BV15</f>
        <v>0</v>
      </c>
      <c r="AG25" s="689">
        <f>GEntry!BW15</f>
        <v>0</v>
      </c>
      <c r="AH25" s="689">
        <f>GEntry!BX15</f>
        <v>0</v>
      </c>
      <c r="AI25" s="689">
        <f>GEntry!BY15</f>
        <v>0</v>
      </c>
      <c r="AJ25" s="689">
        <f>GEntry!CE15</f>
        <v>0</v>
      </c>
      <c r="AK25" s="689">
        <f>GEntry!AN15</f>
        <v>0</v>
      </c>
      <c r="AL25" s="1075">
        <f>GEntry!B15</f>
        <v>0</v>
      </c>
      <c r="AM25" s="1075">
        <f>GEntry!C15</f>
        <v>0</v>
      </c>
      <c r="AN25" s="689">
        <f>GEntry!D15</f>
        <v>0</v>
      </c>
      <c r="AO25" s="689">
        <f>GEntry!E15</f>
        <v>0</v>
      </c>
      <c r="AP25" s="689">
        <f>GEntry!F15</f>
        <v>0</v>
      </c>
      <c r="AQ25" s="689">
        <f>GEntry!H15</f>
        <v>0</v>
      </c>
      <c r="AR25" s="689">
        <f>GEntry!I15</f>
        <v>0</v>
      </c>
      <c r="AS25" s="689">
        <f>GEntry!K15</f>
        <v>0</v>
      </c>
      <c r="AT25" s="689">
        <f>GEntry!L15</f>
        <v>0</v>
      </c>
      <c r="AU25" s="689"/>
      <c r="AV25" s="689">
        <f>GEntry!BL15</f>
        <v>0</v>
      </c>
      <c r="AW25" s="689">
        <f>GEntry!N15</f>
        <v>0</v>
      </c>
      <c r="AX25" s="689">
        <f>GEntry!M15</f>
        <v>0</v>
      </c>
      <c r="AY25" s="689">
        <f>GEntry!CV15</f>
        <v>0</v>
      </c>
      <c r="AZ25" s="689">
        <f>GEntry!DA15</f>
        <v>0</v>
      </c>
      <c r="BA25" s="689">
        <f>GEntry!CZ15</f>
        <v>0</v>
      </c>
      <c r="BB25" s="689">
        <f>GEntry!BM15</f>
        <v>0</v>
      </c>
      <c r="BC25" s="689">
        <f>GEntry!BQ15</f>
        <v>0</v>
      </c>
      <c r="BD25" s="689">
        <f>GEntry!AD15</f>
        <v>0</v>
      </c>
      <c r="BE25" s="689">
        <f>GEntry!AE15</f>
        <v>0</v>
      </c>
      <c r="BF25" s="689">
        <f>GEntry!AF15</f>
        <v>0</v>
      </c>
      <c r="BG25" s="689">
        <f>GEntry!AJ15</f>
        <v>0</v>
      </c>
      <c r="BH25" s="689">
        <f>GEntry!AI15</f>
        <v>0</v>
      </c>
      <c r="BI25" s="689">
        <f>GEntry!AH15</f>
        <v>0</v>
      </c>
      <c r="BJ25" s="689">
        <f>GEntry!V15</f>
        <v>0</v>
      </c>
      <c r="BK25" s="689">
        <f>GEntry!AM15</f>
        <v>0</v>
      </c>
      <c r="BL25" s="689">
        <f>GEntry!AG15</f>
        <v>0</v>
      </c>
      <c r="BM25" s="689">
        <f>GEntry!AL15</f>
        <v>0</v>
      </c>
      <c r="BN25" s="689">
        <f>GEntry!CU15</f>
        <v>0</v>
      </c>
      <c r="BO25" s="690">
        <f>GEntry!CX15</f>
        <v>0</v>
      </c>
      <c r="BP25" s="690">
        <f>GEntry!CO15</f>
        <v>0</v>
      </c>
      <c r="BQ25" s="690">
        <f>GEntry!Q15</f>
        <v>0</v>
      </c>
      <c r="BR25" s="689">
        <f>GEntry!CH15</f>
        <v>0</v>
      </c>
      <c r="BS25" s="690">
        <f>GEntry!BR15</f>
        <v>0</v>
      </c>
      <c r="BT25" s="690">
        <f>GEntry!BS15</f>
        <v>0</v>
      </c>
      <c r="BU25" s="690">
        <f>GEntry!BT15</f>
        <v>0</v>
      </c>
      <c r="BV25" s="690">
        <f>GEntry!BU15</f>
        <v>0</v>
      </c>
      <c r="BW25" s="680">
        <f>GEntry!BP15</f>
        <v>0</v>
      </c>
      <c r="BX25" s="690">
        <f>GEntry!AS15</f>
        <v>0</v>
      </c>
      <c r="BY25" s="690">
        <f>GEntry!CG15</f>
        <v>0</v>
      </c>
      <c r="BZ25" s="690">
        <f>GEntry!BO15</f>
        <v>0</v>
      </c>
      <c r="CA25" s="1077">
        <f>GEntry!DG15</f>
        <v>0</v>
      </c>
      <c r="CB25" s="690">
        <f>GEntry!AU15</f>
        <v>0</v>
      </c>
      <c r="CC25" s="690">
        <f>GEntry!AV15</f>
        <v>0</v>
      </c>
      <c r="CD25" s="690">
        <f>GEntry!BG15</f>
        <v>0</v>
      </c>
      <c r="CE25" s="690">
        <f>GEntry!CW15</f>
        <v>0</v>
      </c>
      <c r="CF25" s="690">
        <f>GEntry!DF15</f>
        <v>0</v>
      </c>
      <c r="CG25" s="690">
        <f>GEntry!AW15</f>
        <v>0</v>
      </c>
      <c r="CH25" s="690">
        <f>GEntry!AX15</f>
        <v>0</v>
      </c>
      <c r="CI25" s="690">
        <f>GEntry!AY15</f>
        <v>0</v>
      </c>
      <c r="CJ25" s="690">
        <f>GEntry!BA15</f>
        <v>0</v>
      </c>
      <c r="CK25" s="690">
        <f>GEntry!BB15</f>
        <v>0</v>
      </c>
      <c r="CL25" s="690">
        <f>GEntry!BC15</f>
        <v>0</v>
      </c>
      <c r="CM25" s="690">
        <f>GEntry!BD15</f>
        <v>0</v>
      </c>
      <c r="CN25" s="690">
        <f>GEntry!BE15</f>
        <v>0</v>
      </c>
      <c r="CO25" s="690">
        <f>GEntry!BI15</f>
        <v>0</v>
      </c>
      <c r="CP25" s="690">
        <f>GEntry!BH15</f>
        <v>0</v>
      </c>
      <c r="CQ25" s="911">
        <f>GEntry!BF15</f>
        <v>0</v>
      </c>
      <c r="CR25" s="911">
        <f>GEntry!P15</f>
        <v>0</v>
      </c>
      <c r="CS25" s="911">
        <f>GEntry!U15</f>
        <v>0</v>
      </c>
      <c r="CT25" s="690">
        <f>GEntry!DI15</f>
        <v>0</v>
      </c>
      <c r="CU25" s="911">
        <f>GEntry!DJ15</f>
        <v>0</v>
      </c>
      <c r="CV25" s="911">
        <f>GEntry!DK15</f>
        <v>0</v>
      </c>
      <c r="CW25" s="690">
        <f>GEntry!DL15</f>
        <v>0</v>
      </c>
      <c r="CX25" s="911">
        <f>GEntry!DM15</f>
        <v>0</v>
      </c>
      <c r="CY25" s="911">
        <f>GEntry!G15</f>
        <v>0</v>
      </c>
      <c r="CZ25" s="911">
        <f>GEntry!DN15</f>
        <v>0</v>
      </c>
      <c r="DA25" s="690">
        <f>GEntry!DO15</f>
        <v>0</v>
      </c>
      <c r="DB25" s="1530">
        <f>GEntry!DP15</f>
        <v>0</v>
      </c>
      <c r="DC25" s="1520">
        <f>GEntry!DQ15</f>
        <v>0</v>
      </c>
      <c r="DD25" s="1617">
        <f>GEntry!DR15</f>
        <v>0</v>
      </c>
      <c r="DE25" s="1616">
        <f>GEntry!CI15</f>
        <v>0</v>
      </c>
      <c r="DF25" s="1700">
        <f>GEntry!O15</f>
        <v>0</v>
      </c>
      <c r="DG25" s="1694">
        <f>GEntry!CJ15</f>
        <v>0</v>
      </c>
      <c r="DH25" s="1847">
        <f>GEntry!DS15</f>
        <v>0</v>
      </c>
      <c r="DI25" s="1848">
        <f>GEntry!CK15</f>
        <v>0</v>
      </c>
      <c r="DJ25" s="1859">
        <f>GEntry!CL15</f>
        <v>0</v>
      </c>
      <c r="DK25" s="2176">
        <f>GEntry!CA15</f>
        <v>0</v>
      </c>
      <c r="DL25" s="2396">
        <f>GEntry!CB15</f>
        <v>0</v>
      </c>
      <c r="DM25" s="2177">
        <f>GEntry!DT15</f>
        <v>0</v>
      </c>
      <c r="DN25" s="2495">
        <f>GEntry!BJ15</f>
        <v>0</v>
      </c>
      <c r="DO25" s="2496">
        <f>GEntry!CS15</f>
        <v>0</v>
      </c>
      <c r="DP25" s="2603">
        <f>GEntry!AT15</f>
        <v>0</v>
      </c>
      <c r="DQ25" s="2642">
        <f>GEntry!CC15</f>
        <v>0</v>
      </c>
      <c r="DR25" s="2667">
        <f>GEntry!DU15</f>
        <v>0</v>
      </c>
      <c r="DS25" s="2669">
        <f>GEntry!AZ15</f>
        <v>0</v>
      </c>
      <c r="DT25" s="2734">
        <f>GEntry!DV15</f>
        <v>0</v>
      </c>
      <c r="DU25" s="2736">
        <f>GEntry!DW15</f>
        <v>0</v>
      </c>
      <c r="DV25" s="3114">
        <f>GEntry!DX15</f>
        <v>0</v>
      </c>
      <c r="DW25" s="3114">
        <f>GEntry!DY15</f>
        <v>0</v>
      </c>
      <c r="DX25" s="4684">
        <f>GEntry!AK15</f>
        <v>0</v>
      </c>
      <c r="DY25" s="915"/>
      <c r="DZ25" s="698">
        <f>GEntry!EZ15</f>
        <v>0</v>
      </c>
      <c r="EA25" s="695">
        <f>GEntry!EX15</f>
        <v>0</v>
      </c>
      <c r="EB25" s="695">
        <f>GEntry!FA15</f>
        <v>0</v>
      </c>
      <c r="EC25" s="695">
        <f>GEntry!EC15</f>
        <v>0</v>
      </c>
      <c r="ED25" s="695">
        <f>GEntry!ED15</f>
        <v>0</v>
      </c>
      <c r="EE25" s="695">
        <f>GEntry!EI15</f>
        <v>0</v>
      </c>
      <c r="EF25" s="695">
        <f>GEntry!EB15</f>
        <v>0</v>
      </c>
      <c r="EG25" s="695">
        <f>GEntry!EG15</f>
        <v>0</v>
      </c>
      <c r="EH25" s="695">
        <f>GEntry!EH15</f>
        <v>0</v>
      </c>
      <c r="EI25" s="695">
        <f>GEntry!EW15</f>
        <v>0</v>
      </c>
      <c r="EJ25" s="695">
        <f>GEntry!EV15</f>
        <v>0</v>
      </c>
      <c r="EK25" s="695">
        <f>GEntry!ES15</f>
        <v>0</v>
      </c>
      <c r="EL25" s="695">
        <f>GEntry!ET15</f>
        <v>0</v>
      </c>
      <c r="EM25" s="695">
        <f>GEntry!EP15</f>
        <v>0</v>
      </c>
      <c r="EN25" s="695">
        <f>GEntry!EQ15</f>
        <v>0</v>
      </c>
      <c r="EO25" s="695">
        <f>GEntry!FH15</f>
        <v>0</v>
      </c>
      <c r="EP25" s="695">
        <f>GEntry!FG15</f>
        <v>0</v>
      </c>
      <c r="EQ25" s="695">
        <f>GEntry!FI15</f>
        <v>0</v>
      </c>
      <c r="ER25" s="695">
        <f>GEntry!FS15</f>
        <v>0</v>
      </c>
      <c r="ES25" s="695">
        <f>GEntry!GB15</f>
        <v>0</v>
      </c>
      <c r="ET25" s="695">
        <f>GEntry!FW15</f>
        <v>0</v>
      </c>
      <c r="EU25" s="695">
        <f>GEntry!FX15</f>
        <v>0</v>
      </c>
      <c r="EV25" s="695">
        <f>GEntry!FY15</f>
        <v>0</v>
      </c>
      <c r="EW25" s="695">
        <f>GEntry!GA15</f>
        <v>0</v>
      </c>
      <c r="EX25" s="695">
        <f>GEntry!FZ15</f>
        <v>0</v>
      </c>
      <c r="EY25" s="695">
        <f>GEntry!FT15</f>
        <v>0</v>
      </c>
      <c r="EZ25" s="695">
        <f>GEntry!FU15</f>
        <v>0</v>
      </c>
      <c r="FA25" s="695">
        <f>GEntry!FV15</f>
        <v>0</v>
      </c>
      <c r="FB25" s="1073">
        <f>GEntry!FD15</f>
        <v>0</v>
      </c>
      <c r="FC25" s="1073">
        <f>GEntry!FE15</f>
        <v>0</v>
      </c>
      <c r="FD25" s="1073">
        <f>GEntry!FF15</f>
        <v>0</v>
      </c>
      <c r="FE25" s="695">
        <f>GEntry!GF15</f>
        <v>0</v>
      </c>
      <c r="FF25" s="696">
        <f>GEntry!GG15</f>
        <v>0</v>
      </c>
      <c r="FG25" s="696">
        <f>GEntry!FK15</f>
        <v>0</v>
      </c>
      <c r="FH25" s="696">
        <f>GEntry!FL15</f>
        <v>0</v>
      </c>
      <c r="FI25" s="696">
        <f>GEntry!FM15</f>
        <v>0</v>
      </c>
      <c r="FJ25" s="696">
        <f>GEntry!FN15</f>
        <v>0</v>
      </c>
      <c r="FK25" s="696">
        <f>GEntry!ER15</f>
        <v>0</v>
      </c>
      <c r="FL25" s="696">
        <f>GEntry!EU15</f>
        <v>0</v>
      </c>
      <c r="FM25" s="694">
        <f>GEntry!FO15</f>
        <v>0</v>
      </c>
      <c r="FN25" s="696">
        <f>GEntry!FP15</f>
        <v>0</v>
      </c>
      <c r="FO25" s="695">
        <f>GEntry!FQ15</f>
        <v>0</v>
      </c>
      <c r="FP25" s="1548">
        <f>GEntry!EJ15</f>
        <v>0</v>
      </c>
      <c r="FQ25" s="1550">
        <f>GEntry!GC15</f>
        <v>0</v>
      </c>
      <c r="FR25" s="1553">
        <f>GEntry!GD15</f>
        <v>0</v>
      </c>
      <c r="FS25" s="1704">
        <f>GEntry!EY15</f>
        <v>0</v>
      </c>
      <c r="FT25" s="1779">
        <f>GEntry!GH15</f>
        <v>0</v>
      </c>
      <c r="FU25" s="1781">
        <f>GEntry!FR15</f>
        <v>0</v>
      </c>
      <c r="FV25" s="1903">
        <f>GEntry!GI15</f>
        <v>0</v>
      </c>
      <c r="FW25" s="2214">
        <f>GEntry!GE15</f>
        <v>0</v>
      </c>
      <c r="FX25" s="695">
        <f>GEntry!FB15</f>
        <v>0</v>
      </c>
      <c r="FY25" s="2585">
        <f>GEntry!EN15</f>
        <v>0</v>
      </c>
      <c r="FZ25" s="2624">
        <f>GEntry!EO15</f>
        <v>0</v>
      </c>
      <c r="GA25" s="2626">
        <f>GEntry!EM15</f>
        <v>0</v>
      </c>
      <c r="GB25" s="3134">
        <f>GEntry!FJ15</f>
        <v>0</v>
      </c>
      <c r="GC25" s="3179">
        <f>GEntry!EK15</f>
        <v>0</v>
      </c>
      <c r="GD25" s="2585">
        <f>GEntry!GJ15</f>
        <v>0</v>
      </c>
      <c r="GE25" s="4736">
        <f>GEntry!EF15</f>
        <v>0</v>
      </c>
      <c r="GF25" s="4737">
        <f>GEntry!EE15</f>
        <v>0</v>
      </c>
      <c r="GG25" s="918"/>
      <c r="GH25" s="841">
        <f t="shared" si="12"/>
        <v>0</v>
      </c>
      <c r="GI25" s="840">
        <f t="shared" si="8"/>
        <v>0</v>
      </c>
      <c r="GJ25" s="837">
        <f t="shared" si="9"/>
        <v>0</v>
      </c>
      <c r="GK25" s="583">
        <f t="shared" si="0"/>
        <v>0</v>
      </c>
      <c r="GL25" s="583">
        <f t="shared" si="1"/>
        <v>0</v>
      </c>
      <c r="GM25" s="583">
        <f t="shared" si="13"/>
        <v>0</v>
      </c>
      <c r="GN25" s="583">
        <f t="shared" si="10"/>
        <v>0</v>
      </c>
      <c r="GO25" s="583">
        <f t="shared" si="2"/>
        <v>0</v>
      </c>
      <c r="GP25" s="583">
        <f t="shared" si="3"/>
        <v>0</v>
      </c>
      <c r="GQ25" s="583">
        <f t="shared" si="4"/>
        <v>0</v>
      </c>
      <c r="GR25" s="583">
        <f t="shared" si="5"/>
        <v>0</v>
      </c>
      <c r="GS25" s="583">
        <f t="shared" si="11"/>
        <v>0</v>
      </c>
      <c r="GT25" s="583">
        <f t="shared" si="6"/>
        <v>0</v>
      </c>
      <c r="GU25" s="836">
        <f t="shared" si="7"/>
        <v>0</v>
      </c>
      <c r="GV25" s="835">
        <f>FWise!M17</f>
        <v>2293.8001750000003</v>
      </c>
      <c r="GW25" s="2510">
        <f>GEntry!GN15</f>
        <v>0</v>
      </c>
      <c r="GX25" s="12"/>
      <c r="GY25" s="12"/>
      <c r="GZ25" s="12"/>
      <c r="HB25" s="177"/>
      <c r="HC25" s="176"/>
      <c r="HD25" s="178"/>
      <c r="HE25" s="178"/>
      <c r="HF25" s="178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12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32"/>
      <c r="JP25" s="12"/>
      <c r="JQ25" s="12"/>
      <c r="JR25" s="12"/>
    </row>
    <row r="26" spans="1:278" ht="21.75" customHeight="1" thickBot="1">
      <c r="A26" s="542">
        <v>0.54166666666666896</v>
      </c>
      <c r="B26" s="692">
        <f>GEntry!W16</f>
        <v>0</v>
      </c>
      <c r="C26" s="689">
        <f>GEntry!X16</f>
        <v>0</v>
      </c>
      <c r="D26" s="689">
        <f>GEntry!Y16</f>
        <v>0</v>
      </c>
      <c r="E26" s="689">
        <f>GEntry!Z16</f>
        <v>0</v>
      </c>
      <c r="F26" s="690">
        <f>GEntry!AB16</f>
        <v>0</v>
      </c>
      <c r="G26" s="690">
        <f>GEntry!BZ16</f>
        <v>0</v>
      </c>
      <c r="H26" s="689">
        <f>GEntry!CT16</f>
        <v>0</v>
      </c>
      <c r="I26" s="689">
        <f>GEntry!AP16</f>
        <v>0</v>
      </c>
      <c r="J26" s="689">
        <f>GEntry!AR16</f>
        <v>0</v>
      </c>
      <c r="K26" s="689"/>
      <c r="L26" s="689">
        <f>GEntry!AO16</f>
        <v>0</v>
      </c>
      <c r="M26" s="689">
        <f>GEntry!AQ16</f>
        <v>0</v>
      </c>
      <c r="N26" s="689">
        <f>GEntry!CQ16</f>
        <v>0</v>
      </c>
      <c r="O26" s="689">
        <f>GEntry!CR16</f>
        <v>0</v>
      </c>
      <c r="P26" s="689">
        <f>GEntry!CM16</f>
        <v>0</v>
      </c>
      <c r="Q26" s="689">
        <f>GEntry!DD16</f>
        <v>0</v>
      </c>
      <c r="R26" s="689">
        <f>GEntry!T16</f>
        <v>0</v>
      </c>
      <c r="S26" s="689">
        <f>GEntry!R16</f>
        <v>0</v>
      </c>
      <c r="T26" s="689">
        <f>GEntry!S16</f>
        <v>0</v>
      </c>
      <c r="U26" s="689">
        <f>GEntry!CD16</f>
        <v>0</v>
      </c>
      <c r="V26" s="690">
        <f>GEntry!CY16</f>
        <v>0</v>
      </c>
      <c r="W26" s="689">
        <f>GEntry!CF16</f>
        <v>0</v>
      </c>
      <c r="X26" s="689">
        <f>GEntry!CP16</f>
        <v>0</v>
      </c>
      <c r="Y26" s="689">
        <f>GEntry!DC16</f>
        <v>0</v>
      </c>
      <c r="Z26" s="689">
        <f>GEntry!CN16</f>
        <v>0</v>
      </c>
      <c r="AA26" s="689">
        <f>GEntry!DB16</f>
        <v>0</v>
      </c>
      <c r="AB26" s="689">
        <f>GEntry!DH16</f>
        <v>0</v>
      </c>
      <c r="AC26" s="689">
        <f>GEntry!DE16</f>
        <v>0</v>
      </c>
      <c r="AD26" s="689">
        <f>GEntry!BK16</f>
        <v>0</v>
      </c>
      <c r="AE26" s="689">
        <f>GEntry!BN16</f>
        <v>0</v>
      </c>
      <c r="AF26" s="689">
        <f>GEntry!BV16</f>
        <v>0</v>
      </c>
      <c r="AG26" s="689">
        <f>GEntry!BW16</f>
        <v>0</v>
      </c>
      <c r="AH26" s="689">
        <f>GEntry!BX16</f>
        <v>0</v>
      </c>
      <c r="AI26" s="689">
        <f>GEntry!BY16</f>
        <v>0</v>
      </c>
      <c r="AJ26" s="689">
        <f>GEntry!CE16</f>
        <v>0</v>
      </c>
      <c r="AK26" s="689">
        <f>GEntry!AN16</f>
        <v>0</v>
      </c>
      <c r="AL26" s="1075">
        <f>GEntry!B16</f>
        <v>0</v>
      </c>
      <c r="AM26" s="1075">
        <f>GEntry!C16</f>
        <v>0</v>
      </c>
      <c r="AN26" s="689">
        <f>GEntry!D16</f>
        <v>0</v>
      </c>
      <c r="AO26" s="689">
        <f>GEntry!E16</f>
        <v>0</v>
      </c>
      <c r="AP26" s="689">
        <f>GEntry!F16</f>
        <v>0</v>
      </c>
      <c r="AQ26" s="689">
        <f>GEntry!H16</f>
        <v>0</v>
      </c>
      <c r="AR26" s="689">
        <f>GEntry!I16</f>
        <v>0</v>
      </c>
      <c r="AS26" s="689">
        <f>GEntry!K16</f>
        <v>0</v>
      </c>
      <c r="AT26" s="689">
        <f>GEntry!L16</f>
        <v>0</v>
      </c>
      <c r="AU26" s="689"/>
      <c r="AV26" s="689">
        <f>GEntry!BL16</f>
        <v>0</v>
      </c>
      <c r="AW26" s="689">
        <f>GEntry!N16</f>
        <v>0</v>
      </c>
      <c r="AX26" s="689">
        <f>GEntry!M16</f>
        <v>0</v>
      </c>
      <c r="AY26" s="689">
        <f>GEntry!CV16</f>
        <v>0</v>
      </c>
      <c r="AZ26" s="689">
        <f>GEntry!DA16</f>
        <v>0</v>
      </c>
      <c r="BA26" s="689">
        <f>GEntry!CZ16</f>
        <v>0</v>
      </c>
      <c r="BB26" s="689">
        <f>GEntry!BM16</f>
        <v>0</v>
      </c>
      <c r="BC26" s="689">
        <f>GEntry!BQ16</f>
        <v>0</v>
      </c>
      <c r="BD26" s="689">
        <f>GEntry!AD16</f>
        <v>0</v>
      </c>
      <c r="BE26" s="689">
        <f>GEntry!AE16</f>
        <v>0</v>
      </c>
      <c r="BF26" s="689">
        <f>GEntry!AF16</f>
        <v>0</v>
      </c>
      <c r="BG26" s="689">
        <f>GEntry!AJ16</f>
        <v>0</v>
      </c>
      <c r="BH26" s="689">
        <f>GEntry!AI16</f>
        <v>0</v>
      </c>
      <c r="BI26" s="689">
        <f>GEntry!AH16</f>
        <v>0</v>
      </c>
      <c r="BJ26" s="689">
        <f>GEntry!V16</f>
        <v>0</v>
      </c>
      <c r="BK26" s="689">
        <f>GEntry!AM16</f>
        <v>0</v>
      </c>
      <c r="BL26" s="689">
        <f>GEntry!AG16</f>
        <v>0</v>
      </c>
      <c r="BM26" s="689">
        <f>GEntry!AL16</f>
        <v>0</v>
      </c>
      <c r="BN26" s="689">
        <f>GEntry!CU16</f>
        <v>0</v>
      </c>
      <c r="BO26" s="690">
        <f>GEntry!CX16</f>
        <v>0</v>
      </c>
      <c r="BP26" s="690">
        <f>GEntry!CO16</f>
        <v>0</v>
      </c>
      <c r="BQ26" s="690">
        <f>GEntry!Q16</f>
        <v>0</v>
      </c>
      <c r="BR26" s="689">
        <f>GEntry!CH16</f>
        <v>0</v>
      </c>
      <c r="BS26" s="690">
        <f>GEntry!BR16</f>
        <v>0</v>
      </c>
      <c r="BT26" s="690">
        <f>GEntry!BS16</f>
        <v>0</v>
      </c>
      <c r="BU26" s="690">
        <f>GEntry!BT16</f>
        <v>0</v>
      </c>
      <c r="BV26" s="690">
        <f>GEntry!BU16</f>
        <v>0</v>
      </c>
      <c r="BW26" s="680">
        <f>GEntry!BP16</f>
        <v>0</v>
      </c>
      <c r="BX26" s="690">
        <f>GEntry!AS16</f>
        <v>0</v>
      </c>
      <c r="BY26" s="690">
        <f>GEntry!CG16</f>
        <v>0</v>
      </c>
      <c r="BZ26" s="690">
        <f>GEntry!BO16</f>
        <v>0</v>
      </c>
      <c r="CA26" s="1077">
        <f>GEntry!DG16</f>
        <v>0</v>
      </c>
      <c r="CB26" s="690">
        <f>GEntry!AU16</f>
        <v>0</v>
      </c>
      <c r="CC26" s="690">
        <f>GEntry!AV16</f>
        <v>0</v>
      </c>
      <c r="CD26" s="690">
        <f>GEntry!BG16</f>
        <v>0</v>
      </c>
      <c r="CE26" s="690">
        <f>GEntry!CW16</f>
        <v>0</v>
      </c>
      <c r="CF26" s="690">
        <f>GEntry!DF16</f>
        <v>0</v>
      </c>
      <c r="CG26" s="690">
        <f>GEntry!AW16</f>
        <v>0</v>
      </c>
      <c r="CH26" s="690">
        <f>GEntry!AX16</f>
        <v>0</v>
      </c>
      <c r="CI26" s="690">
        <f>GEntry!AY16</f>
        <v>0</v>
      </c>
      <c r="CJ26" s="690">
        <f>GEntry!BA16</f>
        <v>0</v>
      </c>
      <c r="CK26" s="690">
        <f>GEntry!BB16</f>
        <v>0</v>
      </c>
      <c r="CL26" s="690">
        <f>GEntry!BC16</f>
        <v>0</v>
      </c>
      <c r="CM26" s="690">
        <f>GEntry!BD16</f>
        <v>0</v>
      </c>
      <c r="CN26" s="690">
        <f>GEntry!BE16</f>
        <v>0</v>
      </c>
      <c r="CO26" s="690">
        <f>GEntry!BI16</f>
        <v>0</v>
      </c>
      <c r="CP26" s="690">
        <f>GEntry!BH16</f>
        <v>0</v>
      </c>
      <c r="CQ26" s="911">
        <f>GEntry!BF16</f>
        <v>0</v>
      </c>
      <c r="CR26" s="911">
        <f>GEntry!P16</f>
        <v>0</v>
      </c>
      <c r="CS26" s="911">
        <f>GEntry!U16</f>
        <v>0</v>
      </c>
      <c r="CT26" s="690">
        <f>GEntry!DI16</f>
        <v>0</v>
      </c>
      <c r="CU26" s="911">
        <f>GEntry!DJ16</f>
        <v>0</v>
      </c>
      <c r="CV26" s="911">
        <f>GEntry!DK16</f>
        <v>0</v>
      </c>
      <c r="CW26" s="690">
        <f>GEntry!DL16</f>
        <v>0</v>
      </c>
      <c r="CX26" s="911">
        <f>GEntry!DM16</f>
        <v>0</v>
      </c>
      <c r="CY26" s="911">
        <f>GEntry!G16</f>
        <v>0</v>
      </c>
      <c r="CZ26" s="911">
        <f>GEntry!DN16</f>
        <v>0</v>
      </c>
      <c r="DA26" s="690">
        <f>GEntry!DO16</f>
        <v>0</v>
      </c>
      <c r="DB26" s="1530">
        <f>GEntry!DP16</f>
        <v>0</v>
      </c>
      <c r="DC26" s="1520">
        <f>GEntry!DQ16</f>
        <v>0</v>
      </c>
      <c r="DD26" s="1617">
        <f>GEntry!DR16</f>
        <v>0</v>
      </c>
      <c r="DE26" s="1616">
        <f>GEntry!CI16</f>
        <v>0</v>
      </c>
      <c r="DF26" s="1700">
        <f>GEntry!O16</f>
        <v>0</v>
      </c>
      <c r="DG26" s="1694">
        <f>GEntry!CJ16</f>
        <v>0</v>
      </c>
      <c r="DH26" s="1847">
        <f>GEntry!DS16</f>
        <v>0</v>
      </c>
      <c r="DI26" s="1848">
        <f>GEntry!CK16</f>
        <v>0</v>
      </c>
      <c r="DJ26" s="1859">
        <f>GEntry!CL16</f>
        <v>0</v>
      </c>
      <c r="DK26" s="2176">
        <f>GEntry!CA16</f>
        <v>0</v>
      </c>
      <c r="DL26" s="2396">
        <f>GEntry!CB16</f>
        <v>0</v>
      </c>
      <c r="DM26" s="2177">
        <f>GEntry!DT16</f>
        <v>0</v>
      </c>
      <c r="DN26" s="2495">
        <f>GEntry!BJ16</f>
        <v>0</v>
      </c>
      <c r="DO26" s="2496">
        <f>GEntry!CS16</f>
        <v>0</v>
      </c>
      <c r="DP26" s="2603">
        <f>GEntry!AT16</f>
        <v>0</v>
      </c>
      <c r="DQ26" s="2642">
        <f>GEntry!CC16</f>
        <v>0</v>
      </c>
      <c r="DR26" s="2667">
        <f>GEntry!DU16</f>
        <v>0</v>
      </c>
      <c r="DS26" s="2669">
        <f>GEntry!AZ16</f>
        <v>0</v>
      </c>
      <c r="DT26" s="2734">
        <f>GEntry!DV16</f>
        <v>0</v>
      </c>
      <c r="DU26" s="2736">
        <f>GEntry!DW16</f>
        <v>0</v>
      </c>
      <c r="DV26" s="3114">
        <f>GEntry!DX16</f>
        <v>0</v>
      </c>
      <c r="DW26" s="3114">
        <f>GEntry!DY16</f>
        <v>0</v>
      </c>
      <c r="DX26" s="4684">
        <f>GEntry!AK16</f>
        <v>0</v>
      </c>
      <c r="DY26" s="915"/>
      <c r="DZ26" s="698">
        <f>GEntry!EZ16</f>
        <v>0</v>
      </c>
      <c r="EA26" s="695">
        <f>GEntry!EX16</f>
        <v>0</v>
      </c>
      <c r="EB26" s="695">
        <f>GEntry!FA16</f>
        <v>0</v>
      </c>
      <c r="EC26" s="695">
        <f>GEntry!EC16</f>
        <v>0</v>
      </c>
      <c r="ED26" s="695">
        <f>GEntry!ED16</f>
        <v>0</v>
      </c>
      <c r="EE26" s="695">
        <f>GEntry!EI16</f>
        <v>0</v>
      </c>
      <c r="EF26" s="695">
        <f>GEntry!EB16</f>
        <v>0</v>
      </c>
      <c r="EG26" s="695">
        <f>GEntry!EG16</f>
        <v>0</v>
      </c>
      <c r="EH26" s="695">
        <f>GEntry!EH16</f>
        <v>0</v>
      </c>
      <c r="EI26" s="695">
        <f>GEntry!EW16</f>
        <v>0</v>
      </c>
      <c r="EJ26" s="695">
        <f>GEntry!EV16</f>
        <v>0</v>
      </c>
      <c r="EK26" s="695">
        <f>GEntry!ES16</f>
        <v>0</v>
      </c>
      <c r="EL26" s="695">
        <f>GEntry!ET16</f>
        <v>0</v>
      </c>
      <c r="EM26" s="695">
        <f>GEntry!EP16</f>
        <v>0</v>
      </c>
      <c r="EN26" s="695">
        <f>GEntry!EQ16</f>
        <v>0</v>
      </c>
      <c r="EO26" s="695">
        <f>GEntry!FH16</f>
        <v>0</v>
      </c>
      <c r="EP26" s="695">
        <f>GEntry!FG16</f>
        <v>0</v>
      </c>
      <c r="EQ26" s="695">
        <f>GEntry!FI16</f>
        <v>0</v>
      </c>
      <c r="ER26" s="695">
        <f>GEntry!FS16</f>
        <v>0</v>
      </c>
      <c r="ES26" s="695">
        <f>GEntry!GB16</f>
        <v>0</v>
      </c>
      <c r="ET26" s="695">
        <f>GEntry!FW16</f>
        <v>0</v>
      </c>
      <c r="EU26" s="695">
        <f>GEntry!FX16</f>
        <v>0</v>
      </c>
      <c r="EV26" s="695">
        <f>GEntry!FY16</f>
        <v>0</v>
      </c>
      <c r="EW26" s="695">
        <f>GEntry!GA16</f>
        <v>0</v>
      </c>
      <c r="EX26" s="695">
        <f>GEntry!FZ16</f>
        <v>0</v>
      </c>
      <c r="EY26" s="695">
        <f>GEntry!FT16</f>
        <v>0</v>
      </c>
      <c r="EZ26" s="695">
        <f>GEntry!FU16</f>
        <v>0</v>
      </c>
      <c r="FA26" s="695">
        <f>GEntry!FV16</f>
        <v>0</v>
      </c>
      <c r="FB26" s="1073">
        <f>GEntry!FD16</f>
        <v>0</v>
      </c>
      <c r="FC26" s="1073">
        <f>GEntry!FE16</f>
        <v>0</v>
      </c>
      <c r="FD26" s="1073">
        <f>GEntry!FF16</f>
        <v>0</v>
      </c>
      <c r="FE26" s="695">
        <f>GEntry!GF16</f>
        <v>0</v>
      </c>
      <c r="FF26" s="696">
        <f>GEntry!GG16</f>
        <v>0</v>
      </c>
      <c r="FG26" s="696">
        <f>GEntry!FK16</f>
        <v>0</v>
      </c>
      <c r="FH26" s="696">
        <f>GEntry!FL16</f>
        <v>0</v>
      </c>
      <c r="FI26" s="696">
        <f>GEntry!FM16</f>
        <v>0</v>
      </c>
      <c r="FJ26" s="696">
        <f>GEntry!FN16</f>
        <v>0</v>
      </c>
      <c r="FK26" s="696">
        <f>GEntry!ER16</f>
        <v>0</v>
      </c>
      <c r="FL26" s="696">
        <f>GEntry!EU16</f>
        <v>0</v>
      </c>
      <c r="FM26" s="694">
        <f>GEntry!FO16</f>
        <v>0</v>
      </c>
      <c r="FN26" s="696">
        <f>GEntry!FP16</f>
        <v>0</v>
      </c>
      <c r="FO26" s="695">
        <f>GEntry!FQ16</f>
        <v>0</v>
      </c>
      <c r="FP26" s="1548">
        <f>GEntry!EJ16</f>
        <v>0</v>
      </c>
      <c r="FQ26" s="1550">
        <f>GEntry!GC16</f>
        <v>0</v>
      </c>
      <c r="FR26" s="1553">
        <f>GEntry!GD16</f>
        <v>0</v>
      </c>
      <c r="FS26" s="1704">
        <f>GEntry!EY16</f>
        <v>0</v>
      </c>
      <c r="FT26" s="1779">
        <f>GEntry!GH16</f>
        <v>0</v>
      </c>
      <c r="FU26" s="1781">
        <f>GEntry!FR16</f>
        <v>0</v>
      </c>
      <c r="FV26" s="1903">
        <f>GEntry!GI16</f>
        <v>0</v>
      </c>
      <c r="FW26" s="2214">
        <f>GEntry!GE16</f>
        <v>0</v>
      </c>
      <c r="FX26" s="695">
        <f>GEntry!FB16</f>
        <v>0</v>
      </c>
      <c r="FY26" s="2585">
        <f>GEntry!EN16</f>
        <v>0</v>
      </c>
      <c r="FZ26" s="2624">
        <f>GEntry!EO16</f>
        <v>0</v>
      </c>
      <c r="GA26" s="2626">
        <f>GEntry!EM16</f>
        <v>0</v>
      </c>
      <c r="GB26" s="3134">
        <f>GEntry!FJ16</f>
        <v>0</v>
      </c>
      <c r="GC26" s="3179">
        <f>GEntry!EK16</f>
        <v>0</v>
      </c>
      <c r="GD26" s="2585">
        <f>GEntry!GJ16</f>
        <v>0</v>
      </c>
      <c r="GE26" s="4736">
        <f>GEntry!EF16</f>
        <v>0</v>
      </c>
      <c r="GF26" s="4737">
        <f>GEntry!EE16</f>
        <v>0</v>
      </c>
      <c r="GG26" s="918"/>
      <c r="GH26" s="841">
        <f t="shared" si="12"/>
        <v>0</v>
      </c>
      <c r="GI26" s="840">
        <f t="shared" si="8"/>
        <v>0</v>
      </c>
      <c r="GJ26" s="837">
        <f t="shared" si="9"/>
        <v>0</v>
      </c>
      <c r="GK26" s="583">
        <f t="shared" si="0"/>
        <v>0</v>
      </c>
      <c r="GL26" s="583">
        <f t="shared" si="1"/>
        <v>0</v>
      </c>
      <c r="GM26" s="583">
        <f t="shared" si="13"/>
        <v>0</v>
      </c>
      <c r="GN26" s="583">
        <f t="shared" si="10"/>
        <v>0</v>
      </c>
      <c r="GO26" s="583">
        <f t="shared" si="2"/>
        <v>0</v>
      </c>
      <c r="GP26" s="583">
        <f t="shared" si="3"/>
        <v>0</v>
      </c>
      <c r="GQ26" s="583">
        <f t="shared" si="4"/>
        <v>0</v>
      </c>
      <c r="GR26" s="583">
        <f t="shared" si="5"/>
        <v>0</v>
      </c>
      <c r="GS26" s="583">
        <f t="shared" si="11"/>
        <v>0</v>
      </c>
      <c r="GT26" s="583">
        <f t="shared" si="6"/>
        <v>0</v>
      </c>
      <c r="GU26" s="836">
        <f t="shared" si="7"/>
        <v>0</v>
      </c>
      <c r="GV26" s="835">
        <f>FWise!M18</f>
        <v>1957.425299999999</v>
      </c>
      <c r="GW26" s="2510">
        <f>GEntry!GN16</f>
        <v>0</v>
      </c>
      <c r="GX26" s="12"/>
      <c r="GY26" s="12"/>
      <c r="GZ26" s="12"/>
      <c r="HA26" s="12"/>
      <c r="HB26" s="176"/>
      <c r="HC26" s="176"/>
      <c r="HD26" s="176"/>
      <c r="HE26" s="176"/>
      <c r="HF26" s="176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12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32"/>
      <c r="JP26" s="12"/>
      <c r="JQ26" s="12"/>
      <c r="JR26" s="12"/>
    </row>
    <row r="27" spans="1:278" ht="21.75" customHeight="1" thickBot="1">
      <c r="A27" s="542">
        <v>0.58333333333333337</v>
      </c>
      <c r="B27" s="692">
        <f>GEntry!W17</f>
        <v>0</v>
      </c>
      <c r="C27" s="689">
        <f>GEntry!X17</f>
        <v>0</v>
      </c>
      <c r="D27" s="689">
        <f>GEntry!Y17</f>
        <v>0</v>
      </c>
      <c r="E27" s="689">
        <f>GEntry!Z17</f>
        <v>0</v>
      </c>
      <c r="F27" s="690">
        <f>GEntry!AB17</f>
        <v>0</v>
      </c>
      <c r="G27" s="690">
        <f>GEntry!BZ17</f>
        <v>0</v>
      </c>
      <c r="H27" s="689">
        <f>GEntry!CT17</f>
        <v>0</v>
      </c>
      <c r="I27" s="689">
        <f>GEntry!AP17</f>
        <v>0</v>
      </c>
      <c r="J27" s="689">
        <f>GEntry!AR17</f>
        <v>0</v>
      </c>
      <c r="K27" s="689"/>
      <c r="L27" s="689">
        <f>GEntry!AO17</f>
        <v>0</v>
      </c>
      <c r="M27" s="689">
        <f>GEntry!AQ17</f>
        <v>0</v>
      </c>
      <c r="N27" s="689">
        <f>GEntry!CQ17</f>
        <v>0</v>
      </c>
      <c r="O27" s="689">
        <f>GEntry!CR17</f>
        <v>0</v>
      </c>
      <c r="P27" s="689">
        <f>GEntry!CM17</f>
        <v>0</v>
      </c>
      <c r="Q27" s="689">
        <f>GEntry!DD17</f>
        <v>0</v>
      </c>
      <c r="R27" s="689">
        <f>GEntry!T17</f>
        <v>0</v>
      </c>
      <c r="S27" s="689">
        <f>GEntry!R17</f>
        <v>0</v>
      </c>
      <c r="T27" s="689">
        <f>GEntry!S17</f>
        <v>0</v>
      </c>
      <c r="U27" s="689">
        <f>GEntry!CD17</f>
        <v>0</v>
      </c>
      <c r="V27" s="690">
        <f>GEntry!CY17</f>
        <v>0</v>
      </c>
      <c r="W27" s="689">
        <f>GEntry!CF17</f>
        <v>0</v>
      </c>
      <c r="X27" s="689">
        <f>GEntry!CP17</f>
        <v>0</v>
      </c>
      <c r="Y27" s="689">
        <f>GEntry!DC17</f>
        <v>0</v>
      </c>
      <c r="Z27" s="689">
        <f>GEntry!CN17</f>
        <v>0</v>
      </c>
      <c r="AA27" s="689">
        <f>GEntry!DB17</f>
        <v>0</v>
      </c>
      <c r="AB27" s="689">
        <f>GEntry!DH17</f>
        <v>0</v>
      </c>
      <c r="AC27" s="689">
        <f>GEntry!DE17</f>
        <v>0</v>
      </c>
      <c r="AD27" s="689">
        <f>GEntry!BK17</f>
        <v>0</v>
      </c>
      <c r="AE27" s="689">
        <f>GEntry!BN17</f>
        <v>0</v>
      </c>
      <c r="AF27" s="689">
        <f>GEntry!BV17</f>
        <v>0</v>
      </c>
      <c r="AG27" s="689">
        <f>GEntry!BW17</f>
        <v>0</v>
      </c>
      <c r="AH27" s="689">
        <f>GEntry!BX17</f>
        <v>0</v>
      </c>
      <c r="AI27" s="689">
        <f>GEntry!BY17</f>
        <v>0</v>
      </c>
      <c r="AJ27" s="689">
        <f>GEntry!CE17</f>
        <v>0</v>
      </c>
      <c r="AK27" s="689">
        <f>GEntry!AN17</f>
        <v>0</v>
      </c>
      <c r="AL27" s="1075">
        <f>GEntry!B17</f>
        <v>0</v>
      </c>
      <c r="AM27" s="1075">
        <f>GEntry!C17</f>
        <v>0</v>
      </c>
      <c r="AN27" s="689">
        <f>GEntry!D17</f>
        <v>0</v>
      </c>
      <c r="AO27" s="689">
        <f>GEntry!E17</f>
        <v>0</v>
      </c>
      <c r="AP27" s="689">
        <f>GEntry!F17</f>
        <v>0</v>
      </c>
      <c r="AQ27" s="689">
        <f>GEntry!H17</f>
        <v>0</v>
      </c>
      <c r="AR27" s="689">
        <f>GEntry!I17</f>
        <v>0</v>
      </c>
      <c r="AS27" s="689">
        <f>GEntry!K17</f>
        <v>0</v>
      </c>
      <c r="AT27" s="689">
        <f>GEntry!L17</f>
        <v>0</v>
      </c>
      <c r="AU27" s="689"/>
      <c r="AV27" s="689">
        <f>GEntry!BL17</f>
        <v>0</v>
      </c>
      <c r="AW27" s="689">
        <f>GEntry!N17</f>
        <v>0</v>
      </c>
      <c r="AX27" s="689">
        <f>GEntry!M17</f>
        <v>0</v>
      </c>
      <c r="AY27" s="689">
        <f>GEntry!CV17</f>
        <v>0</v>
      </c>
      <c r="AZ27" s="689">
        <f>GEntry!DA17</f>
        <v>0</v>
      </c>
      <c r="BA27" s="689">
        <f>GEntry!CZ17</f>
        <v>0</v>
      </c>
      <c r="BB27" s="689">
        <f>GEntry!BM17</f>
        <v>0</v>
      </c>
      <c r="BC27" s="689">
        <f>GEntry!BQ17</f>
        <v>0</v>
      </c>
      <c r="BD27" s="689">
        <f>GEntry!AD17</f>
        <v>0</v>
      </c>
      <c r="BE27" s="689">
        <f>GEntry!AE17</f>
        <v>0</v>
      </c>
      <c r="BF27" s="689">
        <f>GEntry!AF17</f>
        <v>0</v>
      </c>
      <c r="BG27" s="689">
        <f>GEntry!AJ17</f>
        <v>0</v>
      </c>
      <c r="BH27" s="689">
        <f>GEntry!AI17</f>
        <v>0</v>
      </c>
      <c r="BI27" s="689">
        <f>GEntry!AH17</f>
        <v>0</v>
      </c>
      <c r="BJ27" s="689">
        <f>GEntry!V17</f>
        <v>0</v>
      </c>
      <c r="BK27" s="689">
        <f>GEntry!AM17</f>
        <v>0</v>
      </c>
      <c r="BL27" s="689">
        <f>GEntry!AG17</f>
        <v>0</v>
      </c>
      <c r="BM27" s="689">
        <f>GEntry!AL17</f>
        <v>0</v>
      </c>
      <c r="BN27" s="689">
        <f>GEntry!CU17</f>
        <v>0</v>
      </c>
      <c r="BO27" s="690">
        <f>GEntry!CX17</f>
        <v>0</v>
      </c>
      <c r="BP27" s="690">
        <f>GEntry!CO17</f>
        <v>0</v>
      </c>
      <c r="BQ27" s="690">
        <f>GEntry!Q17</f>
        <v>0</v>
      </c>
      <c r="BR27" s="689">
        <f>GEntry!CH17</f>
        <v>0</v>
      </c>
      <c r="BS27" s="690">
        <f>GEntry!BR17</f>
        <v>0</v>
      </c>
      <c r="BT27" s="690">
        <f>GEntry!BS17</f>
        <v>0</v>
      </c>
      <c r="BU27" s="690">
        <f>GEntry!BT17</f>
        <v>0</v>
      </c>
      <c r="BV27" s="690">
        <f>GEntry!BU17</f>
        <v>0</v>
      </c>
      <c r="BW27" s="680">
        <f>GEntry!BP17</f>
        <v>0</v>
      </c>
      <c r="BX27" s="690">
        <f>GEntry!AS17</f>
        <v>0</v>
      </c>
      <c r="BY27" s="690">
        <f>GEntry!CG17</f>
        <v>0</v>
      </c>
      <c r="BZ27" s="690">
        <f>GEntry!BO17</f>
        <v>0</v>
      </c>
      <c r="CA27" s="1077">
        <f>GEntry!DG17</f>
        <v>0</v>
      </c>
      <c r="CB27" s="690">
        <f>GEntry!AU17</f>
        <v>0</v>
      </c>
      <c r="CC27" s="690">
        <f>GEntry!AV17</f>
        <v>0</v>
      </c>
      <c r="CD27" s="690">
        <f>GEntry!BG17</f>
        <v>0</v>
      </c>
      <c r="CE27" s="690">
        <f>GEntry!CW17</f>
        <v>0</v>
      </c>
      <c r="CF27" s="690">
        <f>GEntry!DF17</f>
        <v>0</v>
      </c>
      <c r="CG27" s="690">
        <f>GEntry!AW17</f>
        <v>0</v>
      </c>
      <c r="CH27" s="690">
        <f>GEntry!AX17</f>
        <v>0</v>
      </c>
      <c r="CI27" s="690">
        <f>GEntry!AY17</f>
        <v>0</v>
      </c>
      <c r="CJ27" s="690">
        <f>GEntry!BA17</f>
        <v>0</v>
      </c>
      <c r="CK27" s="690">
        <f>GEntry!BB17</f>
        <v>0</v>
      </c>
      <c r="CL27" s="690">
        <f>GEntry!BC17</f>
        <v>0</v>
      </c>
      <c r="CM27" s="690">
        <f>GEntry!BD17</f>
        <v>0</v>
      </c>
      <c r="CN27" s="690">
        <f>GEntry!BE17</f>
        <v>0</v>
      </c>
      <c r="CO27" s="690">
        <f>GEntry!BI17</f>
        <v>0</v>
      </c>
      <c r="CP27" s="690">
        <f>GEntry!BH17</f>
        <v>0</v>
      </c>
      <c r="CQ27" s="911">
        <f>GEntry!BF17</f>
        <v>0</v>
      </c>
      <c r="CR27" s="911">
        <f>GEntry!P17</f>
        <v>0</v>
      </c>
      <c r="CS27" s="911">
        <f>GEntry!U17</f>
        <v>0</v>
      </c>
      <c r="CT27" s="690">
        <f>GEntry!DI17</f>
        <v>0</v>
      </c>
      <c r="CU27" s="911">
        <f>GEntry!DJ17</f>
        <v>0</v>
      </c>
      <c r="CV27" s="911">
        <f>GEntry!DK17</f>
        <v>0</v>
      </c>
      <c r="CW27" s="690">
        <f>GEntry!DL17</f>
        <v>0</v>
      </c>
      <c r="CX27" s="911">
        <f>GEntry!DM17</f>
        <v>0</v>
      </c>
      <c r="CY27" s="911">
        <f>GEntry!G17</f>
        <v>0</v>
      </c>
      <c r="CZ27" s="911">
        <f>GEntry!DN17</f>
        <v>0</v>
      </c>
      <c r="DA27" s="690">
        <f>GEntry!DO17</f>
        <v>0</v>
      </c>
      <c r="DB27" s="1530">
        <f>GEntry!DP17</f>
        <v>0</v>
      </c>
      <c r="DC27" s="1520">
        <f>GEntry!DQ17</f>
        <v>0</v>
      </c>
      <c r="DD27" s="1617">
        <f>GEntry!DR17</f>
        <v>0</v>
      </c>
      <c r="DE27" s="1616">
        <f>GEntry!CI17</f>
        <v>0</v>
      </c>
      <c r="DF27" s="1700">
        <f>GEntry!O17</f>
        <v>0</v>
      </c>
      <c r="DG27" s="1694">
        <f>GEntry!CJ17</f>
        <v>0</v>
      </c>
      <c r="DH27" s="1847">
        <f>GEntry!DS17</f>
        <v>0</v>
      </c>
      <c r="DI27" s="1848">
        <f>GEntry!CK17</f>
        <v>0</v>
      </c>
      <c r="DJ27" s="1859">
        <f>GEntry!CL17</f>
        <v>0</v>
      </c>
      <c r="DK27" s="2176">
        <f>GEntry!CA17</f>
        <v>0</v>
      </c>
      <c r="DL27" s="2396">
        <f>GEntry!CB17</f>
        <v>0</v>
      </c>
      <c r="DM27" s="2177">
        <f>GEntry!DT17</f>
        <v>0</v>
      </c>
      <c r="DN27" s="2495">
        <f>GEntry!BJ17</f>
        <v>0</v>
      </c>
      <c r="DO27" s="2496">
        <f>GEntry!CS17</f>
        <v>0</v>
      </c>
      <c r="DP27" s="2603">
        <f>GEntry!AT17</f>
        <v>0</v>
      </c>
      <c r="DQ27" s="2642">
        <f>GEntry!CC17</f>
        <v>0</v>
      </c>
      <c r="DR27" s="2667">
        <f>GEntry!DU17</f>
        <v>0</v>
      </c>
      <c r="DS27" s="2669">
        <f>GEntry!AZ17</f>
        <v>0</v>
      </c>
      <c r="DT27" s="2734">
        <f>GEntry!DV17</f>
        <v>0</v>
      </c>
      <c r="DU27" s="2736">
        <f>GEntry!DW17</f>
        <v>0</v>
      </c>
      <c r="DV27" s="3114">
        <f>GEntry!DX17</f>
        <v>0</v>
      </c>
      <c r="DW27" s="3114">
        <f>GEntry!DY17</f>
        <v>0</v>
      </c>
      <c r="DX27" s="4684">
        <f>GEntry!AK17</f>
        <v>0</v>
      </c>
      <c r="DY27" s="915"/>
      <c r="DZ27" s="698">
        <f>GEntry!EZ17</f>
        <v>0</v>
      </c>
      <c r="EA27" s="695">
        <f>GEntry!EX17</f>
        <v>0</v>
      </c>
      <c r="EB27" s="695">
        <f>GEntry!FA17</f>
        <v>0</v>
      </c>
      <c r="EC27" s="695">
        <f>GEntry!EC17</f>
        <v>0</v>
      </c>
      <c r="ED27" s="695">
        <f>GEntry!ED17</f>
        <v>0</v>
      </c>
      <c r="EE27" s="695">
        <f>GEntry!EI17</f>
        <v>0</v>
      </c>
      <c r="EF27" s="695">
        <f>GEntry!EB17</f>
        <v>0</v>
      </c>
      <c r="EG27" s="695">
        <f>GEntry!EG17</f>
        <v>0</v>
      </c>
      <c r="EH27" s="695">
        <f>GEntry!EH17</f>
        <v>0</v>
      </c>
      <c r="EI27" s="695">
        <f>GEntry!EW17</f>
        <v>0</v>
      </c>
      <c r="EJ27" s="695">
        <f>GEntry!EV17</f>
        <v>0</v>
      </c>
      <c r="EK27" s="695">
        <f>GEntry!ES17</f>
        <v>0</v>
      </c>
      <c r="EL27" s="695">
        <f>GEntry!ET17</f>
        <v>0</v>
      </c>
      <c r="EM27" s="695">
        <f>GEntry!EP17</f>
        <v>0</v>
      </c>
      <c r="EN27" s="695">
        <f>GEntry!EQ17</f>
        <v>0</v>
      </c>
      <c r="EO27" s="695">
        <f>GEntry!FH17</f>
        <v>0</v>
      </c>
      <c r="EP27" s="695">
        <f>GEntry!FG17</f>
        <v>0</v>
      </c>
      <c r="EQ27" s="695">
        <f>GEntry!FI17</f>
        <v>0</v>
      </c>
      <c r="ER27" s="695">
        <f>GEntry!FS17</f>
        <v>0</v>
      </c>
      <c r="ES27" s="695">
        <f>GEntry!GB17</f>
        <v>0</v>
      </c>
      <c r="ET27" s="695">
        <f>GEntry!FW17</f>
        <v>0</v>
      </c>
      <c r="EU27" s="695">
        <f>GEntry!FX17</f>
        <v>0</v>
      </c>
      <c r="EV27" s="695">
        <f>GEntry!FY17</f>
        <v>0</v>
      </c>
      <c r="EW27" s="695">
        <f>GEntry!GA17</f>
        <v>0</v>
      </c>
      <c r="EX27" s="695">
        <f>GEntry!FZ17</f>
        <v>0</v>
      </c>
      <c r="EY27" s="695">
        <f>GEntry!FT17</f>
        <v>0</v>
      </c>
      <c r="EZ27" s="695">
        <f>GEntry!FU17</f>
        <v>0</v>
      </c>
      <c r="FA27" s="695">
        <f>GEntry!FV17</f>
        <v>0</v>
      </c>
      <c r="FB27" s="1073">
        <f>GEntry!FD17</f>
        <v>0</v>
      </c>
      <c r="FC27" s="1073">
        <f>GEntry!FE17</f>
        <v>0</v>
      </c>
      <c r="FD27" s="1073">
        <f>GEntry!FF17</f>
        <v>0</v>
      </c>
      <c r="FE27" s="695">
        <f>GEntry!GF17</f>
        <v>0</v>
      </c>
      <c r="FF27" s="696">
        <f>GEntry!GG17</f>
        <v>0</v>
      </c>
      <c r="FG27" s="696">
        <f>GEntry!FK17</f>
        <v>0</v>
      </c>
      <c r="FH27" s="696">
        <f>GEntry!FL17</f>
        <v>0</v>
      </c>
      <c r="FI27" s="696">
        <f>GEntry!FM17</f>
        <v>0</v>
      </c>
      <c r="FJ27" s="696">
        <f>GEntry!FN17</f>
        <v>0</v>
      </c>
      <c r="FK27" s="696">
        <f>GEntry!ER17</f>
        <v>0</v>
      </c>
      <c r="FL27" s="696">
        <f>GEntry!EU17</f>
        <v>0</v>
      </c>
      <c r="FM27" s="694">
        <f>GEntry!FO17</f>
        <v>0</v>
      </c>
      <c r="FN27" s="696">
        <f>GEntry!FP17</f>
        <v>0</v>
      </c>
      <c r="FO27" s="695">
        <f>GEntry!FQ17</f>
        <v>0</v>
      </c>
      <c r="FP27" s="1548">
        <f>GEntry!EJ17</f>
        <v>0</v>
      </c>
      <c r="FQ27" s="1550">
        <f>GEntry!GC17</f>
        <v>0</v>
      </c>
      <c r="FR27" s="1553">
        <f>GEntry!GD17</f>
        <v>0</v>
      </c>
      <c r="FS27" s="1704">
        <f>GEntry!EY17</f>
        <v>0</v>
      </c>
      <c r="FT27" s="1779">
        <f>GEntry!GH17</f>
        <v>0</v>
      </c>
      <c r="FU27" s="1781">
        <f>GEntry!FR17</f>
        <v>0</v>
      </c>
      <c r="FV27" s="1903">
        <f>GEntry!GI17</f>
        <v>0</v>
      </c>
      <c r="FW27" s="2214">
        <f>GEntry!GE17</f>
        <v>0</v>
      </c>
      <c r="FX27" s="695">
        <f>GEntry!FB17</f>
        <v>0</v>
      </c>
      <c r="FY27" s="2585">
        <f>GEntry!EN17</f>
        <v>0</v>
      </c>
      <c r="FZ27" s="2624">
        <f>GEntry!EO17</f>
        <v>0</v>
      </c>
      <c r="GA27" s="2626">
        <f>GEntry!EM17</f>
        <v>0</v>
      </c>
      <c r="GB27" s="3134">
        <f>GEntry!FJ17</f>
        <v>0</v>
      </c>
      <c r="GC27" s="3179">
        <f>GEntry!EK17</f>
        <v>0</v>
      </c>
      <c r="GD27" s="2585">
        <f>GEntry!GJ17</f>
        <v>0</v>
      </c>
      <c r="GE27" s="4736">
        <f>GEntry!EF17</f>
        <v>0</v>
      </c>
      <c r="GF27" s="4737">
        <f>GEntry!EE17</f>
        <v>0</v>
      </c>
      <c r="GG27" s="918"/>
      <c r="GH27" s="841">
        <f t="shared" si="12"/>
        <v>0</v>
      </c>
      <c r="GI27" s="840">
        <f t="shared" si="8"/>
        <v>0</v>
      </c>
      <c r="GJ27" s="837">
        <f t="shared" si="9"/>
        <v>0</v>
      </c>
      <c r="GK27" s="583">
        <f t="shared" si="0"/>
        <v>0</v>
      </c>
      <c r="GL27" s="583">
        <f t="shared" si="1"/>
        <v>0</v>
      </c>
      <c r="GM27" s="583">
        <f t="shared" si="13"/>
        <v>0</v>
      </c>
      <c r="GN27" s="583">
        <f t="shared" si="10"/>
        <v>0</v>
      </c>
      <c r="GO27" s="583">
        <f t="shared" si="2"/>
        <v>0</v>
      </c>
      <c r="GP27" s="583">
        <f t="shared" si="3"/>
        <v>0</v>
      </c>
      <c r="GQ27" s="583">
        <f t="shared" si="4"/>
        <v>0</v>
      </c>
      <c r="GR27" s="583">
        <f t="shared" si="5"/>
        <v>0</v>
      </c>
      <c r="GS27" s="583">
        <f t="shared" si="11"/>
        <v>0</v>
      </c>
      <c r="GT27" s="583">
        <f t="shared" si="6"/>
        <v>0</v>
      </c>
      <c r="GU27" s="836">
        <f t="shared" si="7"/>
        <v>0</v>
      </c>
      <c r="GV27" s="835">
        <f>FWise!M19</f>
        <v>1898</v>
      </c>
      <c r="GW27" s="2510">
        <f>GEntry!GN17</f>
        <v>0</v>
      </c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12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</row>
    <row r="28" spans="1:278" ht="22.5" customHeight="1" thickBot="1">
      <c r="A28" s="542">
        <v>0.625000000000003</v>
      </c>
      <c r="B28" s="692">
        <f>GEntry!W18</f>
        <v>0</v>
      </c>
      <c r="C28" s="689">
        <f>GEntry!X18</f>
        <v>0</v>
      </c>
      <c r="D28" s="689">
        <f>GEntry!Y18</f>
        <v>0</v>
      </c>
      <c r="E28" s="689">
        <f>GEntry!Z18</f>
        <v>0</v>
      </c>
      <c r="F28" s="690">
        <f>GEntry!AB18</f>
        <v>0</v>
      </c>
      <c r="G28" s="690">
        <f>GEntry!BZ18</f>
        <v>0</v>
      </c>
      <c r="H28" s="689">
        <f>GEntry!CT18</f>
        <v>0</v>
      </c>
      <c r="I28" s="689">
        <f>GEntry!AP18</f>
        <v>0</v>
      </c>
      <c r="J28" s="689">
        <f>GEntry!AR18</f>
        <v>0</v>
      </c>
      <c r="K28" s="689"/>
      <c r="L28" s="689">
        <f>GEntry!AO18</f>
        <v>0</v>
      </c>
      <c r="M28" s="689">
        <f>GEntry!AQ18</f>
        <v>0</v>
      </c>
      <c r="N28" s="689">
        <f>GEntry!CQ18</f>
        <v>0</v>
      </c>
      <c r="O28" s="689">
        <f>GEntry!CR18</f>
        <v>0</v>
      </c>
      <c r="P28" s="689">
        <f>GEntry!CM18</f>
        <v>0</v>
      </c>
      <c r="Q28" s="689">
        <f>GEntry!DD18</f>
        <v>0</v>
      </c>
      <c r="R28" s="689">
        <f>GEntry!T18</f>
        <v>0</v>
      </c>
      <c r="S28" s="689">
        <f>GEntry!R18</f>
        <v>0</v>
      </c>
      <c r="T28" s="689">
        <f>GEntry!S18</f>
        <v>0</v>
      </c>
      <c r="U28" s="689">
        <f>GEntry!CD18</f>
        <v>0</v>
      </c>
      <c r="V28" s="690">
        <f>GEntry!CY18</f>
        <v>0</v>
      </c>
      <c r="W28" s="689">
        <f>GEntry!CF18</f>
        <v>0</v>
      </c>
      <c r="X28" s="689">
        <f>GEntry!CP18</f>
        <v>0</v>
      </c>
      <c r="Y28" s="689">
        <f>GEntry!DC18</f>
        <v>0</v>
      </c>
      <c r="Z28" s="689">
        <f>GEntry!CN18</f>
        <v>0</v>
      </c>
      <c r="AA28" s="689">
        <f>GEntry!DB18</f>
        <v>0</v>
      </c>
      <c r="AB28" s="689">
        <f>GEntry!DH18</f>
        <v>0</v>
      </c>
      <c r="AC28" s="689">
        <f>GEntry!DE18</f>
        <v>0</v>
      </c>
      <c r="AD28" s="689">
        <f>GEntry!BK18</f>
        <v>0</v>
      </c>
      <c r="AE28" s="689">
        <f>GEntry!BN18</f>
        <v>0</v>
      </c>
      <c r="AF28" s="689">
        <f>GEntry!BV18</f>
        <v>0</v>
      </c>
      <c r="AG28" s="689">
        <f>GEntry!BW18</f>
        <v>0</v>
      </c>
      <c r="AH28" s="689">
        <f>GEntry!BX18</f>
        <v>0</v>
      </c>
      <c r="AI28" s="689">
        <f>GEntry!BY18</f>
        <v>0</v>
      </c>
      <c r="AJ28" s="689">
        <f>GEntry!CE18</f>
        <v>0</v>
      </c>
      <c r="AK28" s="689">
        <f>GEntry!AN18</f>
        <v>0</v>
      </c>
      <c r="AL28" s="1075">
        <f>GEntry!B18</f>
        <v>0</v>
      </c>
      <c r="AM28" s="1075">
        <f>GEntry!C18</f>
        <v>0</v>
      </c>
      <c r="AN28" s="689">
        <f>GEntry!D18</f>
        <v>0</v>
      </c>
      <c r="AO28" s="689">
        <f>GEntry!E18</f>
        <v>0</v>
      </c>
      <c r="AP28" s="689">
        <f>GEntry!F18</f>
        <v>0</v>
      </c>
      <c r="AQ28" s="689">
        <f>GEntry!H18</f>
        <v>0</v>
      </c>
      <c r="AR28" s="689">
        <f>GEntry!I18</f>
        <v>0</v>
      </c>
      <c r="AS28" s="689">
        <f>GEntry!K18</f>
        <v>0</v>
      </c>
      <c r="AT28" s="689">
        <f>GEntry!L18</f>
        <v>0</v>
      </c>
      <c r="AU28" s="689"/>
      <c r="AV28" s="689">
        <f>GEntry!BL18</f>
        <v>0</v>
      </c>
      <c r="AW28" s="689">
        <f>GEntry!N18</f>
        <v>0</v>
      </c>
      <c r="AX28" s="689">
        <f>GEntry!M18</f>
        <v>0</v>
      </c>
      <c r="AY28" s="689">
        <f>GEntry!CV18</f>
        <v>0</v>
      </c>
      <c r="AZ28" s="689">
        <f>GEntry!DA18</f>
        <v>0</v>
      </c>
      <c r="BA28" s="689">
        <f>GEntry!CZ18</f>
        <v>0</v>
      </c>
      <c r="BB28" s="689">
        <f>GEntry!BM18</f>
        <v>0</v>
      </c>
      <c r="BC28" s="689">
        <f>GEntry!BQ18</f>
        <v>0</v>
      </c>
      <c r="BD28" s="689">
        <f>GEntry!AD18</f>
        <v>0</v>
      </c>
      <c r="BE28" s="689">
        <f>GEntry!AE18</f>
        <v>0</v>
      </c>
      <c r="BF28" s="689">
        <f>GEntry!AF18</f>
        <v>0</v>
      </c>
      <c r="BG28" s="689">
        <f>GEntry!AJ18</f>
        <v>0</v>
      </c>
      <c r="BH28" s="689">
        <f>GEntry!AI18</f>
        <v>0</v>
      </c>
      <c r="BI28" s="689">
        <f>GEntry!AH18</f>
        <v>0</v>
      </c>
      <c r="BJ28" s="689">
        <f>GEntry!V18</f>
        <v>0</v>
      </c>
      <c r="BK28" s="689">
        <f>GEntry!AM18</f>
        <v>0</v>
      </c>
      <c r="BL28" s="689">
        <f>GEntry!AG18</f>
        <v>0</v>
      </c>
      <c r="BM28" s="689">
        <f>GEntry!AL18</f>
        <v>0</v>
      </c>
      <c r="BN28" s="689">
        <f>GEntry!CU18</f>
        <v>0</v>
      </c>
      <c r="BO28" s="690">
        <f>GEntry!CX18</f>
        <v>0</v>
      </c>
      <c r="BP28" s="690">
        <f>GEntry!CO18</f>
        <v>0</v>
      </c>
      <c r="BQ28" s="690">
        <f>GEntry!Q18</f>
        <v>0</v>
      </c>
      <c r="BR28" s="689">
        <f>GEntry!CH18</f>
        <v>0</v>
      </c>
      <c r="BS28" s="690">
        <f>GEntry!BR18</f>
        <v>0</v>
      </c>
      <c r="BT28" s="690">
        <f>GEntry!BS18</f>
        <v>0</v>
      </c>
      <c r="BU28" s="690">
        <f>GEntry!BT18</f>
        <v>0</v>
      </c>
      <c r="BV28" s="690">
        <f>GEntry!BU18</f>
        <v>0</v>
      </c>
      <c r="BW28" s="680">
        <f>GEntry!BP18</f>
        <v>0</v>
      </c>
      <c r="BX28" s="690">
        <f>GEntry!AS18</f>
        <v>0</v>
      </c>
      <c r="BY28" s="690">
        <f>GEntry!CG18</f>
        <v>0</v>
      </c>
      <c r="BZ28" s="690">
        <f>GEntry!BO18</f>
        <v>0</v>
      </c>
      <c r="CA28" s="1077">
        <f>GEntry!DG18</f>
        <v>0</v>
      </c>
      <c r="CB28" s="690">
        <f>GEntry!AU18</f>
        <v>0</v>
      </c>
      <c r="CC28" s="690">
        <f>GEntry!AV18</f>
        <v>0</v>
      </c>
      <c r="CD28" s="690">
        <f>GEntry!BG18</f>
        <v>0</v>
      </c>
      <c r="CE28" s="690">
        <f>GEntry!CW18</f>
        <v>0</v>
      </c>
      <c r="CF28" s="690">
        <f>GEntry!DF18</f>
        <v>0</v>
      </c>
      <c r="CG28" s="690">
        <f>GEntry!AW18</f>
        <v>0</v>
      </c>
      <c r="CH28" s="690">
        <f>GEntry!AX18</f>
        <v>0</v>
      </c>
      <c r="CI28" s="690">
        <f>GEntry!AY18</f>
        <v>0</v>
      </c>
      <c r="CJ28" s="690">
        <f>GEntry!BA18</f>
        <v>0</v>
      </c>
      <c r="CK28" s="690">
        <f>GEntry!BB18</f>
        <v>0</v>
      </c>
      <c r="CL28" s="690">
        <f>GEntry!BC18</f>
        <v>0</v>
      </c>
      <c r="CM28" s="690">
        <f>GEntry!BD18</f>
        <v>0</v>
      </c>
      <c r="CN28" s="690">
        <f>GEntry!BE18</f>
        <v>0</v>
      </c>
      <c r="CO28" s="690">
        <f>GEntry!BI18</f>
        <v>0</v>
      </c>
      <c r="CP28" s="690">
        <f>GEntry!BH18</f>
        <v>0</v>
      </c>
      <c r="CQ28" s="911">
        <f>GEntry!BF18</f>
        <v>0</v>
      </c>
      <c r="CR28" s="911">
        <f>GEntry!P18</f>
        <v>0</v>
      </c>
      <c r="CS28" s="911">
        <f>GEntry!U18</f>
        <v>0</v>
      </c>
      <c r="CT28" s="690">
        <f>GEntry!DI18</f>
        <v>0</v>
      </c>
      <c r="CU28" s="911">
        <f>GEntry!DJ18</f>
        <v>0</v>
      </c>
      <c r="CV28" s="911">
        <f>GEntry!DK18</f>
        <v>0</v>
      </c>
      <c r="CW28" s="690">
        <f>GEntry!DL18</f>
        <v>0</v>
      </c>
      <c r="CX28" s="911">
        <f>GEntry!DM18</f>
        <v>0</v>
      </c>
      <c r="CY28" s="911">
        <f>GEntry!G18</f>
        <v>0</v>
      </c>
      <c r="CZ28" s="911">
        <f>GEntry!DN18</f>
        <v>0</v>
      </c>
      <c r="DA28" s="690">
        <f>GEntry!DO18</f>
        <v>0</v>
      </c>
      <c r="DB28" s="1530">
        <f>GEntry!DP18</f>
        <v>0</v>
      </c>
      <c r="DC28" s="1520">
        <f>GEntry!DQ18</f>
        <v>0</v>
      </c>
      <c r="DD28" s="1617">
        <f>GEntry!DR18</f>
        <v>0</v>
      </c>
      <c r="DE28" s="1616">
        <f>GEntry!CI18</f>
        <v>0</v>
      </c>
      <c r="DF28" s="1700">
        <f>GEntry!O18</f>
        <v>0</v>
      </c>
      <c r="DG28" s="1694">
        <f>GEntry!CJ18</f>
        <v>0</v>
      </c>
      <c r="DH28" s="1847">
        <f>GEntry!DS18</f>
        <v>0</v>
      </c>
      <c r="DI28" s="1848">
        <f>GEntry!CK18</f>
        <v>0</v>
      </c>
      <c r="DJ28" s="1859">
        <f>GEntry!CL18</f>
        <v>0</v>
      </c>
      <c r="DK28" s="2176">
        <f>GEntry!CA18</f>
        <v>0</v>
      </c>
      <c r="DL28" s="2396">
        <f>GEntry!CB18</f>
        <v>0</v>
      </c>
      <c r="DM28" s="2177">
        <f>GEntry!DT18</f>
        <v>0</v>
      </c>
      <c r="DN28" s="2495">
        <f>GEntry!BJ18</f>
        <v>0</v>
      </c>
      <c r="DO28" s="2496">
        <f>GEntry!CS18</f>
        <v>0</v>
      </c>
      <c r="DP28" s="2603">
        <f>GEntry!AT18</f>
        <v>0</v>
      </c>
      <c r="DQ28" s="2642">
        <f>GEntry!CC18</f>
        <v>0</v>
      </c>
      <c r="DR28" s="2667">
        <f>GEntry!DU18</f>
        <v>0</v>
      </c>
      <c r="DS28" s="2669">
        <f>GEntry!AZ18</f>
        <v>0</v>
      </c>
      <c r="DT28" s="2734">
        <f>GEntry!DV18</f>
        <v>0</v>
      </c>
      <c r="DU28" s="2736">
        <f>GEntry!DW18</f>
        <v>0</v>
      </c>
      <c r="DV28" s="3114">
        <f>GEntry!DX18</f>
        <v>0</v>
      </c>
      <c r="DW28" s="3114">
        <f>GEntry!DY18</f>
        <v>0</v>
      </c>
      <c r="DX28" s="4684">
        <f>GEntry!AK18</f>
        <v>0</v>
      </c>
      <c r="DY28" s="915"/>
      <c r="DZ28" s="698">
        <f>GEntry!EZ18</f>
        <v>0</v>
      </c>
      <c r="EA28" s="695">
        <f>GEntry!EX18</f>
        <v>0</v>
      </c>
      <c r="EB28" s="695">
        <f>GEntry!FA18</f>
        <v>0</v>
      </c>
      <c r="EC28" s="695">
        <f>GEntry!EC18</f>
        <v>0</v>
      </c>
      <c r="ED28" s="695">
        <f>GEntry!ED18</f>
        <v>0</v>
      </c>
      <c r="EE28" s="695">
        <f>GEntry!EI18</f>
        <v>0</v>
      </c>
      <c r="EF28" s="695">
        <f>GEntry!EB18</f>
        <v>0</v>
      </c>
      <c r="EG28" s="695">
        <f>GEntry!EG18</f>
        <v>0</v>
      </c>
      <c r="EH28" s="695">
        <f>GEntry!EH18</f>
        <v>0</v>
      </c>
      <c r="EI28" s="695">
        <f>GEntry!EW18</f>
        <v>0</v>
      </c>
      <c r="EJ28" s="695">
        <f>GEntry!EV18</f>
        <v>0</v>
      </c>
      <c r="EK28" s="695">
        <f>GEntry!ES18</f>
        <v>0</v>
      </c>
      <c r="EL28" s="695">
        <f>GEntry!ET18</f>
        <v>0</v>
      </c>
      <c r="EM28" s="695">
        <f>GEntry!EP18</f>
        <v>0</v>
      </c>
      <c r="EN28" s="695">
        <f>GEntry!EQ18</f>
        <v>0</v>
      </c>
      <c r="EO28" s="695">
        <f>GEntry!FH18</f>
        <v>0</v>
      </c>
      <c r="EP28" s="695">
        <f>GEntry!FG18</f>
        <v>0</v>
      </c>
      <c r="EQ28" s="695">
        <f>GEntry!FI18</f>
        <v>0</v>
      </c>
      <c r="ER28" s="695">
        <f>GEntry!FS18</f>
        <v>0</v>
      </c>
      <c r="ES28" s="695">
        <f>GEntry!GB18</f>
        <v>0</v>
      </c>
      <c r="ET28" s="695">
        <f>GEntry!FW18</f>
        <v>0</v>
      </c>
      <c r="EU28" s="695">
        <f>GEntry!FX18</f>
        <v>0</v>
      </c>
      <c r="EV28" s="695">
        <f>GEntry!FY18</f>
        <v>0</v>
      </c>
      <c r="EW28" s="695">
        <f>GEntry!GA18</f>
        <v>0</v>
      </c>
      <c r="EX28" s="695">
        <f>GEntry!FZ18</f>
        <v>0</v>
      </c>
      <c r="EY28" s="695">
        <f>GEntry!FT18</f>
        <v>0</v>
      </c>
      <c r="EZ28" s="695">
        <f>GEntry!FU18</f>
        <v>0</v>
      </c>
      <c r="FA28" s="695">
        <f>GEntry!FV18</f>
        <v>0</v>
      </c>
      <c r="FB28" s="1073">
        <f>GEntry!FD18</f>
        <v>0</v>
      </c>
      <c r="FC28" s="1073">
        <f>GEntry!FE18</f>
        <v>0</v>
      </c>
      <c r="FD28" s="1073">
        <f>GEntry!FF18</f>
        <v>0</v>
      </c>
      <c r="FE28" s="695">
        <f>GEntry!GF18</f>
        <v>0</v>
      </c>
      <c r="FF28" s="696">
        <f>GEntry!GG18</f>
        <v>0</v>
      </c>
      <c r="FG28" s="696">
        <f>GEntry!FK18</f>
        <v>0</v>
      </c>
      <c r="FH28" s="696">
        <f>GEntry!FL18</f>
        <v>0</v>
      </c>
      <c r="FI28" s="696">
        <f>GEntry!FM18</f>
        <v>0</v>
      </c>
      <c r="FJ28" s="696">
        <f>GEntry!FN18</f>
        <v>0</v>
      </c>
      <c r="FK28" s="696">
        <f>GEntry!ER18</f>
        <v>0</v>
      </c>
      <c r="FL28" s="696">
        <f>GEntry!EU18</f>
        <v>0</v>
      </c>
      <c r="FM28" s="694">
        <f>GEntry!FO18</f>
        <v>0</v>
      </c>
      <c r="FN28" s="696">
        <f>GEntry!FP17</f>
        <v>0</v>
      </c>
      <c r="FO28" s="695">
        <f>GEntry!FQ18</f>
        <v>0</v>
      </c>
      <c r="FP28" s="1548">
        <f>GEntry!EJ18</f>
        <v>0</v>
      </c>
      <c r="FQ28" s="1550">
        <f>GEntry!GC18</f>
        <v>0</v>
      </c>
      <c r="FR28" s="1553">
        <f>GEntry!GD18</f>
        <v>0</v>
      </c>
      <c r="FS28" s="1704">
        <f>GEntry!EY18</f>
        <v>0</v>
      </c>
      <c r="FT28" s="1779">
        <f>GEntry!GH18</f>
        <v>0</v>
      </c>
      <c r="FU28" s="1781">
        <f>GEntry!FR18</f>
        <v>0</v>
      </c>
      <c r="FV28" s="1903">
        <f>GEntry!GI18</f>
        <v>0</v>
      </c>
      <c r="FW28" s="2214">
        <f>GEntry!GE18</f>
        <v>0</v>
      </c>
      <c r="FX28" s="695">
        <f>GEntry!FB18</f>
        <v>0</v>
      </c>
      <c r="FY28" s="2585">
        <f>GEntry!EN18</f>
        <v>0</v>
      </c>
      <c r="FZ28" s="2624">
        <f>GEntry!EO18</f>
        <v>0</v>
      </c>
      <c r="GA28" s="2626">
        <f>GEntry!EM18</f>
        <v>0</v>
      </c>
      <c r="GB28" s="3134">
        <f>GEntry!FJ18</f>
        <v>0</v>
      </c>
      <c r="GC28" s="3179">
        <f>GEntry!EK18</f>
        <v>0</v>
      </c>
      <c r="GD28" s="2585">
        <f>GEntry!GJ18</f>
        <v>0</v>
      </c>
      <c r="GE28" s="4736">
        <f>GEntry!EF18</f>
        <v>0</v>
      </c>
      <c r="GF28" s="4737">
        <f>GEntry!EE18</f>
        <v>0</v>
      </c>
      <c r="GG28" s="918"/>
      <c r="GH28" s="841">
        <f t="shared" si="12"/>
        <v>0</v>
      </c>
      <c r="GI28" s="840">
        <f t="shared" si="8"/>
        <v>0</v>
      </c>
      <c r="GJ28" s="837">
        <f t="shared" si="9"/>
        <v>0</v>
      </c>
      <c r="GK28" s="583">
        <f t="shared" si="0"/>
        <v>0</v>
      </c>
      <c r="GL28" s="583">
        <f t="shared" si="1"/>
        <v>0</v>
      </c>
      <c r="GM28" s="583">
        <f t="shared" si="13"/>
        <v>0</v>
      </c>
      <c r="GN28" s="583">
        <f t="shared" si="10"/>
        <v>0</v>
      </c>
      <c r="GO28" s="583">
        <f t="shared" si="2"/>
        <v>0</v>
      </c>
      <c r="GP28" s="583">
        <f t="shared" si="3"/>
        <v>0</v>
      </c>
      <c r="GQ28" s="583">
        <f t="shared" si="4"/>
        <v>0</v>
      </c>
      <c r="GR28" s="583">
        <f t="shared" si="5"/>
        <v>0</v>
      </c>
      <c r="GS28" s="583">
        <f t="shared" si="11"/>
        <v>0</v>
      </c>
      <c r="GT28" s="583">
        <f t="shared" si="6"/>
        <v>0</v>
      </c>
      <c r="GU28" s="836">
        <f t="shared" si="7"/>
        <v>0</v>
      </c>
      <c r="GV28" s="835">
        <f>FWise!M20</f>
        <v>1884</v>
      </c>
      <c r="GW28" s="2510">
        <f>GEntry!GN18</f>
        <v>0</v>
      </c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2"/>
      <c r="IX28" s="1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  <c r="JK28" s="12"/>
      <c r="JL28" s="12"/>
      <c r="JM28" s="12"/>
      <c r="JN28" s="12"/>
      <c r="JO28" s="12"/>
      <c r="JP28" s="12"/>
      <c r="JQ28" s="12"/>
      <c r="JR28" s="12"/>
    </row>
    <row r="29" spans="1:278" ht="24" customHeight="1" thickBot="1">
      <c r="A29" s="542">
        <v>0.66666666666666996</v>
      </c>
      <c r="B29" s="692">
        <f>GEntry!W19</f>
        <v>0</v>
      </c>
      <c r="C29" s="689">
        <f>GEntry!X19</f>
        <v>0</v>
      </c>
      <c r="D29" s="689">
        <f>GEntry!Y19</f>
        <v>0</v>
      </c>
      <c r="E29" s="689">
        <f>GEntry!Z19</f>
        <v>0</v>
      </c>
      <c r="F29" s="690">
        <f>GEntry!AB19</f>
        <v>0</v>
      </c>
      <c r="G29" s="690">
        <f>GEntry!BZ19</f>
        <v>0</v>
      </c>
      <c r="H29" s="689">
        <f>GEntry!CT19</f>
        <v>0</v>
      </c>
      <c r="I29" s="689">
        <f>GEntry!AP19</f>
        <v>0</v>
      </c>
      <c r="J29" s="689">
        <f>GEntry!AR19</f>
        <v>0</v>
      </c>
      <c r="K29" s="689"/>
      <c r="L29" s="689">
        <f>GEntry!AO19</f>
        <v>0</v>
      </c>
      <c r="M29" s="689">
        <f>GEntry!AQ19</f>
        <v>0</v>
      </c>
      <c r="N29" s="689">
        <f>GEntry!CQ19</f>
        <v>0</v>
      </c>
      <c r="O29" s="689">
        <f>GEntry!CR19</f>
        <v>0</v>
      </c>
      <c r="P29" s="689">
        <f>GEntry!CM19</f>
        <v>0</v>
      </c>
      <c r="Q29" s="689">
        <f>GEntry!DD19</f>
        <v>0</v>
      </c>
      <c r="R29" s="689">
        <f>GEntry!T19</f>
        <v>0</v>
      </c>
      <c r="S29" s="689">
        <f>GEntry!R19</f>
        <v>0</v>
      </c>
      <c r="T29" s="689">
        <f>GEntry!S19</f>
        <v>0</v>
      </c>
      <c r="U29" s="689">
        <f>GEntry!CD19</f>
        <v>0</v>
      </c>
      <c r="V29" s="690">
        <f>GEntry!CY19</f>
        <v>0</v>
      </c>
      <c r="W29" s="689">
        <f>GEntry!CF19</f>
        <v>0</v>
      </c>
      <c r="X29" s="689">
        <f>GEntry!CP19</f>
        <v>0</v>
      </c>
      <c r="Y29" s="689">
        <f>GEntry!DC19</f>
        <v>0</v>
      </c>
      <c r="Z29" s="689">
        <f>GEntry!CN19</f>
        <v>0</v>
      </c>
      <c r="AA29" s="689">
        <f>GEntry!DB19</f>
        <v>0</v>
      </c>
      <c r="AB29" s="689">
        <f>GEntry!DH19</f>
        <v>0</v>
      </c>
      <c r="AC29" s="689">
        <f>GEntry!DE19</f>
        <v>0</v>
      </c>
      <c r="AD29" s="689">
        <f>GEntry!BK19</f>
        <v>0</v>
      </c>
      <c r="AE29" s="689">
        <f>GEntry!BN19</f>
        <v>0</v>
      </c>
      <c r="AF29" s="689">
        <f>GEntry!BV19</f>
        <v>0</v>
      </c>
      <c r="AG29" s="689">
        <f>GEntry!BW19</f>
        <v>0</v>
      </c>
      <c r="AH29" s="689">
        <f>GEntry!BX19</f>
        <v>0</v>
      </c>
      <c r="AI29" s="689">
        <f>GEntry!BY19</f>
        <v>0</v>
      </c>
      <c r="AJ29" s="689">
        <f>GEntry!CE19</f>
        <v>0</v>
      </c>
      <c r="AK29" s="689">
        <f>GEntry!AN19</f>
        <v>0</v>
      </c>
      <c r="AL29" s="1075">
        <f>GEntry!B19</f>
        <v>0</v>
      </c>
      <c r="AM29" s="1075">
        <f>GEntry!C19</f>
        <v>0</v>
      </c>
      <c r="AN29" s="689">
        <f>GEntry!D19</f>
        <v>0</v>
      </c>
      <c r="AO29" s="689">
        <f>GEntry!E19</f>
        <v>0</v>
      </c>
      <c r="AP29" s="689">
        <f>GEntry!F19</f>
        <v>0</v>
      </c>
      <c r="AQ29" s="689">
        <f>GEntry!H19</f>
        <v>0</v>
      </c>
      <c r="AR29" s="689">
        <f>GEntry!I19</f>
        <v>0</v>
      </c>
      <c r="AS29" s="689">
        <f>GEntry!K19</f>
        <v>0</v>
      </c>
      <c r="AT29" s="689">
        <f>GEntry!L19</f>
        <v>0</v>
      </c>
      <c r="AU29" s="689"/>
      <c r="AV29" s="689">
        <f>GEntry!BL19</f>
        <v>0</v>
      </c>
      <c r="AW29" s="689">
        <f>GEntry!N19</f>
        <v>0</v>
      </c>
      <c r="AX29" s="689">
        <f>GEntry!M19</f>
        <v>0</v>
      </c>
      <c r="AY29" s="689">
        <f>GEntry!CV19</f>
        <v>0</v>
      </c>
      <c r="AZ29" s="689">
        <f>GEntry!DA19</f>
        <v>0</v>
      </c>
      <c r="BA29" s="689">
        <f>GEntry!CZ19</f>
        <v>0</v>
      </c>
      <c r="BB29" s="689">
        <f>GEntry!BM19</f>
        <v>0</v>
      </c>
      <c r="BC29" s="689">
        <f>GEntry!BQ19</f>
        <v>0</v>
      </c>
      <c r="BD29" s="689">
        <f>GEntry!AD19</f>
        <v>0</v>
      </c>
      <c r="BE29" s="689">
        <f>GEntry!AE19</f>
        <v>0</v>
      </c>
      <c r="BF29" s="689">
        <f>GEntry!AF19</f>
        <v>0</v>
      </c>
      <c r="BG29" s="689">
        <f>GEntry!AJ19</f>
        <v>0</v>
      </c>
      <c r="BH29" s="689">
        <f>GEntry!AI19</f>
        <v>0</v>
      </c>
      <c r="BI29" s="689">
        <f>GEntry!AH19</f>
        <v>0</v>
      </c>
      <c r="BJ29" s="689">
        <f>GEntry!V19</f>
        <v>0</v>
      </c>
      <c r="BK29" s="689">
        <f>GEntry!AM19</f>
        <v>0</v>
      </c>
      <c r="BL29" s="689">
        <f>GEntry!AG19</f>
        <v>0</v>
      </c>
      <c r="BM29" s="689">
        <f>GEntry!AL19</f>
        <v>0</v>
      </c>
      <c r="BN29" s="689">
        <f>GEntry!CU19</f>
        <v>0</v>
      </c>
      <c r="BO29" s="690">
        <f>GEntry!CX19</f>
        <v>0</v>
      </c>
      <c r="BP29" s="690">
        <f>GEntry!CO19</f>
        <v>0</v>
      </c>
      <c r="BQ29" s="690">
        <f>GEntry!Q19</f>
        <v>0</v>
      </c>
      <c r="BR29" s="689">
        <f>GEntry!CH19</f>
        <v>0</v>
      </c>
      <c r="BS29" s="690">
        <f>GEntry!BR19</f>
        <v>0</v>
      </c>
      <c r="BT29" s="690">
        <f>GEntry!BS19</f>
        <v>0</v>
      </c>
      <c r="BU29" s="690">
        <f>GEntry!BT19</f>
        <v>0</v>
      </c>
      <c r="BV29" s="690">
        <f>GEntry!BU19</f>
        <v>0</v>
      </c>
      <c r="BW29" s="680">
        <f>GEntry!BP19</f>
        <v>0</v>
      </c>
      <c r="BX29" s="690">
        <f>GEntry!AS19</f>
        <v>0</v>
      </c>
      <c r="BY29" s="690">
        <f>GEntry!CG19</f>
        <v>0</v>
      </c>
      <c r="BZ29" s="690">
        <f>GEntry!BO19</f>
        <v>0</v>
      </c>
      <c r="CA29" s="1077">
        <f>GEntry!DG19</f>
        <v>0</v>
      </c>
      <c r="CB29" s="690">
        <f>GEntry!AU19</f>
        <v>0</v>
      </c>
      <c r="CC29" s="690">
        <f>GEntry!AV19</f>
        <v>0</v>
      </c>
      <c r="CD29" s="690">
        <f>GEntry!BG19</f>
        <v>0</v>
      </c>
      <c r="CE29" s="690">
        <f>GEntry!CW19</f>
        <v>0</v>
      </c>
      <c r="CF29" s="690">
        <f>GEntry!DF19</f>
        <v>0</v>
      </c>
      <c r="CG29" s="690">
        <f>GEntry!AW19</f>
        <v>0</v>
      </c>
      <c r="CH29" s="690">
        <f>GEntry!AX19</f>
        <v>0</v>
      </c>
      <c r="CI29" s="690">
        <f>GEntry!AY19</f>
        <v>0</v>
      </c>
      <c r="CJ29" s="690">
        <f>GEntry!BA19</f>
        <v>0</v>
      </c>
      <c r="CK29" s="690">
        <f>GEntry!BB19</f>
        <v>0</v>
      </c>
      <c r="CL29" s="690">
        <f>GEntry!BC19</f>
        <v>0</v>
      </c>
      <c r="CM29" s="690">
        <f>GEntry!BD19</f>
        <v>0</v>
      </c>
      <c r="CN29" s="690">
        <f>GEntry!BE19</f>
        <v>0</v>
      </c>
      <c r="CO29" s="690">
        <f>GEntry!BI19</f>
        <v>0</v>
      </c>
      <c r="CP29" s="690">
        <f>GEntry!BH19</f>
        <v>0</v>
      </c>
      <c r="CQ29" s="911">
        <f>GEntry!BF19</f>
        <v>0</v>
      </c>
      <c r="CR29" s="911">
        <f>GEntry!P19</f>
        <v>0</v>
      </c>
      <c r="CS29" s="911">
        <f>GEntry!U19</f>
        <v>0</v>
      </c>
      <c r="CT29" s="690">
        <f>GEntry!DI19</f>
        <v>0</v>
      </c>
      <c r="CU29" s="911">
        <f>GEntry!DJ19</f>
        <v>0</v>
      </c>
      <c r="CV29" s="911">
        <f>GEntry!DK19</f>
        <v>0</v>
      </c>
      <c r="CW29" s="690">
        <f>GEntry!DL19</f>
        <v>0</v>
      </c>
      <c r="CX29" s="911">
        <f>GEntry!DM19</f>
        <v>0</v>
      </c>
      <c r="CY29" s="911">
        <f>GEntry!G19</f>
        <v>0</v>
      </c>
      <c r="CZ29" s="911">
        <f>GEntry!DN19</f>
        <v>0</v>
      </c>
      <c r="DA29" s="690">
        <f>GEntry!DO19</f>
        <v>0</v>
      </c>
      <c r="DB29" s="1530">
        <f>GEntry!DP19</f>
        <v>0</v>
      </c>
      <c r="DC29" s="1520">
        <f>GEntry!DQ19</f>
        <v>0</v>
      </c>
      <c r="DD29" s="1617">
        <f>GEntry!DR19</f>
        <v>0</v>
      </c>
      <c r="DE29" s="1616">
        <f>GEntry!CI19</f>
        <v>0</v>
      </c>
      <c r="DF29" s="1700">
        <f>GEntry!O19</f>
        <v>0</v>
      </c>
      <c r="DG29" s="1694">
        <f>GEntry!CJ19</f>
        <v>0</v>
      </c>
      <c r="DH29" s="1847">
        <f>GEntry!DS19</f>
        <v>0</v>
      </c>
      <c r="DI29" s="1848">
        <f>GEntry!CK19</f>
        <v>0</v>
      </c>
      <c r="DJ29" s="1859">
        <f>GEntry!CL19</f>
        <v>0</v>
      </c>
      <c r="DK29" s="2176">
        <f>GEntry!CA19</f>
        <v>0</v>
      </c>
      <c r="DL29" s="2396">
        <f>GEntry!CB19</f>
        <v>0</v>
      </c>
      <c r="DM29" s="2177">
        <f>GEntry!DT19</f>
        <v>0</v>
      </c>
      <c r="DN29" s="2495">
        <f>GEntry!BJ19</f>
        <v>0</v>
      </c>
      <c r="DO29" s="2496">
        <f>GEntry!CS19</f>
        <v>0</v>
      </c>
      <c r="DP29" s="2603">
        <f>GEntry!AT19</f>
        <v>0</v>
      </c>
      <c r="DQ29" s="2642">
        <f>GEntry!CC19</f>
        <v>0</v>
      </c>
      <c r="DR29" s="2667">
        <f>GEntry!DU19</f>
        <v>0</v>
      </c>
      <c r="DS29" s="2669">
        <f>GEntry!AZ19</f>
        <v>0</v>
      </c>
      <c r="DT29" s="2734">
        <f>GEntry!DV19</f>
        <v>0</v>
      </c>
      <c r="DU29" s="2736">
        <f>GEntry!DW19</f>
        <v>0</v>
      </c>
      <c r="DV29" s="3114">
        <f>GEntry!DX19</f>
        <v>0</v>
      </c>
      <c r="DW29" s="3114">
        <f>GEntry!DY19</f>
        <v>0</v>
      </c>
      <c r="DX29" s="4684">
        <f>GEntry!AK19</f>
        <v>0</v>
      </c>
      <c r="DY29" s="915"/>
      <c r="DZ29" s="698">
        <f>GEntry!EZ19</f>
        <v>0</v>
      </c>
      <c r="EA29" s="695">
        <f>GEntry!EX19</f>
        <v>0</v>
      </c>
      <c r="EB29" s="695">
        <f>GEntry!FA19</f>
        <v>0</v>
      </c>
      <c r="EC29" s="695">
        <f>GEntry!EC19</f>
        <v>0</v>
      </c>
      <c r="ED29" s="695">
        <f>GEntry!ED19</f>
        <v>0</v>
      </c>
      <c r="EE29" s="695">
        <f>GEntry!EI19</f>
        <v>0</v>
      </c>
      <c r="EF29" s="695">
        <f>GEntry!EB19</f>
        <v>0</v>
      </c>
      <c r="EG29" s="695">
        <f>GEntry!EG19</f>
        <v>0</v>
      </c>
      <c r="EH29" s="695">
        <f>GEntry!EH19</f>
        <v>0</v>
      </c>
      <c r="EI29" s="695">
        <f>GEntry!EW19</f>
        <v>0</v>
      </c>
      <c r="EJ29" s="695">
        <f>GEntry!EV19</f>
        <v>0</v>
      </c>
      <c r="EK29" s="695">
        <f>GEntry!ES19</f>
        <v>0</v>
      </c>
      <c r="EL29" s="695">
        <f>GEntry!ET19</f>
        <v>0</v>
      </c>
      <c r="EM29" s="695">
        <f>GEntry!EP19</f>
        <v>0</v>
      </c>
      <c r="EN29" s="695">
        <f>GEntry!EQ19</f>
        <v>0</v>
      </c>
      <c r="EO29" s="695">
        <f>GEntry!FH19</f>
        <v>0</v>
      </c>
      <c r="EP29" s="695">
        <f>GEntry!FG19</f>
        <v>0</v>
      </c>
      <c r="EQ29" s="695">
        <f>GEntry!FI19</f>
        <v>0</v>
      </c>
      <c r="ER29" s="695">
        <f>GEntry!FS19</f>
        <v>0</v>
      </c>
      <c r="ES29" s="695">
        <f>GEntry!GB19</f>
        <v>0</v>
      </c>
      <c r="ET29" s="695">
        <f>GEntry!FW19</f>
        <v>0</v>
      </c>
      <c r="EU29" s="695">
        <f>GEntry!FX19</f>
        <v>0</v>
      </c>
      <c r="EV29" s="695">
        <f>GEntry!FY19</f>
        <v>0</v>
      </c>
      <c r="EW29" s="695">
        <f>GEntry!GA19</f>
        <v>0</v>
      </c>
      <c r="EX29" s="695">
        <f>GEntry!FZ19</f>
        <v>0</v>
      </c>
      <c r="EY29" s="695">
        <f>GEntry!FT19</f>
        <v>0</v>
      </c>
      <c r="EZ29" s="695">
        <f>GEntry!FU19</f>
        <v>0</v>
      </c>
      <c r="FA29" s="695">
        <f>GEntry!FV19</f>
        <v>0</v>
      </c>
      <c r="FB29" s="1073">
        <f>GEntry!FD19</f>
        <v>0</v>
      </c>
      <c r="FC29" s="1073">
        <f>GEntry!FE19</f>
        <v>0</v>
      </c>
      <c r="FD29" s="1073">
        <f>GEntry!FF19</f>
        <v>0</v>
      </c>
      <c r="FE29" s="695">
        <f>GEntry!GF19</f>
        <v>0</v>
      </c>
      <c r="FF29" s="696">
        <f>GEntry!GG19</f>
        <v>0</v>
      </c>
      <c r="FG29" s="696">
        <f>GEntry!FK19</f>
        <v>0</v>
      </c>
      <c r="FH29" s="696">
        <f>GEntry!FL19</f>
        <v>0</v>
      </c>
      <c r="FI29" s="696">
        <f>GEntry!FM19</f>
        <v>0</v>
      </c>
      <c r="FJ29" s="696">
        <f>GEntry!FN19</f>
        <v>0</v>
      </c>
      <c r="FK29" s="696">
        <f>GEntry!ER19</f>
        <v>0</v>
      </c>
      <c r="FL29" s="696">
        <f>GEntry!EU19</f>
        <v>0</v>
      </c>
      <c r="FM29" s="694">
        <f>GEntry!FO19</f>
        <v>0</v>
      </c>
      <c r="FN29" s="696">
        <f>GEntry!FP19</f>
        <v>0</v>
      </c>
      <c r="FO29" s="695">
        <f>GEntry!FQ19</f>
        <v>0</v>
      </c>
      <c r="FP29" s="1548">
        <f>GEntry!EJ19</f>
        <v>0</v>
      </c>
      <c r="FQ29" s="1550">
        <f>GEntry!GC19</f>
        <v>0</v>
      </c>
      <c r="FR29" s="1553">
        <f>GEntry!GD19</f>
        <v>0</v>
      </c>
      <c r="FS29" s="1704">
        <f>GEntry!EY19</f>
        <v>0</v>
      </c>
      <c r="FT29" s="1779">
        <f>GEntry!GH19</f>
        <v>0</v>
      </c>
      <c r="FU29" s="1781">
        <f>GEntry!FR19</f>
        <v>0</v>
      </c>
      <c r="FV29" s="1903">
        <f>GEntry!GI19</f>
        <v>0</v>
      </c>
      <c r="FW29" s="2214">
        <f>GEntry!GE19</f>
        <v>0</v>
      </c>
      <c r="FX29" s="695">
        <f>GEntry!FB19</f>
        <v>0</v>
      </c>
      <c r="FY29" s="2585">
        <f>GEntry!EN19</f>
        <v>0</v>
      </c>
      <c r="FZ29" s="2624">
        <f>GEntry!EO19</f>
        <v>0</v>
      </c>
      <c r="GA29" s="2626">
        <f>GEntry!EM19</f>
        <v>0</v>
      </c>
      <c r="GB29" s="3134">
        <f>GEntry!FJ19</f>
        <v>0</v>
      </c>
      <c r="GC29" s="3179">
        <f>GEntry!EK19</f>
        <v>0</v>
      </c>
      <c r="GD29" s="2585">
        <f>GEntry!GJ19</f>
        <v>0</v>
      </c>
      <c r="GE29" s="4736">
        <f>GEntry!EF19</f>
        <v>0</v>
      </c>
      <c r="GF29" s="4737">
        <f>GEntry!EE19</f>
        <v>0</v>
      </c>
      <c r="GG29" s="918"/>
      <c r="GH29" s="841">
        <f t="shared" si="12"/>
        <v>0</v>
      </c>
      <c r="GI29" s="840">
        <f t="shared" si="8"/>
        <v>0</v>
      </c>
      <c r="GJ29" s="837">
        <f t="shared" si="9"/>
        <v>0</v>
      </c>
      <c r="GK29" s="583">
        <f t="shared" si="0"/>
        <v>0</v>
      </c>
      <c r="GL29" s="583">
        <f t="shared" si="1"/>
        <v>0</v>
      </c>
      <c r="GM29" s="583">
        <f t="shared" si="13"/>
        <v>0</v>
      </c>
      <c r="GN29" s="583">
        <f t="shared" si="10"/>
        <v>0</v>
      </c>
      <c r="GO29" s="583">
        <f t="shared" si="2"/>
        <v>0</v>
      </c>
      <c r="GP29" s="583">
        <f t="shared" si="3"/>
        <v>0</v>
      </c>
      <c r="GQ29" s="583">
        <f t="shared" si="4"/>
        <v>0</v>
      </c>
      <c r="GR29" s="583">
        <f t="shared" si="5"/>
        <v>0</v>
      </c>
      <c r="GS29" s="583">
        <f t="shared" si="11"/>
        <v>0</v>
      </c>
      <c r="GT29" s="583">
        <f t="shared" si="6"/>
        <v>0</v>
      </c>
      <c r="GU29" s="836">
        <f t="shared" si="7"/>
        <v>0</v>
      </c>
      <c r="GV29" s="835">
        <f>FWise!M21</f>
        <v>1804</v>
      </c>
      <c r="GW29" s="2510">
        <f>GEntry!GN19</f>
        <v>0</v>
      </c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32"/>
      <c r="HU29" s="13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</row>
    <row r="30" spans="1:278" ht="21.75" customHeight="1" thickBot="1">
      <c r="A30" s="542">
        <v>0.70833333333333337</v>
      </c>
      <c r="B30" s="692">
        <f>GEntry!W20</f>
        <v>0</v>
      </c>
      <c r="C30" s="689">
        <f>GEntry!X20</f>
        <v>0</v>
      </c>
      <c r="D30" s="689">
        <f>GEntry!Y20</f>
        <v>0</v>
      </c>
      <c r="E30" s="689">
        <f>GEntry!Z20</f>
        <v>0</v>
      </c>
      <c r="F30" s="690">
        <f>GEntry!AB20</f>
        <v>0</v>
      </c>
      <c r="G30" s="690">
        <f>GEntry!BZ20</f>
        <v>0</v>
      </c>
      <c r="H30" s="689">
        <f>GEntry!CT20</f>
        <v>0</v>
      </c>
      <c r="I30" s="689">
        <f>GEntry!AP20</f>
        <v>0</v>
      </c>
      <c r="J30" s="689">
        <f>GEntry!AR20</f>
        <v>0</v>
      </c>
      <c r="K30" s="689"/>
      <c r="L30" s="689">
        <f>GEntry!AO20</f>
        <v>0</v>
      </c>
      <c r="M30" s="689">
        <f>GEntry!AQ20</f>
        <v>0</v>
      </c>
      <c r="N30" s="689">
        <f>GEntry!CQ20</f>
        <v>0</v>
      </c>
      <c r="O30" s="689">
        <f>GEntry!CR20</f>
        <v>0</v>
      </c>
      <c r="P30" s="689">
        <f>GEntry!CM20</f>
        <v>0</v>
      </c>
      <c r="Q30" s="689">
        <f>GEntry!DD20</f>
        <v>0</v>
      </c>
      <c r="R30" s="689">
        <f>GEntry!T20</f>
        <v>0</v>
      </c>
      <c r="S30" s="689">
        <f>GEntry!R20</f>
        <v>0</v>
      </c>
      <c r="T30" s="689">
        <f>GEntry!S20</f>
        <v>0</v>
      </c>
      <c r="U30" s="689">
        <f>GEntry!CD20</f>
        <v>0</v>
      </c>
      <c r="V30" s="690">
        <f>GEntry!CY20</f>
        <v>0</v>
      </c>
      <c r="W30" s="689">
        <f>GEntry!CF20</f>
        <v>0</v>
      </c>
      <c r="X30" s="689">
        <f>GEntry!CP20</f>
        <v>0</v>
      </c>
      <c r="Y30" s="689">
        <f>GEntry!DC20</f>
        <v>0</v>
      </c>
      <c r="Z30" s="689">
        <f>GEntry!CN20</f>
        <v>0</v>
      </c>
      <c r="AA30" s="689">
        <f>GEntry!DB20</f>
        <v>0</v>
      </c>
      <c r="AB30" s="689">
        <f>GEntry!DH20</f>
        <v>0</v>
      </c>
      <c r="AC30" s="689">
        <f>GEntry!DE20</f>
        <v>0</v>
      </c>
      <c r="AD30" s="689">
        <f>GEntry!BK20</f>
        <v>0</v>
      </c>
      <c r="AE30" s="689">
        <f>GEntry!BN20</f>
        <v>0</v>
      </c>
      <c r="AF30" s="689">
        <f>GEntry!BV20</f>
        <v>0</v>
      </c>
      <c r="AG30" s="689">
        <f>GEntry!BW20</f>
        <v>0</v>
      </c>
      <c r="AH30" s="689">
        <f>GEntry!BX20</f>
        <v>0</v>
      </c>
      <c r="AI30" s="689">
        <f>GEntry!BY20</f>
        <v>0</v>
      </c>
      <c r="AJ30" s="689">
        <f>GEntry!CE20</f>
        <v>0</v>
      </c>
      <c r="AK30" s="689">
        <f>GEntry!AN20</f>
        <v>0</v>
      </c>
      <c r="AL30" s="1075">
        <f>GEntry!B20</f>
        <v>0</v>
      </c>
      <c r="AM30" s="1075">
        <f>GEntry!C20</f>
        <v>0</v>
      </c>
      <c r="AN30" s="689">
        <f>GEntry!D20</f>
        <v>0</v>
      </c>
      <c r="AO30" s="689">
        <f>GEntry!E20</f>
        <v>0</v>
      </c>
      <c r="AP30" s="689">
        <f>GEntry!F20</f>
        <v>0</v>
      </c>
      <c r="AQ30" s="689">
        <f>GEntry!H20</f>
        <v>0</v>
      </c>
      <c r="AR30" s="689">
        <f>GEntry!I20</f>
        <v>0</v>
      </c>
      <c r="AS30" s="689">
        <f>GEntry!K20</f>
        <v>0</v>
      </c>
      <c r="AT30" s="689">
        <f>GEntry!L20</f>
        <v>0</v>
      </c>
      <c r="AU30" s="689"/>
      <c r="AV30" s="689">
        <f>GEntry!BL20</f>
        <v>0</v>
      </c>
      <c r="AW30" s="689">
        <f>GEntry!N20</f>
        <v>0</v>
      </c>
      <c r="AX30" s="689">
        <f>GEntry!M20</f>
        <v>0</v>
      </c>
      <c r="AY30" s="689">
        <f>GEntry!CV20</f>
        <v>0</v>
      </c>
      <c r="AZ30" s="689">
        <f>GEntry!DA20</f>
        <v>0</v>
      </c>
      <c r="BA30" s="689">
        <f>GEntry!CZ20</f>
        <v>0</v>
      </c>
      <c r="BB30" s="689">
        <f>GEntry!BM20</f>
        <v>0</v>
      </c>
      <c r="BC30" s="689">
        <f>GEntry!BQ20</f>
        <v>0</v>
      </c>
      <c r="BD30" s="689">
        <f>GEntry!AD20</f>
        <v>0</v>
      </c>
      <c r="BE30" s="689">
        <f>GEntry!AE20</f>
        <v>0</v>
      </c>
      <c r="BF30" s="689">
        <f>GEntry!AF20</f>
        <v>0</v>
      </c>
      <c r="BG30" s="689">
        <f>GEntry!AJ20</f>
        <v>0</v>
      </c>
      <c r="BH30" s="689">
        <f>GEntry!AI20</f>
        <v>0</v>
      </c>
      <c r="BI30" s="689">
        <f>GEntry!AH20</f>
        <v>0</v>
      </c>
      <c r="BJ30" s="689">
        <f>GEntry!V20</f>
        <v>0</v>
      </c>
      <c r="BK30" s="689">
        <f>GEntry!AM20</f>
        <v>0</v>
      </c>
      <c r="BL30" s="689">
        <f>GEntry!AG20</f>
        <v>0</v>
      </c>
      <c r="BM30" s="689">
        <f>GEntry!AL20</f>
        <v>0</v>
      </c>
      <c r="BN30" s="689">
        <f>GEntry!CU20</f>
        <v>0</v>
      </c>
      <c r="BO30" s="690">
        <f>GEntry!CX20</f>
        <v>0</v>
      </c>
      <c r="BP30" s="690">
        <f>GEntry!CO20</f>
        <v>0</v>
      </c>
      <c r="BQ30" s="690">
        <f>GEntry!Q20</f>
        <v>0</v>
      </c>
      <c r="BR30" s="689">
        <f>GEntry!CH20</f>
        <v>0</v>
      </c>
      <c r="BS30" s="690">
        <f>GEntry!BR20</f>
        <v>0</v>
      </c>
      <c r="BT30" s="690">
        <f>GEntry!BS20</f>
        <v>0</v>
      </c>
      <c r="BU30" s="690">
        <f>GEntry!BT20</f>
        <v>0</v>
      </c>
      <c r="BV30" s="690">
        <f>GEntry!BU20</f>
        <v>0</v>
      </c>
      <c r="BW30" s="680">
        <f>GEntry!BP20</f>
        <v>0</v>
      </c>
      <c r="BX30" s="690">
        <f>GEntry!AS20</f>
        <v>0</v>
      </c>
      <c r="BY30" s="690">
        <f>GEntry!CG20</f>
        <v>0</v>
      </c>
      <c r="BZ30" s="690">
        <f>GEntry!BO20</f>
        <v>0</v>
      </c>
      <c r="CA30" s="1077">
        <f>GEntry!DG20</f>
        <v>0</v>
      </c>
      <c r="CB30" s="690">
        <f>GEntry!AU20</f>
        <v>0</v>
      </c>
      <c r="CC30" s="690">
        <f>GEntry!AV20</f>
        <v>0</v>
      </c>
      <c r="CD30" s="690">
        <f>GEntry!BG20</f>
        <v>0</v>
      </c>
      <c r="CE30" s="690">
        <f>GEntry!CW20</f>
        <v>0</v>
      </c>
      <c r="CF30" s="690">
        <f>GEntry!DF20</f>
        <v>0</v>
      </c>
      <c r="CG30" s="690">
        <f>GEntry!AW20</f>
        <v>0</v>
      </c>
      <c r="CH30" s="690">
        <f>GEntry!AX20</f>
        <v>0</v>
      </c>
      <c r="CI30" s="690">
        <f>GEntry!AY20</f>
        <v>0</v>
      </c>
      <c r="CJ30" s="690">
        <f>GEntry!BA20</f>
        <v>0</v>
      </c>
      <c r="CK30" s="690">
        <f>GEntry!BB20</f>
        <v>0</v>
      </c>
      <c r="CL30" s="690">
        <f>GEntry!BC20</f>
        <v>0</v>
      </c>
      <c r="CM30" s="690">
        <f>GEntry!BD20</f>
        <v>0</v>
      </c>
      <c r="CN30" s="690">
        <f>GEntry!BE20</f>
        <v>0</v>
      </c>
      <c r="CO30" s="690">
        <f>GEntry!BI20</f>
        <v>0</v>
      </c>
      <c r="CP30" s="690">
        <f>GEntry!BH20</f>
        <v>0</v>
      </c>
      <c r="CQ30" s="911">
        <f>GEntry!BF20</f>
        <v>0</v>
      </c>
      <c r="CR30" s="911">
        <f>GEntry!P20</f>
        <v>0</v>
      </c>
      <c r="CS30" s="911">
        <f>GEntry!U20</f>
        <v>0</v>
      </c>
      <c r="CT30" s="690">
        <f>GEntry!DI20</f>
        <v>0</v>
      </c>
      <c r="CU30" s="911">
        <f>GEntry!DJ20</f>
        <v>0</v>
      </c>
      <c r="CV30" s="911">
        <f>GEntry!DK20</f>
        <v>0</v>
      </c>
      <c r="CW30" s="690">
        <f>GEntry!DL20</f>
        <v>0</v>
      </c>
      <c r="CX30" s="911">
        <f>GEntry!DM20</f>
        <v>0</v>
      </c>
      <c r="CY30" s="911">
        <f>GEntry!G20</f>
        <v>0</v>
      </c>
      <c r="CZ30" s="911">
        <f>GEntry!DN20</f>
        <v>0</v>
      </c>
      <c r="DA30" s="690">
        <f>GEntry!DO20</f>
        <v>0</v>
      </c>
      <c r="DB30" s="1530">
        <f>GEntry!DP20</f>
        <v>0</v>
      </c>
      <c r="DC30" s="1520">
        <f>GEntry!DQ20</f>
        <v>0</v>
      </c>
      <c r="DD30" s="1617">
        <f>GEntry!DR20</f>
        <v>0</v>
      </c>
      <c r="DE30" s="1616">
        <f>GEntry!CI20</f>
        <v>0</v>
      </c>
      <c r="DF30" s="1700">
        <f>GEntry!O20</f>
        <v>0</v>
      </c>
      <c r="DG30" s="1694">
        <f>GEntry!CJ20</f>
        <v>0</v>
      </c>
      <c r="DH30" s="1847">
        <f>GEntry!DS20</f>
        <v>0</v>
      </c>
      <c r="DI30" s="1848">
        <f>GEntry!CK20</f>
        <v>0</v>
      </c>
      <c r="DJ30" s="1859">
        <f>GEntry!CL20</f>
        <v>0</v>
      </c>
      <c r="DK30" s="2176">
        <f>GEntry!CA20</f>
        <v>0</v>
      </c>
      <c r="DL30" s="2396">
        <f>GEntry!CB20</f>
        <v>0</v>
      </c>
      <c r="DM30" s="2177">
        <f>GEntry!DT20</f>
        <v>0</v>
      </c>
      <c r="DN30" s="2495">
        <f>GEntry!BJ20</f>
        <v>0</v>
      </c>
      <c r="DO30" s="2496">
        <f>GEntry!CS20</f>
        <v>0</v>
      </c>
      <c r="DP30" s="2603">
        <f>GEntry!AT20</f>
        <v>0</v>
      </c>
      <c r="DQ30" s="2642">
        <f>GEntry!CC20</f>
        <v>0</v>
      </c>
      <c r="DR30" s="2667">
        <f>GEntry!DU20</f>
        <v>0</v>
      </c>
      <c r="DS30" s="2669">
        <f>GEntry!AZ20</f>
        <v>0</v>
      </c>
      <c r="DT30" s="2734">
        <f>GEntry!DV20</f>
        <v>0</v>
      </c>
      <c r="DU30" s="2736">
        <f>GEntry!DW20</f>
        <v>0</v>
      </c>
      <c r="DV30" s="3114">
        <f>GEntry!DX20</f>
        <v>0</v>
      </c>
      <c r="DW30" s="3114">
        <f>GEntry!DY20</f>
        <v>0</v>
      </c>
      <c r="DX30" s="4684">
        <f>GEntry!AK20</f>
        <v>0</v>
      </c>
      <c r="DY30" s="915"/>
      <c r="DZ30" s="698">
        <f>GEntry!EZ20</f>
        <v>0</v>
      </c>
      <c r="EA30" s="695">
        <f>GEntry!EX20</f>
        <v>0</v>
      </c>
      <c r="EB30" s="695">
        <f>GEntry!FA20</f>
        <v>0</v>
      </c>
      <c r="EC30" s="695">
        <f>GEntry!EC20</f>
        <v>0</v>
      </c>
      <c r="ED30" s="695">
        <f>GEntry!ED20</f>
        <v>0</v>
      </c>
      <c r="EE30" s="695">
        <f>GEntry!EI20</f>
        <v>0</v>
      </c>
      <c r="EF30" s="695">
        <f>GEntry!EB20</f>
        <v>0</v>
      </c>
      <c r="EG30" s="695">
        <v>0</v>
      </c>
      <c r="EH30" s="695">
        <f>GEntry!EH20</f>
        <v>0</v>
      </c>
      <c r="EI30" s="695">
        <f>GEntry!EW20</f>
        <v>0</v>
      </c>
      <c r="EJ30" s="695">
        <f>GEntry!EV20</f>
        <v>0</v>
      </c>
      <c r="EK30" s="695">
        <f>GEntry!ES20</f>
        <v>0</v>
      </c>
      <c r="EL30" s="695">
        <f>GEntry!ET20</f>
        <v>0</v>
      </c>
      <c r="EM30" s="695">
        <f>GEntry!EP20</f>
        <v>0</v>
      </c>
      <c r="EN30" s="695">
        <f>GEntry!EQ20</f>
        <v>0</v>
      </c>
      <c r="EO30" s="695">
        <f>GEntry!FH20</f>
        <v>0</v>
      </c>
      <c r="EP30" s="695">
        <f>GEntry!FG20</f>
        <v>0</v>
      </c>
      <c r="EQ30" s="695">
        <f>GEntry!FI20</f>
        <v>0</v>
      </c>
      <c r="ER30" s="695">
        <f>GEntry!FS20</f>
        <v>0</v>
      </c>
      <c r="ES30" s="695">
        <f>GEntry!GB20</f>
        <v>0</v>
      </c>
      <c r="ET30" s="695">
        <f>GEntry!FW20</f>
        <v>0</v>
      </c>
      <c r="EU30" s="695">
        <f>GEntry!FX20</f>
        <v>0</v>
      </c>
      <c r="EV30" s="695">
        <f>GEntry!FY20</f>
        <v>0</v>
      </c>
      <c r="EW30" s="695">
        <f>GEntry!GA20</f>
        <v>0</v>
      </c>
      <c r="EX30" s="695">
        <f>GEntry!FZ20</f>
        <v>0</v>
      </c>
      <c r="EY30" s="695">
        <f>GEntry!FT20</f>
        <v>0</v>
      </c>
      <c r="EZ30" s="695">
        <f>GEntry!FU20</f>
        <v>0</v>
      </c>
      <c r="FA30" s="695">
        <f>GEntry!FV20</f>
        <v>0</v>
      </c>
      <c r="FB30" s="1073">
        <f>GEntry!FD20</f>
        <v>0</v>
      </c>
      <c r="FC30" s="1073">
        <f>GEntry!FE20</f>
        <v>0</v>
      </c>
      <c r="FD30" s="1073">
        <f>GEntry!FF20</f>
        <v>0</v>
      </c>
      <c r="FE30" s="695">
        <f>GEntry!GF20</f>
        <v>0</v>
      </c>
      <c r="FF30" s="696">
        <f>GEntry!GG20</f>
        <v>0</v>
      </c>
      <c r="FG30" s="696">
        <f>GEntry!FK20</f>
        <v>0</v>
      </c>
      <c r="FH30" s="696">
        <f>GEntry!FL20</f>
        <v>0</v>
      </c>
      <c r="FI30" s="696">
        <f>GEntry!FM20</f>
        <v>0</v>
      </c>
      <c r="FJ30" s="696">
        <f>GEntry!FN20</f>
        <v>0</v>
      </c>
      <c r="FK30" s="696">
        <f>GEntry!ER20</f>
        <v>0</v>
      </c>
      <c r="FL30" s="696">
        <f>GEntry!EU20</f>
        <v>0</v>
      </c>
      <c r="FM30" s="694">
        <f>GEntry!FO20</f>
        <v>0</v>
      </c>
      <c r="FN30" s="696">
        <f>GEntry!FP20</f>
        <v>0</v>
      </c>
      <c r="FO30" s="695">
        <f>GEntry!FQ20</f>
        <v>0</v>
      </c>
      <c r="FP30" s="1548">
        <f>GEntry!EJ20</f>
        <v>0</v>
      </c>
      <c r="FQ30" s="1550">
        <f>GEntry!GC20</f>
        <v>0</v>
      </c>
      <c r="FR30" s="1553">
        <f>GEntry!GD20</f>
        <v>0</v>
      </c>
      <c r="FS30" s="1704">
        <f>GEntry!EY20</f>
        <v>0</v>
      </c>
      <c r="FT30" s="1779">
        <f>GEntry!GH20</f>
        <v>0</v>
      </c>
      <c r="FU30" s="1781">
        <f>GEntry!FR20</f>
        <v>0</v>
      </c>
      <c r="FV30" s="1903">
        <f>GEntry!GI20</f>
        <v>0</v>
      </c>
      <c r="FW30" s="2214">
        <f>GEntry!GE20</f>
        <v>0</v>
      </c>
      <c r="FX30" s="695">
        <f>GEntry!FB20</f>
        <v>0</v>
      </c>
      <c r="FY30" s="2585">
        <f>GEntry!EN20</f>
        <v>0</v>
      </c>
      <c r="FZ30" s="2624">
        <f>GEntry!EO20</f>
        <v>0</v>
      </c>
      <c r="GA30" s="2626">
        <f>GEntry!EM20</f>
        <v>0</v>
      </c>
      <c r="GB30" s="3134">
        <f>GEntry!FJ20</f>
        <v>0</v>
      </c>
      <c r="GC30" s="3179">
        <f>GEntry!EK20</f>
        <v>0</v>
      </c>
      <c r="GD30" s="2585">
        <f>GEntry!GJ20</f>
        <v>0</v>
      </c>
      <c r="GE30" s="4736">
        <f>GEntry!EF20</f>
        <v>0</v>
      </c>
      <c r="GF30" s="4737">
        <f>GEntry!EE20</f>
        <v>0</v>
      </c>
      <c r="GG30" s="918"/>
      <c r="GH30" s="841">
        <f>SUM(B30:DY30)</f>
        <v>0</v>
      </c>
      <c r="GI30" s="840">
        <f>SUM(DZ30:GG30)</f>
        <v>0</v>
      </c>
      <c r="GJ30" s="837">
        <f>GH30+GI30</f>
        <v>0</v>
      </c>
      <c r="GK30" s="583">
        <f t="shared" si="0"/>
        <v>0</v>
      </c>
      <c r="GL30" s="583">
        <f t="shared" si="1"/>
        <v>0</v>
      </c>
      <c r="GM30" s="583">
        <f t="shared" si="13"/>
        <v>0</v>
      </c>
      <c r="GN30" s="583">
        <f t="shared" si="10"/>
        <v>0</v>
      </c>
      <c r="GO30" s="583">
        <f t="shared" si="2"/>
        <v>0</v>
      </c>
      <c r="GP30" s="583">
        <f t="shared" si="3"/>
        <v>0</v>
      </c>
      <c r="GQ30" s="583">
        <f>AL30+AM30</f>
        <v>0</v>
      </c>
      <c r="GR30" s="583">
        <f t="shared" si="5"/>
        <v>0</v>
      </c>
      <c r="GS30" s="583">
        <f t="shared" si="11"/>
        <v>0</v>
      </c>
      <c r="GT30" s="583">
        <f t="shared" si="6"/>
        <v>0</v>
      </c>
      <c r="GU30" s="836">
        <f t="shared" si="7"/>
        <v>0</v>
      </c>
      <c r="GV30" s="835">
        <f>FWise!M22</f>
        <v>1286</v>
      </c>
      <c r="GW30" s="2510">
        <f>GEntry!GN20</f>
        <v>0</v>
      </c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12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</row>
    <row r="31" spans="1:278" ht="21.75" customHeight="1" thickBot="1">
      <c r="A31" s="542">
        <v>0.75</v>
      </c>
      <c r="B31" s="1155">
        <f>GEntry!W21</f>
        <v>0</v>
      </c>
      <c r="C31" s="1156">
        <f>GEntry!X21</f>
        <v>0</v>
      </c>
      <c r="D31" s="1156">
        <f>GEntry!Y21</f>
        <v>0</v>
      </c>
      <c r="E31" s="1156">
        <f>GEntry!Z21</f>
        <v>0</v>
      </c>
      <c r="F31" s="1157">
        <f>GEntry!AB21</f>
        <v>0</v>
      </c>
      <c r="G31" s="1157">
        <f>GEntry!BZ21</f>
        <v>0</v>
      </c>
      <c r="H31" s="1156">
        <f>GEntry!CT21</f>
        <v>0</v>
      </c>
      <c r="I31" s="1156">
        <f>GEntry!AP21</f>
        <v>0</v>
      </c>
      <c r="J31" s="1156">
        <f>GEntry!AR21</f>
        <v>0</v>
      </c>
      <c r="K31" s="1156"/>
      <c r="L31" s="1156">
        <f>GEntry!AO21</f>
        <v>0</v>
      </c>
      <c r="M31" s="1156">
        <f>GEntry!AQ21</f>
        <v>0</v>
      </c>
      <c r="N31" s="1156">
        <f>GEntry!CQ21</f>
        <v>0</v>
      </c>
      <c r="O31" s="1156">
        <f>GEntry!CR21</f>
        <v>0</v>
      </c>
      <c r="P31" s="1156">
        <f>GEntry!CM21</f>
        <v>0</v>
      </c>
      <c r="Q31" s="1156">
        <f>GEntry!DD21</f>
        <v>0</v>
      </c>
      <c r="R31" s="1156">
        <f>GEntry!T21</f>
        <v>0</v>
      </c>
      <c r="S31" s="1156">
        <f>GEntry!R21</f>
        <v>0</v>
      </c>
      <c r="T31" s="1156">
        <f>GEntry!S21</f>
        <v>0</v>
      </c>
      <c r="U31" s="1156">
        <f>GEntry!CD21</f>
        <v>0</v>
      </c>
      <c r="V31" s="1157">
        <f>GEntry!CY21</f>
        <v>0</v>
      </c>
      <c r="W31" s="1156">
        <f>GEntry!CF21</f>
        <v>0</v>
      </c>
      <c r="X31" s="1156">
        <f>GEntry!CP21</f>
        <v>0</v>
      </c>
      <c r="Y31" s="1156">
        <f>GEntry!DC21</f>
        <v>0</v>
      </c>
      <c r="Z31" s="1156">
        <f>GEntry!CN21</f>
        <v>0</v>
      </c>
      <c r="AA31" s="1156">
        <f>GEntry!DB21</f>
        <v>0</v>
      </c>
      <c r="AB31" s="1156">
        <f>GEntry!DH21</f>
        <v>0</v>
      </c>
      <c r="AC31" s="1156">
        <f>GEntry!DE21</f>
        <v>0</v>
      </c>
      <c r="AD31" s="1156">
        <f>GEntry!BK21</f>
        <v>0</v>
      </c>
      <c r="AE31" s="1156">
        <f>GEntry!BN21</f>
        <v>0</v>
      </c>
      <c r="AF31" s="1156">
        <f>GEntry!BV21</f>
        <v>0</v>
      </c>
      <c r="AG31" s="1156">
        <f>GEntry!BW21</f>
        <v>0</v>
      </c>
      <c r="AH31" s="1156">
        <f>GEntry!BX21</f>
        <v>0</v>
      </c>
      <c r="AI31" s="1156">
        <f>GEntry!BY21</f>
        <v>0</v>
      </c>
      <c r="AJ31" s="1156">
        <f>GEntry!CE21</f>
        <v>0</v>
      </c>
      <c r="AK31" s="1156">
        <f>GEntry!AN21</f>
        <v>0</v>
      </c>
      <c r="AL31" s="1503">
        <f>GEntry!B21</f>
        <v>0</v>
      </c>
      <c r="AM31" s="1158">
        <f>GEntry!C21</f>
        <v>0</v>
      </c>
      <c r="AN31" s="1156">
        <f>GEntry!D21</f>
        <v>0</v>
      </c>
      <c r="AO31" s="1156">
        <f>GEntry!E21</f>
        <v>0</v>
      </c>
      <c r="AP31" s="1156">
        <f>GEntry!F21</f>
        <v>0</v>
      </c>
      <c r="AQ31" s="1156">
        <f>GEntry!H21</f>
        <v>0</v>
      </c>
      <c r="AR31" s="1156">
        <f>GEntry!I21</f>
        <v>0</v>
      </c>
      <c r="AS31" s="1156">
        <f>GEntry!K21</f>
        <v>0</v>
      </c>
      <c r="AT31" s="1156">
        <f>GEntry!L21</f>
        <v>0</v>
      </c>
      <c r="AU31" s="1156"/>
      <c r="AV31" s="1156">
        <f>GEntry!BL21</f>
        <v>0</v>
      </c>
      <c r="AW31" s="1156">
        <f>GEntry!N21</f>
        <v>0</v>
      </c>
      <c r="AX31" s="1156">
        <f>GEntry!M21</f>
        <v>0</v>
      </c>
      <c r="AY31" s="1156">
        <f>GEntry!CV21</f>
        <v>0</v>
      </c>
      <c r="AZ31" s="1156">
        <f>GEntry!DA21</f>
        <v>0</v>
      </c>
      <c r="BA31" s="1156">
        <f>GEntry!CZ21</f>
        <v>0</v>
      </c>
      <c r="BB31" s="1156">
        <f>GEntry!BM21</f>
        <v>0</v>
      </c>
      <c r="BC31" s="1156">
        <f>GEntry!BQ21</f>
        <v>0</v>
      </c>
      <c r="BD31" s="1156">
        <f>GEntry!AD21</f>
        <v>0</v>
      </c>
      <c r="BE31" s="1156">
        <f>GEntry!AE21</f>
        <v>0</v>
      </c>
      <c r="BF31" s="1156">
        <f>GEntry!AF21</f>
        <v>0</v>
      </c>
      <c r="BG31" s="1156">
        <f>GEntry!AJ21</f>
        <v>0</v>
      </c>
      <c r="BH31" s="1156">
        <f>GEntry!AI21</f>
        <v>0</v>
      </c>
      <c r="BI31" s="1156">
        <f>GEntry!AH21</f>
        <v>0</v>
      </c>
      <c r="BJ31" s="1156">
        <f>GEntry!V21</f>
        <v>0</v>
      </c>
      <c r="BK31" s="1156">
        <f>GEntry!AM21</f>
        <v>0</v>
      </c>
      <c r="BL31" s="1156">
        <f>GEntry!AG21</f>
        <v>0</v>
      </c>
      <c r="BM31" s="1156">
        <f>GEntry!AL21</f>
        <v>0</v>
      </c>
      <c r="BN31" s="1156">
        <f>GEntry!CU21</f>
        <v>0</v>
      </c>
      <c r="BO31" s="1157">
        <f>GEntry!CX21</f>
        <v>0</v>
      </c>
      <c r="BP31" s="1157">
        <f>GEntry!CO21</f>
        <v>0</v>
      </c>
      <c r="BQ31" s="1157">
        <f>GEntry!Q21</f>
        <v>0</v>
      </c>
      <c r="BR31" s="1156">
        <f>GEntry!CH21</f>
        <v>0</v>
      </c>
      <c r="BS31" s="1157">
        <f>GEntry!BR21</f>
        <v>0</v>
      </c>
      <c r="BT31" s="1157">
        <f>GEntry!BS21</f>
        <v>0</v>
      </c>
      <c r="BU31" s="1157">
        <f>GEntry!BT21</f>
        <v>0</v>
      </c>
      <c r="BV31" s="1157">
        <f>GEntry!BU21</f>
        <v>0</v>
      </c>
      <c r="BW31" s="1159">
        <f>GEntry!BP21</f>
        <v>0</v>
      </c>
      <c r="BX31" s="1157">
        <f>GEntry!AS21</f>
        <v>0</v>
      </c>
      <c r="BY31" s="1157">
        <f>GEntry!CG21</f>
        <v>0</v>
      </c>
      <c r="BZ31" s="1157">
        <f>GEntry!BO21</f>
        <v>0</v>
      </c>
      <c r="CA31" s="1077">
        <f>GEntry!DG21</f>
        <v>0</v>
      </c>
      <c r="CB31" s="1157">
        <f>GEntry!AU21</f>
        <v>0</v>
      </c>
      <c r="CC31" s="1157">
        <f>GEntry!AV21</f>
        <v>0</v>
      </c>
      <c r="CD31" s="1157">
        <f>GEntry!BG21</f>
        <v>0</v>
      </c>
      <c r="CE31" s="1157">
        <f>GEntry!CW21</f>
        <v>0</v>
      </c>
      <c r="CF31" s="1157">
        <f>GEntry!DF21</f>
        <v>0</v>
      </c>
      <c r="CG31" s="1157">
        <f>GEntry!AW21</f>
        <v>0</v>
      </c>
      <c r="CH31" s="1157">
        <f>GEntry!AX21</f>
        <v>0</v>
      </c>
      <c r="CI31" s="1157">
        <f>GEntry!AY21</f>
        <v>0</v>
      </c>
      <c r="CJ31" s="1157">
        <f>GEntry!BA21</f>
        <v>0</v>
      </c>
      <c r="CK31" s="1157">
        <f>GEntry!BB21</f>
        <v>0</v>
      </c>
      <c r="CL31" s="1157">
        <f>GEntry!BC21</f>
        <v>0</v>
      </c>
      <c r="CM31" s="1157">
        <f>GEntry!BD21</f>
        <v>0</v>
      </c>
      <c r="CN31" s="1157">
        <f>GEntry!BE21</f>
        <v>0</v>
      </c>
      <c r="CO31" s="1157">
        <f>GEntry!BI21</f>
        <v>0</v>
      </c>
      <c r="CP31" s="1157">
        <f>GEntry!BH21</f>
        <v>0</v>
      </c>
      <c r="CQ31" s="1160">
        <f>GEntry!BF21</f>
        <v>0</v>
      </c>
      <c r="CR31" s="911">
        <f>GEntry!P21</f>
        <v>0</v>
      </c>
      <c r="CS31" s="911">
        <f>GEntry!U21</f>
        <v>0</v>
      </c>
      <c r="CT31" s="690">
        <f>GEntry!DI21</f>
        <v>0</v>
      </c>
      <c r="CU31" s="911">
        <f>GEntry!DJ21</f>
        <v>0</v>
      </c>
      <c r="CV31" s="911">
        <f>GEntry!DK21</f>
        <v>0</v>
      </c>
      <c r="CW31" s="690">
        <f>GEntry!DL21</f>
        <v>0</v>
      </c>
      <c r="CX31" s="911">
        <f>GEntry!DM21</f>
        <v>0</v>
      </c>
      <c r="CY31" s="911">
        <f>GEntry!G21</f>
        <v>0</v>
      </c>
      <c r="CZ31" s="911">
        <f>GEntry!DN21</f>
        <v>0</v>
      </c>
      <c r="DA31" s="690">
        <f>GEntry!DO21</f>
        <v>0</v>
      </c>
      <c r="DB31" s="1530">
        <f>GEntry!DP21</f>
        <v>0</v>
      </c>
      <c r="DC31" s="1520">
        <f>GEntry!DQ21</f>
        <v>0</v>
      </c>
      <c r="DD31" s="1617">
        <f>GEntry!DR21</f>
        <v>0</v>
      </c>
      <c r="DE31" s="1616">
        <f>GEntry!CI21</f>
        <v>0</v>
      </c>
      <c r="DF31" s="1700">
        <f>GEntry!O21</f>
        <v>0</v>
      </c>
      <c r="DG31" s="1694">
        <f>GEntry!CJ21</f>
        <v>0</v>
      </c>
      <c r="DH31" s="1847">
        <f>GEntry!DS21</f>
        <v>0</v>
      </c>
      <c r="DI31" s="1848">
        <f>GEntry!CK21</f>
        <v>0</v>
      </c>
      <c r="DJ31" s="1859">
        <f>GEntry!CL21</f>
        <v>0</v>
      </c>
      <c r="DK31" s="2176">
        <f>GEntry!CA21</f>
        <v>0</v>
      </c>
      <c r="DL31" s="2396">
        <f>GEntry!CB21</f>
        <v>0</v>
      </c>
      <c r="DM31" s="2177">
        <f>GEntry!DT21</f>
        <v>0</v>
      </c>
      <c r="DN31" s="2495">
        <f>GEntry!BJ21</f>
        <v>0</v>
      </c>
      <c r="DO31" s="2496">
        <f>GEntry!CS21</f>
        <v>0</v>
      </c>
      <c r="DP31" s="2603">
        <f>GEntry!AT21</f>
        <v>0</v>
      </c>
      <c r="DQ31" s="2642">
        <f>GEntry!CC21</f>
        <v>0</v>
      </c>
      <c r="DR31" s="2667">
        <f>GEntry!DU21</f>
        <v>0</v>
      </c>
      <c r="DS31" s="2669">
        <f>GEntry!AZ21</f>
        <v>0</v>
      </c>
      <c r="DT31" s="2734">
        <f>GEntry!DV21</f>
        <v>0</v>
      </c>
      <c r="DU31" s="2736">
        <f>GEntry!DW21</f>
        <v>0</v>
      </c>
      <c r="DV31" s="3114">
        <f>GEntry!DX21</f>
        <v>0</v>
      </c>
      <c r="DW31" s="3114">
        <f>GEntry!DY21</f>
        <v>0</v>
      </c>
      <c r="DX31" s="4684">
        <f>GEntry!AK21</f>
        <v>0</v>
      </c>
      <c r="DY31" s="1161"/>
      <c r="DZ31" s="1162">
        <f>GEntry!EZ21</f>
        <v>0</v>
      </c>
      <c r="EA31" s="1163">
        <f>GEntry!EX21</f>
        <v>0</v>
      </c>
      <c r="EB31" s="1163">
        <f>GEntry!FA21</f>
        <v>0</v>
      </c>
      <c r="EC31" s="1163">
        <f>GEntry!EC21</f>
        <v>0</v>
      </c>
      <c r="ED31" s="1163">
        <f>GEntry!ED21</f>
        <v>0</v>
      </c>
      <c r="EE31" s="1163">
        <f>GEntry!EI21</f>
        <v>0</v>
      </c>
      <c r="EF31" s="1163">
        <f>GEntry!EB21</f>
        <v>0</v>
      </c>
      <c r="EG31" s="1163">
        <f>GEntry!EG21</f>
        <v>0</v>
      </c>
      <c r="EH31" s="1163">
        <f>GEntry!EH21</f>
        <v>0</v>
      </c>
      <c r="EI31" s="1163">
        <f>GEntry!EW21</f>
        <v>0</v>
      </c>
      <c r="EJ31" s="1163">
        <f>GEntry!EV21</f>
        <v>0</v>
      </c>
      <c r="EK31" s="1163">
        <f>GEntry!ES21</f>
        <v>0</v>
      </c>
      <c r="EL31" s="1163">
        <f>GEntry!ET21</f>
        <v>0</v>
      </c>
      <c r="EM31" s="1163">
        <f>GEntry!EP21</f>
        <v>0</v>
      </c>
      <c r="EN31" s="1163">
        <f>GEntry!EQ21</f>
        <v>0</v>
      </c>
      <c r="EO31" s="1163">
        <f>GEntry!FH21</f>
        <v>0</v>
      </c>
      <c r="EP31" s="1163">
        <f>GEntry!FG21</f>
        <v>0</v>
      </c>
      <c r="EQ31" s="1163">
        <f>GEntry!FI21</f>
        <v>0</v>
      </c>
      <c r="ER31" s="1163">
        <f>GEntry!FS21</f>
        <v>0</v>
      </c>
      <c r="ES31" s="1163">
        <f>GEntry!GB21</f>
        <v>0</v>
      </c>
      <c r="ET31" s="1163">
        <f>GEntry!FW21</f>
        <v>0</v>
      </c>
      <c r="EU31" s="1163">
        <f>GEntry!FX21</f>
        <v>0</v>
      </c>
      <c r="EV31" s="1163">
        <f>GEntry!FY21</f>
        <v>0</v>
      </c>
      <c r="EW31" s="1163">
        <f>GEntry!GA21</f>
        <v>0</v>
      </c>
      <c r="EX31" s="1163">
        <f>GEntry!FZ21</f>
        <v>0</v>
      </c>
      <c r="EY31" s="1163">
        <f>GEntry!FT21</f>
        <v>0</v>
      </c>
      <c r="EZ31" s="1163">
        <f>GEntry!FU21</f>
        <v>0</v>
      </c>
      <c r="FA31" s="1163">
        <f>GEntry!FV21</f>
        <v>0</v>
      </c>
      <c r="FB31" s="1164">
        <f>GEntry!FD21</f>
        <v>0</v>
      </c>
      <c r="FC31" s="1164">
        <f>GEntry!FE21</f>
        <v>0</v>
      </c>
      <c r="FD31" s="1164">
        <f>GEntry!FF21</f>
        <v>0</v>
      </c>
      <c r="FE31" s="1163">
        <f>GEntry!GF21</f>
        <v>0</v>
      </c>
      <c r="FF31" s="1165">
        <f>GEntry!GG21</f>
        <v>0</v>
      </c>
      <c r="FG31" s="696">
        <f>GEntry!FK21</f>
        <v>0</v>
      </c>
      <c r="FH31" s="696">
        <f>GEntry!FL21</f>
        <v>0</v>
      </c>
      <c r="FI31" s="696">
        <f>GEntry!FM21</f>
        <v>0</v>
      </c>
      <c r="FJ31" s="696">
        <f>GEntry!FN21</f>
        <v>0</v>
      </c>
      <c r="FK31" s="696">
        <f>GEntry!ER21</f>
        <v>0</v>
      </c>
      <c r="FL31" s="696">
        <f>GEntry!EU21</f>
        <v>0</v>
      </c>
      <c r="FM31" s="694">
        <f>GEntry!FO21</f>
        <v>0</v>
      </c>
      <c r="FN31" s="696">
        <f>GEntry!FP21</f>
        <v>0</v>
      </c>
      <c r="FO31" s="695">
        <f>GEntry!FQ21</f>
        <v>0</v>
      </c>
      <c r="FP31" s="1548">
        <f>GEntry!EJ21</f>
        <v>0</v>
      </c>
      <c r="FQ31" s="1550">
        <f>GEntry!GC21</f>
        <v>0</v>
      </c>
      <c r="FR31" s="1553">
        <f>GEntry!GD21</f>
        <v>0</v>
      </c>
      <c r="FS31" s="1704">
        <f>GEntry!EY21</f>
        <v>0</v>
      </c>
      <c r="FT31" s="1779">
        <f>GEntry!GH21</f>
        <v>0</v>
      </c>
      <c r="FU31" s="1781">
        <f>GEntry!FR21</f>
        <v>0</v>
      </c>
      <c r="FV31" s="1903">
        <f>GEntry!GI21</f>
        <v>0</v>
      </c>
      <c r="FW31" s="2214">
        <f>GEntry!GE21</f>
        <v>0</v>
      </c>
      <c r="FX31" s="695">
        <f>GEntry!FB21</f>
        <v>0</v>
      </c>
      <c r="FY31" s="2585">
        <f>GEntry!EN21</f>
        <v>0</v>
      </c>
      <c r="FZ31" s="2624">
        <f>GEntry!EO21</f>
        <v>0</v>
      </c>
      <c r="GA31" s="2626">
        <f>GEntry!EM21</f>
        <v>0</v>
      </c>
      <c r="GB31" s="3134">
        <f>GEntry!FJ21</f>
        <v>0</v>
      </c>
      <c r="GC31" s="3179">
        <f>GEntry!EK21</f>
        <v>0</v>
      </c>
      <c r="GD31" s="2585">
        <f>GEntry!GJ21</f>
        <v>0</v>
      </c>
      <c r="GE31" s="4736">
        <f>GEntry!EF21</f>
        <v>0</v>
      </c>
      <c r="GF31" s="4737">
        <f>GEntry!EE21</f>
        <v>0</v>
      </c>
      <c r="GG31" s="1166"/>
      <c r="GH31" s="841">
        <f t="shared" si="12"/>
        <v>0</v>
      </c>
      <c r="GI31" s="840">
        <f t="shared" si="8"/>
        <v>0</v>
      </c>
      <c r="GJ31" s="837">
        <f t="shared" si="9"/>
        <v>0</v>
      </c>
      <c r="GK31" s="583">
        <f t="shared" si="0"/>
        <v>0</v>
      </c>
      <c r="GL31" s="583">
        <f t="shared" si="1"/>
        <v>0</v>
      </c>
      <c r="GM31" s="583">
        <f t="shared" si="13"/>
        <v>0</v>
      </c>
      <c r="GN31" s="583">
        <f t="shared" si="10"/>
        <v>0</v>
      </c>
      <c r="GO31" s="583">
        <f t="shared" si="2"/>
        <v>0</v>
      </c>
      <c r="GP31" s="583">
        <f t="shared" si="3"/>
        <v>0</v>
      </c>
      <c r="GQ31" s="583">
        <f t="shared" si="4"/>
        <v>0</v>
      </c>
      <c r="GR31" s="583">
        <f t="shared" si="5"/>
        <v>0</v>
      </c>
      <c r="GS31" s="583">
        <f t="shared" si="11"/>
        <v>0</v>
      </c>
      <c r="GT31" s="583">
        <f t="shared" si="6"/>
        <v>0</v>
      </c>
      <c r="GU31" s="836">
        <f t="shared" si="7"/>
        <v>0</v>
      </c>
      <c r="GV31" s="835">
        <f>FWise!M23</f>
        <v>755.69150000000081</v>
      </c>
      <c r="GW31" s="2510">
        <f>GEntry!GN21</f>
        <v>0</v>
      </c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12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</row>
    <row r="32" spans="1:278" ht="23.25" customHeight="1" thickBot="1">
      <c r="A32" s="542">
        <v>0.77083333333333337</v>
      </c>
      <c r="B32" s="692">
        <f>GEntry!W22</f>
        <v>0</v>
      </c>
      <c r="C32" s="689">
        <f>GEntry!X22</f>
        <v>0</v>
      </c>
      <c r="D32" s="689">
        <f>GEntry!Y22</f>
        <v>0</v>
      </c>
      <c r="E32" s="689">
        <f>GEntry!Z22</f>
        <v>0</v>
      </c>
      <c r="F32" s="690">
        <f>GEntry!AB22</f>
        <v>0</v>
      </c>
      <c r="G32" s="690">
        <f>GEntry!BZ22</f>
        <v>0</v>
      </c>
      <c r="H32" s="689">
        <f>GEntry!CT22</f>
        <v>0</v>
      </c>
      <c r="I32" s="689">
        <f>GEntry!AP22</f>
        <v>0</v>
      </c>
      <c r="J32" s="689">
        <f>GEntry!AR22</f>
        <v>0</v>
      </c>
      <c r="K32" s="689"/>
      <c r="L32" s="689">
        <f>GEntry!AO22</f>
        <v>0</v>
      </c>
      <c r="M32" s="689">
        <f>GEntry!AQ22</f>
        <v>0</v>
      </c>
      <c r="N32" s="689">
        <f>GEntry!CQ22</f>
        <v>0</v>
      </c>
      <c r="O32" s="689">
        <f>GEntry!CR22</f>
        <v>0</v>
      </c>
      <c r="P32" s="689">
        <f>GEntry!CM22</f>
        <v>0</v>
      </c>
      <c r="Q32" s="689">
        <f>GEntry!DD22</f>
        <v>0</v>
      </c>
      <c r="R32" s="689">
        <f>GEntry!T22</f>
        <v>0</v>
      </c>
      <c r="S32" s="689">
        <f>GEntry!R22</f>
        <v>0</v>
      </c>
      <c r="T32" s="689">
        <f>GEntry!S22</f>
        <v>0</v>
      </c>
      <c r="U32" s="689">
        <f>GEntry!CD22</f>
        <v>0</v>
      </c>
      <c r="V32" s="690">
        <f>GEntry!CY22</f>
        <v>0</v>
      </c>
      <c r="W32" s="689">
        <f>GEntry!CF22</f>
        <v>0</v>
      </c>
      <c r="X32" s="689">
        <f>GEntry!CP22</f>
        <v>0</v>
      </c>
      <c r="Y32" s="689">
        <f>GEntry!DC22</f>
        <v>0</v>
      </c>
      <c r="Z32" s="689">
        <f>GEntry!CN22</f>
        <v>0</v>
      </c>
      <c r="AA32" s="689">
        <f>GEntry!DB22</f>
        <v>0</v>
      </c>
      <c r="AB32" s="689">
        <f>GEntry!DH22</f>
        <v>0</v>
      </c>
      <c r="AC32" s="689">
        <f>GEntry!DE22</f>
        <v>0</v>
      </c>
      <c r="AD32" s="689">
        <f>GEntry!BK22</f>
        <v>0</v>
      </c>
      <c r="AE32" s="689">
        <f>GEntry!BN22</f>
        <v>0</v>
      </c>
      <c r="AF32" s="689">
        <f>GEntry!BV22</f>
        <v>0</v>
      </c>
      <c r="AG32" s="689">
        <f>GEntry!BW22</f>
        <v>0</v>
      </c>
      <c r="AH32" s="689">
        <f>GEntry!BX22</f>
        <v>0</v>
      </c>
      <c r="AI32" s="689">
        <f>GEntry!BY22</f>
        <v>0</v>
      </c>
      <c r="AJ32" s="689">
        <f>GEntry!CE22</f>
        <v>0</v>
      </c>
      <c r="AK32" s="689">
        <f>GEntry!AN22</f>
        <v>0</v>
      </c>
      <c r="AL32" s="1075">
        <f>GEntry!B22</f>
        <v>0</v>
      </c>
      <c r="AM32" s="1075">
        <f>GEntry!C22</f>
        <v>0</v>
      </c>
      <c r="AN32" s="689">
        <f>GEntry!D22</f>
        <v>0</v>
      </c>
      <c r="AO32" s="689">
        <f>GEntry!E22</f>
        <v>0</v>
      </c>
      <c r="AP32" s="689">
        <f>GEntry!F22</f>
        <v>0</v>
      </c>
      <c r="AQ32" s="689">
        <f>GEntry!H22</f>
        <v>0</v>
      </c>
      <c r="AR32" s="689">
        <f>GEntry!I22</f>
        <v>0</v>
      </c>
      <c r="AS32" s="689">
        <f>GEntry!K22</f>
        <v>0</v>
      </c>
      <c r="AT32" s="689">
        <f>GEntry!L22</f>
        <v>0</v>
      </c>
      <c r="AU32" s="689"/>
      <c r="AV32" s="689">
        <f>GEntry!BL22</f>
        <v>0</v>
      </c>
      <c r="AW32" s="689">
        <f>GEntry!N22</f>
        <v>0</v>
      </c>
      <c r="AX32" s="689">
        <f>GEntry!M22</f>
        <v>0</v>
      </c>
      <c r="AY32" s="689">
        <f>GEntry!CV22</f>
        <v>0</v>
      </c>
      <c r="AZ32" s="689">
        <f>GEntry!DA22</f>
        <v>0</v>
      </c>
      <c r="BA32" s="689">
        <f>GEntry!CZ22</f>
        <v>0</v>
      </c>
      <c r="BB32" s="689">
        <f>GEntry!BM22</f>
        <v>0</v>
      </c>
      <c r="BC32" s="689">
        <f>GEntry!BQ22</f>
        <v>0</v>
      </c>
      <c r="BD32" s="689">
        <f>GEntry!AD22</f>
        <v>0</v>
      </c>
      <c r="BE32" s="689">
        <f>GEntry!AE22</f>
        <v>0</v>
      </c>
      <c r="BF32" s="689">
        <f>GEntry!AF22</f>
        <v>0</v>
      </c>
      <c r="BG32" s="689">
        <f>GEntry!AJ22</f>
        <v>0</v>
      </c>
      <c r="BH32" s="689">
        <f>GEntry!AI22</f>
        <v>0</v>
      </c>
      <c r="BI32" s="689">
        <f>GEntry!AH22</f>
        <v>0</v>
      </c>
      <c r="BJ32" s="689">
        <f>GEntry!V22</f>
        <v>0</v>
      </c>
      <c r="BK32" s="689">
        <f>GEntry!AM22</f>
        <v>0</v>
      </c>
      <c r="BL32" s="689">
        <f>GEntry!AG22</f>
        <v>0</v>
      </c>
      <c r="BM32" s="689">
        <f>GEntry!AL22</f>
        <v>0</v>
      </c>
      <c r="BN32" s="689">
        <f>GEntry!CU22</f>
        <v>0</v>
      </c>
      <c r="BO32" s="690">
        <f>GEntry!CX22</f>
        <v>0</v>
      </c>
      <c r="BP32" s="690">
        <f>GEntry!CO22</f>
        <v>0</v>
      </c>
      <c r="BQ32" s="690">
        <f>GEntry!Q22</f>
        <v>0</v>
      </c>
      <c r="BR32" s="689">
        <f>GEntry!CH22</f>
        <v>0</v>
      </c>
      <c r="BS32" s="690">
        <f>GEntry!BR22</f>
        <v>0</v>
      </c>
      <c r="BT32" s="690">
        <f>GEntry!BS22</f>
        <v>0</v>
      </c>
      <c r="BU32" s="690">
        <f>GEntry!BT22</f>
        <v>0</v>
      </c>
      <c r="BV32" s="690">
        <f>GEntry!BU22</f>
        <v>0</v>
      </c>
      <c r="BW32" s="680">
        <f>GEntry!BP22</f>
        <v>0</v>
      </c>
      <c r="BX32" s="690">
        <f>GEntry!AS22</f>
        <v>0</v>
      </c>
      <c r="BY32" s="690">
        <f>GEntry!CG22</f>
        <v>0</v>
      </c>
      <c r="BZ32" s="690">
        <f>GEntry!BO22</f>
        <v>0</v>
      </c>
      <c r="CA32" s="1077">
        <f>GEntry!DG22</f>
        <v>0</v>
      </c>
      <c r="CB32" s="690">
        <f>GEntry!AU22</f>
        <v>0</v>
      </c>
      <c r="CC32" s="690">
        <f>GEntry!AV22</f>
        <v>0</v>
      </c>
      <c r="CD32" s="690">
        <f>GEntry!BG22</f>
        <v>0</v>
      </c>
      <c r="CE32" s="690">
        <f>GEntry!CW22</f>
        <v>0</v>
      </c>
      <c r="CF32" s="690">
        <f>GEntry!DF22</f>
        <v>0</v>
      </c>
      <c r="CG32" s="690">
        <f>GEntry!AW22</f>
        <v>0</v>
      </c>
      <c r="CH32" s="690">
        <f>GEntry!AX22</f>
        <v>0</v>
      </c>
      <c r="CI32" s="690">
        <f>GEntry!AY22</f>
        <v>0</v>
      </c>
      <c r="CJ32" s="690">
        <f>GEntry!BA22</f>
        <v>0</v>
      </c>
      <c r="CK32" s="690">
        <f>GEntry!BB22</f>
        <v>0</v>
      </c>
      <c r="CL32" s="690">
        <f>GEntry!BC22</f>
        <v>0</v>
      </c>
      <c r="CM32" s="690">
        <f>GEntry!BD22</f>
        <v>0</v>
      </c>
      <c r="CN32" s="690">
        <f>GEntry!BE22</f>
        <v>0</v>
      </c>
      <c r="CO32" s="690">
        <f>GEntry!BI22</f>
        <v>0</v>
      </c>
      <c r="CP32" s="690">
        <f>GEntry!BH22</f>
        <v>0</v>
      </c>
      <c r="CQ32" s="911">
        <f>GEntry!BF22</f>
        <v>0</v>
      </c>
      <c r="CR32" s="911">
        <f>GEntry!P22</f>
        <v>0</v>
      </c>
      <c r="CS32" s="911">
        <f>GEntry!U22</f>
        <v>0</v>
      </c>
      <c r="CT32" s="690">
        <f>GEntry!DI22</f>
        <v>0</v>
      </c>
      <c r="CU32" s="911">
        <f>GEntry!DJ22</f>
        <v>0</v>
      </c>
      <c r="CV32" s="911">
        <f>GEntry!DK22</f>
        <v>0</v>
      </c>
      <c r="CW32" s="690">
        <f>GEntry!DL22</f>
        <v>0</v>
      </c>
      <c r="CX32" s="911">
        <f>GEntry!DM22</f>
        <v>0</v>
      </c>
      <c r="CY32" s="911">
        <f>GEntry!G22</f>
        <v>0</v>
      </c>
      <c r="CZ32" s="911">
        <f>GEntry!DN22</f>
        <v>0</v>
      </c>
      <c r="DA32" s="690">
        <f>GEntry!DO22</f>
        <v>0</v>
      </c>
      <c r="DB32" s="1530">
        <f>GEntry!DP22</f>
        <v>0</v>
      </c>
      <c r="DC32" s="1520">
        <f>GEntry!DQ22</f>
        <v>0</v>
      </c>
      <c r="DD32" s="1617">
        <f>GEntry!DR22</f>
        <v>0</v>
      </c>
      <c r="DE32" s="1616">
        <f>GEntry!CI22</f>
        <v>0</v>
      </c>
      <c r="DF32" s="1700">
        <f>GEntry!O22</f>
        <v>0</v>
      </c>
      <c r="DG32" s="1694">
        <f>GEntry!CJ22</f>
        <v>0</v>
      </c>
      <c r="DH32" s="1847">
        <f>GEntry!DS22</f>
        <v>0</v>
      </c>
      <c r="DI32" s="1848">
        <f>GEntry!CK22</f>
        <v>0</v>
      </c>
      <c r="DJ32" s="1859">
        <f>GEntry!CL22</f>
        <v>0</v>
      </c>
      <c r="DK32" s="2176">
        <f>GEntry!CA22</f>
        <v>0</v>
      </c>
      <c r="DL32" s="2396">
        <f>GEntry!CB22</f>
        <v>0</v>
      </c>
      <c r="DM32" s="2177">
        <f>GEntry!DT22</f>
        <v>0</v>
      </c>
      <c r="DN32" s="2495">
        <f>GEntry!BJ22</f>
        <v>0</v>
      </c>
      <c r="DO32" s="2496">
        <f>GEntry!CS22</f>
        <v>0</v>
      </c>
      <c r="DP32" s="2603">
        <f>GEntry!AT22</f>
        <v>0</v>
      </c>
      <c r="DQ32" s="2642">
        <f>GEntry!CC22</f>
        <v>0</v>
      </c>
      <c r="DR32" s="2667">
        <f>GEntry!DU22</f>
        <v>0</v>
      </c>
      <c r="DS32" s="2669">
        <f>GEntry!AZ22</f>
        <v>0</v>
      </c>
      <c r="DT32" s="2734">
        <f>GEntry!DV22</f>
        <v>0</v>
      </c>
      <c r="DU32" s="2736">
        <f>GEntry!DW22</f>
        <v>0</v>
      </c>
      <c r="DV32" s="3114">
        <f>GEntry!DX22</f>
        <v>0</v>
      </c>
      <c r="DW32" s="3114">
        <f>GEntry!DY22</f>
        <v>0</v>
      </c>
      <c r="DX32" s="4684">
        <f>GEntry!AK22</f>
        <v>0</v>
      </c>
      <c r="DY32" s="915"/>
      <c r="DZ32" s="698">
        <f>GEntry!EZ22</f>
        <v>0</v>
      </c>
      <c r="EA32" s="695">
        <f>GEntry!EX22</f>
        <v>0</v>
      </c>
      <c r="EB32" s="695">
        <f>GEntry!FA22</f>
        <v>0</v>
      </c>
      <c r="EC32" s="695">
        <f>GEntry!EC22</f>
        <v>0</v>
      </c>
      <c r="ED32" s="695">
        <f>GEntry!ED22</f>
        <v>0</v>
      </c>
      <c r="EE32" s="695">
        <f>GEntry!EI22</f>
        <v>0</v>
      </c>
      <c r="EF32" s="695">
        <f>GEntry!EB22</f>
        <v>0</v>
      </c>
      <c r="EG32" s="695">
        <f>GEntry!EG22</f>
        <v>0</v>
      </c>
      <c r="EH32" s="695">
        <f>GEntry!EH22</f>
        <v>0</v>
      </c>
      <c r="EI32" s="695">
        <f>GEntry!EW22</f>
        <v>0</v>
      </c>
      <c r="EJ32" s="695">
        <f>GEntry!EV22</f>
        <v>0</v>
      </c>
      <c r="EK32" s="695">
        <f>GEntry!ES22</f>
        <v>0</v>
      </c>
      <c r="EL32" s="695">
        <f>GEntry!ET22</f>
        <v>0</v>
      </c>
      <c r="EM32" s="695">
        <f>GEntry!EP22</f>
        <v>0</v>
      </c>
      <c r="EN32" s="695">
        <f>GEntry!EQ22</f>
        <v>0</v>
      </c>
      <c r="EO32" s="695">
        <f>GEntry!FH22</f>
        <v>0</v>
      </c>
      <c r="EP32" s="695">
        <f>GEntry!FG22</f>
        <v>0</v>
      </c>
      <c r="EQ32" s="695">
        <f>GEntry!FI22</f>
        <v>0</v>
      </c>
      <c r="ER32" s="695">
        <f>GEntry!FS22</f>
        <v>0</v>
      </c>
      <c r="ES32" s="695">
        <f>GEntry!GB22</f>
        <v>0</v>
      </c>
      <c r="ET32" s="695">
        <f>GEntry!FW22</f>
        <v>0</v>
      </c>
      <c r="EU32" s="695">
        <f>GEntry!FX22</f>
        <v>0</v>
      </c>
      <c r="EV32" s="695">
        <f>GEntry!FY22</f>
        <v>0</v>
      </c>
      <c r="EW32" s="695">
        <f>GEntry!GA22</f>
        <v>0</v>
      </c>
      <c r="EX32" s="695">
        <f>GEntry!FZ22</f>
        <v>0</v>
      </c>
      <c r="EY32" s="695">
        <f>GEntry!FT22</f>
        <v>0</v>
      </c>
      <c r="EZ32" s="695">
        <f>GEntry!FU22</f>
        <v>0</v>
      </c>
      <c r="FA32" s="695">
        <f>GEntry!FV22</f>
        <v>0</v>
      </c>
      <c r="FB32" s="1073">
        <f>GEntry!FD22</f>
        <v>0</v>
      </c>
      <c r="FC32" s="1073">
        <f>GEntry!FE22</f>
        <v>0</v>
      </c>
      <c r="FD32" s="1073">
        <f>GEntry!FF22</f>
        <v>0</v>
      </c>
      <c r="FE32" s="695">
        <f>GEntry!GF22</f>
        <v>0</v>
      </c>
      <c r="FF32" s="696">
        <f>GEntry!GG22</f>
        <v>0</v>
      </c>
      <c r="FG32" s="696">
        <f>GEntry!FK22</f>
        <v>0</v>
      </c>
      <c r="FH32" s="696">
        <f>GEntry!FL22</f>
        <v>0</v>
      </c>
      <c r="FI32" s="696">
        <f>GEntry!FM22</f>
        <v>0</v>
      </c>
      <c r="FJ32" s="696">
        <f>GEntry!FN22</f>
        <v>0</v>
      </c>
      <c r="FK32" s="696">
        <f>GEntry!ER22</f>
        <v>0</v>
      </c>
      <c r="FL32" s="696">
        <f>GEntry!EU22</f>
        <v>0</v>
      </c>
      <c r="FM32" s="694">
        <f>GEntry!FO22</f>
        <v>0</v>
      </c>
      <c r="FN32" s="696">
        <f>GEntry!FP22</f>
        <v>0</v>
      </c>
      <c r="FO32" s="695">
        <f>GEntry!FQ22</f>
        <v>0</v>
      </c>
      <c r="FP32" s="1548">
        <f>GEntry!EJ22</f>
        <v>0</v>
      </c>
      <c r="FQ32" s="1550">
        <f>GEntry!GC22</f>
        <v>0</v>
      </c>
      <c r="FR32" s="1553">
        <f>GEntry!GD22</f>
        <v>0</v>
      </c>
      <c r="FS32" s="1704">
        <f>GEntry!EY22</f>
        <v>0</v>
      </c>
      <c r="FT32" s="1779">
        <f>GEntry!GH22</f>
        <v>0</v>
      </c>
      <c r="FU32" s="1781">
        <f>GEntry!FR22</f>
        <v>0</v>
      </c>
      <c r="FV32" s="1903">
        <f>GEntry!GI22</f>
        <v>0</v>
      </c>
      <c r="FW32" s="2214">
        <f>GEntry!GE22</f>
        <v>0</v>
      </c>
      <c r="FX32" s="695">
        <f>GEntry!FB22</f>
        <v>0</v>
      </c>
      <c r="FY32" s="2585">
        <f>GEntry!EN22</f>
        <v>0</v>
      </c>
      <c r="FZ32" s="2624">
        <f>GEntry!EO22</f>
        <v>0</v>
      </c>
      <c r="GA32" s="2626">
        <f>GEntry!EM22</f>
        <v>0</v>
      </c>
      <c r="GB32" s="3134">
        <f>GEntry!FJ22</f>
        <v>0</v>
      </c>
      <c r="GC32" s="3179">
        <f>GEntry!EK22</f>
        <v>0</v>
      </c>
      <c r="GD32" s="2585">
        <f>GEntry!GJ22</f>
        <v>0</v>
      </c>
      <c r="GE32" s="4736">
        <f>GEntry!EF22</f>
        <v>0</v>
      </c>
      <c r="GF32" s="4737">
        <f>GEntry!EE22</f>
        <v>0</v>
      </c>
      <c r="GG32" s="918"/>
      <c r="GH32" s="841">
        <f t="shared" si="12"/>
        <v>0</v>
      </c>
      <c r="GI32" s="840">
        <f t="shared" si="8"/>
        <v>0</v>
      </c>
      <c r="GJ32" s="837">
        <f t="shared" si="9"/>
        <v>0</v>
      </c>
      <c r="GK32" s="583">
        <f t="shared" si="0"/>
        <v>0</v>
      </c>
      <c r="GL32" s="583">
        <f t="shared" si="1"/>
        <v>0</v>
      </c>
      <c r="GM32" s="583">
        <f t="shared" si="13"/>
        <v>0</v>
      </c>
      <c r="GN32" s="583">
        <f t="shared" si="10"/>
        <v>0</v>
      </c>
      <c r="GO32" s="583">
        <f t="shared" si="2"/>
        <v>0</v>
      </c>
      <c r="GP32" s="583">
        <f t="shared" si="3"/>
        <v>0</v>
      </c>
      <c r="GQ32" s="583">
        <f t="shared" si="4"/>
        <v>0</v>
      </c>
      <c r="GR32" s="583">
        <f t="shared" si="5"/>
        <v>0</v>
      </c>
      <c r="GS32" s="583">
        <f t="shared" si="11"/>
        <v>0</v>
      </c>
      <c r="GT32" s="583">
        <f t="shared" si="6"/>
        <v>0</v>
      </c>
      <c r="GU32" s="836">
        <f t="shared" si="7"/>
        <v>0</v>
      </c>
      <c r="GV32" s="835">
        <f>FWise!M24</f>
        <v>904.06507500000225</v>
      </c>
      <c r="GW32" s="2510">
        <f>GEntry!GN22</f>
        <v>0</v>
      </c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12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</row>
    <row r="33" spans="1:278" ht="24" customHeight="1" thickBot="1">
      <c r="A33" s="542">
        <v>0.79166666666666663</v>
      </c>
      <c r="B33" s="692">
        <f>GEntry!W23</f>
        <v>0</v>
      </c>
      <c r="C33" s="689">
        <f>GEntry!X23</f>
        <v>0</v>
      </c>
      <c r="D33" s="689">
        <f>GEntry!Y23</f>
        <v>0</v>
      </c>
      <c r="E33" s="689">
        <f>GEntry!Z23</f>
        <v>180</v>
      </c>
      <c r="F33" s="690">
        <f>GEntry!AB23</f>
        <v>0</v>
      </c>
      <c r="G33" s="690">
        <f>GEntry!BZ23</f>
        <v>96</v>
      </c>
      <c r="H33" s="689">
        <f>GEntry!CT23</f>
        <v>0</v>
      </c>
      <c r="I33" s="689">
        <f>GEntry!AP23</f>
        <v>401</v>
      </c>
      <c r="J33" s="689">
        <f>GEntry!AR23</f>
        <v>278</v>
      </c>
      <c r="K33" s="689"/>
      <c r="L33" s="689">
        <f>GEntry!AO23</f>
        <v>0</v>
      </c>
      <c r="M33" s="689">
        <f>GEntry!AQ23</f>
        <v>225</v>
      </c>
      <c r="N33" s="689">
        <f>GEntry!CQ23</f>
        <v>0</v>
      </c>
      <c r="O33" s="689">
        <f>GEntry!CR23</f>
        <v>11</v>
      </c>
      <c r="P33" s="689">
        <f>GEntry!CM23</f>
        <v>0</v>
      </c>
      <c r="Q33" s="689">
        <f>GEntry!DD23</f>
        <v>30</v>
      </c>
      <c r="R33" s="689">
        <f>GEntry!T23</f>
        <v>0</v>
      </c>
      <c r="S33" s="689">
        <f>GEntry!R23</f>
        <v>0</v>
      </c>
      <c r="T33" s="689">
        <f>GEntry!S23</f>
        <v>0</v>
      </c>
      <c r="U33" s="689">
        <f>GEntry!CD23</f>
        <v>11</v>
      </c>
      <c r="V33" s="690">
        <f>GEntry!CY23</f>
        <v>8</v>
      </c>
      <c r="W33" s="689">
        <f>GEntry!CF23</f>
        <v>124</v>
      </c>
      <c r="X33" s="689">
        <f>GEntry!CP23</f>
        <v>0</v>
      </c>
      <c r="Y33" s="689">
        <f>GEntry!DC23</f>
        <v>0</v>
      </c>
      <c r="Z33" s="689">
        <f>GEntry!CN23</f>
        <v>0</v>
      </c>
      <c r="AA33" s="689">
        <f>GEntry!DB23</f>
        <v>0</v>
      </c>
      <c r="AB33" s="689">
        <f>GEntry!DH23</f>
        <v>54</v>
      </c>
      <c r="AC33" s="689">
        <f>GEntry!DE23</f>
        <v>55</v>
      </c>
      <c r="AD33" s="689">
        <f>GEntry!BK23</f>
        <v>35</v>
      </c>
      <c r="AE33" s="689">
        <f>GEntry!BN23</f>
        <v>22</v>
      </c>
      <c r="AF33" s="689">
        <f>GEntry!BV23</f>
        <v>25</v>
      </c>
      <c r="AG33" s="689">
        <f>GEntry!BW23</f>
        <v>20</v>
      </c>
      <c r="AH33" s="689">
        <f>GEntry!BX23</f>
        <v>33</v>
      </c>
      <c r="AI33" s="689">
        <f>GEntry!BY23</f>
        <v>30</v>
      </c>
      <c r="AJ33" s="689">
        <f>GEntry!CE23</f>
        <v>49</v>
      </c>
      <c r="AK33" s="689">
        <f>GEntry!AN23</f>
        <v>0</v>
      </c>
      <c r="AL33" s="1075">
        <f>GEntry!B23</f>
        <v>83</v>
      </c>
      <c r="AM33" s="1075">
        <f>GEntry!C23</f>
        <v>35</v>
      </c>
      <c r="AN33" s="689">
        <f>GEntry!D23</f>
        <v>100</v>
      </c>
      <c r="AO33" s="689">
        <f>GEntry!E23</f>
        <v>0</v>
      </c>
      <c r="AP33" s="689">
        <f>GEntry!F23</f>
        <v>25</v>
      </c>
      <c r="AQ33" s="689">
        <f>GEntry!H23</f>
        <v>0</v>
      </c>
      <c r="AR33" s="689">
        <f>GEntry!I23</f>
        <v>0</v>
      </c>
      <c r="AS33" s="689">
        <f>GEntry!K23</f>
        <v>0</v>
      </c>
      <c r="AT33" s="689">
        <f>GEntry!L23</f>
        <v>0</v>
      </c>
      <c r="AU33" s="689"/>
      <c r="AV33" s="689">
        <f>GEntry!BL23</f>
        <v>1</v>
      </c>
      <c r="AW33" s="689">
        <f>GEntry!N23</f>
        <v>26</v>
      </c>
      <c r="AX33" s="689">
        <f>GEntry!M23</f>
        <v>51</v>
      </c>
      <c r="AY33" s="689">
        <f>GEntry!CV23</f>
        <v>33</v>
      </c>
      <c r="AZ33" s="689">
        <f>GEntry!DA23</f>
        <v>80</v>
      </c>
      <c r="BA33" s="689">
        <f>GEntry!CZ23</f>
        <v>25</v>
      </c>
      <c r="BB33" s="689">
        <f>GEntry!BM23</f>
        <v>13</v>
      </c>
      <c r="BC33" s="689">
        <f>GEntry!BQ23</f>
        <v>7</v>
      </c>
      <c r="BD33" s="689">
        <f>GEntry!AD23</f>
        <v>0</v>
      </c>
      <c r="BE33" s="689">
        <f>GEntry!AE23</f>
        <v>0</v>
      </c>
      <c r="BF33" s="689">
        <f>GEntry!AF23</f>
        <v>0</v>
      </c>
      <c r="BG33" s="689">
        <f>GEntry!AJ23</f>
        <v>280</v>
      </c>
      <c r="BH33" s="689">
        <f>GEntry!AI23</f>
        <v>260</v>
      </c>
      <c r="BI33" s="689">
        <f>GEntry!AH23</f>
        <v>202</v>
      </c>
      <c r="BJ33" s="689">
        <f>GEntry!V23</f>
        <v>8</v>
      </c>
      <c r="BK33" s="689">
        <f>GEntry!AM23</f>
        <v>128</v>
      </c>
      <c r="BL33" s="689">
        <f>GEntry!AG23</f>
        <v>38</v>
      </c>
      <c r="BM33" s="689">
        <f>GEntry!AL23</f>
        <v>15</v>
      </c>
      <c r="BN33" s="689">
        <f>GEntry!CU23</f>
        <v>0</v>
      </c>
      <c r="BO33" s="690">
        <f>GEntry!CX23</f>
        <v>51</v>
      </c>
      <c r="BP33" s="690">
        <f>GEntry!CO23</f>
        <v>0</v>
      </c>
      <c r="BQ33" s="690">
        <f>GEntry!Q23</f>
        <v>34</v>
      </c>
      <c r="BR33" s="689">
        <f>GEntry!CH23</f>
        <v>16</v>
      </c>
      <c r="BS33" s="690">
        <f>GEntry!BR23</f>
        <v>0</v>
      </c>
      <c r="BT33" s="690">
        <f>GEntry!BS23</f>
        <v>10</v>
      </c>
      <c r="BU33" s="690">
        <f>GEntry!BT23</f>
        <v>33</v>
      </c>
      <c r="BV33" s="690">
        <f>GEntry!BU23</f>
        <v>20</v>
      </c>
      <c r="BW33" s="680">
        <f>GEntry!BP23</f>
        <v>158</v>
      </c>
      <c r="BX33" s="690">
        <f>GEntry!AS23</f>
        <v>99</v>
      </c>
      <c r="BY33" s="690">
        <f>GEntry!CG23</f>
        <v>0</v>
      </c>
      <c r="BZ33" s="690">
        <f>GEntry!BO23</f>
        <v>22</v>
      </c>
      <c r="CA33" s="1077">
        <f>GEntry!DG23</f>
        <v>0</v>
      </c>
      <c r="CB33" s="690">
        <f>GEntry!AU23</f>
        <v>44</v>
      </c>
      <c r="CC33" s="690">
        <f>GEntry!AV23</f>
        <v>40</v>
      </c>
      <c r="CD33" s="690">
        <f>GEntry!BG23</f>
        <v>50</v>
      </c>
      <c r="CE33" s="690">
        <f>GEntry!CW23</f>
        <v>40</v>
      </c>
      <c r="CF33" s="690">
        <f>GEntry!DF23</f>
        <v>110</v>
      </c>
      <c r="CG33" s="690">
        <f>GEntry!AW23</f>
        <v>0</v>
      </c>
      <c r="CH33" s="690">
        <f>GEntry!AX23</f>
        <v>58</v>
      </c>
      <c r="CI33" s="690">
        <f>GEntry!AY23</f>
        <v>70</v>
      </c>
      <c r="CJ33" s="690">
        <f>GEntry!BA23</f>
        <v>0</v>
      </c>
      <c r="CK33" s="690">
        <f>GEntry!BB23</f>
        <v>220</v>
      </c>
      <c r="CL33" s="690">
        <f>GEntry!BC23</f>
        <v>0</v>
      </c>
      <c r="CM33" s="690">
        <f>GEntry!BD23</f>
        <v>29</v>
      </c>
      <c r="CN33" s="690">
        <f>GEntry!BE23</f>
        <v>10</v>
      </c>
      <c r="CO33" s="690">
        <f>GEntry!BI23</f>
        <v>300</v>
      </c>
      <c r="CP33" s="690">
        <f>GEntry!BH23</f>
        <v>16</v>
      </c>
      <c r="CQ33" s="911">
        <f>GEntry!BF23</f>
        <v>0</v>
      </c>
      <c r="CR33" s="911">
        <f>GEntry!P23</f>
        <v>195</v>
      </c>
      <c r="CS33" s="911">
        <f>GEntry!U23</f>
        <v>242</v>
      </c>
      <c r="CT33" s="690">
        <f>GEntry!DI23</f>
        <v>241</v>
      </c>
      <c r="CU33" s="911">
        <f>GEntry!DJ23</f>
        <v>98</v>
      </c>
      <c r="CV33" s="911">
        <f>GEntry!DK23</f>
        <v>151</v>
      </c>
      <c r="CW33" s="690">
        <f>GEntry!DL23</f>
        <v>98</v>
      </c>
      <c r="CX33" s="911">
        <f>GEntry!DM23</f>
        <v>149</v>
      </c>
      <c r="CY33" s="911">
        <f>GEntry!G23</f>
        <v>0</v>
      </c>
      <c r="CZ33" s="911">
        <f>GEntry!DN23</f>
        <v>90</v>
      </c>
      <c r="DA33" s="690">
        <f>GEntry!DO23</f>
        <v>34</v>
      </c>
      <c r="DB33" s="1530">
        <f>GEntry!DP23</f>
        <v>112</v>
      </c>
      <c r="DC33" s="1520">
        <f>GEntry!DQ23</f>
        <v>405</v>
      </c>
      <c r="DD33" s="1617">
        <f>GEntry!DR23</f>
        <v>78</v>
      </c>
      <c r="DE33" s="1616">
        <f>GEntry!CI23</f>
        <v>105</v>
      </c>
      <c r="DF33" s="1700">
        <f>GEntry!O23</f>
        <v>105</v>
      </c>
      <c r="DG33" s="1694">
        <f>GEntry!CJ23</f>
        <v>0</v>
      </c>
      <c r="DH33" s="1847">
        <f>GEntry!DS23</f>
        <v>206</v>
      </c>
      <c r="DI33" s="1848">
        <f>GEntry!CK23</f>
        <v>34</v>
      </c>
      <c r="DJ33" s="1859">
        <f>GEntry!CL23</f>
        <v>72</v>
      </c>
      <c r="DK33" s="2176">
        <f>GEntry!CA23</f>
        <v>114</v>
      </c>
      <c r="DL33" s="2396">
        <f>GEntry!CB23</f>
        <v>114</v>
      </c>
      <c r="DM33" s="2177">
        <f>GEntry!DT23</f>
        <v>38</v>
      </c>
      <c r="DN33" s="2495">
        <f>GEntry!BJ23</f>
        <v>0</v>
      </c>
      <c r="DO33" s="2496">
        <f>GEntry!CS23</f>
        <v>17</v>
      </c>
      <c r="DP33" s="2603">
        <f>GEntry!AT23</f>
        <v>0</v>
      </c>
      <c r="DQ33" s="2642">
        <f>GEntry!CC23</f>
        <v>162</v>
      </c>
      <c r="DR33" s="2667">
        <f>GEntry!DU23</f>
        <v>108</v>
      </c>
      <c r="DS33" s="2669">
        <f>GEntry!AZ23</f>
        <v>0</v>
      </c>
      <c r="DT33" s="2734">
        <f>GEntry!DV23</f>
        <v>35</v>
      </c>
      <c r="DU33" s="2736">
        <f>GEntry!DW23</f>
        <v>0</v>
      </c>
      <c r="DV33" s="3114">
        <f>GEntry!DX23</f>
        <v>52</v>
      </c>
      <c r="DW33" s="3114">
        <f>GEntry!DY23</f>
        <v>55</v>
      </c>
      <c r="DX33" s="4684">
        <f>GEntry!AK23</f>
        <v>0</v>
      </c>
      <c r="DY33" s="915"/>
      <c r="DZ33" s="698">
        <f>GEntry!EZ23</f>
        <v>907</v>
      </c>
      <c r="EA33" s="695">
        <f>GEntry!EX23</f>
        <v>0</v>
      </c>
      <c r="EB33" s="695">
        <f>GEntry!FA23</f>
        <v>140</v>
      </c>
      <c r="EC33" s="695">
        <f>GEntry!EC23</f>
        <v>0</v>
      </c>
      <c r="ED33" s="695">
        <f>GEntry!ED23</f>
        <v>27</v>
      </c>
      <c r="EE33" s="695">
        <f>GEntry!EI23</f>
        <v>223</v>
      </c>
      <c r="EF33" s="695">
        <f>GEntry!EB23</f>
        <v>0</v>
      </c>
      <c r="EG33" s="695">
        <f>GEntry!EG23</f>
        <v>0</v>
      </c>
      <c r="EH33" s="695">
        <f>GEntry!EH23</f>
        <v>34</v>
      </c>
      <c r="EI33" s="695">
        <f>GEntry!EW23</f>
        <v>63</v>
      </c>
      <c r="EJ33" s="695">
        <f>GEntry!EV23</f>
        <v>8</v>
      </c>
      <c r="EK33" s="695">
        <f>GEntry!ES23</f>
        <v>85</v>
      </c>
      <c r="EL33" s="695">
        <f>GEntry!ET23</f>
        <v>30</v>
      </c>
      <c r="EM33" s="695">
        <f>GEntry!EP23</f>
        <v>64</v>
      </c>
      <c r="EN33" s="695">
        <f>GEntry!EQ23</f>
        <v>0</v>
      </c>
      <c r="EO33" s="695">
        <f>GEntry!FH23</f>
        <v>0</v>
      </c>
      <c r="EP33" s="695">
        <f>GEntry!FG23</f>
        <v>0</v>
      </c>
      <c r="EQ33" s="695">
        <f>GEntry!FI23</f>
        <v>32</v>
      </c>
      <c r="ER33" s="695">
        <f>GEntry!FS23</f>
        <v>21</v>
      </c>
      <c r="ES33" s="695">
        <f>GEntry!GB23</f>
        <v>79</v>
      </c>
      <c r="ET33" s="695">
        <f>GEntry!FW23</f>
        <v>0</v>
      </c>
      <c r="EU33" s="695">
        <f>GEntry!FX23</f>
        <v>0</v>
      </c>
      <c r="EV33" s="695">
        <f>GEntry!FY23</f>
        <v>32</v>
      </c>
      <c r="EW33" s="695">
        <f>GEntry!GA23</f>
        <v>52</v>
      </c>
      <c r="EX33" s="695">
        <f>GEntry!FZ23</f>
        <v>33</v>
      </c>
      <c r="EY33" s="695">
        <f>GEntry!FT23</f>
        <v>18</v>
      </c>
      <c r="EZ33" s="695">
        <f>GEntry!FU23</f>
        <v>0</v>
      </c>
      <c r="FA33" s="695">
        <f>GEntry!FV23</f>
        <v>11</v>
      </c>
      <c r="FB33" s="1073">
        <f>GEntry!FD23</f>
        <v>0</v>
      </c>
      <c r="FC33" s="1073">
        <f>GEntry!FE23</f>
        <v>0</v>
      </c>
      <c r="FD33" s="1073">
        <f>GEntry!FF23</f>
        <v>250</v>
      </c>
      <c r="FE33" s="695">
        <f>GEntry!GF23</f>
        <v>0</v>
      </c>
      <c r="FF33" s="696">
        <f>GEntry!GG23</f>
        <v>0</v>
      </c>
      <c r="FG33" s="696">
        <f>GEntry!FK23</f>
        <v>168</v>
      </c>
      <c r="FH33" s="696">
        <f>GEntry!FL23</f>
        <v>0</v>
      </c>
      <c r="FI33" s="696">
        <f>GEntry!FM23</f>
        <v>0</v>
      </c>
      <c r="FJ33" s="696">
        <f>GEntry!FN23</f>
        <v>211</v>
      </c>
      <c r="FK33" s="696">
        <f>GEntry!ER23</f>
        <v>0</v>
      </c>
      <c r="FL33" s="696">
        <f>GEntry!EU23</f>
        <v>47</v>
      </c>
      <c r="FM33" s="694">
        <f>GEntry!FO23</f>
        <v>140</v>
      </c>
      <c r="FN33" s="696">
        <f>GEntry!FP23</f>
        <v>0</v>
      </c>
      <c r="FO33" s="695">
        <f>GEntry!FQ23</f>
        <v>270</v>
      </c>
      <c r="FP33" s="1548">
        <f>GEntry!EJ23</f>
        <v>17</v>
      </c>
      <c r="FQ33" s="1550">
        <f>GEntry!GC23</f>
        <v>84</v>
      </c>
      <c r="FR33" s="1553">
        <f>GEntry!GD23</f>
        <v>94</v>
      </c>
      <c r="FS33" s="1704">
        <f>GEntry!EY23</f>
        <v>88</v>
      </c>
      <c r="FT33" s="1779">
        <f>GEntry!GH23</f>
        <v>91</v>
      </c>
      <c r="FU33" s="1781">
        <f>GEntry!FR23</f>
        <v>0</v>
      </c>
      <c r="FV33" s="1903">
        <f>GEntry!GI23</f>
        <v>0</v>
      </c>
      <c r="FW33" s="2214">
        <f>GEntry!GE23</f>
        <v>95</v>
      </c>
      <c r="FX33" s="695">
        <f>GEntry!FB23</f>
        <v>660</v>
      </c>
      <c r="FY33" s="2585">
        <f>GEntry!EN23</f>
        <v>218</v>
      </c>
      <c r="FZ33" s="2624">
        <f>GEntry!EO23</f>
        <v>0</v>
      </c>
      <c r="GA33" s="2626">
        <f>GEntry!EM23</f>
        <v>0</v>
      </c>
      <c r="GB33" s="3134">
        <f>GEntry!FJ23</f>
        <v>0</v>
      </c>
      <c r="GC33" s="3179">
        <f>GEntry!EK23</f>
        <v>0</v>
      </c>
      <c r="GD33" s="2585">
        <f>GEntry!GJ23</f>
        <v>90</v>
      </c>
      <c r="GE33" s="4736">
        <f>GEntry!EF23</f>
        <v>0</v>
      </c>
      <c r="GF33" s="4737">
        <f>GEntry!EE23</f>
        <v>0</v>
      </c>
      <c r="GG33" s="918"/>
      <c r="GH33" s="841">
        <f t="shared" si="12"/>
        <v>7637</v>
      </c>
      <c r="GI33" s="840">
        <f t="shared" si="8"/>
        <v>4382</v>
      </c>
      <c r="GJ33" s="837">
        <f t="shared" si="9"/>
        <v>12019</v>
      </c>
      <c r="GK33" s="583">
        <f t="shared" si="0"/>
        <v>3243</v>
      </c>
      <c r="GL33" s="583">
        <f t="shared" si="1"/>
        <v>907</v>
      </c>
      <c r="GM33" s="583">
        <f t="shared" si="13"/>
        <v>1825</v>
      </c>
      <c r="GN33" s="583">
        <f t="shared" si="10"/>
        <v>763</v>
      </c>
      <c r="GO33" s="583">
        <f t="shared" si="2"/>
        <v>3132</v>
      </c>
      <c r="GP33" s="583">
        <f t="shared" si="3"/>
        <v>910</v>
      </c>
      <c r="GQ33" s="583">
        <f t="shared" si="4"/>
        <v>118</v>
      </c>
      <c r="GR33" s="583">
        <f t="shared" si="5"/>
        <v>434</v>
      </c>
      <c r="GS33" s="583">
        <f t="shared" si="11"/>
        <v>740</v>
      </c>
      <c r="GT33" s="583">
        <f t="shared" si="6"/>
        <v>158</v>
      </c>
      <c r="GU33" s="836">
        <f t="shared" si="7"/>
        <v>0</v>
      </c>
      <c r="GV33" s="835">
        <f>FWise!M25</f>
        <v>1088</v>
      </c>
      <c r="GW33" s="2510">
        <f>GEntry!GN26</f>
        <v>93.94</v>
      </c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  <c r="IW33" s="12"/>
      <c r="IX33" s="12"/>
      <c r="IY33" s="12"/>
      <c r="IZ33" s="12"/>
      <c r="JA33" s="12"/>
      <c r="JB33" s="12"/>
      <c r="JC33" s="12"/>
      <c r="JD33" s="12"/>
      <c r="JE33" s="12"/>
      <c r="JF33" s="12"/>
      <c r="JG33" s="12"/>
      <c r="JH33" s="12"/>
      <c r="JI33" s="12"/>
      <c r="JJ33" s="12"/>
      <c r="JK33" s="12"/>
      <c r="JL33" s="12"/>
      <c r="JM33" s="12"/>
      <c r="JN33" s="12"/>
      <c r="JO33" s="12"/>
      <c r="JP33" s="12"/>
      <c r="JQ33" s="12"/>
      <c r="JR33" s="12"/>
    </row>
    <row r="34" spans="1:278" ht="24.75" customHeight="1" thickBot="1">
      <c r="A34" s="542">
        <v>0.8125</v>
      </c>
      <c r="B34" s="692">
        <f>GEntry!W24</f>
        <v>0</v>
      </c>
      <c r="C34" s="689">
        <f>GEntry!X24</f>
        <v>0</v>
      </c>
      <c r="D34" s="689">
        <f>GEntry!Y24</f>
        <v>0</v>
      </c>
      <c r="E34" s="689">
        <f>GEntry!Z24</f>
        <v>180</v>
      </c>
      <c r="F34" s="690">
        <f>GEntry!AB24</f>
        <v>0</v>
      </c>
      <c r="G34" s="690">
        <f>GEntry!BZ24</f>
        <v>96</v>
      </c>
      <c r="H34" s="689">
        <f>GEntry!CT24</f>
        <v>0</v>
      </c>
      <c r="I34" s="689">
        <f>GEntry!AP24</f>
        <v>396</v>
      </c>
      <c r="J34" s="689">
        <f>GEntry!AR24</f>
        <v>276</v>
      </c>
      <c r="K34" s="689"/>
      <c r="L34" s="689">
        <f>GEntry!AO24</f>
        <v>0</v>
      </c>
      <c r="M34" s="689">
        <f>GEntry!AQ24</f>
        <v>225</v>
      </c>
      <c r="N34" s="689">
        <f>GEntry!CQ24</f>
        <v>0</v>
      </c>
      <c r="O34" s="689">
        <f>GEntry!CR24</f>
        <v>41</v>
      </c>
      <c r="P34" s="689">
        <f>GEntry!CM24</f>
        <v>0</v>
      </c>
      <c r="Q34" s="689">
        <f>GEntry!DD24</f>
        <v>30</v>
      </c>
      <c r="R34" s="689">
        <f>GEntry!T24</f>
        <v>0</v>
      </c>
      <c r="S34" s="689">
        <f>GEntry!R24</f>
        <v>0</v>
      </c>
      <c r="T34" s="689">
        <f>GEntry!S24</f>
        <v>0</v>
      </c>
      <c r="U34" s="689">
        <f>GEntry!CD24</f>
        <v>50</v>
      </c>
      <c r="V34" s="690">
        <f>GEntry!CY24</f>
        <v>42</v>
      </c>
      <c r="W34" s="689">
        <f>GEntry!CF24</f>
        <v>128</v>
      </c>
      <c r="X34" s="689">
        <f>GEntry!CP24</f>
        <v>0</v>
      </c>
      <c r="Y34" s="689">
        <f>GEntry!DC24</f>
        <v>0</v>
      </c>
      <c r="Z34" s="689">
        <f>GEntry!CN24</f>
        <v>0</v>
      </c>
      <c r="AA34" s="689">
        <f>GEntry!DB24</f>
        <v>0</v>
      </c>
      <c r="AB34" s="689">
        <f>GEntry!DH24</f>
        <v>54</v>
      </c>
      <c r="AC34" s="689">
        <f>GEntry!DE24</f>
        <v>55</v>
      </c>
      <c r="AD34" s="689">
        <f>GEntry!BK24</f>
        <v>35</v>
      </c>
      <c r="AE34" s="689">
        <f>GEntry!BN24</f>
        <v>22</v>
      </c>
      <c r="AF34" s="689">
        <f>GEntry!BV24</f>
        <v>25</v>
      </c>
      <c r="AG34" s="689">
        <f>GEntry!BW24</f>
        <v>26</v>
      </c>
      <c r="AH34" s="689">
        <f>GEntry!BX24</f>
        <v>33</v>
      </c>
      <c r="AI34" s="689">
        <f>GEntry!BY24</f>
        <v>30</v>
      </c>
      <c r="AJ34" s="689">
        <f>GEntry!CE24</f>
        <v>49</v>
      </c>
      <c r="AK34" s="689">
        <f>GEntry!AN24</f>
        <v>0</v>
      </c>
      <c r="AL34" s="1075">
        <f>GEntry!B24</f>
        <v>83</v>
      </c>
      <c r="AM34" s="1075">
        <f>GEntry!C24</f>
        <v>35</v>
      </c>
      <c r="AN34" s="689">
        <f>GEntry!D24</f>
        <v>100</v>
      </c>
      <c r="AO34" s="689">
        <f>GEntry!E24</f>
        <v>0</v>
      </c>
      <c r="AP34" s="689">
        <f>GEntry!F24</f>
        <v>25</v>
      </c>
      <c r="AQ34" s="689">
        <f>GEntry!H24</f>
        <v>0</v>
      </c>
      <c r="AR34" s="689">
        <f>GEntry!I24</f>
        <v>0</v>
      </c>
      <c r="AS34" s="689">
        <f>GEntry!K24</f>
        <v>0</v>
      </c>
      <c r="AT34" s="689">
        <f>GEntry!L24</f>
        <v>0</v>
      </c>
      <c r="AU34" s="689"/>
      <c r="AV34" s="689">
        <f>GEntry!BL24</f>
        <v>2</v>
      </c>
      <c r="AW34" s="689">
        <f>GEntry!N24</f>
        <v>34</v>
      </c>
      <c r="AX34" s="689">
        <f>GEntry!M24</f>
        <v>51</v>
      </c>
      <c r="AY34" s="689">
        <f>GEntry!CV24</f>
        <v>33</v>
      </c>
      <c r="AZ34" s="689">
        <f>GEntry!DA24</f>
        <v>76</v>
      </c>
      <c r="BA34" s="689">
        <f>GEntry!CZ24</f>
        <v>25</v>
      </c>
      <c r="BB34" s="689">
        <f>GEntry!BM24</f>
        <v>13</v>
      </c>
      <c r="BC34" s="689">
        <f>GEntry!BQ24</f>
        <v>7</v>
      </c>
      <c r="BD34" s="689">
        <f>GEntry!AD24</f>
        <v>0</v>
      </c>
      <c r="BE34" s="689">
        <f>GEntry!AE24</f>
        <v>0</v>
      </c>
      <c r="BF34" s="689">
        <f>GEntry!AF24</f>
        <v>0</v>
      </c>
      <c r="BG34" s="689">
        <f>GEntry!AJ24</f>
        <v>280</v>
      </c>
      <c r="BH34" s="689">
        <f>GEntry!AI24</f>
        <v>260</v>
      </c>
      <c r="BI34" s="689">
        <f>GEntry!AH24</f>
        <v>204</v>
      </c>
      <c r="BJ34" s="689">
        <f>GEntry!V24</f>
        <v>8</v>
      </c>
      <c r="BK34" s="689">
        <f>GEntry!AM24</f>
        <v>127</v>
      </c>
      <c r="BL34" s="689">
        <f>GEntry!AG24</f>
        <v>41</v>
      </c>
      <c r="BM34" s="689">
        <f>GEntry!AL24</f>
        <v>35</v>
      </c>
      <c r="BN34" s="689">
        <f>GEntry!CU24</f>
        <v>0</v>
      </c>
      <c r="BO34" s="690">
        <f>GEntry!CX24</f>
        <v>51</v>
      </c>
      <c r="BP34" s="690">
        <f>GEntry!CO24</f>
        <v>0</v>
      </c>
      <c r="BQ34" s="690">
        <f>GEntry!Q24</f>
        <v>38</v>
      </c>
      <c r="BR34" s="689">
        <f>GEntry!CH24</f>
        <v>43</v>
      </c>
      <c r="BS34" s="690">
        <f>GEntry!BR24</f>
        <v>10</v>
      </c>
      <c r="BT34" s="690">
        <f>GEntry!BS24</f>
        <v>10</v>
      </c>
      <c r="BU34" s="690">
        <f>GEntry!BT24</f>
        <v>33</v>
      </c>
      <c r="BV34" s="690">
        <f>GEntry!BU24</f>
        <v>20</v>
      </c>
      <c r="BW34" s="680">
        <f>GEntry!BP24</f>
        <v>160</v>
      </c>
      <c r="BX34" s="690">
        <f>GEntry!AS24</f>
        <v>100</v>
      </c>
      <c r="BY34" s="690">
        <f>GEntry!CG24</f>
        <v>0</v>
      </c>
      <c r="BZ34" s="690">
        <f>GEntry!BO24</f>
        <v>22</v>
      </c>
      <c r="CA34" s="1077">
        <f>GEntry!DG24</f>
        <v>0</v>
      </c>
      <c r="CB34" s="690">
        <f>GEntry!AU24</f>
        <v>44</v>
      </c>
      <c r="CC34" s="690">
        <f>GEntry!AV24</f>
        <v>40</v>
      </c>
      <c r="CD34" s="690">
        <f>GEntry!BG24</f>
        <v>53</v>
      </c>
      <c r="CE34" s="690">
        <f>GEntry!CW24</f>
        <v>47</v>
      </c>
      <c r="CF34" s="690">
        <f>GEntry!DF24</f>
        <v>110</v>
      </c>
      <c r="CG34" s="690">
        <f>GEntry!AW24</f>
        <v>0</v>
      </c>
      <c r="CH34" s="690">
        <f>GEntry!AX24</f>
        <v>58</v>
      </c>
      <c r="CI34" s="690">
        <f>GEntry!AY24</f>
        <v>81</v>
      </c>
      <c r="CJ34" s="690">
        <f>GEntry!BA24</f>
        <v>0</v>
      </c>
      <c r="CK34" s="690">
        <f>GEntry!BB24</f>
        <v>220</v>
      </c>
      <c r="CL34" s="690">
        <f>GEntry!BC24</f>
        <v>0</v>
      </c>
      <c r="CM34" s="690">
        <f>GEntry!BD24</f>
        <v>29</v>
      </c>
      <c r="CN34" s="690">
        <f>GEntry!BE24</f>
        <v>9</v>
      </c>
      <c r="CO34" s="690">
        <f>GEntry!BI24</f>
        <v>270</v>
      </c>
      <c r="CP34" s="690">
        <f>GEntry!BH24</f>
        <v>16</v>
      </c>
      <c r="CQ34" s="911">
        <f>GEntry!BF24</f>
        <v>0</v>
      </c>
      <c r="CR34" s="911">
        <f>GEntry!P24</f>
        <v>150</v>
      </c>
      <c r="CS34" s="911">
        <f>GEntry!U24</f>
        <v>242</v>
      </c>
      <c r="CT34" s="690">
        <f>GEntry!DI24</f>
        <v>200</v>
      </c>
      <c r="CU34" s="911">
        <f>GEntry!DJ24</f>
        <v>60</v>
      </c>
      <c r="CV34" s="911">
        <f>GEntry!DK24</f>
        <v>151</v>
      </c>
      <c r="CW34" s="690">
        <f>GEntry!DL24</f>
        <v>51</v>
      </c>
      <c r="CX34" s="911">
        <f>GEntry!DM24</f>
        <v>149</v>
      </c>
      <c r="CY34" s="911">
        <f>GEntry!G24</f>
        <v>0</v>
      </c>
      <c r="CZ34" s="911">
        <f>GEntry!DN24</f>
        <v>90</v>
      </c>
      <c r="DA34" s="690">
        <f>GEntry!DO24</f>
        <v>34</v>
      </c>
      <c r="DB34" s="1530">
        <f>GEntry!DP24</f>
        <v>116</v>
      </c>
      <c r="DC34" s="1520">
        <f>GEntry!DQ24</f>
        <v>404</v>
      </c>
      <c r="DD34" s="1617">
        <f>GEntry!DR24</f>
        <v>78</v>
      </c>
      <c r="DE34" s="1616">
        <f>GEntry!CI24</f>
        <v>105</v>
      </c>
      <c r="DF34" s="1700">
        <f>GEntry!O24</f>
        <v>105</v>
      </c>
      <c r="DG34" s="1694">
        <f>GEntry!CJ24</f>
        <v>0</v>
      </c>
      <c r="DH34" s="1847">
        <f>GEntry!DS24</f>
        <v>210</v>
      </c>
      <c r="DI34" s="1848">
        <f>GEntry!CK24</f>
        <v>36</v>
      </c>
      <c r="DJ34" s="1859">
        <f>GEntry!CL24</f>
        <v>73</v>
      </c>
      <c r="DK34" s="2176">
        <f>GEntry!CA24</f>
        <v>114</v>
      </c>
      <c r="DL34" s="2396">
        <f>GEntry!CB24</f>
        <v>115</v>
      </c>
      <c r="DM34" s="2177">
        <f>GEntry!DT24</f>
        <v>100</v>
      </c>
      <c r="DN34" s="2495">
        <f>GEntry!BJ24</f>
        <v>0</v>
      </c>
      <c r="DO34" s="2496">
        <f>GEntry!CS24</f>
        <v>51</v>
      </c>
      <c r="DP34" s="2603">
        <f>GEntry!AT24</f>
        <v>0</v>
      </c>
      <c r="DQ34" s="2642">
        <f>GEntry!CC24</f>
        <v>162</v>
      </c>
      <c r="DR34" s="2667">
        <f>GEntry!DU24</f>
        <v>108</v>
      </c>
      <c r="DS34" s="2669">
        <f>GEntry!AZ24</f>
        <v>0</v>
      </c>
      <c r="DT34" s="2734">
        <f>GEntry!DV24</f>
        <v>35</v>
      </c>
      <c r="DU34" s="2736">
        <f>GEntry!DW24</f>
        <v>0</v>
      </c>
      <c r="DV34" s="3114">
        <f>GEntry!DX24</f>
        <v>75</v>
      </c>
      <c r="DW34" s="3114">
        <f>GEntry!DY24</f>
        <v>55</v>
      </c>
      <c r="DX34" s="4684">
        <f>GEntry!AK24</f>
        <v>0</v>
      </c>
      <c r="DY34" s="915"/>
      <c r="DZ34" s="698">
        <f>GEntry!EZ24</f>
        <v>909</v>
      </c>
      <c r="EA34" s="695">
        <f>GEntry!EX24</f>
        <v>0</v>
      </c>
      <c r="EB34" s="695">
        <f>GEntry!FA24</f>
        <v>145</v>
      </c>
      <c r="EC34" s="695">
        <f>GEntry!EC24</f>
        <v>0</v>
      </c>
      <c r="ED34" s="695">
        <f>GEntry!ED24</f>
        <v>30</v>
      </c>
      <c r="EE34" s="695">
        <f>GEntry!EI24</f>
        <v>226</v>
      </c>
      <c r="EF34" s="695">
        <f>GEntry!EB24</f>
        <v>0</v>
      </c>
      <c r="EG34" s="695">
        <f>GEntry!EG24</f>
        <v>0</v>
      </c>
      <c r="EH34" s="695">
        <f>GEntry!EH24</f>
        <v>36</v>
      </c>
      <c r="EI34" s="695">
        <f>GEntry!EW24</f>
        <v>78</v>
      </c>
      <c r="EJ34" s="695">
        <f>GEntry!EV24</f>
        <v>8</v>
      </c>
      <c r="EK34" s="695">
        <f>GEntry!ES24</f>
        <v>88</v>
      </c>
      <c r="EL34" s="695">
        <f>GEntry!ET24</f>
        <v>31</v>
      </c>
      <c r="EM34" s="695">
        <f>GEntry!EP24</f>
        <v>64</v>
      </c>
      <c r="EN34" s="695">
        <f>GEntry!EQ24</f>
        <v>0</v>
      </c>
      <c r="EO34" s="695">
        <f>GEntry!FH24</f>
        <v>0</v>
      </c>
      <c r="EP34" s="695">
        <f>GEntry!FG24</f>
        <v>0</v>
      </c>
      <c r="EQ34" s="695">
        <f>GEntry!FI24</f>
        <v>32</v>
      </c>
      <c r="ER34" s="695">
        <f>GEntry!FS24</f>
        <v>21</v>
      </c>
      <c r="ES34" s="695">
        <f>GEntry!GB24</f>
        <v>80</v>
      </c>
      <c r="ET34" s="695">
        <f>GEntry!FW24</f>
        <v>0</v>
      </c>
      <c r="EU34" s="695">
        <f>GEntry!FX24</f>
        <v>0</v>
      </c>
      <c r="EV34" s="695">
        <f>GEntry!FY24</f>
        <v>32</v>
      </c>
      <c r="EW34" s="695">
        <f>GEntry!GA24</f>
        <v>52</v>
      </c>
      <c r="EX34" s="695">
        <f>GEntry!FZ24</f>
        <v>33</v>
      </c>
      <c r="EY34" s="695">
        <f>GEntry!FT24</f>
        <v>20</v>
      </c>
      <c r="EZ34" s="695">
        <f>GEntry!FU24</f>
        <v>0</v>
      </c>
      <c r="FA34" s="695">
        <f>GEntry!FV24</f>
        <v>11</v>
      </c>
      <c r="FB34" s="1073">
        <f>GEntry!FD24</f>
        <v>0</v>
      </c>
      <c r="FC34" s="1073">
        <f>GEntry!FE24</f>
        <v>0</v>
      </c>
      <c r="FD34" s="1073">
        <f>GEntry!FF24</f>
        <v>250</v>
      </c>
      <c r="FE34" s="695">
        <f>GEntry!GF24</f>
        <v>0</v>
      </c>
      <c r="FF34" s="696">
        <f>GEntry!GG24</f>
        <v>0</v>
      </c>
      <c r="FG34" s="696">
        <f>GEntry!FK24</f>
        <v>169</v>
      </c>
      <c r="FH34" s="696">
        <f>GEntry!FL24</f>
        <v>0</v>
      </c>
      <c r="FI34" s="696">
        <f>GEntry!FM24</f>
        <v>0</v>
      </c>
      <c r="FJ34" s="696">
        <f>GEntry!FN24</f>
        <v>213</v>
      </c>
      <c r="FK34" s="696">
        <f>GEntry!ER24</f>
        <v>0</v>
      </c>
      <c r="FL34" s="696">
        <f>GEntry!EU24</f>
        <v>95</v>
      </c>
      <c r="FM34" s="694">
        <f>GEntry!FO24</f>
        <v>141</v>
      </c>
      <c r="FN34" s="696">
        <f>GEntry!FP24</f>
        <v>0</v>
      </c>
      <c r="FO34" s="695">
        <f>GEntry!FQ24</f>
        <v>281</v>
      </c>
      <c r="FP34" s="1548">
        <f>GEntry!EJ24</f>
        <v>53</v>
      </c>
      <c r="FQ34" s="1550">
        <f>GEntry!GC24</f>
        <v>155</v>
      </c>
      <c r="FR34" s="1553">
        <f>GEntry!GD24</f>
        <v>94</v>
      </c>
      <c r="FS34" s="1704">
        <f>GEntry!EY24</f>
        <v>105</v>
      </c>
      <c r="FT34" s="1779">
        <f>GEntry!GH24</f>
        <v>91</v>
      </c>
      <c r="FU34" s="1781">
        <f>GEntry!FR24</f>
        <v>0</v>
      </c>
      <c r="FV34" s="1903">
        <f>GEntry!GI24</f>
        <v>0</v>
      </c>
      <c r="FW34" s="2214">
        <f>GEntry!GE24</f>
        <v>95</v>
      </c>
      <c r="FX34" s="695">
        <f>GEntry!FB24</f>
        <v>780</v>
      </c>
      <c r="FY34" s="2585">
        <f>GEntry!EN24</f>
        <v>213</v>
      </c>
      <c r="FZ34" s="2624">
        <f>GEntry!EO24</f>
        <v>0</v>
      </c>
      <c r="GA34" s="2626">
        <f>GEntry!EM24</f>
        <v>0</v>
      </c>
      <c r="GB34" s="3134">
        <f>GEntry!FJ24</f>
        <v>0</v>
      </c>
      <c r="GC34" s="3179">
        <f>GEntry!EK24</f>
        <v>0</v>
      </c>
      <c r="GD34" s="2585">
        <f>GEntry!GJ24</f>
        <v>90</v>
      </c>
      <c r="GE34" s="4736">
        <f>GEntry!EF24</f>
        <v>0</v>
      </c>
      <c r="GF34" s="4737">
        <f>GEntry!EE24</f>
        <v>0</v>
      </c>
      <c r="GG34" s="918"/>
      <c r="GH34" s="841">
        <f>SUM(B34:DY34)</f>
        <v>7765</v>
      </c>
      <c r="GI34" s="840">
        <f>SUM(DZ34:GG34)</f>
        <v>4721</v>
      </c>
      <c r="GJ34" s="837">
        <f>GH34+GI34</f>
        <v>12486</v>
      </c>
      <c r="GK34" s="583">
        <f t="shared" si="0"/>
        <v>3268</v>
      </c>
      <c r="GL34" s="583">
        <f>DZ34</f>
        <v>909</v>
      </c>
      <c r="GM34" s="583">
        <f t="shared" si="13"/>
        <v>1842</v>
      </c>
      <c r="GN34" s="583">
        <f t="shared" si="10"/>
        <v>711</v>
      </c>
      <c r="GO34" s="583">
        <f t="shared" si="2"/>
        <v>3446</v>
      </c>
      <c r="GP34" s="583">
        <f t="shared" si="3"/>
        <v>1030</v>
      </c>
      <c r="GQ34" s="583">
        <f>AL34+AM34</f>
        <v>118</v>
      </c>
      <c r="GR34" s="583">
        <f t="shared" si="5"/>
        <v>439</v>
      </c>
      <c r="GS34" s="583">
        <f t="shared" si="11"/>
        <v>776</v>
      </c>
      <c r="GT34" s="583">
        <f>BW34</f>
        <v>160</v>
      </c>
      <c r="GU34" s="836">
        <f t="shared" si="7"/>
        <v>0</v>
      </c>
      <c r="GV34" s="835">
        <f>FWise!M26</f>
        <v>0</v>
      </c>
      <c r="GW34" s="2510">
        <f>GEntry!GN24</f>
        <v>0</v>
      </c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12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</row>
    <row r="35" spans="1:278" ht="23.25" customHeight="1" thickBot="1">
      <c r="A35" s="542">
        <v>0.83333333333333337</v>
      </c>
      <c r="B35" s="692">
        <f>GEntry!W25</f>
        <v>0</v>
      </c>
      <c r="C35" s="689">
        <f>GEntry!X25</f>
        <v>0</v>
      </c>
      <c r="D35" s="689">
        <f>GEntry!Y25</f>
        <v>0</v>
      </c>
      <c r="E35" s="689">
        <f>GEntry!Z25</f>
        <v>180</v>
      </c>
      <c r="F35" s="690">
        <f>GEntry!AB25</f>
        <v>60</v>
      </c>
      <c r="G35" s="690">
        <f>GEntry!BZ25</f>
        <v>97</v>
      </c>
      <c r="H35" s="689">
        <f>GEntry!CT25</f>
        <v>0</v>
      </c>
      <c r="I35" s="689">
        <f>GEntry!AP25</f>
        <v>397</v>
      </c>
      <c r="J35" s="689">
        <f>GEntry!AR25</f>
        <v>277</v>
      </c>
      <c r="K35" s="689"/>
      <c r="L35" s="689">
        <f>GEntry!AO25</f>
        <v>0</v>
      </c>
      <c r="M35" s="689">
        <f>GEntry!AQ25</f>
        <v>225</v>
      </c>
      <c r="N35" s="689">
        <f>GEntry!CQ25</f>
        <v>0</v>
      </c>
      <c r="O35" s="689">
        <f>GEntry!CR25</f>
        <v>38</v>
      </c>
      <c r="P35" s="689">
        <f>GEntry!CM25</f>
        <v>0</v>
      </c>
      <c r="Q35" s="689">
        <f>GEntry!DD25</f>
        <v>30</v>
      </c>
      <c r="R35" s="689">
        <f>GEntry!T25</f>
        <v>0</v>
      </c>
      <c r="S35" s="689">
        <f>GEntry!R25</f>
        <v>0</v>
      </c>
      <c r="T35" s="689">
        <f>GEntry!S25</f>
        <v>0</v>
      </c>
      <c r="U35" s="689">
        <f>GEntry!CD25</f>
        <v>43</v>
      </c>
      <c r="V35" s="690">
        <f>GEntry!CY25</f>
        <v>50</v>
      </c>
      <c r="W35" s="689">
        <f>GEntry!CF25</f>
        <v>128</v>
      </c>
      <c r="X35" s="689">
        <f>GEntry!CP25</f>
        <v>0</v>
      </c>
      <c r="Y35" s="689">
        <f>GEntry!DC25</f>
        <v>0</v>
      </c>
      <c r="Z35" s="689">
        <f>GEntry!CN25</f>
        <v>0</v>
      </c>
      <c r="AA35" s="689">
        <f>GEntry!DB25</f>
        <v>0</v>
      </c>
      <c r="AB35" s="689">
        <f>GEntry!DH25</f>
        <v>54</v>
      </c>
      <c r="AC35" s="689">
        <f>GEntry!DE25</f>
        <v>55</v>
      </c>
      <c r="AD35" s="689">
        <f>GEntry!BK25</f>
        <v>35</v>
      </c>
      <c r="AE35" s="689">
        <f>GEntry!BN25</f>
        <v>22</v>
      </c>
      <c r="AF35" s="689">
        <f>GEntry!BV25</f>
        <v>25</v>
      </c>
      <c r="AG35" s="689">
        <f>GEntry!BW25</f>
        <v>27</v>
      </c>
      <c r="AH35" s="689">
        <f>GEntry!BX25</f>
        <v>33</v>
      </c>
      <c r="AI35" s="689">
        <f>GEntry!BY25</f>
        <v>30</v>
      </c>
      <c r="AJ35" s="689">
        <f>GEntry!CE25</f>
        <v>49</v>
      </c>
      <c r="AK35" s="689">
        <f>GEntry!AN25</f>
        <v>0</v>
      </c>
      <c r="AL35" s="1075">
        <f>GEntry!B25</f>
        <v>83</v>
      </c>
      <c r="AM35" s="1075">
        <f>GEntry!C25</f>
        <v>35</v>
      </c>
      <c r="AN35" s="689">
        <f>GEntry!D25</f>
        <v>100</v>
      </c>
      <c r="AO35" s="689">
        <f>GEntry!E25</f>
        <v>0</v>
      </c>
      <c r="AP35" s="689">
        <f>GEntry!F25</f>
        <v>25</v>
      </c>
      <c r="AQ35" s="689">
        <f>GEntry!H25</f>
        <v>0</v>
      </c>
      <c r="AR35" s="689">
        <f>GEntry!I25</f>
        <v>0</v>
      </c>
      <c r="AS35" s="689">
        <f>GEntry!K25</f>
        <v>0</v>
      </c>
      <c r="AT35" s="689">
        <f>GEntry!L25</f>
        <v>0</v>
      </c>
      <c r="AU35" s="689"/>
      <c r="AV35" s="689">
        <f>GEntry!BL25</f>
        <v>4</v>
      </c>
      <c r="AW35" s="689">
        <f>GEntry!N25</f>
        <v>34</v>
      </c>
      <c r="AX35" s="689">
        <f>GEntry!M25</f>
        <v>51</v>
      </c>
      <c r="AY35" s="689">
        <f>GEntry!CV25</f>
        <v>33</v>
      </c>
      <c r="AZ35" s="689">
        <f>GEntry!DA25</f>
        <v>75</v>
      </c>
      <c r="BA35" s="689">
        <f>GEntry!CZ25</f>
        <v>25</v>
      </c>
      <c r="BB35" s="689">
        <f>GEntry!BM25</f>
        <v>13</v>
      </c>
      <c r="BC35" s="689">
        <f>GEntry!BQ25</f>
        <v>22</v>
      </c>
      <c r="BD35" s="689">
        <f>GEntry!AD25</f>
        <v>0</v>
      </c>
      <c r="BE35" s="689">
        <f>GEntry!AE25</f>
        <v>0</v>
      </c>
      <c r="BF35" s="689">
        <f>GEntry!AF25</f>
        <v>0</v>
      </c>
      <c r="BG35" s="689">
        <f>GEntry!AJ25</f>
        <v>280</v>
      </c>
      <c r="BH35" s="689">
        <f>GEntry!AI25</f>
        <v>260</v>
      </c>
      <c r="BI35" s="689">
        <f>GEntry!AH25</f>
        <v>204</v>
      </c>
      <c r="BJ35" s="689">
        <f>GEntry!V25</f>
        <v>8</v>
      </c>
      <c r="BK35" s="689">
        <f>GEntry!AM25</f>
        <v>129</v>
      </c>
      <c r="BL35" s="689">
        <f>GEntry!AG25</f>
        <v>41</v>
      </c>
      <c r="BM35" s="689">
        <f>GEntry!AL25</f>
        <v>35</v>
      </c>
      <c r="BN35" s="689">
        <f>GEntry!CU25</f>
        <v>0</v>
      </c>
      <c r="BO35" s="690">
        <f>GEntry!CX25</f>
        <v>51</v>
      </c>
      <c r="BP35" s="690">
        <f>GEntry!CO25</f>
        <v>0</v>
      </c>
      <c r="BQ35" s="690">
        <f>GEntry!Q25</f>
        <v>38</v>
      </c>
      <c r="BR35" s="689">
        <f>GEntry!CH25</f>
        <v>43</v>
      </c>
      <c r="BS35" s="690">
        <f>GEntry!BR25</f>
        <v>16</v>
      </c>
      <c r="BT35" s="690">
        <f>GEntry!BS25</f>
        <v>10</v>
      </c>
      <c r="BU35" s="690">
        <f>GEntry!BT25</f>
        <v>33</v>
      </c>
      <c r="BV35" s="690">
        <f>GEntry!BU25</f>
        <v>20</v>
      </c>
      <c r="BW35" s="680">
        <f>GEntry!BP25</f>
        <v>160</v>
      </c>
      <c r="BX35" s="690">
        <f>GEntry!AS25</f>
        <v>100</v>
      </c>
      <c r="BY35" s="690">
        <f>GEntry!CG25</f>
        <v>0</v>
      </c>
      <c r="BZ35" s="690">
        <f>GEntry!BO25</f>
        <v>22</v>
      </c>
      <c r="CA35" s="1077">
        <f>GEntry!DG25</f>
        <v>0</v>
      </c>
      <c r="CB35" s="690">
        <f>GEntry!AU25</f>
        <v>44</v>
      </c>
      <c r="CC35" s="690">
        <f>GEntry!AV25</f>
        <v>40</v>
      </c>
      <c r="CD35" s="690">
        <f>GEntry!BG25</f>
        <v>53</v>
      </c>
      <c r="CE35" s="690">
        <f>GEntry!CW25</f>
        <v>48</v>
      </c>
      <c r="CF35" s="690">
        <f>GEntry!DF25</f>
        <v>110</v>
      </c>
      <c r="CG35" s="690">
        <f>GEntry!AW25</f>
        <v>0</v>
      </c>
      <c r="CH35" s="690">
        <f>GEntry!AX25</f>
        <v>56</v>
      </c>
      <c r="CI35" s="690">
        <f>GEntry!AY25</f>
        <v>81</v>
      </c>
      <c r="CJ35" s="690">
        <f>GEntry!BA25</f>
        <v>0</v>
      </c>
      <c r="CK35" s="690">
        <f>GEntry!BB25</f>
        <v>220</v>
      </c>
      <c r="CL35" s="690">
        <f>GEntry!BC25</f>
        <v>0</v>
      </c>
      <c r="CM35" s="690">
        <f>GEntry!BD25</f>
        <v>31</v>
      </c>
      <c r="CN35" s="690">
        <f>GEntry!BE25</f>
        <v>9</v>
      </c>
      <c r="CO35" s="690">
        <f>GEntry!BI25</f>
        <v>265</v>
      </c>
      <c r="CP35" s="690">
        <f>GEntry!BH25</f>
        <v>16</v>
      </c>
      <c r="CQ35" s="911">
        <f>GEntry!BF25</f>
        <v>0</v>
      </c>
      <c r="CR35" s="911">
        <f>GEntry!P25</f>
        <v>150</v>
      </c>
      <c r="CS35" s="911">
        <f>GEntry!U25</f>
        <v>242</v>
      </c>
      <c r="CT35" s="690">
        <f>GEntry!DI25</f>
        <v>198</v>
      </c>
      <c r="CU35" s="911">
        <f>GEntry!DJ25</f>
        <v>60</v>
      </c>
      <c r="CV35" s="911">
        <f>GEntry!DK25</f>
        <v>152</v>
      </c>
      <c r="CW35" s="690">
        <f>GEntry!DL25</f>
        <v>50</v>
      </c>
      <c r="CX35" s="911">
        <f>GEntry!DM25</f>
        <v>149</v>
      </c>
      <c r="CY35" s="911">
        <f>GEntry!G25</f>
        <v>0</v>
      </c>
      <c r="CZ35" s="911">
        <f>GEntry!DN25</f>
        <v>90</v>
      </c>
      <c r="DA35" s="690">
        <f>GEntry!DO25</f>
        <v>34</v>
      </c>
      <c r="DB35" s="1530">
        <f>GEntry!DP25</f>
        <v>115</v>
      </c>
      <c r="DC35" s="1520">
        <f>GEntry!DQ25</f>
        <v>404</v>
      </c>
      <c r="DD35" s="1617">
        <f>GEntry!DR25</f>
        <v>78</v>
      </c>
      <c r="DE35" s="1616">
        <f>GEntry!CI25</f>
        <v>105</v>
      </c>
      <c r="DF35" s="1700">
        <f>GEntry!O25</f>
        <v>105</v>
      </c>
      <c r="DG35" s="1694">
        <f>GEntry!CJ25</f>
        <v>0</v>
      </c>
      <c r="DH35" s="1847">
        <f>GEntry!DS25</f>
        <v>212</v>
      </c>
      <c r="DI35" s="1848">
        <f>GEntry!CK25</f>
        <v>36</v>
      </c>
      <c r="DJ35" s="1859">
        <f>GEntry!CL25</f>
        <v>75</v>
      </c>
      <c r="DK35" s="2176">
        <f>GEntry!CA25</f>
        <v>114</v>
      </c>
      <c r="DL35" s="2396">
        <f>GEntry!CB25</f>
        <v>115</v>
      </c>
      <c r="DM35" s="2177">
        <f>GEntry!DT25</f>
        <v>100</v>
      </c>
      <c r="DN35" s="2495">
        <f>GEntry!BJ25</f>
        <v>0</v>
      </c>
      <c r="DO35" s="2496">
        <f>GEntry!CS25</f>
        <v>30</v>
      </c>
      <c r="DP35" s="2603">
        <f>GEntry!AT25</f>
        <v>0</v>
      </c>
      <c r="DQ35" s="2642">
        <f>GEntry!CC25</f>
        <v>162</v>
      </c>
      <c r="DR35" s="2667">
        <f>GEntry!DU25</f>
        <v>108</v>
      </c>
      <c r="DS35" s="2669">
        <f>GEntry!AZ25</f>
        <v>0</v>
      </c>
      <c r="DT35" s="2734">
        <f>GEntry!DV25</f>
        <v>35</v>
      </c>
      <c r="DU35" s="2736">
        <f>GEntry!DW25</f>
        <v>0</v>
      </c>
      <c r="DV35" s="3114">
        <f>GEntry!DX25</f>
        <v>69</v>
      </c>
      <c r="DW35" s="3114">
        <f>GEntry!DY25</f>
        <v>55</v>
      </c>
      <c r="DX35" s="4684">
        <f>GEntry!AK25</f>
        <v>0</v>
      </c>
      <c r="DY35" s="915"/>
      <c r="DZ35" s="698">
        <f>GEntry!EZ25</f>
        <v>909</v>
      </c>
      <c r="EA35" s="695">
        <f>GEntry!EX25</f>
        <v>0</v>
      </c>
      <c r="EB35" s="695">
        <f>GEntry!FA25</f>
        <v>150</v>
      </c>
      <c r="EC35" s="695">
        <f>GEntry!EC25</f>
        <v>0</v>
      </c>
      <c r="ED35" s="695">
        <f>GEntry!ED25</f>
        <v>32</v>
      </c>
      <c r="EE35" s="695">
        <f>GEntry!EI25</f>
        <v>227</v>
      </c>
      <c r="EF35" s="695">
        <f>GEntry!EB25</f>
        <v>0</v>
      </c>
      <c r="EG35" s="695">
        <f>GEntry!EG25</f>
        <v>0</v>
      </c>
      <c r="EH35" s="695">
        <f>GEntry!EH25</f>
        <v>36</v>
      </c>
      <c r="EI35" s="695">
        <f>GEntry!EW25</f>
        <v>73</v>
      </c>
      <c r="EJ35" s="695">
        <f>GEntry!EV25</f>
        <v>8</v>
      </c>
      <c r="EK35" s="695">
        <f>GEntry!ES25</f>
        <v>88</v>
      </c>
      <c r="EL35" s="695">
        <f>GEntry!ET25</f>
        <v>31</v>
      </c>
      <c r="EM35" s="695">
        <f>GEntry!EP25</f>
        <v>64</v>
      </c>
      <c r="EN35" s="695">
        <f>GEntry!EQ25</f>
        <v>0</v>
      </c>
      <c r="EO35" s="695">
        <f>GEntry!FH25</f>
        <v>0</v>
      </c>
      <c r="EP35" s="695">
        <f>GEntry!FG25</f>
        <v>0</v>
      </c>
      <c r="EQ35" s="695">
        <f>GEntry!FI25</f>
        <v>32</v>
      </c>
      <c r="ER35" s="695">
        <f>GEntry!FS25</f>
        <v>21</v>
      </c>
      <c r="ES35" s="695">
        <f>GEntry!GB25</f>
        <v>80</v>
      </c>
      <c r="ET35" s="695">
        <f>GEntry!FW25</f>
        <v>0</v>
      </c>
      <c r="EU35" s="695">
        <f>GEntry!FX25</f>
        <v>0</v>
      </c>
      <c r="EV35" s="695">
        <f>GEntry!FY25</f>
        <v>32</v>
      </c>
      <c r="EW35" s="695">
        <f>GEntry!GA25</f>
        <v>52</v>
      </c>
      <c r="EX35" s="695">
        <f>GEntry!FZ25</f>
        <v>34</v>
      </c>
      <c r="EY35" s="695">
        <f>GEntry!FT25</f>
        <v>21</v>
      </c>
      <c r="EZ35" s="695">
        <f>GEntry!FU25</f>
        <v>0</v>
      </c>
      <c r="FA35" s="695">
        <f>GEntry!FV25</f>
        <v>11</v>
      </c>
      <c r="FB35" s="1073">
        <f>GEntry!FD25</f>
        <v>0</v>
      </c>
      <c r="FC35" s="1073">
        <f>GEntry!FE25</f>
        <v>0</v>
      </c>
      <c r="FD35" s="1073">
        <f>GEntry!FF25</f>
        <v>251</v>
      </c>
      <c r="FE35" s="695">
        <f>GEntry!GF25</f>
        <v>0</v>
      </c>
      <c r="FF35" s="696">
        <f>GEntry!GG25</f>
        <v>0</v>
      </c>
      <c r="FG35" s="696">
        <f>GEntry!FK25</f>
        <v>168</v>
      </c>
      <c r="FH35" s="696">
        <f>GEntry!FL25</f>
        <v>0</v>
      </c>
      <c r="FI35" s="696">
        <f>GEntry!FM25</f>
        <v>0</v>
      </c>
      <c r="FJ35" s="696">
        <f>GEntry!FN25</f>
        <v>214</v>
      </c>
      <c r="FK35" s="696">
        <f>GEntry!ER25</f>
        <v>0</v>
      </c>
      <c r="FL35" s="696">
        <f>GEntry!EU25</f>
        <v>95</v>
      </c>
      <c r="FM35" s="694">
        <f>GEntry!FO25</f>
        <v>141</v>
      </c>
      <c r="FN35" s="696">
        <f>GEntry!FP25</f>
        <v>0</v>
      </c>
      <c r="FO35" s="695">
        <f>GEntry!FQ25</f>
        <v>290</v>
      </c>
      <c r="FP35" s="1548">
        <f>GEntry!EJ25</f>
        <v>53</v>
      </c>
      <c r="FQ35" s="1550">
        <f>GEntry!GC25</f>
        <v>161</v>
      </c>
      <c r="FR35" s="1553">
        <f>GEntry!GD25</f>
        <v>94</v>
      </c>
      <c r="FS35" s="1704">
        <f>GEntry!EY25</f>
        <v>105</v>
      </c>
      <c r="FT35" s="1779">
        <f>GEntry!GH25</f>
        <v>91</v>
      </c>
      <c r="FU35" s="1781">
        <f>GEntry!FR25</f>
        <v>0</v>
      </c>
      <c r="FV35" s="1903">
        <f>GEntry!GI25</f>
        <v>0</v>
      </c>
      <c r="FW35" s="2214">
        <f>GEntry!GE25</f>
        <v>95</v>
      </c>
      <c r="FX35" s="695">
        <f>GEntry!FB25</f>
        <v>790</v>
      </c>
      <c r="FY35" s="2585">
        <f>GEntry!EN25</f>
        <v>210</v>
      </c>
      <c r="FZ35" s="2624">
        <f>GEntry!EO25</f>
        <v>0</v>
      </c>
      <c r="GA35" s="2626">
        <f>GEntry!EM25</f>
        <v>120</v>
      </c>
      <c r="GB35" s="3134">
        <f>GEntry!FJ25</f>
        <v>0</v>
      </c>
      <c r="GC35" s="3179">
        <f>GEntry!EK25</f>
        <v>0</v>
      </c>
      <c r="GD35" s="2585">
        <f>GEntry!GJ25</f>
        <v>90</v>
      </c>
      <c r="GE35" s="4736">
        <f>GEntry!EF25</f>
        <v>0</v>
      </c>
      <c r="GF35" s="4737">
        <f>GEntry!EE25</f>
        <v>0</v>
      </c>
      <c r="GG35" s="918"/>
      <c r="GH35" s="841">
        <f>SUM(B35:DY35)</f>
        <v>7821</v>
      </c>
      <c r="GI35" s="840">
        <f>SUM(DZ35:GG35)</f>
        <v>4869</v>
      </c>
      <c r="GJ35" s="837">
        <f>GH35+GI35</f>
        <v>12690</v>
      </c>
      <c r="GK35" s="583">
        <f t="shared" si="0"/>
        <v>3340</v>
      </c>
      <c r="GL35" s="583">
        <f>DZ35</f>
        <v>909</v>
      </c>
      <c r="GM35" s="583">
        <f t="shared" si="13"/>
        <v>1864</v>
      </c>
      <c r="GN35" s="583">
        <f t="shared" si="10"/>
        <v>714</v>
      </c>
      <c r="GO35" s="583">
        <f t="shared" si="2"/>
        <v>3544</v>
      </c>
      <c r="GP35" s="583">
        <f t="shared" si="3"/>
        <v>1041</v>
      </c>
      <c r="GQ35" s="583">
        <f>AL35+AM35</f>
        <v>118</v>
      </c>
      <c r="GR35" s="583">
        <f t="shared" si="5"/>
        <v>441</v>
      </c>
      <c r="GS35" s="583">
        <f t="shared" si="11"/>
        <v>773</v>
      </c>
      <c r="GT35" s="583">
        <f>BW35</f>
        <v>160</v>
      </c>
      <c r="GU35" s="836">
        <f t="shared" si="7"/>
        <v>0</v>
      </c>
      <c r="GV35" s="835">
        <f>FWise!M27</f>
        <v>0</v>
      </c>
      <c r="GW35" s="2510">
        <f>GEntry!GN25</f>
        <v>93.92</v>
      </c>
      <c r="GX35" s="12"/>
      <c r="GY35" s="12"/>
      <c r="GZ35" s="12"/>
      <c r="HA35" s="12"/>
      <c r="HB35" s="12"/>
      <c r="HC35" s="12"/>
      <c r="HD35" s="12"/>
      <c r="HE35" s="12"/>
      <c r="HF35" s="12"/>
      <c r="HG35" s="12"/>
      <c r="HH35" s="12"/>
      <c r="HI35" s="12"/>
      <c r="HJ35" s="12"/>
      <c r="HK35" s="12"/>
      <c r="HL35" s="12"/>
      <c r="HM35" s="12"/>
      <c r="HN35" s="12"/>
      <c r="HO35" s="12"/>
      <c r="HP35" s="12"/>
      <c r="HQ35" s="12"/>
      <c r="HR35" s="12"/>
      <c r="HS35" s="12"/>
      <c r="HT35" s="12"/>
      <c r="HU35" s="12"/>
      <c r="HV35" s="12"/>
      <c r="HW35" s="12"/>
      <c r="HX35" s="12"/>
      <c r="HY35" s="12"/>
      <c r="HZ35" s="12"/>
      <c r="IA35" s="12"/>
      <c r="IB35" s="12"/>
      <c r="IC35" s="12"/>
      <c r="ID35" s="12"/>
      <c r="IE35" s="12"/>
      <c r="IF35" s="12"/>
      <c r="IG35" s="12"/>
      <c r="IH35" s="12"/>
      <c r="II35" s="12"/>
      <c r="IJ35" s="12"/>
      <c r="IK35" s="12"/>
      <c r="IL35" s="12"/>
      <c r="IM35" s="12"/>
      <c r="IN35" s="12"/>
      <c r="IO35" s="12"/>
      <c r="IP35" s="12"/>
      <c r="IQ35" s="12"/>
      <c r="IR35" s="12"/>
      <c r="IS35" s="12"/>
      <c r="IT35" s="12"/>
      <c r="IU35" s="12"/>
      <c r="IV35" s="12"/>
      <c r="IW35" s="12"/>
      <c r="IX35" s="12"/>
      <c r="IY35" s="12"/>
      <c r="IZ35" s="12"/>
      <c r="JA35" s="12"/>
      <c r="JB35" s="12"/>
      <c r="JC35" s="12"/>
      <c r="JD35" s="12"/>
      <c r="JE35" s="12"/>
      <c r="JF35" s="12"/>
      <c r="JG35" s="12"/>
      <c r="JH35" s="12"/>
      <c r="JI35" s="12"/>
      <c r="JJ35" s="12"/>
      <c r="JK35" s="12"/>
      <c r="JL35" s="12"/>
      <c r="JM35" s="12"/>
      <c r="JN35" s="12"/>
      <c r="JO35" s="12"/>
      <c r="JP35" s="12"/>
      <c r="JQ35" s="12"/>
      <c r="JR35" s="12"/>
    </row>
    <row r="36" spans="1:278" ht="24" customHeight="1" thickBot="1">
      <c r="A36" s="542">
        <v>0.875</v>
      </c>
      <c r="B36" s="692">
        <f>GEntry!W26</f>
        <v>0</v>
      </c>
      <c r="C36" s="689">
        <f>GEntry!X26</f>
        <v>0</v>
      </c>
      <c r="D36" s="689">
        <f>GEntry!Y26</f>
        <v>0</v>
      </c>
      <c r="E36" s="689">
        <f>GEntry!Z26</f>
        <v>180</v>
      </c>
      <c r="F36" s="690">
        <f>GEntry!AB26</f>
        <v>200</v>
      </c>
      <c r="G36" s="690">
        <f>GEntry!BZ26</f>
        <v>81</v>
      </c>
      <c r="H36" s="689">
        <f>GEntry!CT26</f>
        <v>0</v>
      </c>
      <c r="I36" s="689">
        <f>GEntry!AP26</f>
        <v>397</v>
      </c>
      <c r="J36" s="689">
        <f>GEntry!AR26</f>
        <v>257</v>
      </c>
      <c r="K36" s="689"/>
      <c r="L36" s="689">
        <f>GEntry!AO26</f>
        <v>0</v>
      </c>
      <c r="M36" s="689">
        <f>GEntry!AQ26</f>
        <v>225</v>
      </c>
      <c r="N36" s="689">
        <f>GEntry!CQ26</f>
        <v>0</v>
      </c>
      <c r="O36" s="689">
        <f>GEntry!CR26</f>
        <v>48</v>
      </c>
      <c r="P36" s="689">
        <f>GEntry!CM26</f>
        <v>0</v>
      </c>
      <c r="Q36" s="689">
        <f>GEntry!DD26</f>
        <v>30</v>
      </c>
      <c r="R36" s="689">
        <f>GEntry!T26</f>
        <v>0</v>
      </c>
      <c r="S36" s="689">
        <f>GEntry!R26</f>
        <v>0</v>
      </c>
      <c r="T36" s="689">
        <f>GEntry!S26</f>
        <v>0</v>
      </c>
      <c r="U36" s="689">
        <f>GEntry!CD26</f>
        <v>48</v>
      </c>
      <c r="V36" s="690">
        <f>GEntry!CY26</f>
        <v>50</v>
      </c>
      <c r="W36" s="689">
        <f>GEntry!CF26</f>
        <v>128</v>
      </c>
      <c r="X36" s="689">
        <f>GEntry!CP26</f>
        <v>0</v>
      </c>
      <c r="Y36" s="689">
        <f>GEntry!DC26</f>
        <v>0</v>
      </c>
      <c r="Z36" s="689">
        <f>GEntry!CN26</f>
        <v>0</v>
      </c>
      <c r="AA36" s="689">
        <f>GEntry!DB26</f>
        <v>0</v>
      </c>
      <c r="AB36" s="689">
        <f>GEntry!DH26</f>
        <v>54</v>
      </c>
      <c r="AC36" s="689">
        <f>GEntry!DE26</f>
        <v>55</v>
      </c>
      <c r="AD36" s="689">
        <f>GEntry!BK26</f>
        <v>55</v>
      </c>
      <c r="AE36" s="689">
        <f>GEntry!BN26</f>
        <v>22</v>
      </c>
      <c r="AF36" s="689">
        <f>GEntry!BV26</f>
        <v>25</v>
      </c>
      <c r="AG36" s="689">
        <f>GEntry!BW26</f>
        <v>27</v>
      </c>
      <c r="AH36" s="689">
        <f>GEntry!BX26</f>
        <v>33</v>
      </c>
      <c r="AI36" s="689">
        <f>GEntry!BY26</f>
        <v>30</v>
      </c>
      <c r="AJ36" s="689">
        <f>GEntry!CE26</f>
        <v>49</v>
      </c>
      <c r="AK36" s="689">
        <f>GEntry!AN26</f>
        <v>0</v>
      </c>
      <c r="AL36" s="1075">
        <f>GEntry!B26</f>
        <v>81</v>
      </c>
      <c r="AM36" s="1075">
        <f>GEntry!C26</f>
        <v>35</v>
      </c>
      <c r="AN36" s="689">
        <f>GEntry!D26</f>
        <v>100</v>
      </c>
      <c r="AO36" s="689">
        <f>GEntry!E26</f>
        <v>0</v>
      </c>
      <c r="AP36" s="689">
        <f>GEntry!F26</f>
        <v>25</v>
      </c>
      <c r="AQ36" s="689">
        <f>GEntry!H26</f>
        <v>0</v>
      </c>
      <c r="AR36" s="689">
        <f>GEntry!I26</f>
        <v>0</v>
      </c>
      <c r="AS36" s="689">
        <f>GEntry!K26</f>
        <v>0</v>
      </c>
      <c r="AT36" s="689">
        <f>GEntry!L26</f>
        <v>0</v>
      </c>
      <c r="AU36" s="689"/>
      <c r="AV36" s="689">
        <f>GEntry!BL26</f>
        <v>6</v>
      </c>
      <c r="AW36" s="689">
        <f>GEntry!N26</f>
        <v>34</v>
      </c>
      <c r="AX36" s="689">
        <f>GEntry!M26</f>
        <v>51</v>
      </c>
      <c r="AY36" s="689">
        <f>GEntry!CV26</f>
        <v>33</v>
      </c>
      <c r="AZ36" s="689">
        <f>GEntry!DA26</f>
        <v>80</v>
      </c>
      <c r="BA36" s="689">
        <f>GEntry!CZ26</f>
        <v>25</v>
      </c>
      <c r="BB36" s="689">
        <f>GEntry!BM26</f>
        <v>15</v>
      </c>
      <c r="BC36" s="689">
        <f>GEntry!BQ26</f>
        <v>30</v>
      </c>
      <c r="BD36" s="689">
        <f>GEntry!AD26</f>
        <v>0</v>
      </c>
      <c r="BE36" s="689">
        <f>GEntry!AE26</f>
        <v>0</v>
      </c>
      <c r="BF36" s="689">
        <f>GEntry!AF26</f>
        <v>0</v>
      </c>
      <c r="BG36" s="689">
        <f>GEntry!AJ26</f>
        <v>320</v>
      </c>
      <c r="BH36" s="689">
        <f>GEntry!AI26</f>
        <v>305</v>
      </c>
      <c r="BI36" s="689">
        <f>GEntry!AH26</f>
        <v>208</v>
      </c>
      <c r="BJ36" s="689">
        <f>GEntry!V26</f>
        <v>8</v>
      </c>
      <c r="BK36" s="689">
        <f>GEntry!AM26</f>
        <v>129</v>
      </c>
      <c r="BL36" s="689">
        <f>GEntry!AG26</f>
        <v>41</v>
      </c>
      <c r="BM36" s="689">
        <f>GEntry!AL26</f>
        <v>40</v>
      </c>
      <c r="BN36" s="689">
        <f>GEntry!CU26</f>
        <v>0</v>
      </c>
      <c r="BO36" s="690">
        <f>GEntry!CX26</f>
        <v>51</v>
      </c>
      <c r="BP36" s="690">
        <f>GEntry!CO26</f>
        <v>0</v>
      </c>
      <c r="BQ36" s="690">
        <f>GEntry!Q26</f>
        <v>38</v>
      </c>
      <c r="BR36" s="689">
        <f>GEntry!CH26</f>
        <v>43</v>
      </c>
      <c r="BS36" s="690">
        <f>GEntry!BR26</f>
        <v>19</v>
      </c>
      <c r="BT36" s="690">
        <f>GEntry!BS26</f>
        <v>10</v>
      </c>
      <c r="BU36" s="690">
        <f>GEntry!BT26</f>
        <v>33</v>
      </c>
      <c r="BV36" s="690">
        <f>GEntry!BU26</f>
        <v>20</v>
      </c>
      <c r="BW36" s="680">
        <f>GEntry!BP26</f>
        <v>160</v>
      </c>
      <c r="BX36" s="690">
        <f>GEntry!AS26</f>
        <v>100</v>
      </c>
      <c r="BY36" s="690">
        <f>GEntry!CG26</f>
        <v>0</v>
      </c>
      <c r="BZ36" s="690">
        <f>GEntry!BO26</f>
        <v>20</v>
      </c>
      <c r="CA36" s="1077">
        <f>GEntry!DG26</f>
        <v>0</v>
      </c>
      <c r="CB36" s="690">
        <f>GEntry!AU26</f>
        <v>44</v>
      </c>
      <c r="CC36" s="690">
        <f>GEntry!AV26</f>
        <v>41</v>
      </c>
      <c r="CD36" s="690">
        <f>GEntry!BG26</f>
        <v>53</v>
      </c>
      <c r="CE36" s="690">
        <f>GEntry!CW26</f>
        <v>48</v>
      </c>
      <c r="CF36" s="690">
        <f>GEntry!DF26</f>
        <v>110</v>
      </c>
      <c r="CG36" s="690">
        <f>GEntry!AW26</f>
        <v>0</v>
      </c>
      <c r="CH36" s="690">
        <f>GEntry!AX26</f>
        <v>56</v>
      </c>
      <c r="CI36" s="690">
        <f>GEntry!AY26</f>
        <v>81</v>
      </c>
      <c r="CJ36" s="690">
        <f>GEntry!BA26</f>
        <v>0</v>
      </c>
      <c r="CK36" s="690">
        <f>GEntry!BB26</f>
        <v>221</v>
      </c>
      <c r="CL36" s="690">
        <f>GEntry!BC26</f>
        <v>0</v>
      </c>
      <c r="CM36" s="690">
        <f>GEntry!BD26</f>
        <v>31</v>
      </c>
      <c r="CN36" s="690">
        <f>GEntry!BE26</f>
        <v>9</v>
      </c>
      <c r="CO36" s="690">
        <f>GEntry!BI26</f>
        <v>275</v>
      </c>
      <c r="CP36" s="690">
        <f>GEntry!BH26</f>
        <v>16</v>
      </c>
      <c r="CQ36" s="911">
        <f>GEntry!BF26</f>
        <v>0</v>
      </c>
      <c r="CR36" s="911">
        <f>GEntry!P26</f>
        <v>195</v>
      </c>
      <c r="CS36" s="911">
        <f>GEntry!U26</f>
        <v>242</v>
      </c>
      <c r="CT36" s="690">
        <f>GEntry!DI26</f>
        <v>284</v>
      </c>
      <c r="CU36" s="911">
        <f>GEntry!DJ26</f>
        <v>96</v>
      </c>
      <c r="CV36" s="911">
        <f>GEntry!DK26</f>
        <v>154</v>
      </c>
      <c r="CW36" s="690">
        <f>GEntry!DL26</f>
        <v>100</v>
      </c>
      <c r="CX36" s="911">
        <f>GEntry!DM26</f>
        <v>149</v>
      </c>
      <c r="CY36" s="911">
        <f>GEntry!G26</f>
        <v>0</v>
      </c>
      <c r="CZ36" s="911">
        <f>GEntry!DN26</f>
        <v>90</v>
      </c>
      <c r="DA36" s="690">
        <f>GEntry!DO26</f>
        <v>34</v>
      </c>
      <c r="DB36" s="1530">
        <f>GEntry!DP26</f>
        <v>122</v>
      </c>
      <c r="DC36" s="1520">
        <f>GEntry!DQ26</f>
        <v>402</v>
      </c>
      <c r="DD36" s="1617">
        <f>GEntry!DR26</f>
        <v>106</v>
      </c>
      <c r="DE36" s="1616">
        <f>GEntry!CI26</f>
        <v>105</v>
      </c>
      <c r="DF36" s="1700">
        <f>GEntry!O26</f>
        <v>105</v>
      </c>
      <c r="DG36" s="1694">
        <f>GEntry!CJ26</f>
        <v>0</v>
      </c>
      <c r="DH36" s="1847">
        <f>GEntry!DS26</f>
        <v>214</v>
      </c>
      <c r="DI36" s="1848">
        <f>GEntry!CK26</f>
        <v>36</v>
      </c>
      <c r="DJ36" s="1859">
        <f>GEntry!CL26</f>
        <v>73</v>
      </c>
      <c r="DK36" s="2176">
        <f>GEntry!CA26</f>
        <v>114</v>
      </c>
      <c r="DL36" s="2396">
        <f>GEntry!CB26</f>
        <v>115</v>
      </c>
      <c r="DM36" s="2177">
        <f>GEntry!DT26</f>
        <v>100</v>
      </c>
      <c r="DN36" s="2495">
        <f>GEntry!BJ26</f>
        <v>0</v>
      </c>
      <c r="DO36" s="2496">
        <f>GEntry!CS26</f>
        <v>52</v>
      </c>
      <c r="DP36" s="2603">
        <f>GEntry!AT26</f>
        <v>0</v>
      </c>
      <c r="DQ36" s="2642">
        <f>GEntry!CC26</f>
        <v>162</v>
      </c>
      <c r="DR36" s="2667">
        <f>GEntry!DU26</f>
        <v>108</v>
      </c>
      <c r="DS36" s="2669">
        <f>GEntry!AZ26</f>
        <v>0</v>
      </c>
      <c r="DT36" s="2734">
        <f>GEntry!DV26</f>
        <v>6</v>
      </c>
      <c r="DU36" s="2736">
        <f>GEntry!DW26</f>
        <v>0</v>
      </c>
      <c r="DV36" s="3114">
        <f>GEntry!DX26</f>
        <v>75</v>
      </c>
      <c r="DW36" s="3114">
        <f>GEntry!DY26</f>
        <v>55</v>
      </c>
      <c r="DX36" s="4684">
        <f>GEntry!AK26</f>
        <v>0</v>
      </c>
      <c r="DY36" s="915"/>
      <c r="DZ36" s="698">
        <f>GEntry!EZ26</f>
        <v>909</v>
      </c>
      <c r="EA36" s="695">
        <f>GEntry!EX26</f>
        <v>0</v>
      </c>
      <c r="EB36" s="695">
        <f>GEntry!FA26</f>
        <v>150</v>
      </c>
      <c r="EC36" s="695">
        <f>GEntry!EC26</f>
        <v>0</v>
      </c>
      <c r="ED36" s="695">
        <f>GEntry!ED26</f>
        <v>32</v>
      </c>
      <c r="EE36" s="695">
        <f>GEntry!EI26</f>
        <v>228</v>
      </c>
      <c r="EF36" s="695">
        <f>GEntry!EB26</f>
        <v>0</v>
      </c>
      <c r="EG36" s="695">
        <f>GEntry!EG26</f>
        <v>0</v>
      </c>
      <c r="EH36" s="695">
        <f>GEntry!EH26</f>
        <v>38</v>
      </c>
      <c r="EI36" s="695">
        <f>GEntry!EW26</f>
        <v>72</v>
      </c>
      <c r="EJ36" s="695">
        <f>GEntry!EV26</f>
        <v>8</v>
      </c>
      <c r="EK36" s="695">
        <f>GEntry!ES26</f>
        <v>88</v>
      </c>
      <c r="EL36" s="695">
        <f>GEntry!ET26</f>
        <v>33</v>
      </c>
      <c r="EM36" s="695">
        <f>GEntry!EP26</f>
        <v>64</v>
      </c>
      <c r="EN36" s="695">
        <f>GEntry!EQ26</f>
        <v>0</v>
      </c>
      <c r="EO36" s="695">
        <f>GEntry!FH26</f>
        <v>0</v>
      </c>
      <c r="EP36" s="695">
        <f>GEntry!FG26</f>
        <v>0</v>
      </c>
      <c r="EQ36" s="695">
        <f>GEntry!FI26</f>
        <v>32</v>
      </c>
      <c r="ER36" s="695">
        <f>GEntry!FS26</f>
        <v>25</v>
      </c>
      <c r="ES36" s="695">
        <f>GEntry!GB26</f>
        <v>80</v>
      </c>
      <c r="ET36" s="695">
        <f>GEntry!FW26</f>
        <v>0</v>
      </c>
      <c r="EU36" s="695">
        <f>GEntry!FX26</f>
        <v>0</v>
      </c>
      <c r="EV36" s="695">
        <f>GEntry!FY26</f>
        <v>32</v>
      </c>
      <c r="EW36" s="695">
        <f>GEntry!GA26</f>
        <v>52</v>
      </c>
      <c r="EX36" s="695">
        <f>GEntry!FZ26</f>
        <v>34</v>
      </c>
      <c r="EY36" s="695">
        <f>GEntry!FT26</f>
        <v>21</v>
      </c>
      <c r="EZ36" s="695">
        <f>GEntry!FU26</f>
        <v>0</v>
      </c>
      <c r="FA36" s="695">
        <f>GEntry!FV26</f>
        <v>11</v>
      </c>
      <c r="FB36" s="1073">
        <f>GEntry!FD26</f>
        <v>0</v>
      </c>
      <c r="FC36" s="1073">
        <f>GEntry!FE26</f>
        <v>0</v>
      </c>
      <c r="FD36" s="1073">
        <f>GEntry!FF26</f>
        <v>240</v>
      </c>
      <c r="FE36" s="695">
        <f>GEntry!GF26</f>
        <v>0</v>
      </c>
      <c r="FF36" s="696">
        <f>GEntry!GG26</f>
        <v>0</v>
      </c>
      <c r="FG36" s="696">
        <f>GEntry!FK26</f>
        <v>170</v>
      </c>
      <c r="FH36" s="696">
        <f>GEntry!FL26</f>
        <v>0</v>
      </c>
      <c r="FI36" s="696">
        <f>GEntry!FM26</f>
        <v>0</v>
      </c>
      <c r="FJ36" s="696">
        <f>GEntry!FN26</f>
        <v>213</v>
      </c>
      <c r="FK36" s="696">
        <f>GEntry!ER26</f>
        <v>0</v>
      </c>
      <c r="FL36" s="696">
        <f>GEntry!EU26</f>
        <v>96</v>
      </c>
      <c r="FM36" s="694">
        <f>GEntry!FO26</f>
        <v>143</v>
      </c>
      <c r="FN36" s="696">
        <f>GEntry!FP26</f>
        <v>0</v>
      </c>
      <c r="FO36" s="695">
        <f>GEntry!FQ26</f>
        <v>286</v>
      </c>
      <c r="FP36" s="1548">
        <f>GEntry!EJ26</f>
        <v>53</v>
      </c>
      <c r="FQ36" s="1550">
        <f>GEntry!GC26</f>
        <v>172</v>
      </c>
      <c r="FR36" s="1553">
        <f>GEntry!GD26</f>
        <v>94</v>
      </c>
      <c r="FS36" s="1704">
        <f>GEntry!EY26</f>
        <v>105</v>
      </c>
      <c r="FT36" s="1779">
        <f>GEntry!GH26</f>
        <v>91</v>
      </c>
      <c r="FU36" s="1781">
        <f>GEntry!FR26</f>
        <v>0</v>
      </c>
      <c r="FV36" s="1903">
        <f>GEntry!GI26</f>
        <v>0</v>
      </c>
      <c r="FW36" s="2214">
        <f>GEntry!GE26</f>
        <v>95</v>
      </c>
      <c r="FX36" s="695">
        <f>GEntry!FB26</f>
        <v>800</v>
      </c>
      <c r="FY36" s="2585">
        <f>GEntry!EN26</f>
        <v>187</v>
      </c>
      <c r="FZ36" s="2624">
        <f>GEntry!EO26</f>
        <v>0</v>
      </c>
      <c r="GA36" s="2626">
        <f>GEntry!EM26</f>
        <v>150</v>
      </c>
      <c r="GB36" s="3134">
        <f>GEntry!FJ26</f>
        <v>0</v>
      </c>
      <c r="GC36" s="3179">
        <f>GEntry!EK26</f>
        <v>0</v>
      </c>
      <c r="GD36" s="2585">
        <f>GEntry!GJ26</f>
        <v>90</v>
      </c>
      <c r="GE36" s="4736">
        <f>GEntry!EF26</f>
        <v>0</v>
      </c>
      <c r="GF36" s="4737">
        <f>GEntry!EE26</f>
        <v>0</v>
      </c>
      <c r="GG36" s="918"/>
      <c r="GH36" s="841">
        <f t="shared" si="12"/>
        <v>8333</v>
      </c>
      <c r="GI36" s="840">
        <f t="shared" si="8"/>
        <v>4894</v>
      </c>
      <c r="GJ36" s="837">
        <f t="shared" si="9"/>
        <v>13227</v>
      </c>
      <c r="GK36" s="583">
        <f t="shared" si="0"/>
        <v>3576</v>
      </c>
      <c r="GL36" s="583">
        <f t="shared" si="1"/>
        <v>909</v>
      </c>
      <c r="GM36" s="583">
        <f t="shared" si="13"/>
        <v>1826</v>
      </c>
      <c r="GN36" s="583">
        <f t="shared" si="10"/>
        <v>943</v>
      </c>
      <c r="GO36" s="583">
        <f t="shared" si="2"/>
        <v>3652</v>
      </c>
      <c r="GP36" s="583">
        <f t="shared" si="3"/>
        <v>1040</v>
      </c>
      <c r="GQ36" s="583">
        <f t="shared" si="4"/>
        <v>116</v>
      </c>
      <c r="GR36" s="583">
        <f t="shared" si="5"/>
        <v>441</v>
      </c>
      <c r="GS36" s="583">
        <f t="shared" si="11"/>
        <v>777</v>
      </c>
      <c r="GT36" s="583">
        <f t="shared" si="6"/>
        <v>160</v>
      </c>
      <c r="GU36" s="836">
        <f t="shared" si="7"/>
        <v>0</v>
      </c>
      <c r="GV36" s="835">
        <f>FWise!M28</f>
        <v>0</v>
      </c>
      <c r="GW36" s="2510">
        <f>GEntry!GN26</f>
        <v>93.94</v>
      </c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12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12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12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</row>
    <row r="37" spans="1:278" ht="24" customHeight="1" thickBot="1">
      <c r="A37" s="542">
        <v>0.91666666666666663</v>
      </c>
      <c r="B37" s="692">
        <f>GEntry!W27</f>
        <v>0</v>
      </c>
      <c r="C37" s="689">
        <f>GEntry!X27</f>
        <v>0</v>
      </c>
      <c r="D37" s="689">
        <f>GEntry!Y27</f>
        <v>0</v>
      </c>
      <c r="E37" s="689">
        <f>GEntry!Z27</f>
        <v>180</v>
      </c>
      <c r="F37" s="690">
        <f>GEntry!AB27</f>
        <v>200</v>
      </c>
      <c r="G37" s="690">
        <f>GEntry!BZ27</f>
        <v>84</v>
      </c>
      <c r="H37" s="689">
        <f>GEntry!CT27</f>
        <v>0</v>
      </c>
      <c r="I37" s="689">
        <f>GEntry!AP27</f>
        <v>398</v>
      </c>
      <c r="J37" s="689">
        <f>GEntry!AR27</f>
        <v>247</v>
      </c>
      <c r="K37" s="689"/>
      <c r="L37" s="689">
        <f>GEntry!AO27</f>
        <v>0</v>
      </c>
      <c r="M37" s="689">
        <f>GEntry!AQ27</f>
        <v>225</v>
      </c>
      <c r="N37" s="689">
        <f>GEntry!CQ27</f>
        <v>0</v>
      </c>
      <c r="O37" s="689">
        <f>GEntry!CR27</f>
        <v>48</v>
      </c>
      <c r="P37" s="689">
        <f>GEntry!CM27</f>
        <v>0</v>
      </c>
      <c r="Q37" s="689">
        <f>GEntry!DD27</f>
        <v>30</v>
      </c>
      <c r="R37" s="689">
        <f>GEntry!T27</f>
        <v>0</v>
      </c>
      <c r="S37" s="689">
        <f>GEntry!R27</f>
        <v>0</v>
      </c>
      <c r="T37" s="689">
        <f>GEntry!S27</f>
        <v>0</v>
      </c>
      <c r="U37" s="689">
        <f>GEntry!CD27</f>
        <v>48</v>
      </c>
      <c r="V37" s="690">
        <f>GEntry!CY27</f>
        <v>50</v>
      </c>
      <c r="W37" s="689">
        <f>GEntry!CF27</f>
        <v>128</v>
      </c>
      <c r="X37" s="689">
        <f>GEntry!CP27</f>
        <v>0</v>
      </c>
      <c r="Y37" s="689">
        <f>GEntry!DC27</f>
        <v>0</v>
      </c>
      <c r="Z37" s="689">
        <f>GEntry!CN27</f>
        <v>0</v>
      </c>
      <c r="AA37" s="689">
        <f>GEntry!DB27</f>
        <v>0</v>
      </c>
      <c r="AB37" s="689">
        <f>GEntry!DH27</f>
        <v>54</v>
      </c>
      <c r="AC37" s="689">
        <f>GEntry!DE27</f>
        <v>55</v>
      </c>
      <c r="AD37" s="689">
        <f>GEntry!BK27</f>
        <v>55</v>
      </c>
      <c r="AE37" s="689">
        <f>GEntry!BN27</f>
        <v>22</v>
      </c>
      <c r="AF37" s="689">
        <f>GEntry!BV27</f>
        <v>25</v>
      </c>
      <c r="AG37" s="689">
        <f>GEntry!BW27</f>
        <v>27</v>
      </c>
      <c r="AH37" s="689">
        <f>GEntry!BX27</f>
        <v>33</v>
      </c>
      <c r="AI37" s="689">
        <f>GEntry!BY27</f>
        <v>17</v>
      </c>
      <c r="AJ37" s="689">
        <f>GEntry!CE27</f>
        <v>49</v>
      </c>
      <c r="AK37" s="689">
        <f>GEntry!AN27</f>
        <v>0</v>
      </c>
      <c r="AL37" s="1075">
        <f>GEntry!B27</f>
        <v>81</v>
      </c>
      <c r="AM37" s="1075">
        <f>GEntry!C27</f>
        <v>35</v>
      </c>
      <c r="AN37" s="689">
        <f>GEntry!D27</f>
        <v>100</v>
      </c>
      <c r="AO37" s="689">
        <f>GEntry!E27</f>
        <v>0</v>
      </c>
      <c r="AP37" s="689">
        <f>GEntry!F27</f>
        <v>25</v>
      </c>
      <c r="AQ37" s="689">
        <f>GEntry!H27</f>
        <v>0</v>
      </c>
      <c r="AR37" s="689">
        <f>GEntry!I27</f>
        <v>0</v>
      </c>
      <c r="AS37" s="689">
        <f>GEntry!K27</f>
        <v>0</v>
      </c>
      <c r="AT37" s="689">
        <f>GEntry!L27</f>
        <v>0</v>
      </c>
      <c r="AU37" s="689"/>
      <c r="AV37" s="689">
        <f>GEntry!BL27</f>
        <v>7</v>
      </c>
      <c r="AW37" s="689">
        <f>GEntry!N27</f>
        <v>34</v>
      </c>
      <c r="AX37" s="689">
        <f>GEntry!M27</f>
        <v>51</v>
      </c>
      <c r="AY37" s="689">
        <f>GEntry!CV27</f>
        <v>33</v>
      </c>
      <c r="AZ37" s="689">
        <f>GEntry!DA27</f>
        <v>80</v>
      </c>
      <c r="BA37" s="689">
        <f>GEntry!CZ27</f>
        <v>25</v>
      </c>
      <c r="BB37" s="689">
        <f>GEntry!BM27</f>
        <v>15</v>
      </c>
      <c r="BC37" s="689">
        <f>GEntry!BQ27</f>
        <v>35</v>
      </c>
      <c r="BD37" s="689">
        <f>GEntry!AD27</f>
        <v>0</v>
      </c>
      <c r="BE37" s="689">
        <f>GEntry!AE27</f>
        <v>0</v>
      </c>
      <c r="BF37" s="689">
        <f>GEntry!AF27</f>
        <v>0</v>
      </c>
      <c r="BG37" s="689">
        <f>GEntry!AJ27</f>
        <v>320</v>
      </c>
      <c r="BH37" s="689">
        <f>GEntry!AI27</f>
        <v>320</v>
      </c>
      <c r="BI37" s="689">
        <f>GEntry!AH27</f>
        <v>206</v>
      </c>
      <c r="BJ37" s="689">
        <f>GEntry!V27</f>
        <v>8</v>
      </c>
      <c r="BK37" s="689">
        <f>GEntry!AM27</f>
        <v>129</v>
      </c>
      <c r="BL37" s="689">
        <f>GEntry!AG27</f>
        <v>42</v>
      </c>
      <c r="BM37" s="689">
        <f>GEntry!AL27</f>
        <v>49</v>
      </c>
      <c r="BN37" s="689">
        <f>GEntry!CU27</f>
        <v>0</v>
      </c>
      <c r="BO37" s="690">
        <f>GEntry!CX27</f>
        <v>51</v>
      </c>
      <c r="BP37" s="690">
        <f>GEntry!CO27</f>
        <v>0</v>
      </c>
      <c r="BQ37" s="690">
        <f>GEntry!Q27</f>
        <v>38</v>
      </c>
      <c r="BR37" s="689">
        <f>GEntry!CH27</f>
        <v>43</v>
      </c>
      <c r="BS37" s="690">
        <f>GEntry!BR27</f>
        <v>21</v>
      </c>
      <c r="BT37" s="690">
        <f>GEntry!BS27</f>
        <v>10</v>
      </c>
      <c r="BU37" s="690">
        <f>GEntry!BT27</f>
        <v>33</v>
      </c>
      <c r="BV37" s="690">
        <f>GEntry!BU27</f>
        <v>20</v>
      </c>
      <c r="BW37" s="680">
        <f>GEntry!BP27</f>
        <v>170</v>
      </c>
      <c r="BX37" s="690">
        <f>GEntry!AS27</f>
        <v>100</v>
      </c>
      <c r="BY37" s="690">
        <f>GEntry!CG27</f>
        <v>0</v>
      </c>
      <c r="BZ37" s="690">
        <f>GEntry!BO27</f>
        <v>20</v>
      </c>
      <c r="CA37" s="1077">
        <f>GEntry!DG27</f>
        <v>0</v>
      </c>
      <c r="CB37" s="690">
        <f>GEntry!AU27</f>
        <v>43</v>
      </c>
      <c r="CC37" s="690">
        <f>GEntry!AV27</f>
        <v>40</v>
      </c>
      <c r="CD37" s="690">
        <f>GEntry!BG27</f>
        <v>53</v>
      </c>
      <c r="CE37" s="690">
        <f>GEntry!CW27</f>
        <v>48</v>
      </c>
      <c r="CF37" s="690">
        <f>GEntry!DF27</f>
        <v>110</v>
      </c>
      <c r="CG37" s="690">
        <f>GEntry!AW27</f>
        <v>0</v>
      </c>
      <c r="CH37" s="690">
        <f>GEntry!AX27</f>
        <v>61</v>
      </c>
      <c r="CI37" s="690">
        <f>GEntry!AY27</f>
        <v>81</v>
      </c>
      <c r="CJ37" s="690">
        <f>GEntry!BA27</f>
        <v>0</v>
      </c>
      <c r="CK37" s="690">
        <f>GEntry!BB27</f>
        <v>221</v>
      </c>
      <c r="CL37" s="690">
        <f>GEntry!BC27</f>
        <v>0</v>
      </c>
      <c r="CM37" s="690">
        <f>GEntry!BD27</f>
        <v>31</v>
      </c>
      <c r="CN37" s="690">
        <f>GEntry!BE27</f>
        <v>9</v>
      </c>
      <c r="CO37" s="690">
        <f>GEntry!BI27</f>
        <v>300</v>
      </c>
      <c r="CP37" s="690">
        <f>GEntry!BH27</f>
        <v>16</v>
      </c>
      <c r="CQ37" s="911">
        <f>GEntry!BF27</f>
        <v>0</v>
      </c>
      <c r="CR37" s="911">
        <f>GEntry!P27</f>
        <v>140</v>
      </c>
      <c r="CS37" s="911">
        <f>GEntry!U27</f>
        <v>242</v>
      </c>
      <c r="CT37" s="690">
        <f>GEntry!DI27</f>
        <v>292</v>
      </c>
      <c r="CU37" s="911">
        <f>GEntry!DJ27</f>
        <v>50</v>
      </c>
      <c r="CV37" s="911">
        <f>GEntry!DK27</f>
        <v>181</v>
      </c>
      <c r="CW37" s="690">
        <f>GEntry!DL27</f>
        <v>50</v>
      </c>
      <c r="CX37" s="911">
        <f>GEntry!DM27</f>
        <v>149</v>
      </c>
      <c r="CY37" s="911">
        <f>GEntry!G27</f>
        <v>0</v>
      </c>
      <c r="CZ37" s="911">
        <f>GEntry!DN27</f>
        <v>90</v>
      </c>
      <c r="DA37" s="690">
        <f>GEntry!DO27</f>
        <v>34</v>
      </c>
      <c r="DB37" s="1530">
        <f>GEntry!DP27</f>
        <v>125</v>
      </c>
      <c r="DC37" s="1520">
        <f>GEntry!DQ27</f>
        <v>404</v>
      </c>
      <c r="DD37" s="1617">
        <f>GEntry!DR27</f>
        <v>87</v>
      </c>
      <c r="DE37" s="1616">
        <f>GEntry!CI27</f>
        <v>105</v>
      </c>
      <c r="DF37" s="1700">
        <f>GEntry!O27</f>
        <v>105</v>
      </c>
      <c r="DG37" s="1694">
        <f>GEntry!CJ27</f>
        <v>0</v>
      </c>
      <c r="DH37" s="1847">
        <f>GEntry!DS27</f>
        <v>214</v>
      </c>
      <c r="DI37" s="1848">
        <f>GEntry!CK27</f>
        <v>36</v>
      </c>
      <c r="DJ37" s="1859">
        <f>GEntry!CL27</f>
        <v>74</v>
      </c>
      <c r="DK37" s="2176">
        <f>GEntry!CA27</f>
        <v>114</v>
      </c>
      <c r="DL37" s="2396">
        <f>GEntry!CB27</f>
        <v>113</v>
      </c>
      <c r="DM37" s="2177">
        <f>GEntry!DT27</f>
        <v>100</v>
      </c>
      <c r="DN37" s="2495">
        <f>GEntry!BJ27</f>
        <v>0</v>
      </c>
      <c r="DO37" s="2496">
        <f>GEntry!CS27</f>
        <v>52</v>
      </c>
      <c r="DP37" s="2603">
        <f>GEntry!AT27</f>
        <v>0</v>
      </c>
      <c r="DQ37" s="2642">
        <f>GEntry!CC27</f>
        <v>162</v>
      </c>
      <c r="DR37" s="2667">
        <f>GEntry!DU27</f>
        <v>108</v>
      </c>
      <c r="DS37" s="2669">
        <f>GEntry!AZ27</f>
        <v>0</v>
      </c>
      <c r="DT37" s="2734">
        <f>GEntry!DV27</f>
        <v>35</v>
      </c>
      <c r="DU37" s="2736">
        <f>GEntry!DW27</f>
        <v>0</v>
      </c>
      <c r="DV37" s="3114">
        <f>GEntry!DX27</f>
        <v>75</v>
      </c>
      <c r="DW37" s="3114">
        <f>GEntry!DY27</f>
        <v>55</v>
      </c>
      <c r="DX37" s="4684">
        <f>GEntry!AK27</f>
        <v>0</v>
      </c>
      <c r="DY37" s="915"/>
      <c r="DZ37" s="698">
        <f>GEntry!EZ27</f>
        <v>909</v>
      </c>
      <c r="EA37" s="695">
        <f>GEntry!EX27</f>
        <v>0</v>
      </c>
      <c r="EB37" s="695">
        <f>GEntry!FA27</f>
        <v>150</v>
      </c>
      <c r="EC37" s="695">
        <f>GEntry!EC27</f>
        <v>0</v>
      </c>
      <c r="ED37" s="695">
        <f>GEntry!ED27</f>
        <v>32</v>
      </c>
      <c r="EE37" s="695">
        <f>GEntry!EI27</f>
        <v>227</v>
      </c>
      <c r="EF37" s="695">
        <f>GEntry!EB27</f>
        <v>0</v>
      </c>
      <c r="EG37" s="695">
        <f>GEntry!EG27</f>
        <v>0</v>
      </c>
      <c r="EH37" s="695">
        <f>GEntry!EH27</f>
        <v>42</v>
      </c>
      <c r="EI37" s="695">
        <f>GEntry!EW27</f>
        <v>72</v>
      </c>
      <c r="EJ37" s="695">
        <f>GEntry!EV27</f>
        <v>8</v>
      </c>
      <c r="EK37" s="695">
        <f>GEntry!ES27</f>
        <v>88</v>
      </c>
      <c r="EL37" s="695">
        <f>GEntry!ET27</f>
        <v>34</v>
      </c>
      <c r="EM37" s="695">
        <f>GEntry!EP27</f>
        <v>64</v>
      </c>
      <c r="EN37" s="695">
        <f>GEntry!EQ27</f>
        <v>0</v>
      </c>
      <c r="EO37" s="695">
        <f>GEntry!FH27</f>
        <v>0</v>
      </c>
      <c r="EP37" s="695">
        <f>GEntry!FG27</f>
        <v>0</v>
      </c>
      <c r="EQ37" s="695">
        <f>GEntry!FI27</f>
        <v>32</v>
      </c>
      <c r="ER37" s="695">
        <f>GEntry!FS27</f>
        <v>28</v>
      </c>
      <c r="ES37" s="695">
        <f>GEntry!GB27</f>
        <v>80</v>
      </c>
      <c r="ET37" s="695">
        <f>GEntry!FW27</f>
        <v>0</v>
      </c>
      <c r="EU37" s="695">
        <f>GEntry!FX27</f>
        <v>0</v>
      </c>
      <c r="EV37" s="695">
        <f>GEntry!FY27</f>
        <v>32</v>
      </c>
      <c r="EW37" s="695">
        <f>GEntry!GA27</f>
        <v>52</v>
      </c>
      <c r="EX37" s="695">
        <f>GEntry!FZ27</f>
        <v>34</v>
      </c>
      <c r="EY37" s="695">
        <f>GEntry!FT27</f>
        <v>22</v>
      </c>
      <c r="EZ37" s="695">
        <f>GEntry!FU27</f>
        <v>0</v>
      </c>
      <c r="FA37" s="695">
        <f>GEntry!FV27</f>
        <v>11</v>
      </c>
      <c r="FB37" s="1073">
        <f>GEntry!FD27</f>
        <v>0</v>
      </c>
      <c r="FC37" s="1073">
        <f>GEntry!FE27</f>
        <v>0</v>
      </c>
      <c r="FD37" s="1073">
        <f>GEntry!FF27</f>
        <v>250</v>
      </c>
      <c r="FE37" s="695">
        <f>GEntry!GF27</f>
        <v>0</v>
      </c>
      <c r="FF37" s="696">
        <f>GEntry!GG27</f>
        <v>0</v>
      </c>
      <c r="FG37" s="696">
        <f>GEntry!FK27</f>
        <v>173</v>
      </c>
      <c r="FH37" s="696">
        <f>GEntry!FL27</f>
        <v>0</v>
      </c>
      <c r="FI37" s="696">
        <f>GEntry!FM27</f>
        <v>0</v>
      </c>
      <c r="FJ37" s="696">
        <f>GEntry!FN27</f>
        <v>212</v>
      </c>
      <c r="FK37" s="696">
        <f>GEntry!ER27</f>
        <v>0</v>
      </c>
      <c r="FL37" s="696">
        <f>GEntry!EU27</f>
        <v>96</v>
      </c>
      <c r="FM37" s="694">
        <f>GEntry!FO27</f>
        <v>145</v>
      </c>
      <c r="FN37" s="696">
        <f>GEntry!FP27</f>
        <v>0</v>
      </c>
      <c r="FO37" s="695">
        <f>GEntry!FQ27</f>
        <v>291</v>
      </c>
      <c r="FP37" s="1548">
        <f>GEntry!EJ27</f>
        <v>53</v>
      </c>
      <c r="FQ37" s="1550">
        <f>GEntry!GC27</f>
        <v>169</v>
      </c>
      <c r="FR37" s="1553">
        <f>GEntry!GD27</f>
        <v>94</v>
      </c>
      <c r="FS37" s="1704">
        <f>GEntry!EY27</f>
        <v>105</v>
      </c>
      <c r="FT37" s="1779">
        <f>GEntry!GH27</f>
        <v>91</v>
      </c>
      <c r="FU37" s="1781">
        <f>GEntry!FR27</f>
        <v>0</v>
      </c>
      <c r="FV37" s="1903">
        <f>GEntry!GI27</f>
        <v>0</v>
      </c>
      <c r="FW37" s="2214">
        <f>GEntry!GE27</f>
        <v>95</v>
      </c>
      <c r="FX37" s="695">
        <f>GEntry!FB27</f>
        <v>790</v>
      </c>
      <c r="FY37" s="2585">
        <f>GEntry!EN27</f>
        <v>221</v>
      </c>
      <c r="FZ37" s="2624">
        <f>GEntry!EO27</f>
        <v>0</v>
      </c>
      <c r="GA37" s="2626">
        <f>GEntry!EM27</f>
        <v>150</v>
      </c>
      <c r="GB37" s="3134">
        <f>GEntry!FJ27</f>
        <v>0</v>
      </c>
      <c r="GC37" s="3179">
        <f>GEntry!EK27</f>
        <v>0</v>
      </c>
      <c r="GD37" s="2585">
        <f>GEntry!GJ27</f>
        <v>90</v>
      </c>
      <c r="GE37" s="4736">
        <f>GEntry!EF27</f>
        <v>0</v>
      </c>
      <c r="GF37" s="4737">
        <f>GEntry!EE27</f>
        <v>0</v>
      </c>
      <c r="GG37" s="918"/>
      <c r="GH37" s="841">
        <f t="shared" si="12"/>
        <v>8281</v>
      </c>
      <c r="GI37" s="840">
        <f t="shared" si="8"/>
        <v>4942</v>
      </c>
      <c r="GJ37" s="837">
        <f t="shared" si="9"/>
        <v>13223</v>
      </c>
      <c r="GK37" s="583">
        <f t="shared" si="0"/>
        <v>3590</v>
      </c>
      <c r="GL37" s="583">
        <f t="shared" si="1"/>
        <v>909</v>
      </c>
      <c r="GM37" s="583">
        <f t="shared" si="13"/>
        <v>1899</v>
      </c>
      <c r="GN37" s="583">
        <f t="shared" si="10"/>
        <v>797</v>
      </c>
      <c r="GO37" s="583">
        <f t="shared" si="2"/>
        <v>3692</v>
      </c>
      <c r="GP37" s="583">
        <f t="shared" si="3"/>
        <v>1040</v>
      </c>
      <c r="GQ37" s="583">
        <f t="shared" si="4"/>
        <v>116</v>
      </c>
      <c r="GR37" s="583">
        <f t="shared" si="5"/>
        <v>439</v>
      </c>
      <c r="GS37" s="583">
        <f t="shared" si="11"/>
        <v>783</v>
      </c>
      <c r="GT37" s="583">
        <f t="shared" si="6"/>
        <v>170</v>
      </c>
      <c r="GU37" s="836">
        <f t="shared" si="7"/>
        <v>0</v>
      </c>
      <c r="GV37" s="835">
        <f>FWise!M29</f>
        <v>0</v>
      </c>
      <c r="GW37" s="2510">
        <f>GEntry!GN27</f>
        <v>93.96</v>
      </c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32"/>
      <c r="IZ37" s="132"/>
      <c r="JA37" s="12"/>
      <c r="JB37" s="12"/>
      <c r="JC37" s="12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32"/>
    </row>
    <row r="38" spans="1:278" ht="21.75" customHeight="1" thickBot="1">
      <c r="A38" s="542">
        <v>0.95833333333333337</v>
      </c>
      <c r="B38" s="692">
        <f>GEntry!W28</f>
        <v>0</v>
      </c>
      <c r="C38" s="689">
        <f>GEntry!X28</f>
        <v>0</v>
      </c>
      <c r="D38" s="689">
        <f>GEntry!Y28</f>
        <v>0</v>
      </c>
      <c r="E38" s="689">
        <f>GEntry!Z28</f>
        <v>180</v>
      </c>
      <c r="F38" s="690">
        <f>GEntry!AB28</f>
        <v>200</v>
      </c>
      <c r="G38" s="690">
        <f>GEntry!BZ28</f>
        <v>88</v>
      </c>
      <c r="H38" s="689">
        <f>GEntry!CT28</f>
        <v>0</v>
      </c>
      <c r="I38" s="689">
        <f>GEntry!AP28</f>
        <v>399</v>
      </c>
      <c r="J38" s="689">
        <f>GEntry!AR28</f>
        <v>247</v>
      </c>
      <c r="K38" s="689"/>
      <c r="L38" s="689">
        <f>GEntry!AO28</f>
        <v>0</v>
      </c>
      <c r="M38" s="689">
        <f>GEntry!AQ28</f>
        <v>225</v>
      </c>
      <c r="N38" s="689">
        <f>GEntry!CQ28</f>
        <v>0</v>
      </c>
      <c r="O38" s="689">
        <f>GEntry!CR28</f>
        <v>48</v>
      </c>
      <c r="P38" s="689">
        <f>GEntry!CM28</f>
        <v>0</v>
      </c>
      <c r="Q38" s="689">
        <f>GEntry!DD28</f>
        <v>30</v>
      </c>
      <c r="R38" s="689">
        <f>GEntry!T28</f>
        <v>0</v>
      </c>
      <c r="S38" s="689">
        <f>GEntry!R28</f>
        <v>0</v>
      </c>
      <c r="T38" s="689">
        <f>GEntry!S28</f>
        <v>0</v>
      </c>
      <c r="U38" s="689">
        <f>GEntry!CD28</f>
        <v>48</v>
      </c>
      <c r="V38" s="690">
        <f>GEntry!CY28</f>
        <v>50</v>
      </c>
      <c r="W38" s="689">
        <f>GEntry!CF28</f>
        <v>128</v>
      </c>
      <c r="X38" s="689">
        <f>GEntry!CP28</f>
        <v>0</v>
      </c>
      <c r="Y38" s="689">
        <f>GEntry!DC28</f>
        <v>0</v>
      </c>
      <c r="Z38" s="689">
        <f>GEntry!CN28</f>
        <v>0</v>
      </c>
      <c r="AA38" s="689">
        <f>GEntry!DB28</f>
        <v>0</v>
      </c>
      <c r="AB38" s="689">
        <f>GEntry!DH28</f>
        <v>54</v>
      </c>
      <c r="AC38" s="689">
        <f>GEntry!DE28</f>
        <v>55</v>
      </c>
      <c r="AD38" s="689">
        <f>GEntry!BK28</f>
        <v>55</v>
      </c>
      <c r="AE38" s="689">
        <f>GEntry!BN28</f>
        <v>22</v>
      </c>
      <c r="AF38" s="689">
        <f>GEntry!BV28</f>
        <v>25</v>
      </c>
      <c r="AG38" s="689">
        <f>GEntry!BW28</f>
        <v>27</v>
      </c>
      <c r="AH38" s="689">
        <f>GEntry!BX28</f>
        <v>33</v>
      </c>
      <c r="AI38" s="689">
        <f>GEntry!BY28</f>
        <v>33</v>
      </c>
      <c r="AJ38" s="689">
        <f>GEntry!CE28</f>
        <v>49</v>
      </c>
      <c r="AK38" s="689">
        <f>GEntry!AN28</f>
        <v>0</v>
      </c>
      <c r="AL38" s="1075">
        <f>GEntry!B28</f>
        <v>81</v>
      </c>
      <c r="AM38" s="1075">
        <f>GEntry!C28</f>
        <v>35</v>
      </c>
      <c r="AN38" s="689">
        <f>GEntry!D28</f>
        <v>100</v>
      </c>
      <c r="AO38" s="689">
        <f>GEntry!E28</f>
        <v>0</v>
      </c>
      <c r="AP38" s="689">
        <f>GEntry!F28</f>
        <v>25</v>
      </c>
      <c r="AQ38" s="689">
        <f>GEntry!H28</f>
        <v>0</v>
      </c>
      <c r="AR38" s="689">
        <f>GEntry!I28</f>
        <v>0</v>
      </c>
      <c r="AS38" s="689">
        <f>GEntry!K28</f>
        <v>0</v>
      </c>
      <c r="AT38" s="689">
        <f>GEntry!L28</f>
        <v>0</v>
      </c>
      <c r="AU38" s="689"/>
      <c r="AV38" s="689">
        <f>GEntry!BL28</f>
        <v>8</v>
      </c>
      <c r="AW38" s="689">
        <f>GEntry!N28</f>
        <v>34</v>
      </c>
      <c r="AX38" s="689">
        <f>GEntry!M28</f>
        <v>51</v>
      </c>
      <c r="AY38" s="689">
        <f>GEntry!CV28</f>
        <v>33</v>
      </c>
      <c r="AZ38" s="689">
        <f>GEntry!DA28</f>
        <v>44</v>
      </c>
      <c r="BA38" s="689">
        <f>GEntry!CZ28</f>
        <v>25</v>
      </c>
      <c r="BB38" s="689">
        <f>GEntry!BM28</f>
        <v>15</v>
      </c>
      <c r="BC38" s="689">
        <f>GEntry!BQ28</f>
        <v>37</v>
      </c>
      <c r="BD38" s="689">
        <f>GEntry!AD28</f>
        <v>0</v>
      </c>
      <c r="BE38" s="689">
        <f>GEntry!AE28</f>
        <v>0</v>
      </c>
      <c r="BF38" s="689">
        <f>GEntry!AF28</f>
        <v>0</v>
      </c>
      <c r="BG38" s="689">
        <f>GEntry!AJ28</f>
        <v>320</v>
      </c>
      <c r="BH38" s="689">
        <f>GEntry!AI28</f>
        <v>320</v>
      </c>
      <c r="BI38" s="689">
        <f>GEntry!AH28</f>
        <v>205</v>
      </c>
      <c r="BJ38" s="689">
        <f>GEntry!V28</f>
        <v>8</v>
      </c>
      <c r="BK38" s="689">
        <f>GEntry!AM28</f>
        <v>128</v>
      </c>
      <c r="BL38" s="689">
        <f>GEntry!AG28</f>
        <v>42</v>
      </c>
      <c r="BM38" s="689">
        <f>GEntry!AL28</f>
        <v>51</v>
      </c>
      <c r="BN38" s="689">
        <f>GEntry!CU28</f>
        <v>0</v>
      </c>
      <c r="BO38" s="690">
        <f>GEntry!CX28</f>
        <v>51</v>
      </c>
      <c r="BP38" s="690">
        <f>GEntry!CO28</f>
        <v>0</v>
      </c>
      <c r="BQ38" s="690">
        <f>GEntry!Q28</f>
        <v>38</v>
      </c>
      <c r="BR38" s="689">
        <f>GEntry!CH28</f>
        <v>43</v>
      </c>
      <c r="BS38" s="690">
        <f>GEntry!BR28</f>
        <v>21</v>
      </c>
      <c r="BT38" s="690">
        <f>GEntry!BS28</f>
        <v>10</v>
      </c>
      <c r="BU38" s="690">
        <f>GEntry!BT28</f>
        <v>33</v>
      </c>
      <c r="BV38" s="690">
        <f>GEntry!BU28</f>
        <v>20</v>
      </c>
      <c r="BW38" s="680">
        <f>GEntry!BP28</f>
        <v>162</v>
      </c>
      <c r="BX38" s="690">
        <f>GEntry!AS28</f>
        <v>100</v>
      </c>
      <c r="BY38" s="690">
        <f>GEntry!CG28</f>
        <v>0</v>
      </c>
      <c r="BZ38" s="690">
        <f>GEntry!BO28</f>
        <v>20</v>
      </c>
      <c r="CA38" s="1077">
        <f>GEntry!DG28</f>
        <v>0</v>
      </c>
      <c r="CB38" s="690">
        <f>GEntry!AU28</f>
        <v>43</v>
      </c>
      <c r="CC38" s="690">
        <f>GEntry!AV28</f>
        <v>41</v>
      </c>
      <c r="CD38" s="690">
        <f>GEntry!BG28</f>
        <v>53</v>
      </c>
      <c r="CE38" s="690">
        <f>GEntry!CW28</f>
        <v>48</v>
      </c>
      <c r="CF38" s="690">
        <f>GEntry!DF28</f>
        <v>110</v>
      </c>
      <c r="CG38" s="690">
        <f>GEntry!AW28</f>
        <v>0</v>
      </c>
      <c r="CH38" s="690">
        <f>GEntry!AX28</f>
        <v>61</v>
      </c>
      <c r="CI38" s="690">
        <f>GEntry!AY28</f>
        <v>81</v>
      </c>
      <c r="CJ38" s="690">
        <f>GEntry!BA28</f>
        <v>0</v>
      </c>
      <c r="CK38" s="690">
        <f>GEntry!BB28</f>
        <v>221</v>
      </c>
      <c r="CL38" s="690">
        <f>GEntry!BC28</f>
        <v>0</v>
      </c>
      <c r="CM38" s="690">
        <f>GEntry!BD28</f>
        <v>30</v>
      </c>
      <c r="CN38" s="690">
        <f>GEntry!BE28</f>
        <v>9</v>
      </c>
      <c r="CO38" s="690">
        <f>GEntry!BI28</f>
        <v>320</v>
      </c>
      <c r="CP38" s="690">
        <f>GEntry!BH28</f>
        <v>16</v>
      </c>
      <c r="CQ38" s="911">
        <f>GEntry!BF28</f>
        <v>0</v>
      </c>
      <c r="CR38" s="911">
        <f>GEntry!P28</f>
        <v>196</v>
      </c>
      <c r="CS38" s="911">
        <f>GEntry!U28</f>
        <v>242</v>
      </c>
      <c r="CT38" s="690">
        <f>GEntry!DI28</f>
        <v>297</v>
      </c>
      <c r="CU38" s="911">
        <f>GEntry!DJ28</f>
        <v>95</v>
      </c>
      <c r="CV38" s="911">
        <f>GEntry!DK28</f>
        <v>180</v>
      </c>
      <c r="CW38" s="690">
        <f>GEntry!DL28</f>
        <v>99</v>
      </c>
      <c r="CX38" s="911">
        <f>GEntry!DM28</f>
        <v>134</v>
      </c>
      <c r="CY38" s="911">
        <f>GEntry!G28</f>
        <v>0</v>
      </c>
      <c r="CZ38" s="911">
        <f>GEntry!DN28</f>
        <v>90</v>
      </c>
      <c r="DA38" s="690">
        <f>GEntry!DO28</f>
        <v>34</v>
      </c>
      <c r="DB38" s="1530">
        <f>GEntry!DP28</f>
        <v>130</v>
      </c>
      <c r="DC38" s="1520">
        <f>GEntry!DQ28</f>
        <v>381</v>
      </c>
      <c r="DD38" s="1617">
        <f>GEntry!DR28</f>
        <v>78</v>
      </c>
      <c r="DE38" s="1616">
        <f>GEntry!CI28</f>
        <v>105</v>
      </c>
      <c r="DF38" s="1700">
        <f>GEntry!O28</f>
        <v>105</v>
      </c>
      <c r="DG38" s="1694">
        <f>GEntry!CJ28</f>
        <v>0</v>
      </c>
      <c r="DH38" s="1847">
        <f>GEntry!DS28</f>
        <v>53</v>
      </c>
      <c r="DI38" s="1848">
        <f>GEntry!CK28</f>
        <v>36</v>
      </c>
      <c r="DJ38" s="1859">
        <f>GEntry!CL28</f>
        <v>75</v>
      </c>
      <c r="DK38" s="2176">
        <f>GEntry!CA28</f>
        <v>114</v>
      </c>
      <c r="DL38" s="2396">
        <f>GEntry!CB28</f>
        <v>114</v>
      </c>
      <c r="DM38" s="2177">
        <f>GEntry!DT28</f>
        <v>100</v>
      </c>
      <c r="DN38" s="2495">
        <f>GEntry!BJ28</f>
        <v>0</v>
      </c>
      <c r="DO38" s="2496">
        <f>GEntry!CS28</f>
        <v>50</v>
      </c>
      <c r="DP38" s="2603">
        <f>GEntry!AT28</f>
        <v>0</v>
      </c>
      <c r="DQ38" s="2642">
        <f>GEntry!CC28</f>
        <v>162</v>
      </c>
      <c r="DR38" s="2667">
        <f>GEntry!DU28</f>
        <v>108</v>
      </c>
      <c r="DS38" s="2669">
        <f>GEntry!AZ28</f>
        <v>0</v>
      </c>
      <c r="DT38" s="2734">
        <f>GEntry!DV28</f>
        <v>35</v>
      </c>
      <c r="DU38" s="2736">
        <f>GEntry!DW28</f>
        <v>0</v>
      </c>
      <c r="DV38" s="3114">
        <f>GEntry!DX28</f>
        <v>60</v>
      </c>
      <c r="DW38" s="3114">
        <f>GEntry!DY28</f>
        <v>55</v>
      </c>
      <c r="DX38" s="4684">
        <f>GEntry!AK28</f>
        <v>0</v>
      </c>
      <c r="DY38" s="915"/>
      <c r="DZ38" s="698">
        <f>GEntry!EZ28</f>
        <v>909</v>
      </c>
      <c r="EA38" s="695">
        <f>GEntry!EX28</f>
        <v>0</v>
      </c>
      <c r="EB38" s="695">
        <f>GEntry!FA28</f>
        <v>155</v>
      </c>
      <c r="EC38" s="695">
        <f>GEntry!EC28</f>
        <v>0</v>
      </c>
      <c r="ED38" s="695">
        <f>GEntry!ED28</f>
        <v>32</v>
      </c>
      <c r="EE38" s="695">
        <f>GEntry!EI28</f>
        <v>227</v>
      </c>
      <c r="EF38" s="695">
        <f>GEntry!EB28</f>
        <v>0</v>
      </c>
      <c r="EG38" s="695">
        <f>GEntry!EG28</f>
        <v>0</v>
      </c>
      <c r="EH38" s="695">
        <f>GEntry!EH28</f>
        <v>32</v>
      </c>
      <c r="EI38" s="695">
        <f>GEntry!EW28</f>
        <v>66</v>
      </c>
      <c r="EJ38" s="695">
        <f>GEntry!EV28</f>
        <v>8</v>
      </c>
      <c r="EK38" s="695">
        <f>GEntry!ES28</f>
        <v>82</v>
      </c>
      <c r="EL38" s="695">
        <f>GEntry!ET28</f>
        <v>30</v>
      </c>
      <c r="EM38" s="695">
        <f>GEntry!EP28</f>
        <v>64</v>
      </c>
      <c r="EN38" s="695">
        <f>GEntry!EQ28</f>
        <v>0</v>
      </c>
      <c r="EO38" s="695">
        <f>GEntry!FH28</f>
        <v>0</v>
      </c>
      <c r="EP38" s="695">
        <f>GEntry!FG28</f>
        <v>0</v>
      </c>
      <c r="EQ38" s="695">
        <f>GEntry!FI28</f>
        <v>32</v>
      </c>
      <c r="ER38" s="695">
        <f>GEntry!FS28</f>
        <v>26</v>
      </c>
      <c r="ES38" s="695">
        <f>GEntry!GB28</f>
        <v>80</v>
      </c>
      <c r="ET38" s="695">
        <f>GEntry!FW28</f>
        <v>0</v>
      </c>
      <c r="EU38" s="695">
        <f>GEntry!FX28</f>
        <v>0</v>
      </c>
      <c r="EV38" s="695">
        <f>GEntry!FY28</f>
        <v>32</v>
      </c>
      <c r="EW38" s="695">
        <f>GEntry!GA28</f>
        <v>43</v>
      </c>
      <c r="EX38" s="695">
        <f>GEntry!FZ28</f>
        <v>34</v>
      </c>
      <c r="EY38" s="695">
        <f>GEntry!FT28</f>
        <v>21</v>
      </c>
      <c r="EZ38" s="695">
        <f>GEntry!FU28</f>
        <v>0</v>
      </c>
      <c r="FA38" s="695">
        <f>GEntry!FV28</f>
        <v>11</v>
      </c>
      <c r="FB38" s="1073">
        <f>GEntry!FD28</f>
        <v>0</v>
      </c>
      <c r="FC38" s="1073">
        <f>GEntry!FE28</f>
        <v>0</v>
      </c>
      <c r="FD38" s="1073">
        <f>GEntry!FF28</f>
        <v>250</v>
      </c>
      <c r="FE38" s="695">
        <f>GEntry!GF28</f>
        <v>0</v>
      </c>
      <c r="FF38" s="696">
        <f>GEntry!GG28</f>
        <v>0</v>
      </c>
      <c r="FG38" s="696">
        <f>GEntry!FK28</f>
        <v>175</v>
      </c>
      <c r="FH38" s="696">
        <f>GEntry!FL28</f>
        <v>0</v>
      </c>
      <c r="FI38" s="696">
        <f>GEntry!FM28</f>
        <v>0</v>
      </c>
      <c r="FJ38" s="696">
        <f>GEntry!FN28</f>
        <v>211</v>
      </c>
      <c r="FK38" s="696">
        <f>GEntry!ER28</f>
        <v>0</v>
      </c>
      <c r="FL38" s="696">
        <f>GEntry!EU28</f>
        <v>96</v>
      </c>
      <c r="FM38" s="694">
        <f>GEntry!FO28</f>
        <v>145</v>
      </c>
      <c r="FN38" s="696">
        <f>GEntry!FP28</f>
        <v>0</v>
      </c>
      <c r="FO38" s="695">
        <f>GEntry!FQ28</f>
        <v>287</v>
      </c>
      <c r="FP38" s="1548">
        <f>GEntry!EJ28</f>
        <v>36</v>
      </c>
      <c r="FQ38" s="1550">
        <f>GEntry!GC28</f>
        <v>170</v>
      </c>
      <c r="FR38" s="1553">
        <f>GEntry!GD28</f>
        <v>94</v>
      </c>
      <c r="FS38" s="1704">
        <f>GEntry!EY28</f>
        <v>105</v>
      </c>
      <c r="FT38" s="1779">
        <f>GEntry!GH28</f>
        <v>91</v>
      </c>
      <c r="FU38" s="1781">
        <f>GEntry!FR28</f>
        <v>0</v>
      </c>
      <c r="FV38" s="1903">
        <f>GEntry!GI28</f>
        <v>0</v>
      </c>
      <c r="FW38" s="2214">
        <f>GEntry!GE28</f>
        <v>95</v>
      </c>
      <c r="FX38" s="695">
        <f>GEntry!FB28</f>
        <v>790</v>
      </c>
      <c r="FY38" s="2585">
        <f>GEntry!EN28</f>
        <v>220</v>
      </c>
      <c r="FZ38" s="2624">
        <f>GEntry!EO28</f>
        <v>0</v>
      </c>
      <c r="GA38" s="2626">
        <f>GEntry!EM28</f>
        <v>38</v>
      </c>
      <c r="GB38" s="3134">
        <f>GEntry!FJ28</f>
        <v>0</v>
      </c>
      <c r="GC38" s="3179">
        <f>GEntry!EK28</f>
        <v>0</v>
      </c>
      <c r="GD38" s="2585">
        <f>GEntry!GJ28</f>
        <v>90</v>
      </c>
      <c r="GE38" s="4736">
        <f>GEntry!EF28</f>
        <v>0</v>
      </c>
      <c r="GF38" s="4737">
        <f>GEntry!EE28</f>
        <v>0</v>
      </c>
      <c r="GG38" s="918"/>
      <c r="GH38" s="841">
        <f t="shared" si="12"/>
        <v>8217</v>
      </c>
      <c r="GI38" s="840">
        <f t="shared" si="8"/>
        <v>4777</v>
      </c>
      <c r="GJ38" s="837">
        <f t="shared" si="9"/>
        <v>12994</v>
      </c>
      <c r="GK38" s="583">
        <f t="shared" si="0"/>
        <v>3584</v>
      </c>
      <c r="GL38" s="583">
        <f t="shared" si="1"/>
        <v>909</v>
      </c>
      <c r="GM38" s="583">
        <f t="shared" si="13"/>
        <v>1916</v>
      </c>
      <c r="GN38" s="583">
        <f t="shared" si="10"/>
        <v>953</v>
      </c>
      <c r="GO38" s="583">
        <f t="shared" si="2"/>
        <v>3323</v>
      </c>
      <c r="GP38" s="583">
        <f t="shared" si="3"/>
        <v>1040</v>
      </c>
      <c r="GQ38" s="583">
        <f t="shared" si="4"/>
        <v>116</v>
      </c>
      <c r="GR38" s="583">
        <f t="shared" si="5"/>
        <v>438</v>
      </c>
      <c r="GS38" s="583">
        <f t="shared" si="11"/>
        <v>764</v>
      </c>
      <c r="GT38" s="583">
        <f t="shared" si="6"/>
        <v>162</v>
      </c>
      <c r="GU38" s="836">
        <f t="shared" si="7"/>
        <v>0</v>
      </c>
      <c r="GV38" s="835">
        <f>FWise!M30</f>
        <v>0</v>
      </c>
      <c r="GW38" s="2510">
        <f>GEntry!GN28</f>
        <v>93.98</v>
      </c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12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32"/>
    </row>
    <row r="39" spans="1:278" ht="24.75" customHeight="1" thickBot="1">
      <c r="A39" s="543" t="s">
        <v>24</v>
      </c>
      <c r="B39" s="692">
        <f>GEntry!W29</f>
        <v>0</v>
      </c>
      <c r="C39" s="689">
        <f>GEntry!X29</f>
        <v>0</v>
      </c>
      <c r="D39" s="689">
        <f>GEntry!Y29</f>
        <v>0</v>
      </c>
      <c r="E39" s="689">
        <f>GEntry!Z29</f>
        <v>180</v>
      </c>
      <c r="F39" s="690">
        <f>GEntry!AB29</f>
        <v>200</v>
      </c>
      <c r="G39" s="690">
        <f>GEntry!BZ29</f>
        <v>87</v>
      </c>
      <c r="H39" s="689">
        <f>GEntry!CT29</f>
        <v>0</v>
      </c>
      <c r="I39" s="689">
        <f>GEntry!AP29</f>
        <v>398</v>
      </c>
      <c r="J39" s="689">
        <f>GEntry!AR29</f>
        <v>265</v>
      </c>
      <c r="K39" s="689"/>
      <c r="L39" s="689">
        <f>GEntry!AO29</f>
        <v>0</v>
      </c>
      <c r="M39" s="689">
        <f>GEntry!AQ29</f>
        <v>225</v>
      </c>
      <c r="N39" s="689">
        <f>GEntry!CQ29</f>
        <v>0</v>
      </c>
      <c r="O39" s="689">
        <f>GEntry!CR29</f>
        <v>9</v>
      </c>
      <c r="P39" s="689">
        <f>GEntry!CM29</f>
        <v>0</v>
      </c>
      <c r="Q39" s="689">
        <f>GEntry!DD29</f>
        <v>30</v>
      </c>
      <c r="R39" s="689">
        <f>GEntry!T29</f>
        <v>0</v>
      </c>
      <c r="S39" s="689">
        <f>GEntry!R29</f>
        <v>0</v>
      </c>
      <c r="T39" s="689">
        <f>GEntry!S29</f>
        <v>0</v>
      </c>
      <c r="U39" s="689">
        <f>GEntry!CD29</f>
        <v>14</v>
      </c>
      <c r="V39" s="690">
        <f>GEntry!CY29</f>
        <v>8</v>
      </c>
      <c r="W39" s="689">
        <f>GEntry!CF29</f>
        <v>48</v>
      </c>
      <c r="X39" s="689">
        <f>GEntry!CP29</f>
        <v>0</v>
      </c>
      <c r="Y39" s="689">
        <f>GEntry!DC29</f>
        <v>0</v>
      </c>
      <c r="Z39" s="689">
        <f>GEntry!CN29</f>
        <v>0</v>
      </c>
      <c r="AA39" s="689">
        <f>GEntry!DB29</f>
        <v>0</v>
      </c>
      <c r="AB39" s="689">
        <f>GEntry!DH29</f>
        <v>54</v>
      </c>
      <c r="AC39" s="689">
        <f>GEntry!DE29</f>
        <v>55</v>
      </c>
      <c r="AD39" s="689">
        <f>GEntry!BK29</f>
        <v>55</v>
      </c>
      <c r="AE39" s="689">
        <f>GEntry!BN29</f>
        <v>22</v>
      </c>
      <c r="AF39" s="689">
        <f>GEntry!BV29</f>
        <v>25</v>
      </c>
      <c r="AG39" s="689">
        <f>GEntry!BW29</f>
        <v>27</v>
      </c>
      <c r="AH39" s="689">
        <f>GEntry!BX29</f>
        <v>33</v>
      </c>
      <c r="AI39" s="689">
        <f>GEntry!BY29</f>
        <v>33</v>
      </c>
      <c r="AJ39" s="689">
        <f>GEntry!CE29</f>
        <v>49</v>
      </c>
      <c r="AK39" s="689">
        <f>GEntry!AN29</f>
        <v>0</v>
      </c>
      <c r="AL39" s="1075">
        <f>GEntry!B29</f>
        <v>81</v>
      </c>
      <c r="AM39" s="1075">
        <f>GEntry!C29</f>
        <v>35</v>
      </c>
      <c r="AN39" s="689">
        <f>GEntry!D29</f>
        <v>100</v>
      </c>
      <c r="AO39" s="689">
        <f>GEntry!E29</f>
        <v>0</v>
      </c>
      <c r="AP39" s="689">
        <f>GEntry!F29</f>
        <v>25</v>
      </c>
      <c r="AQ39" s="689">
        <f>GEntry!H29</f>
        <v>0</v>
      </c>
      <c r="AR39" s="689">
        <f>GEntry!I29</f>
        <v>0</v>
      </c>
      <c r="AS39" s="689">
        <f>GEntry!K29</f>
        <v>0</v>
      </c>
      <c r="AT39" s="689">
        <f>GEntry!L29</f>
        <v>0</v>
      </c>
      <c r="AU39" s="689"/>
      <c r="AV39" s="689">
        <f>GEntry!BL29</f>
        <v>10</v>
      </c>
      <c r="AW39" s="689">
        <f>GEntry!N29</f>
        <v>34</v>
      </c>
      <c r="AX39" s="689">
        <f>GEntry!M29</f>
        <v>51</v>
      </c>
      <c r="AY39" s="689">
        <f>GEntry!CV29</f>
        <v>33</v>
      </c>
      <c r="AZ39" s="689">
        <f>GEntry!DA29</f>
        <v>11</v>
      </c>
      <c r="BA39" s="689">
        <f>GEntry!CZ29</f>
        <v>25</v>
      </c>
      <c r="BB39" s="689">
        <f>GEntry!BM29</f>
        <v>15</v>
      </c>
      <c r="BC39" s="689">
        <f>GEntry!BQ29</f>
        <v>38</v>
      </c>
      <c r="BD39" s="689">
        <f>GEntry!AD29</f>
        <v>0</v>
      </c>
      <c r="BE39" s="689">
        <f>GEntry!AE29</f>
        <v>0</v>
      </c>
      <c r="BF39" s="689">
        <f>GEntry!AF29</f>
        <v>0</v>
      </c>
      <c r="BG39" s="689">
        <f>GEntry!AJ29</f>
        <v>320</v>
      </c>
      <c r="BH39" s="689">
        <f>GEntry!AI29</f>
        <v>320</v>
      </c>
      <c r="BI39" s="689">
        <f>GEntry!AH29</f>
        <v>199</v>
      </c>
      <c r="BJ39" s="689">
        <f>GEntry!V29</f>
        <v>8</v>
      </c>
      <c r="BK39" s="689">
        <f>GEntry!AM29</f>
        <v>127</v>
      </c>
      <c r="BL39" s="689">
        <f>GEntry!AG29</f>
        <v>42</v>
      </c>
      <c r="BM39" s="689">
        <f>GEntry!AL29</f>
        <v>51</v>
      </c>
      <c r="BN39" s="689">
        <f>GEntry!CU29</f>
        <v>0</v>
      </c>
      <c r="BO39" s="690">
        <f>GEntry!CX29</f>
        <v>51</v>
      </c>
      <c r="BP39" s="690">
        <f>GEntry!CO29</f>
        <v>0</v>
      </c>
      <c r="BQ39" s="690">
        <f>GEntry!Q29</f>
        <v>39</v>
      </c>
      <c r="BR39" s="689">
        <f>GEntry!CH29</f>
        <v>43</v>
      </c>
      <c r="BS39" s="690">
        <f>GEntry!BR29</f>
        <v>22</v>
      </c>
      <c r="BT39" s="690">
        <f>GEntry!BS29</f>
        <v>10</v>
      </c>
      <c r="BU39" s="690">
        <f>GEntry!BT29</f>
        <v>33</v>
      </c>
      <c r="BV39" s="690">
        <f>GEntry!BU29</f>
        <v>20</v>
      </c>
      <c r="BW39" s="680">
        <f>GEntry!BP29</f>
        <v>162</v>
      </c>
      <c r="BX39" s="690">
        <f>GEntry!AS29</f>
        <v>100</v>
      </c>
      <c r="BY39" s="690">
        <f>GEntry!CG29</f>
        <v>0</v>
      </c>
      <c r="BZ39" s="690">
        <f>GEntry!BO29</f>
        <v>22</v>
      </c>
      <c r="CA39" s="1077">
        <f>GEntry!DG29</f>
        <v>0</v>
      </c>
      <c r="CB39" s="690">
        <f>GEntry!AU29</f>
        <v>43</v>
      </c>
      <c r="CC39" s="690">
        <f>GEntry!AV29</f>
        <v>41</v>
      </c>
      <c r="CD39" s="690">
        <f>GEntry!BG29</f>
        <v>50</v>
      </c>
      <c r="CE39" s="690">
        <f>GEntry!CW29</f>
        <v>48</v>
      </c>
      <c r="CF39" s="690">
        <f>GEntry!DF29</f>
        <v>110</v>
      </c>
      <c r="CG39" s="690">
        <f>GEntry!AW29</f>
        <v>0</v>
      </c>
      <c r="CH39" s="690">
        <f>GEntry!AX29</f>
        <v>61</v>
      </c>
      <c r="CI39" s="690">
        <f>GEntry!AY29</f>
        <v>81</v>
      </c>
      <c r="CJ39" s="690">
        <f>GEntry!BA29</f>
        <v>0</v>
      </c>
      <c r="CK39" s="690">
        <f>GEntry!BB29</f>
        <v>214</v>
      </c>
      <c r="CL39" s="690">
        <f>GEntry!BC29</f>
        <v>0</v>
      </c>
      <c r="CM39" s="690">
        <f>GEntry!BD29</f>
        <v>31</v>
      </c>
      <c r="CN39" s="690">
        <f>GEntry!BE29</f>
        <v>9</v>
      </c>
      <c r="CO39" s="690">
        <f>GEntry!BI29</f>
        <v>295</v>
      </c>
      <c r="CP39" s="690">
        <f>GEntry!BH29</f>
        <v>16</v>
      </c>
      <c r="CQ39" s="911">
        <f>GEntry!BF29</f>
        <v>0</v>
      </c>
      <c r="CR39" s="911">
        <f>GEntry!P29</f>
        <v>197</v>
      </c>
      <c r="CS39" s="1423">
        <f>GEntry!U29</f>
        <v>135</v>
      </c>
      <c r="CT39" s="1422">
        <f>GEntry!DI29</f>
        <v>277</v>
      </c>
      <c r="CU39" s="911">
        <f>GEntry!DJ29</f>
        <v>95</v>
      </c>
      <c r="CV39" s="1423">
        <f>GEntry!DK29</f>
        <v>47</v>
      </c>
      <c r="CW39" s="1422">
        <f>GEntry!DL29</f>
        <v>99</v>
      </c>
      <c r="CX39" s="911">
        <f>GEntry!DM29</f>
        <v>118</v>
      </c>
      <c r="CY39" s="1423">
        <f>GEntry!G29</f>
        <v>0</v>
      </c>
      <c r="CZ39" s="1423">
        <f>GEntry!DN29</f>
        <v>21</v>
      </c>
      <c r="DA39" s="1422">
        <f>GEntry!DO29</f>
        <v>34</v>
      </c>
      <c r="DB39" s="1530">
        <f>GEntry!DP29</f>
        <v>132</v>
      </c>
      <c r="DC39" s="1532">
        <f>GEntry!DQ29</f>
        <v>403</v>
      </c>
      <c r="DD39" s="1617">
        <f>GEntry!DR29</f>
        <v>49</v>
      </c>
      <c r="DE39" s="1618">
        <f>GEntry!CI29</f>
        <v>105</v>
      </c>
      <c r="DF39" s="1700">
        <f>GEntry!O29</f>
        <v>92</v>
      </c>
      <c r="DG39" s="1702">
        <f>GEntry!CJ29</f>
        <v>0</v>
      </c>
      <c r="DH39" s="1847">
        <f>GEntry!DS29</f>
        <v>52</v>
      </c>
      <c r="DI39" s="1849">
        <f>GEntry!CK29</f>
        <v>36</v>
      </c>
      <c r="DJ39" s="1859">
        <f>GEntry!CL29</f>
        <v>57</v>
      </c>
      <c r="DK39" s="2176">
        <f>GEntry!CA29</f>
        <v>52</v>
      </c>
      <c r="DL39" s="2397">
        <f>GEntry!CB29</f>
        <v>58</v>
      </c>
      <c r="DM39" s="2398">
        <f>GEntry!DT29</f>
        <v>100</v>
      </c>
      <c r="DN39" s="2495">
        <f>GEntry!BJ29</f>
        <v>0</v>
      </c>
      <c r="DO39" s="2497">
        <f>GEntry!CS29</f>
        <v>20</v>
      </c>
      <c r="DP39" s="2603">
        <f>GEntry!AT29</f>
        <v>0</v>
      </c>
      <c r="DQ39" s="2643">
        <f>GEntry!CC29</f>
        <v>162</v>
      </c>
      <c r="DR39" s="2668">
        <f>GEntry!DU29</f>
        <v>108</v>
      </c>
      <c r="DS39" s="2670">
        <f>GEntry!AZ29</f>
        <v>0</v>
      </c>
      <c r="DT39" s="2734">
        <f>GEntry!DV29</f>
        <v>35</v>
      </c>
      <c r="DU39" s="2670">
        <f>GEntry!DW29</f>
        <v>0</v>
      </c>
      <c r="DV39" s="3114">
        <f>GEntry!DX29</f>
        <v>73</v>
      </c>
      <c r="DW39" s="3114">
        <f>GEntry!DY29</f>
        <v>55</v>
      </c>
      <c r="DX39" s="4684">
        <f>GEntry!AK29</f>
        <v>0</v>
      </c>
      <c r="DY39" s="915"/>
      <c r="DZ39" s="698">
        <f>GEntry!EZ29</f>
        <v>909</v>
      </c>
      <c r="EA39" s="695">
        <f>GEntry!EX29</f>
        <v>0</v>
      </c>
      <c r="EB39" s="695">
        <f>GEntry!FA29</f>
        <v>155</v>
      </c>
      <c r="EC39" s="695">
        <f>GEntry!EC29</f>
        <v>0</v>
      </c>
      <c r="ED39" s="695">
        <f>GEntry!ED29</f>
        <v>32</v>
      </c>
      <c r="EE39" s="695">
        <f>GEntry!EI29</f>
        <v>227</v>
      </c>
      <c r="EF39" s="695">
        <f>GEntry!EB29</f>
        <v>0</v>
      </c>
      <c r="EG39" s="695">
        <f>GEntry!EG29</f>
        <v>0</v>
      </c>
      <c r="EH39" s="695">
        <f>GEntry!EH29</f>
        <v>32</v>
      </c>
      <c r="EI39" s="695">
        <f>GEntry!EW29</f>
        <v>66</v>
      </c>
      <c r="EJ39" s="695">
        <f>GEntry!EV29</f>
        <v>8</v>
      </c>
      <c r="EK39" s="695">
        <f>GEntry!ES29</f>
        <v>87</v>
      </c>
      <c r="EL39" s="695">
        <f>GEntry!ET29</f>
        <v>32</v>
      </c>
      <c r="EM39" s="695">
        <f>GEntry!EP29</f>
        <v>64</v>
      </c>
      <c r="EN39" s="695">
        <f>GEntry!EQ29</f>
        <v>0</v>
      </c>
      <c r="EO39" s="695">
        <f>GEntry!FH29</f>
        <v>0</v>
      </c>
      <c r="EP39" s="695">
        <f>GEntry!FG29</f>
        <v>0</v>
      </c>
      <c r="EQ39" s="695">
        <f>GEntry!FI29</f>
        <v>32</v>
      </c>
      <c r="ER39" s="695">
        <f>GEntry!FS29</f>
        <v>28</v>
      </c>
      <c r="ES39" s="695">
        <f>GEntry!GB29</f>
        <v>80</v>
      </c>
      <c r="ET39" s="695">
        <f>GEntry!FW29</f>
        <v>0</v>
      </c>
      <c r="EU39" s="695">
        <f>GEntry!FX29</f>
        <v>0</v>
      </c>
      <c r="EV39" s="695">
        <f>GEntry!FY29</f>
        <v>32</v>
      </c>
      <c r="EW39" s="695">
        <f>GEntry!GA29</f>
        <v>8</v>
      </c>
      <c r="EX39" s="695">
        <f>GEntry!FZ29</f>
        <v>34</v>
      </c>
      <c r="EY39" s="695">
        <f>GEntry!FT29</f>
        <v>22</v>
      </c>
      <c r="EZ39" s="695">
        <f>GEntry!FU29</f>
        <v>0</v>
      </c>
      <c r="FA39" s="695">
        <f>GEntry!FV29</f>
        <v>11</v>
      </c>
      <c r="FB39" s="1073">
        <f>GEntry!FD29</f>
        <v>0</v>
      </c>
      <c r="FC39" s="1073">
        <f>GEntry!FE29</f>
        <v>0</v>
      </c>
      <c r="FD39" s="1073">
        <f>GEntry!FF29</f>
        <v>250</v>
      </c>
      <c r="FE39" s="695">
        <f>GEntry!GF29</f>
        <v>0</v>
      </c>
      <c r="FF39" s="696">
        <f>GEntry!GG29</f>
        <v>0</v>
      </c>
      <c r="FG39" s="1295">
        <f>GEntry!FK29</f>
        <v>174</v>
      </c>
      <c r="FH39" s="1295">
        <f>GEntry!FL29</f>
        <v>0</v>
      </c>
      <c r="FI39" s="696">
        <f>GEntry!FM29</f>
        <v>0</v>
      </c>
      <c r="FJ39" s="696">
        <f>GEntry!FN29</f>
        <v>211</v>
      </c>
      <c r="FK39" s="1295">
        <f>GEntry!ER29</f>
        <v>0</v>
      </c>
      <c r="FL39" s="696">
        <f>GEntry!EU29</f>
        <v>96</v>
      </c>
      <c r="FM39" s="694">
        <f>GEntry!FO29</f>
        <v>145</v>
      </c>
      <c r="FN39" s="1295">
        <f>GEntry!FP29</f>
        <v>0</v>
      </c>
      <c r="FO39" s="1508">
        <f>GEntry!FQ29</f>
        <v>275</v>
      </c>
      <c r="FP39" s="1548">
        <f>GEntry!EJ29</f>
        <v>0</v>
      </c>
      <c r="FQ39" s="1551">
        <f>GEntry!GC29</f>
        <v>170</v>
      </c>
      <c r="FR39" s="1553">
        <f>GEntry!GD29</f>
        <v>94</v>
      </c>
      <c r="FS39" s="1704">
        <f>GEntry!EY29</f>
        <v>89</v>
      </c>
      <c r="FT39" s="1780">
        <f>GEntry!GH29</f>
        <v>56</v>
      </c>
      <c r="FU39" s="1782">
        <f>GEntry!FR29</f>
        <v>0</v>
      </c>
      <c r="FV39" s="1903">
        <f>GEntry!GI29</f>
        <v>0</v>
      </c>
      <c r="FW39" s="2214">
        <f>GEntry!GE29</f>
        <v>95</v>
      </c>
      <c r="FX39" s="2216">
        <f>GEntry!FB29</f>
        <v>790</v>
      </c>
      <c r="FY39" s="2585">
        <f>GEntry!EN29</f>
        <v>220</v>
      </c>
      <c r="FZ39" s="2624">
        <f>GEntry!EO29</f>
        <v>0</v>
      </c>
      <c r="GA39" s="2627">
        <f>GEntry!EM29</f>
        <v>90</v>
      </c>
      <c r="GB39" s="3134">
        <f>GEntry!FJ29</f>
        <v>0</v>
      </c>
      <c r="GC39" s="3180">
        <f>GEntry!EK29</f>
        <v>0</v>
      </c>
      <c r="GD39" s="3135">
        <f>GEntry!GJ29</f>
        <v>90</v>
      </c>
      <c r="GE39" s="4736">
        <f>GEntry!EF29</f>
        <v>0</v>
      </c>
      <c r="GF39" s="4738">
        <f>GEntry!EE29</f>
        <v>0</v>
      </c>
      <c r="GG39" s="918"/>
      <c r="GH39" s="841">
        <f t="shared" si="12"/>
        <v>7455</v>
      </c>
      <c r="GI39" s="840">
        <f t="shared" si="8"/>
        <v>4704</v>
      </c>
      <c r="GJ39" s="837">
        <f t="shared" si="9"/>
        <v>12159</v>
      </c>
      <c r="GK39" s="583">
        <f t="shared" si="0"/>
        <v>3598</v>
      </c>
      <c r="GL39" s="583">
        <f t="shared" si="1"/>
        <v>909</v>
      </c>
      <c r="GM39" s="583">
        <f t="shared" si="13"/>
        <v>1898</v>
      </c>
      <c r="GN39" s="583">
        <f t="shared" si="10"/>
        <v>934</v>
      </c>
      <c r="GO39" s="583">
        <f t="shared" si="2"/>
        <v>2588</v>
      </c>
      <c r="GP39" s="583">
        <f t="shared" si="3"/>
        <v>1040</v>
      </c>
      <c r="GQ39" s="583">
        <f t="shared" si="4"/>
        <v>116</v>
      </c>
      <c r="GR39" s="583">
        <f t="shared" si="5"/>
        <v>438</v>
      </c>
      <c r="GS39" s="583">
        <f t="shared" si="11"/>
        <v>687</v>
      </c>
      <c r="GT39" s="583">
        <f t="shared" si="6"/>
        <v>162</v>
      </c>
      <c r="GU39" s="836">
        <f t="shared" si="7"/>
        <v>0</v>
      </c>
      <c r="GV39" s="835">
        <f>FWise!M31</f>
        <v>0</v>
      </c>
      <c r="GW39" s="2510">
        <f>GEntry!GN29</f>
        <v>94</v>
      </c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12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</row>
    <row r="40" spans="1:278" s="103" customFormat="1" ht="33" customHeight="1" thickBot="1">
      <c r="A40" s="844" t="s">
        <v>15</v>
      </c>
      <c r="B40" s="819">
        <f>GEntry!W30</f>
        <v>0</v>
      </c>
      <c r="C40" s="819">
        <f>GEntry!X30</f>
        <v>0</v>
      </c>
      <c r="D40" s="819">
        <f>GEntry!Y30</f>
        <v>0</v>
      </c>
      <c r="E40" s="819">
        <f>GEntry!Z30</f>
        <v>4315500</v>
      </c>
      <c r="F40" s="869">
        <f>GEntry!AB30</f>
        <v>687100</v>
      </c>
      <c r="G40" s="869">
        <f>GEntry!BZ30</f>
        <v>2080454</v>
      </c>
      <c r="H40" s="819">
        <f>GEntry!CT30</f>
        <v>0</v>
      </c>
      <c r="I40" s="819">
        <f>GEntry!AP30</f>
        <v>9773060</v>
      </c>
      <c r="J40" s="819">
        <f>GEntry!AR30</f>
        <v>7262000</v>
      </c>
      <c r="K40" s="819"/>
      <c r="L40" s="819">
        <f>GEntry!AO30</f>
        <v>0</v>
      </c>
      <c r="M40" s="819">
        <f>GEntry!AQ30</f>
        <v>4975150</v>
      </c>
      <c r="N40" s="819">
        <f>GEntry!CQ30</f>
        <v>0</v>
      </c>
      <c r="O40" s="819">
        <f>GEntry!CR30</f>
        <v>463680</v>
      </c>
      <c r="P40" s="819">
        <f>GEntry!CM30</f>
        <v>0</v>
      </c>
      <c r="Q40" s="819">
        <f>GEntry!DD30</f>
        <v>751006</v>
      </c>
      <c r="R40" s="819">
        <f>GEntry!T30</f>
        <v>0</v>
      </c>
      <c r="S40" s="819">
        <f>GEntry!R30</f>
        <v>0</v>
      </c>
      <c r="T40" s="819">
        <f>GEntry!S30</f>
        <v>0</v>
      </c>
      <c r="U40" s="819">
        <f>GEntry!CD30</f>
        <v>461933</v>
      </c>
      <c r="V40" s="869">
        <f>GEntry!CY30</f>
        <v>459216</v>
      </c>
      <c r="W40" s="819">
        <f>GEntry!CF30</f>
        <v>1740480</v>
      </c>
      <c r="X40" s="819">
        <f>GEntry!CP30</f>
        <v>0</v>
      </c>
      <c r="Y40" s="819">
        <f>GEntry!DC30</f>
        <v>0</v>
      </c>
      <c r="Z40" s="819">
        <f>GEntry!CN30</f>
        <v>0</v>
      </c>
      <c r="AA40" s="819">
        <f>GEntry!DB30</f>
        <v>0</v>
      </c>
      <c r="AB40" s="819">
        <f>GEntry!DH30</f>
        <v>894600</v>
      </c>
      <c r="AC40" s="819">
        <f>GEntry!DE30</f>
        <v>1308761</v>
      </c>
      <c r="AD40" s="819">
        <f>GEntry!BK30</f>
        <v>626577</v>
      </c>
      <c r="AE40" s="819">
        <f>GEntry!BN30</f>
        <v>456948</v>
      </c>
      <c r="AF40" s="819">
        <f>GEntry!BV30</f>
        <v>600000</v>
      </c>
      <c r="AG40" s="819">
        <f>GEntry!BW30</f>
        <v>539100</v>
      </c>
      <c r="AH40" s="819">
        <f>GEntry!BX30</f>
        <v>586000</v>
      </c>
      <c r="AI40" s="819">
        <f>GEntry!BY30</f>
        <v>649400</v>
      </c>
      <c r="AJ40" s="819">
        <f>GEntry!CE30</f>
        <v>1141920</v>
      </c>
      <c r="AK40" s="819">
        <f>GEntry!AN30</f>
        <v>0</v>
      </c>
      <c r="AL40" s="819">
        <f>GEntry!B30</f>
        <v>1956567</v>
      </c>
      <c r="AM40" s="819">
        <f>GEntry!C30</f>
        <v>840000</v>
      </c>
      <c r="AN40" s="819">
        <f>GEntry!D30</f>
        <v>2400000</v>
      </c>
      <c r="AO40" s="819">
        <f>GEntry!E30</f>
        <v>0</v>
      </c>
      <c r="AP40" s="819">
        <f>GEntry!F30</f>
        <v>317142</v>
      </c>
      <c r="AQ40" s="819">
        <f>GEntry!H30</f>
        <v>0</v>
      </c>
      <c r="AR40" s="819">
        <f>GEntry!I30</f>
        <v>0</v>
      </c>
      <c r="AS40" s="819">
        <f>GEntry!K30</f>
        <v>0</v>
      </c>
      <c r="AT40" s="819">
        <f>GEntry!L30</f>
        <v>0</v>
      </c>
      <c r="AU40" s="819"/>
      <c r="AV40" s="819">
        <f>GEntry!BL30</f>
        <v>37680</v>
      </c>
      <c r="AW40" s="819">
        <f>GEntry!N30</f>
        <v>655824</v>
      </c>
      <c r="AX40" s="819">
        <f>GEntry!M30</f>
        <v>909799</v>
      </c>
      <c r="AY40" s="819">
        <f>GEntry!CV30</f>
        <v>1039320</v>
      </c>
      <c r="AZ40" s="819">
        <f>GEntry!DA30</f>
        <v>650880</v>
      </c>
      <c r="BA40" s="819">
        <f>GEntry!CZ30</f>
        <v>605760</v>
      </c>
      <c r="BB40" s="819">
        <f>GEntry!BM30</f>
        <v>331824</v>
      </c>
      <c r="BC40" s="819">
        <f>GEntry!BQ30</f>
        <v>521280</v>
      </c>
      <c r="BD40" s="819">
        <f>GEntry!AD30</f>
        <v>0</v>
      </c>
      <c r="BE40" s="819">
        <f>GEntry!AE30</f>
        <v>0</v>
      </c>
      <c r="BF40" s="819">
        <f>GEntry!AF30</f>
        <v>0</v>
      </c>
      <c r="BG40" s="819">
        <f>GEntry!AJ30</f>
        <v>7969400</v>
      </c>
      <c r="BH40" s="819">
        <f>GEntry!AI30</f>
        <v>7525000</v>
      </c>
      <c r="BI40" s="819">
        <f>GEntry!AH30</f>
        <v>4649000</v>
      </c>
      <c r="BJ40" s="819">
        <f>GEntry!V30</f>
        <v>669090</v>
      </c>
      <c r="BK40" s="819">
        <f>GEntry!AM30</f>
        <v>3203990</v>
      </c>
      <c r="BL40" s="819">
        <f>GEntry!AG30</f>
        <v>876024</v>
      </c>
      <c r="BM40" s="819">
        <f>GEntry!AL30</f>
        <v>702720</v>
      </c>
      <c r="BN40" s="819">
        <f>GEntry!CU30</f>
        <v>0</v>
      </c>
      <c r="BO40" s="869">
        <f>GEntry!CX30</f>
        <v>1156134</v>
      </c>
      <c r="BP40" s="869">
        <f>GEntry!CO30</f>
        <v>0</v>
      </c>
      <c r="BQ40" s="869">
        <f>GEntry!Q30</f>
        <v>791304</v>
      </c>
      <c r="BR40" s="819">
        <f>GEntry!CH30</f>
        <v>422918</v>
      </c>
      <c r="BS40" s="869">
        <f>GEntry!BR30</f>
        <v>323856</v>
      </c>
      <c r="BT40" s="869">
        <f>GEntry!BS30</f>
        <v>238500</v>
      </c>
      <c r="BU40" s="869">
        <f>GEntry!BT30</f>
        <v>767300</v>
      </c>
      <c r="BV40" s="869">
        <f>GEntry!BU30</f>
        <v>487130</v>
      </c>
      <c r="BW40" s="869">
        <f>GEntry!BP30</f>
        <v>3880320</v>
      </c>
      <c r="BX40" s="869">
        <f>GEntry!AS30</f>
        <v>2149440</v>
      </c>
      <c r="BY40" s="869">
        <f>GEntry!CG30</f>
        <v>0</v>
      </c>
      <c r="BZ40" s="869">
        <f>GEntry!BO30</f>
        <v>441756</v>
      </c>
      <c r="CA40" s="869">
        <f>GEntry!DG30</f>
        <v>16000</v>
      </c>
      <c r="CB40" s="869">
        <f>GEntry!AU30</f>
        <v>1015000</v>
      </c>
      <c r="CC40" s="869">
        <f>GEntry!AV30</f>
        <v>967424</v>
      </c>
      <c r="CD40" s="869">
        <f>GEntry!BG30</f>
        <v>997800</v>
      </c>
      <c r="CE40" s="869">
        <f>GEntry!CW30</f>
        <v>925488</v>
      </c>
      <c r="CF40" s="869">
        <f>GEntry!DF30</f>
        <v>2542336</v>
      </c>
      <c r="CG40" s="869">
        <f>GEntry!AW30</f>
        <v>0</v>
      </c>
      <c r="CH40" s="869">
        <f>GEntry!AX30</f>
        <v>1423008</v>
      </c>
      <c r="CI40" s="869">
        <f>GEntry!AY30</f>
        <v>857280</v>
      </c>
      <c r="CJ40" s="869">
        <f>GEntry!BA30</f>
        <v>0</v>
      </c>
      <c r="CK40" s="869">
        <f>GEntry!BB30</f>
        <v>5156820</v>
      </c>
      <c r="CL40" s="869">
        <f>GEntry!BC30</f>
        <v>0</v>
      </c>
      <c r="CM40" s="869">
        <f>GEntry!BD30</f>
        <v>718000</v>
      </c>
      <c r="CN40" s="869">
        <f>GEntry!BE30</f>
        <v>231120</v>
      </c>
      <c r="CO40" s="869">
        <f>GEntry!BI30</f>
        <v>7541500</v>
      </c>
      <c r="CP40" s="869">
        <f>GEntry!BH30</f>
        <v>238560</v>
      </c>
      <c r="CQ40" s="912">
        <f>GEntry!BF30</f>
        <v>0</v>
      </c>
      <c r="CR40" s="1421">
        <f>GEntry!P30</f>
        <v>1072896</v>
      </c>
      <c r="CS40" s="1421">
        <f>GEntry!U30</f>
        <v>4927852</v>
      </c>
      <c r="CT40" s="1324">
        <f>GEntry!DI30</f>
        <v>1815668</v>
      </c>
      <c r="CU40" s="1456">
        <f>GEntry!DJ30</f>
        <v>686089</v>
      </c>
      <c r="CV40" s="1421">
        <f>GEntry!DK30</f>
        <v>1812000</v>
      </c>
      <c r="CW40" s="1324">
        <f>GEntry!DL30</f>
        <v>705761</v>
      </c>
      <c r="CX40" s="1513">
        <f>GEntry!DM30</f>
        <v>2784960</v>
      </c>
      <c r="CY40" s="1421">
        <f>GEntry!G30</f>
        <v>116640</v>
      </c>
      <c r="CZ40" s="1421">
        <f>GEntry!DN30</f>
        <v>981120</v>
      </c>
      <c r="DA40" s="1324">
        <f>GEntry!DO30</f>
        <v>850080</v>
      </c>
      <c r="DB40" s="1531">
        <f>GEntry!DP30</f>
        <v>2944000</v>
      </c>
      <c r="DC40" s="1324">
        <f>GEntry!DQ30</f>
        <v>9456000</v>
      </c>
      <c r="DD40" s="1531">
        <f>GEntry!DR30</f>
        <v>1368000</v>
      </c>
      <c r="DE40" s="2919">
        <f>GEntry!CI30</f>
        <v>2208000</v>
      </c>
      <c r="DF40" s="1701">
        <f>GEntry!O30</f>
        <v>2221382</v>
      </c>
      <c r="DG40" s="1324">
        <f>GEntry!CJ30</f>
        <v>34439</v>
      </c>
      <c r="DH40" s="1421">
        <f>GEntry!DS30</f>
        <v>1656000</v>
      </c>
      <c r="DI40" s="1324">
        <f>GEntry!CK30</f>
        <v>769538</v>
      </c>
      <c r="DJ40" s="1860">
        <f>GEntry!CL30</f>
        <v>1441053</v>
      </c>
      <c r="DK40" s="1421">
        <f>GEntry!CA30</f>
        <v>1089840</v>
      </c>
      <c r="DL40" s="1421">
        <f>GEntry!CB30</f>
        <v>1700160</v>
      </c>
      <c r="DM40" s="1324">
        <f>GEntry!DT30</f>
        <v>1045440</v>
      </c>
      <c r="DN40" s="1421">
        <f>GEntry!BJ30</f>
        <v>0</v>
      </c>
      <c r="DO40" s="1324">
        <f>GEntry!CS30</f>
        <v>554880</v>
      </c>
      <c r="DP40" s="2604">
        <f>GEntry!AT30</f>
        <v>400130</v>
      </c>
      <c r="DQ40" s="1421">
        <f>GEntry!CC30</f>
        <v>2822400</v>
      </c>
      <c r="DR40" s="1421">
        <f>GEntry!DU30</f>
        <v>2608200</v>
      </c>
      <c r="DS40" s="1324">
        <f>GEntry!AZ30</f>
        <v>0</v>
      </c>
      <c r="DT40" s="2735">
        <f>GEntry!DV30</f>
        <v>849960</v>
      </c>
      <c r="DU40" s="1324">
        <f>GEntry!DW30</f>
        <v>257725</v>
      </c>
      <c r="DV40" s="1324">
        <f>GEntry!DX30</f>
        <v>1683840</v>
      </c>
      <c r="DW40" s="3122">
        <f>GEntry!DY30</f>
        <v>1312560</v>
      </c>
      <c r="DX40" s="4685">
        <f>GEntry!AK30</f>
        <v>0</v>
      </c>
      <c r="DY40" s="916"/>
      <c r="DZ40" s="913">
        <f>GEntry!EZ30</f>
        <v>22024727</v>
      </c>
      <c r="EA40" s="843">
        <f>GEntry!EX30</f>
        <v>0</v>
      </c>
      <c r="EB40" s="843">
        <f>GEntry!FA30</f>
        <v>3726432</v>
      </c>
      <c r="EC40" s="843">
        <f>GEntry!EC30</f>
        <v>0</v>
      </c>
      <c r="ED40" s="843">
        <f>GEntry!ED30</f>
        <v>474240</v>
      </c>
      <c r="EE40" s="843">
        <f>GEntry!EI30</f>
        <v>5425920</v>
      </c>
      <c r="EF40" s="843">
        <f>GEntry!EB30</f>
        <v>0</v>
      </c>
      <c r="EG40" s="843">
        <f>GEntry!EG30</f>
        <v>0</v>
      </c>
      <c r="EH40" s="843">
        <f>GEntry!EH30</f>
        <v>304800</v>
      </c>
      <c r="EI40" s="843">
        <f>GEntry!EW30</f>
        <v>715392</v>
      </c>
      <c r="EJ40" s="843">
        <f>GEntry!EV30</f>
        <v>118500</v>
      </c>
      <c r="EK40" s="843">
        <f>GEntry!ES30</f>
        <v>2063252</v>
      </c>
      <c r="EL40" s="843">
        <f>GEntry!ET30</f>
        <v>621013</v>
      </c>
      <c r="EM40" s="843">
        <f>GEntry!EP30</f>
        <v>1071648</v>
      </c>
      <c r="EN40" s="843">
        <f>GEntry!EQ30</f>
        <v>0</v>
      </c>
      <c r="EO40" s="843">
        <f>GEntry!FH30</f>
        <v>0</v>
      </c>
      <c r="EP40" s="843">
        <f>GEntry!FG30</f>
        <v>0</v>
      </c>
      <c r="EQ40" s="843">
        <f>GEntry!FI30</f>
        <v>654048</v>
      </c>
      <c r="ER40" s="843">
        <f>GEntry!FS30</f>
        <v>409522</v>
      </c>
      <c r="ES40" s="843">
        <f>GEntry!GB30</f>
        <v>1506936</v>
      </c>
      <c r="ET40" s="843">
        <f>GEntry!FW30</f>
        <v>0</v>
      </c>
      <c r="EU40" s="843">
        <f>GEntry!FX30</f>
        <v>334004</v>
      </c>
      <c r="EV40" s="843">
        <f>GEntry!FY30</f>
        <v>620200</v>
      </c>
      <c r="EW40" s="843">
        <f>GEntry!GA30</f>
        <v>391200</v>
      </c>
      <c r="EX40" s="843">
        <f>GEntry!FZ30</f>
        <v>613170</v>
      </c>
      <c r="EY40" s="843">
        <f>GEntry!FT30</f>
        <v>446640</v>
      </c>
      <c r="EZ40" s="843">
        <f>GEntry!FU30</f>
        <v>0</v>
      </c>
      <c r="FA40" s="843">
        <f>GEntry!FV30</f>
        <v>232254</v>
      </c>
      <c r="FB40" s="843">
        <f>GEntry!FD30</f>
        <v>0</v>
      </c>
      <c r="FC40" s="843">
        <f>GEntry!FE30</f>
        <v>0</v>
      </c>
      <c r="FD40" s="843">
        <f>GEntry!FF30</f>
        <v>5122600</v>
      </c>
      <c r="FE40" s="843">
        <f>GEntry!GF30</f>
        <v>0</v>
      </c>
      <c r="FF40" s="874">
        <f>GEntry!GG30</f>
        <v>0</v>
      </c>
      <c r="FG40" s="874">
        <f>GEntry!FK30</f>
        <v>4398755</v>
      </c>
      <c r="FH40" s="874">
        <f>GEntry!FL30</f>
        <v>0</v>
      </c>
      <c r="FI40" s="874">
        <f>GEntry!FM30</f>
        <v>0</v>
      </c>
      <c r="FJ40" s="874">
        <f>GEntry!FN30</f>
        <v>5094618</v>
      </c>
      <c r="FK40" s="874">
        <f>GEntry!ER30</f>
        <v>0</v>
      </c>
      <c r="FL40" s="1442">
        <f>GEntry!EU30</f>
        <v>578880</v>
      </c>
      <c r="FM40" s="874">
        <f>GEntry!FO30</f>
        <v>3678527</v>
      </c>
      <c r="FN40" s="874">
        <f>GEntry!FP30</f>
        <v>0</v>
      </c>
      <c r="FO40" s="843">
        <f>GEntry!FQ30</f>
        <v>6858181</v>
      </c>
      <c r="FP40" s="1549">
        <f>GEntry!EJ30</f>
        <v>360960</v>
      </c>
      <c r="FQ40" s="843">
        <f>GEntry!GC30</f>
        <v>1027096</v>
      </c>
      <c r="FR40" s="1554">
        <f>GEntry!GD30</f>
        <v>1698432</v>
      </c>
      <c r="FS40" s="1549">
        <f>GEntry!EY30</f>
        <v>2308032</v>
      </c>
      <c r="FT40" s="874">
        <f>GEntry!GH30</f>
        <v>1605427</v>
      </c>
      <c r="FU40" s="843">
        <f>GEntry!FR30</f>
        <v>0</v>
      </c>
      <c r="FV40" s="1904">
        <f>GEntry!GI30</f>
        <v>61492</v>
      </c>
      <c r="FW40" s="2215">
        <f>GEntry!GE30</f>
        <v>1647840</v>
      </c>
      <c r="FX40" s="843">
        <f>GEntry!FB30</f>
        <v>22699900</v>
      </c>
      <c r="FY40" s="2586">
        <f>GEntry!EN30</f>
        <v>5164336</v>
      </c>
      <c r="FZ40" s="2625">
        <f>GEntry!EO30</f>
        <v>0</v>
      </c>
      <c r="GA40" s="843">
        <f>GEntry!EM30</f>
        <v>945600</v>
      </c>
      <c r="GB40" s="874">
        <f>GEntry!FJ30</f>
        <v>38340</v>
      </c>
      <c r="GC40" s="874">
        <f>GEntry!EK30</f>
        <v>636480</v>
      </c>
      <c r="GD40" s="843">
        <f>GEntry!GJ30</f>
        <v>1260288</v>
      </c>
      <c r="GE40" s="874">
        <f>GEntry!EF30</f>
        <v>0</v>
      </c>
      <c r="GF40" s="843">
        <f>GEntry!EE30</f>
        <v>0</v>
      </c>
      <c r="GG40" s="875"/>
      <c r="GH40" s="841">
        <f>SUM(B40:DY40)</f>
        <v>161099792</v>
      </c>
      <c r="GI40" s="840">
        <f t="shared" si="8"/>
        <v>106939682</v>
      </c>
      <c r="GJ40" s="837">
        <f>GH40+GI40</f>
        <v>268039474</v>
      </c>
      <c r="GK40" s="583">
        <f t="shared" si="0"/>
        <v>81326360</v>
      </c>
      <c r="GL40" s="583">
        <f t="shared" si="1"/>
        <v>22024727</v>
      </c>
      <c r="GM40" s="583">
        <f>G40+H40 +J40+M40+N40+BC40+BJ40+BM40 +BN40+BO40+BP40+CD40+CE40+CF40+CI40+CJ40+CM40+CN40+CO40+EL40+EY40+EZ40+FK40+FO40+FY40</f>
        <v>44270522</v>
      </c>
      <c r="GN40" s="583">
        <f>Z40+CR40+CT40+CU40+CW40+EG40+FL40+FQ40+FZ40</f>
        <v>5886390</v>
      </c>
      <c r="GO40" s="583">
        <f>K40+O40+P40+Q40 +U40+V40+X40+Y40+AA40+AB40+AC40+AD40+AJ40+AP40+AV40+AY40+AZ40+BA40+BR40+BY40+EC40+ED40+EJ40+EM40+ET40+EU40+EW40+CS40+CV40+CX40+FP40+CZ40+DA40+DB40+DD40+FR40+FS40+DE40+DF40+DH40+FT40+DI40+DJ40+FW40+DK40+DL40+DM40+DO40+DQ40+GA40+DR40+DT40+DV40+DW40+GD40</f>
        <v>59028829</v>
      </c>
      <c r="GP40" s="583">
        <f t="shared" si="3"/>
        <v>27822500</v>
      </c>
      <c r="GQ40" s="583">
        <f>AL40+AM40</f>
        <v>2796567</v>
      </c>
      <c r="GR40" s="583">
        <f t="shared" si="5"/>
        <v>10520538</v>
      </c>
      <c r="GS40" s="583">
        <f>W40+AW40+AX40+BQ40+EH40+EI40+EQ40+ER40+ES40+EV40+EX40</f>
        <v>8921475</v>
      </c>
      <c r="GT40" s="583">
        <f t="shared" si="6"/>
        <v>3880320</v>
      </c>
      <c r="GU40" s="583">
        <f t="shared" si="7"/>
        <v>1561246</v>
      </c>
      <c r="GV40" s="835">
        <f>FWise!M32</f>
        <v>0</v>
      </c>
      <c r="GW40" s="835"/>
      <c r="GX40" s="1078"/>
    </row>
    <row r="41" spans="1:278" s="4" customFormat="1" ht="33" customHeight="1" thickBot="1">
      <c r="A41" s="816" t="s">
        <v>268</v>
      </c>
      <c r="B41" s="844">
        <f>B40*B9</f>
        <v>0</v>
      </c>
      <c r="C41" s="817">
        <f t="shared" ref="C41:BI41" si="14">C40*C9</f>
        <v>0</v>
      </c>
      <c r="D41" s="817">
        <f t="shared" si="14"/>
        <v>0</v>
      </c>
      <c r="E41" s="817">
        <f t="shared" si="14"/>
        <v>6430095</v>
      </c>
      <c r="F41" s="817">
        <f t="shared" si="14"/>
        <v>769552.00000000012</v>
      </c>
      <c r="G41" s="817">
        <f t="shared" si="14"/>
        <v>2767003.8200000003</v>
      </c>
      <c r="H41" s="817">
        <f t="shared" si="14"/>
        <v>0</v>
      </c>
      <c r="I41" s="817">
        <f t="shared" si="14"/>
        <v>10261713</v>
      </c>
      <c r="J41" s="817">
        <f t="shared" si="14"/>
        <v>7842960.0000000009</v>
      </c>
      <c r="K41" s="817"/>
      <c r="L41" s="817">
        <f t="shared" si="14"/>
        <v>0</v>
      </c>
      <c r="M41" s="817">
        <f t="shared" si="14"/>
        <v>5422913.5</v>
      </c>
      <c r="N41" s="817">
        <f t="shared" si="14"/>
        <v>0</v>
      </c>
      <c r="O41" s="817">
        <f t="shared" si="14"/>
        <v>5183942.3999999994</v>
      </c>
      <c r="P41" s="817">
        <f t="shared" si="14"/>
        <v>0</v>
      </c>
      <c r="Q41" s="817">
        <f>Q40*Q9</f>
        <v>9950829.5</v>
      </c>
      <c r="R41" s="817">
        <f t="shared" si="14"/>
        <v>0</v>
      </c>
      <c r="S41" s="817">
        <f t="shared" si="14"/>
        <v>0</v>
      </c>
      <c r="T41" s="817">
        <f t="shared" si="14"/>
        <v>0</v>
      </c>
      <c r="U41" s="817">
        <f t="shared" si="14"/>
        <v>6753460.46</v>
      </c>
      <c r="V41" s="817">
        <f t="shared" si="14"/>
        <v>6461169.1200000001</v>
      </c>
      <c r="W41" s="817">
        <f t="shared" si="14"/>
        <v>28213180.800000001</v>
      </c>
      <c r="X41" s="817">
        <f t="shared" si="14"/>
        <v>0</v>
      </c>
      <c r="Y41" s="817">
        <f t="shared" si="14"/>
        <v>0</v>
      </c>
      <c r="Z41" s="817">
        <f t="shared" si="14"/>
        <v>0</v>
      </c>
      <c r="AA41" s="817">
        <f t="shared" si="14"/>
        <v>0</v>
      </c>
      <c r="AB41" s="817">
        <f t="shared" si="14"/>
        <v>11379312</v>
      </c>
      <c r="AC41" s="817">
        <f t="shared" si="14"/>
        <v>17668273.5</v>
      </c>
      <c r="AD41" s="817">
        <f t="shared" si="14"/>
        <v>8402397.5700000003</v>
      </c>
      <c r="AE41" s="817">
        <f t="shared" si="14"/>
        <v>342711</v>
      </c>
      <c r="AF41" s="817">
        <f t="shared" si="14"/>
        <v>450000</v>
      </c>
      <c r="AG41" s="817">
        <f t="shared" si="14"/>
        <v>0</v>
      </c>
      <c r="AH41" s="817">
        <f t="shared" si="14"/>
        <v>0</v>
      </c>
      <c r="AI41" s="817">
        <f t="shared" si="14"/>
        <v>0</v>
      </c>
      <c r="AJ41" s="817">
        <f t="shared" si="14"/>
        <v>19424059.200000003</v>
      </c>
      <c r="AK41" s="817">
        <f t="shared" si="14"/>
        <v>0</v>
      </c>
      <c r="AL41" s="817">
        <f>AL40*AL9</f>
        <v>528273.09000000008</v>
      </c>
      <c r="AM41" s="817">
        <f>AM40*AM9</f>
        <v>226800.00000000003</v>
      </c>
      <c r="AN41" s="817">
        <f t="shared" si="14"/>
        <v>4536000</v>
      </c>
      <c r="AO41" s="817">
        <f t="shared" si="14"/>
        <v>0</v>
      </c>
      <c r="AP41" s="817">
        <f t="shared" si="14"/>
        <v>5185271.7</v>
      </c>
      <c r="AQ41" s="817">
        <f t="shared" si="14"/>
        <v>0</v>
      </c>
      <c r="AR41" s="817">
        <f t="shared" si="14"/>
        <v>0</v>
      </c>
      <c r="AS41" s="817">
        <f t="shared" si="14"/>
        <v>0</v>
      </c>
      <c r="AT41" s="817">
        <f t="shared" si="14"/>
        <v>0</v>
      </c>
      <c r="AU41" s="817"/>
      <c r="AV41" s="817">
        <f t="shared" si="14"/>
        <v>491724</v>
      </c>
      <c r="AW41" s="817">
        <f t="shared" si="14"/>
        <v>10939144.32</v>
      </c>
      <c r="AX41" s="817">
        <f t="shared" si="14"/>
        <v>15484778.98</v>
      </c>
      <c r="AY41" s="817">
        <f t="shared" si="14"/>
        <v>14041213.199999999</v>
      </c>
      <c r="AZ41" s="817">
        <f t="shared" si="14"/>
        <v>8253158.3999999994</v>
      </c>
      <c r="BA41" s="817">
        <f t="shared" si="14"/>
        <v>7008643.2000000002</v>
      </c>
      <c r="BB41" s="817">
        <f t="shared" si="14"/>
        <v>421416.48</v>
      </c>
      <c r="BC41" s="817">
        <f t="shared" si="14"/>
        <v>1735862.4000000001</v>
      </c>
      <c r="BD41" s="817">
        <f t="shared" si="14"/>
        <v>0</v>
      </c>
      <c r="BE41" s="817">
        <f t="shared" si="14"/>
        <v>0</v>
      </c>
      <c r="BF41" s="817">
        <f t="shared" si="14"/>
        <v>0</v>
      </c>
      <c r="BG41" s="817">
        <f t="shared" si="14"/>
        <v>8846034</v>
      </c>
      <c r="BH41" s="817">
        <f t="shared" si="14"/>
        <v>8202250.0000000009</v>
      </c>
      <c r="BI41" s="817">
        <f t="shared" si="14"/>
        <v>5392840</v>
      </c>
      <c r="BJ41" s="817">
        <f t="shared" ref="BJ41:EZ41" si="15">BJ40*BJ9</f>
        <v>863126.1</v>
      </c>
      <c r="BK41" s="817">
        <f t="shared" si="15"/>
        <v>3908867.8</v>
      </c>
      <c r="BL41" s="817">
        <f>BL40*BL9</f>
        <v>989907.11999999988</v>
      </c>
      <c r="BM41" s="817">
        <f t="shared" si="15"/>
        <v>1047052.8</v>
      </c>
      <c r="BN41" s="817">
        <f t="shared" si="15"/>
        <v>0</v>
      </c>
      <c r="BO41" s="817">
        <f t="shared" si="15"/>
        <v>1930743.78</v>
      </c>
      <c r="BP41" s="817">
        <f t="shared" si="15"/>
        <v>0</v>
      </c>
      <c r="BQ41" s="817">
        <f t="shared" si="15"/>
        <v>13665820.08</v>
      </c>
      <c r="BR41" s="817">
        <f t="shared" si="15"/>
        <v>5688247.0999999996</v>
      </c>
      <c r="BS41" s="817">
        <f t="shared" si="15"/>
        <v>443682.72000000003</v>
      </c>
      <c r="BT41" s="817">
        <f t="shared" si="15"/>
        <v>178875</v>
      </c>
      <c r="BU41" s="817">
        <f t="shared" si="15"/>
        <v>1342775</v>
      </c>
      <c r="BV41" s="817">
        <f t="shared" si="15"/>
        <v>365347.5</v>
      </c>
      <c r="BW41" s="817">
        <f t="shared" si="15"/>
        <v>27860697.599999998</v>
      </c>
      <c r="BX41" s="817">
        <f t="shared" si="15"/>
        <v>2342889.6</v>
      </c>
      <c r="BY41" s="817">
        <f t="shared" si="15"/>
        <v>0</v>
      </c>
      <c r="BZ41" s="817">
        <f t="shared" si="15"/>
        <v>600788.16</v>
      </c>
      <c r="CA41" s="817">
        <f t="shared" si="15"/>
        <v>255040</v>
      </c>
      <c r="CB41" s="817">
        <f t="shared" si="15"/>
        <v>1390550</v>
      </c>
      <c r="CC41" s="817">
        <f t="shared" si="15"/>
        <v>1276999.6800000002</v>
      </c>
      <c r="CD41" s="817">
        <f t="shared" si="15"/>
        <v>1736172</v>
      </c>
      <c r="CE41" s="817">
        <f t="shared" si="15"/>
        <v>1601094.24</v>
      </c>
      <c r="CF41" s="817">
        <f t="shared" si="15"/>
        <v>2923686.4</v>
      </c>
      <c r="CG41" s="817">
        <f t="shared" si="15"/>
        <v>0</v>
      </c>
      <c r="CH41" s="817">
        <f t="shared" si="15"/>
        <v>2760635.52</v>
      </c>
      <c r="CI41" s="817">
        <f t="shared" si="15"/>
        <v>1954598.4</v>
      </c>
      <c r="CJ41" s="817">
        <f t="shared" si="15"/>
        <v>0</v>
      </c>
      <c r="CK41" s="817">
        <f t="shared" si="15"/>
        <v>5208388.2</v>
      </c>
      <c r="CL41" s="817">
        <f t="shared" si="15"/>
        <v>0</v>
      </c>
      <c r="CM41" s="817">
        <f t="shared" si="15"/>
        <v>1069820</v>
      </c>
      <c r="CN41" s="817">
        <f t="shared" si="15"/>
        <v>457617.6</v>
      </c>
      <c r="CO41" s="817">
        <f t="shared" si="15"/>
        <v>7541500</v>
      </c>
      <c r="CP41" s="817">
        <f t="shared" si="15"/>
        <v>178920</v>
      </c>
      <c r="CQ41" s="817">
        <f t="shared" si="15"/>
        <v>0</v>
      </c>
      <c r="CR41" s="817">
        <f t="shared" si="15"/>
        <v>22487900.16</v>
      </c>
      <c r="CS41" s="817">
        <f t="shared" si="15"/>
        <v>67265179.799999997</v>
      </c>
      <c r="CT41" s="817">
        <f t="shared" si="15"/>
        <v>38056401.280000001</v>
      </c>
      <c r="CU41" s="817">
        <f t="shared" ref="CU41:DA41" si="16">CU40*CU9</f>
        <v>14181459.630000001</v>
      </c>
      <c r="CV41" s="817">
        <f t="shared" si="16"/>
        <v>24425760</v>
      </c>
      <c r="CW41" s="817">
        <f t="shared" si="16"/>
        <v>14588079.870000001</v>
      </c>
      <c r="CX41" s="817">
        <f t="shared" si="16"/>
        <v>38571696</v>
      </c>
      <c r="CY41" s="817">
        <f t="shared" si="16"/>
        <v>1363521.5999999999</v>
      </c>
      <c r="CZ41" s="817">
        <f t="shared" si="16"/>
        <v>10125158.4</v>
      </c>
      <c r="DA41" s="817">
        <f t="shared" si="16"/>
        <v>11612092.800000001</v>
      </c>
      <c r="DB41" s="817">
        <f t="shared" ref="DB41:DG41" si="17">DB40*DB9</f>
        <v>39066880</v>
      </c>
      <c r="DC41" s="817">
        <f t="shared" si="17"/>
        <v>8699520</v>
      </c>
      <c r="DD41" s="817">
        <f>DD40*DD9</f>
        <v>16634880</v>
      </c>
      <c r="DE41" s="817">
        <f>DE40*DE9</f>
        <v>31927680.000000004</v>
      </c>
      <c r="DF41" s="817">
        <f t="shared" si="17"/>
        <v>28100482.300000001</v>
      </c>
      <c r="DG41" s="817">
        <f t="shared" si="17"/>
        <v>0</v>
      </c>
      <c r="DH41" s="817">
        <f t="shared" ref="DH41:DM41" si="18">DH40*DH9</f>
        <v>19441440</v>
      </c>
      <c r="DI41" s="817">
        <f t="shared" si="18"/>
        <v>8380268.8200000003</v>
      </c>
      <c r="DJ41" s="817">
        <f t="shared" si="18"/>
        <v>15318393.390000001</v>
      </c>
      <c r="DK41" s="817">
        <f t="shared" si="18"/>
        <v>14789128.800000001</v>
      </c>
      <c r="DL41" s="817">
        <f t="shared" si="18"/>
        <v>21915062.400000002</v>
      </c>
      <c r="DM41" s="817">
        <f t="shared" si="18"/>
        <v>12315283.199999999</v>
      </c>
      <c r="DN41" s="817">
        <f t="shared" ref="DN41:DS41" si="19">DN40*DN9</f>
        <v>0</v>
      </c>
      <c r="DO41" s="817">
        <f t="shared" si="19"/>
        <v>7185696</v>
      </c>
      <c r="DP41" s="817">
        <f t="shared" si="19"/>
        <v>5781878.5</v>
      </c>
      <c r="DQ41" s="817">
        <f t="shared" si="19"/>
        <v>35816256</v>
      </c>
      <c r="DR41" s="817">
        <f t="shared" si="19"/>
        <v>29681316.000000004</v>
      </c>
      <c r="DS41" s="817">
        <f t="shared" si="19"/>
        <v>0</v>
      </c>
      <c r="DT41" s="817">
        <f>DT40*DT9</f>
        <v>11100477.6</v>
      </c>
      <c r="DU41" s="817">
        <f>DU40*DU9</f>
        <v>3079813.75</v>
      </c>
      <c r="DV41" s="817">
        <f>DV40*DV9</f>
        <v>25207084.800000001</v>
      </c>
      <c r="DW41" s="817">
        <f>DW40*DW9</f>
        <v>17286415.199999999</v>
      </c>
      <c r="DX41" s="817">
        <f>DX40*DX9</f>
        <v>0</v>
      </c>
      <c r="DY41" s="817"/>
      <c r="DZ41" s="817">
        <f t="shared" si="15"/>
        <v>66074181</v>
      </c>
      <c r="EA41" s="817">
        <f t="shared" si="15"/>
        <v>0</v>
      </c>
      <c r="EB41" s="817">
        <f t="shared" si="15"/>
        <v>4173603.8400000003</v>
      </c>
      <c r="EC41" s="1152">
        <f t="shared" si="15"/>
        <v>0</v>
      </c>
      <c r="ED41" s="817">
        <f t="shared" si="15"/>
        <v>4936838.4000000004</v>
      </c>
      <c r="EE41" s="817">
        <f t="shared" si="15"/>
        <v>89527680</v>
      </c>
      <c r="EF41" s="817">
        <f t="shared" si="15"/>
        <v>0</v>
      </c>
      <c r="EG41" s="817">
        <f t="shared" si="15"/>
        <v>0</v>
      </c>
      <c r="EH41" s="817">
        <f t="shared" si="15"/>
        <v>5489448.0000000009</v>
      </c>
      <c r="EI41" s="817">
        <f t="shared" si="15"/>
        <v>12877056</v>
      </c>
      <c r="EJ41" s="817">
        <f t="shared" si="15"/>
        <v>1702845</v>
      </c>
      <c r="EK41" s="817">
        <f t="shared" si="15"/>
        <v>2310842.2400000002</v>
      </c>
      <c r="EL41" s="817">
        <f t="shared" si="15"/>
        <v>1204765.22</v>
      </c>
      <c r="EM41" s="817">
        <f t="shared" si="15"/>
        <v>11680963.200000001</v>
      </c>
      <c r="EN41" s="817">
        <f t="shared" si="15"/>
        <v>0</v>
      </c>
      <c r="EO41" s="817">
        <f t="shared" si="15"/>
        <v>0</v>
      </c>
      <c r="EP41" s="817">
        <f t="shared" si="15"/>
        <v>0</v>
      </c>
      <c r="EQ41" s="817">
        <f t="shared" si="15"/>
        <v>10968384.959999999</v>
      </c>
      <c r="ER41" s="817">
        <f t="shared" si="15"/>
        <v>7162539.7799999993</v>
      </c>
      <c r="ES41" s="817">
        <f t="shared" si="15"/>
        <v>23568479.039999999</v>
      </c>
      <c r="ET41" s="817">
        <f t="shared" si="15"/>
        <v>0</v>
      </c>
      <c r="EU41" s="817">
        <f t="shared" si="15"/>
        <v>5531106.2399999993</v>
      </c>
      <c r="EV41" s="817">
        <f t="shared" si="15"/>
        <v>10487582</v>
      </c>
      <c r="EW41" s="817">
        <f t="shared" si="15"/>
        <v>5332056</v>
      </c>
      <c r="EX41" s="817">
        <f t="shared" si="15"/>
        <v>10344177.9</v>
      </c>
      <c r="EY41" s="817">
        <f t="shared" si="15"/>
        <v>924544.79999999993</v>
      </c>
      <c r="EZ41" s="817">
        <f t="shared" si="15"/>
        <v>0</v>
      </c>
      <c r="FA41" s="817">
        <f t="shared" ref="FA41:FK41" si="20">FA40*FA9</f>
        <v>175816.27799999999</v>
      </c>
      <c r="FB41" s="817">
        <f t="shared" si="20"/>
        <v>0</v>
      </c>
      <c r="FC41" s="817">
        <f t="shared" si="20"/>
        <v>0</v>
      </c>
      <c r="FD41" s="817">
        <f t="shared" si="20"/>
        <v>27098554</v>
      </c>
      <c r="FE41" s="817">
        <f t="shared" si="20"/>
        <v>0</v>
      </c>
      <c r="FF41" s="817">
        <f t="shared" si="20"/>
        <v>0</v>
      </c>
      <c r="FG41" s="817">
        <f t="shared" si="20"/>
        <v>5102555.8</v>
      </c>
      <c r="FH41" s="817">
        <f t="shared" si="20"/>
        <v>0</v>
      </c>
      <c r="FI41" s="817">
        <f t="shared" si="20"/>
        <v>0</v>
      </c>
      <c r="FJ41" s="817">
        <f t="shared" si="20"/>
        <v>88952030.280000001</v>
      </c>
      <c r="FK41" s="817">
        <f t="shared" si="20"/>
        <v>0</v>
      </c>
      <c r="FL41" s="817">
        <f t="shared" ref="FL41:FQ41" si="21">FL40*FL9</f>
        <v>12144902.4</v>
      </c>
      <c r="FM41" s="817">
        <f t="shared" si="21"/>
        <v>4267091.3199999994</v>
      </c>
      <c r="FN41" s="817">
        <f t="shared" si="21"/>
        <v>0</v>
      </c>
      <c r="FO41" s="817">
        <f t="shared" si="21"/>
        <v>6789599.1899999995</v>
      </c>
      <c r="FP41" s="817">
        <f t="shared" si="21"/>
        <v>4851302.3999999994</v>
      </c>
      <c r="FQ41" s="817">
        <f t="shared" si="21"/>
        <v>21538203.119999997</v>
      </c>
      <c r="FR41" s="817">
        <f t="shared" ref="FR41:FX41" si="22">FR40*FR9</f>
        <v>20092450.559999999</v>
      </c>
      <c r="FS41" s="817">
        <f t="shared" si="22"/>
        <v>33351062.399999999</v>
      </c>
      <c r="FT41" s="817">
        <f t="shared" si="22"/>
        <v>20388922.899999999</v>
      </c>
      <c r="FU41" s="817">
        <f t="shared" si="22"/>
        <v>0</v>
      </c>
      <c r="FV41" s="817">
        <f t="shared" si="22"/>
        <v>679486.60000000009</v>
      </c>
      <c r="FW41" s="817">
        <f t="shared" si="22"/>
        <v>20004777.600000001</v>
      </c>
      <c r="FX41" s="817">
        <f t="shared" si="22"/>
        <v>204526099</v>
      </c>
      <c r="FY41" s="817">
        <f t="shared" ref="FY41:GD41" si="23">FY40*FY9</f>
        <v>5267622.72</v>
      </c>
      <c r="FZ41" s="817">
        <f t="shared" si="23"/>
        <v>0</v>
      </c>
      <c r="GA41" s="817">
        <f t="shared" si="23"/>
        <v>6997440</v>
      </c>
      <c r="GB41" s="817">
        <f t="shared" si="23"/>
        <v>433625.4</v>
      </c>
      <c r="GC41" s="817">
        <f t="shared" si="23"/>
        <v>7465910.4000000004</v>
      </c>
      <c r="GD41" s="817">
        <f t="shared" si="23"/>
        <v>19320215.039999999</v>
      </c>
      <c r="GE41" s="817">
        <f>GE40*GE9</f>
        <v>0</v>
      </c>
      <c r="GF41" s="817">
        <f>GF40*GF9</f>
        <v>0</v>
      </c>
      <c r="GG41" s="876"/>
      <c r="GH41" s="841">
        <f>SUM(B41:DY41)</f>
        <v>923006031.34000003</v>
      </c>
      <c r="GI41" s="840">
        <f t="shared" si="8"/>
        <v>783744761.02799988</v>
      </c>
      <c r="GJ41" s="837">
        <f t="shared" si="9"/>
        <v>1706750792.368</v>
      </c>
      <c r="GK41" s="583">
        <f t="shared" si="0"/>
        <v>91370667.257999986</v>
      </c>
      <c r="GL41" s="583">
        <f t="shared" si="1"/>
        <v>66074181</v>
      </c>
      <c r="GM41" s="583">
        <f t="shared" si="13"/>
        <v>53080682.969999991</v>
      </c>
      <c r="GN41" s="583">
        <f t="shared" si="10"/>
        <v>122996946.46000001</v>
      </c>
      <c r="GO41" s="583">
        <f t="shared" si="2"/>
        <v>766248312.5999999</v>
      </c>
      <c r="GP41" s="583">
        <f t="shared" si="3"/>
        <v>231624653</v>
      </c>
      <c r="GQ41" s="583">
        <f t="shared" si="4"/>
        <v>755073.09000000008</v>
      </c>
      <c r="GR41" s="583">
        <f t="shared" si="5"/>
        <v>178479710.28</v>
      </c>
      <c r="GS41" s="583">
        <f>W41+AW41+AX41+BQ41+EH41+EI41+EQ41+ER41+ES41+EV41+EX41</f>
        <v>149200591.86000001</v>
      </c>
      <c r="GT41" s="583">
        <f t="shared" si="6"/>
        <v>27860697.599999998</v>
      </c>
      <c r="GU41" s="583">
        <f t="shared" si="7"/>
        <v>19059276.25</v>
      </c>
      <c r="GV41" s="835">
        <f>FWise!M35</f>
        <v>0</v>
      </c>
      <c r="GW41" s="835"/>
    </row>
    <row r="42" spans="1:278" ht="33" customHeight="1" thickBot="1">
      <c r="A42" s="818" t="s">
        <v>119</v>
      </c>
      <c r="B42" s="1149">
        <f>INDEX(B22:B25,MATCH(E46,A22:A25))</f>
        <v>0</v>
      </c>
      <c r="C42" s="1150">
        <f>INDEX(C22:C25,MATCH(E46,A22:A25))</f>
        <v>0</v>
      </c>
      <c r="D42" s="1150">
        <f>INDEX(D22:D25,MATCH(E46,A22:A25))</f>
        <v>0</v>
      </c>
      <c r="E42" s="1150">
        <f>INDEX(E22:E25,MATCH(E46,A22:A25))</f>
        <v>180</v>
      </c>
      <c r="F42" s="1150">
        <f>INDEX(F22:F25,MATCH(E46,A22:A25))</f>
        <v>0</v>
      </c>
      <c r="G42" s="1150">
        <f>INDEX(G22:G25,MATCH(E46,A22:A25))</f>
        <v>83</v>
      </c>
      <c r="H42" s="1150">
        <f>INDEX(H22:H25,MATCH(E46,A22:A25))</f>
        <v>0</v>
      </c>
      <c r="I42" s="1150">
        <f>INDEX(I22:I25,MATCH(E46,A22:A25))</f>
        <v>406</v>
      </c>
      <c r="J42" s="1150">
        <f>INDEX(J22:J25,MATCH(E46,A22:A25))</f>
        <v>320</v>
      </c>
      <c r="K42" s="1150"/>
      <c r="L42" s="1150">
        <f>INDEX(L22:L25,MATCH(E46,A22:A25))</f>
        <v>0</v>
      </c>
      <c r="M42" s="1150">
        <f>INDEX(M22:M25,MATCH(E46,A22:A25))</f>
        <v>225</v>
      </c>
      <c r="N42" s="1150">
        <f>INDEX(N22:N25,MATCH(E46,A22:A25))</f>
        <v>0</v>
      </c>
      <c r="O42" s="1150">
        <f>INDEX(O22:O25,MATCH(E46,A22:A25))</f>
        <v>7</v>
      </c>
      <c r="P42" s="1150">
        <f>INDEX(P22:P25,MATCH(E46,A22:A25))</f>
        <v>0</v>
      </c>
      <c r="Q42" s="1150">
        <f>INDEX(Q22:Q25,MATCH(E46,A22:A25))</f>
        <v>30</v>
      </c>
      <c r="R42" s="1150">
        <f>INDEX(R22:R25,MATCH(E46,A22:A25))</f>
        <v>0</v>
      </c>
      <c r="S42" s="1150">
        <f>INDEX(S22:S25,MATCH(E46,A22:A25))</f>
        <v>0</v>
      </c>
      <c r="T42" s="1150">
        <f>INDEX(T22:T25,MATCH(E46,A22:A25))</f>
        <v>0</v>
      </c>
      <c r="U42" s="1150">
        <f>INDEX(U22:U25,MATCH(E46,A22:A25))</f>
        <v>8</v>
      </c>
      <c r="V42" s="1150">
        <f>INDEX(V22:V25,MATCH(E46,A22:A25))</f>
        <v>8</v>
      </c>
      <c r="W42" s="1150">
        <f>INDEX(W22:W25,MATCH(E46,A22:A25))</f>
        <v>48</v>
      </c>
      <c r="X42" s="1150">
        <f>INDEX(X22:X25,MATCH(E46,A22:A25))</f>
        <v>0</v>
      </c>
      <c r="Y42" s="1150">
        <f>INDEX(Y22:Y25,MATCH(E46,A22:A25))</f>
        <v>0</v>
      </c>
      <c r="Z42" s="1150">
        <f>INDEX(Z22:Z25,MATCH(E46,A22:A25))</f>
        <v>0</v>
      </c>
      <c r="AA42" s="1150">
        <f>INDEX(AA22:AA25,MATCH(E46,A22:A25))</f>
        <v>0</v>
      </c>
      <c r="AB42" s="1150">
        <f>INDEX(AB22:AB25,MATCH(E46,A22:A25))</f>
        <v>35</v>
      </c>
      <c r="AC42" s="1150">
        <f>INDEX(AC22:AC25,MATCH(E46,A22:A25))</f>
        <v>55</v>
      </c>
      <c r="AD42" s="1150">
        <f>INDEX(AD22:AD25,MATCH(E46,A22:A25))</f>
        <v>35</v>
      </c>
      <c r="AE42" s="1150">
        <f>INDEX(AE22:AE25,MATCH(E46,A22:A25))</f>
        <v>19</v>
      </c>
      <c r="AF42" s="1150">
        <f>INDEX(AF22:AF25,MATCH(E46,A22:A25))</f>
        <v>25</v>
      </c>
      <c r="AG42" s="1150">
        <f>INDEX(AG22:AG25,MATCH(E46,A22:A25))</f>
        <v>27</v>
      </c>
      <c r="AH42" s="1150">
        <f>INDEX(AH22:AH25,MATCH(E46,A22:A25))</f>
        <v>33</v>
      </c>
      <c r="AI42" s="1150">
        <f>INDEX(AI22:AI25,MATCH(E46,A22:A25))</f>
        <v>30</v>
      </c>
      <c r="AJ42" s="1150">
        <f>INDEX(AJ22:AJ25,MATCH(E46,A22:A25))</f>
        <v>50</v>
      </c>
      <c r="AK42" s="1150">
        <f>INDEX(AK22:AK25,MATCH(E46,A22:A25))</f>
        <v>0</v>
      </c>
      <c r="AL42" s="1150">
        <f>INDEX(AL22:AL25,MATCH(E46,A22:A25))</f>
        <v>82</v>
      </c>
      <c r="AM42" s="1150">
        <f>INDEX(AM22:AM25,MATCH(E46,A22:A25))</f>
        <v>35</v>
      </c>
      <c r="AN42" s="1150">
        <f>INDEX(AN22:AN25,MATCH(E46,A22:A25))</f>
        <v>100</v>
      </c>
      <c r="AO42" s="1150">
        <f>INDEX(AO22:AO25,MATCH(E46,A22:A25))</f>
        <v>0</v>
      </c>
      <c r="AP42" s="1150">
        <f>INDEX(AP22:AP25,MATCH(E46,A22:A25))</f>
        <v>25</v>
      </c>
      <c r="AQ42" s="1150">
        <f>INDEX(AQ22:AQ25,MATCH(E46,A22:A25))</f>
        <v>0</v>
      </c>
      <c r="AR42" s="1150">
        <f>INDEX(AR22:AR25,MATCH(E46,A22:A25))</f>
        <v>0</v>
      </c>
      <c r="AS42" s="1150">
        <f>INDEX(AS22:AS25,MATCH(E46,A22:A25))</f>
        <v>0</v>
      </c>
      <c r="AT42" s="1150">
        <f>INDEX(AT22:AT25,MATCH(E46,A22:A25))</f>
        <v>0</v>
      </c>
      <c r="AU42" s="1150"/>
      <c r="AV42" s="1150">
        <f>INDEX(AV22:AV25,MATCH(E46,A22:A25))</f>
        <v>11</v>
      </c>
      <c r="AW42" s="1150">
        <f>INDEX(AW22:AW25,MATCH(E46,A22:A25))</f>
        <v>26</v>
      </c>
      <c r="AX42" s="1150">
        <f>INDEX(AX22:AX25,MATCH(E46,A22:A25))</f>
        <v>17</v>
      </c>
      <c r="AY42" s="1150">
        <f>INDEX(AY22:AY25,MATCH(E46,A22:A25))</f>
        <v>33</v>
      </c>
      <c r="AZ42" s="1150">
        <f>INDEX(AZ22:AZ25,MATCH(E46,A22:A25))</f>
        <v>11</v>
      </c>
      <c r="BA42" s="1150">
        <f>INDEX(BA22:BA25,MATCH(E46,A22:A25))</f>
        <v>25</v>
      </c>
      <c r="BB42" s="1150">
        <f>INDEX(BB22:BB25,MATCH(E46,A22:A25))</f>
        <v>15</v>
      </c>
      <c r="BC42" s="1150">
        <f>INDEX(BC22:BC25,MATCH(E46,A22:A25))</f>
        <v>3</v>
      </c>
      <c r="BD42" s="1150">
        <f>INDEX(BD22:BD25,MATCH(E46,A22:A25))</f>
        <v>0</v>
      </c>
      <c r="BE42" s="1150">
        <f>INDEX(BE22:BE25,MATCH(E46,A22:A25))</f>
        <v>0</v>
      </c>
      <c r="BF42" s="1150">
        <f>INDEX(BF22:BF25,MATCH(E46,A22:A25))</f>
        <v>0</v>
      </c>
      <c r="BG42" s="1150">
        <f>INDEX(BG22:BG25,MATCH(E46,A22:A25))</f>
        <v>320</v>
      </c>
      <c r="BH42" s="1150">
        <f>INDEX(BH22:BH25,MATCH(E46,A22:A25))</f>
        <v>320</v>
      </c>
      <c r="BI42" s="1150">
        <f>INDEX(BI22:BI25,MATCH(E46,A22:A25))</f>
        <v>198</v>
      </c>
      <c r="BJ42" s="1150">
        <f>INDEX(BJ22:BJ25,MATCH(E46,A22:A25))</f>
        <v>8</v>
      </c>
      <c r="BK42" s="1150">
        <f>INDEX(BK22:BK25,MATCH(E46,A22:A25))</f>
        <v>135</v>
      </c>
      <c r="BL42" s="1150">
        <f>INDEX(BL22:BL25,MATCH(E46,A22:A25))</f>
        <v>39</v>
      </c>
      <c r="BM42" s="1150">
        <f>INDEX(BM22:BM25,MATCH(E46,A22:A25))</f>
        <v>49</v>
      </c>
      <c r="BN42" s="1150">
        <f>INDEX(BN22:BN25,MATCH(E46,A22:A25))</f>
        <v>0</v>
      </c>
      <c r="BO42" s="1150">
        <f>INDEX(BO22:BO25,MATCH(E46,A22:A25))</f>
        <v>51</v>
      </c>
      <c r="BP42" s="1150">
        <f>INDEX(BP22:BP25,MATCH(E46,A22:A25))</f>
        <v>0</v>
      </c>
      <c r="BQ42" s="1150">
        <f>INDEX(BQ22:BQ25,MATCH(E46,A22:A25))</f>
        <v>30</v>
      </c>
      <c r="BR42" s="1150">
        <f>INDEX(BR22:BR25,MATCH(E46,A22:A25))</f>
        <v>8</v>
      </c>
      <c r="BS42" s="1150">
        <f>INDEX(BS22:BS25,MATCH(E46,A22:A25))</f>
        <v>21</v>
      </c>
      <c r="BT42" s="1150">
        <f>INDEX(BT22:BT25,MATCH(E46,A22:A25))</f>
        <v>10</v>
      </c>
      <c r="BU42" s="1150">
        <f>INDEX(BU22:BU25,MATCH(E46,A22:A25))</f>
        <v>33</v>
      </c>
      <c r="BV42" s="1150">
        <f>INDEX(BV22:BV25,MATCH(E46,A22:A25))</f>
        <v>20</v>
      </c>
      <c r="BW42" s="1150">
        <f>INDEX(BW22:BW25,MATCH(E46,A22:A25))</f>
        <v>154</v>
      </c>
      <c r="BX42" s="1150">
        <f>INDEX(BX22:BX25,MATCH(E46,A22:A25))</f>
        <v>70</v>
      </c>
      <c r="BY42" s="1150">
        <f>INDEX(BY22:BY25,MATCH(E46,A22:A25))</f>
        <v>0</v>
      </c>
      <c r="BZ42" s="1150">
        <f>INDEX(BZ22:BZ25,MATCH(E46,A22:A25))</f>
        <v>22</v>
      </c>
      <c r="CA42" s="1150">
        <f>INDEX(CA22:CA25,MATCH(E46,A22:A25))</f>
        <v>2</v>
      </c>
      <c r="CB42" s="1150">
        <f>INDEX(CB22:CB25,MATCH(E46,A22:A25))</f>
        <v>44</v>
      </c>
      <c r="CC42" s="1150">
        <f>INDEX(CC22:CC25,MATCH(E46,A22:A25))</f>
        <v>41</v>
      </c>
      <c r="CD42" s="1150">
        <f>INDEX(CD22:CD25,MATCH(E46,A22:A25))</f>
        <v>31</v>
      </c>
      <c r="CE42" s="1150">
        <f>INDEX(CE22:CE25,MATCH(E46,A22:A25))</f>
        <v>30</v>
      </c>
      <c r="CF42" s="1150">
        <f>INDEX(CF22:CF25,MATCH(E46,A22:A25))</f>
        <v>110</v>
      </c>
      <c r="CG42" s="1150">
        <f>INDEX(CG22:CG25,MATCH(E46,A22:A25))</f>
        <v>0</v>
      </c>
      <c r="CH42" s="1150">
        <f>INDEX(CH22:CH25,MATCH(E46,A22:A25))</f>
        <v>60</v>
      </c>
      <c r="CI42" s="1150">
        <f>INDEX(CI22:CI25,MATCH(E46,A22:A25))</f>
        <v>10</v>
      </c>
      <c r="CJ42" s="1150">
        <f>INDEX(CJ22:CJ25,MATCH(E46,A22:A25))</f>
        <v>0</v>
      </c>
      <c r="CK42" s="1150">
        <f>INDEX(CK22:CK25,MATCH(E46,A22:A25))</f>
        <v>220</v>
      </c>
      <c r="CL42" s="1150">
        <f>INDEX(CL22:CL25,MATCH(E46,A22:A25))</f>
        <v>0</v>
      </c>
      <c r="CM42" s="1150">
        <f>INDEX(CM22:CM25,MATCH(E46,A22:A25))</f>
        <v>31</v>
      </c>
      <c r="CN42" s="1150">
        <f>INDEX(CN22:CN25,MATCH(E46,A22:A25))</f>
        <v>9</v>
      </c>
      <c r="CO42" s="1150">
        <f>INDEX(CO22:CO25,MATCH(E46,A22:A25))</f>
        <v>300</v>
      </c>
      <c r="CP42" s="1150">
        <f>INDEX(CP22:CP25,MATCH(E46,A22:A25))</f>
        <v>8</v>
      </c>
      <c r="CQ42" s="1150">
        <f>INDEX(CQ22:CQ25,MATCH(E46,A22:A25))</f>
        <v>0</v>
      </c>
      <c r="CR42" s="1150">
        <f>INDEX(CR22:CR25,MATCH(E46,A22:A25))</f>
        <v>196</v>
      </c>
      <c r="CS42" s="1150">
        <f>INDEX(CS22:CS25,MATCH(E46,A22:A25))</f>
        <v>95</v>
      </c>
      <c r="CT42" s="1150">
        <f>INDEX(CT22:CT25,MATCH(E46,A22:A25))</f>
        <v>246</v>
      </c>
      <c r="CU42" s="1150">
        <f>INDEX(CU22:CU25,MATCH(E46,A22:A25))</f>
        <v>98</v>
      </c>
      <c r="CV42" s="1150">
        <f>INDEX(CV22:CV25,MATCH(E46,A22:A25))</f>
        <v>48</v>
      </c>
      <c r="CW42" s="1150">
        <f>INDEX(CW22:CW25,MATCH(E46,A22:A25))</f>
        <v>93</v>
      </c>
      <c r="CX42" s="1150">
        <f>INDEX(CX22:CX25,MATCH(E46,A22:A25))</f>
        <v>90</v>
      </c>
      <c r="CY42" s="1150">
        <f>INDEX(CY22:CY25,MATCH(E46,A22:A25))</f>
        <v>5</v>
      </c>
      <c r="CZ42" s="1150">
        <f>INDEX(CZ22:CZ25,MATCH(E46,A22:A25))</f>
        <v>21</v>
      </c>
      <c r="DA42" s="1150">
        <f>INDEX(DA22:DA25,MATCH(E46,A22:A25))</f>
        <v>34</v>
      </c>
      <c r="DB42" s="1150">
        <f>INDEX(DB22:DB25,MATCH(E46,A22:A25))</f>
        <v>120</v>
      </c>
      <c r="DC42" s="1150">
        <f>INDEX(DC22:DC25,MATCH(E46,A22:A25))</f>
        <v>402</v>
      </c>
      <c r="DD42" s="1150">
        <f>INDEX(DD22:DD25,MATCH(E46,A22:A25))</f>
        <v>47</v>
      </c>
      <c r="DE42" s="1150">
        <f>INDEX(DE22:DE25,MATCH(E46,A22:A25))</f>
        <v>88</v>
      </c>
      <c r="DF42" s="1150">
        <f>INDEX(DF22:DF25,MATCH(E46,A22:A25))</f>
        <v>69</v>
      </c>
      <c r="DG42" s="1150">
        <f>INDEX(DG22:DG25,MATCH(E46,A22:A25))</f>
        <v>2</v>
      </c>
      <c r="DH42" s="1150">
        <f>INDEX(DH22:DH25,MATCH(E46,A22:A25))</f>
        <v>52</v>
      </c>
      <c r="DI42" s="1150">
        <f>INDEX(DI22:DI25,MATCH(E46,A22:A25))</f>
        <v>36</v>
      </c>
      <c r="DJ42" s="1150">
        <f>INDEX(DJ22:DJ25,MATCH(E46,A22:A25))</f>
        <v>55</v>
      </c>
      <c r="DK42" s="1150">
        <f>INDEX(DK22:DK25,MATCH(E46,A22:A25))</f>
        <v>17</v>
      </c>
      <c r="DL42" s="1150">
        <f>INDEX(DL22:DL25,MATCH(E46,A22:A25))</f>
        <v>38</v>
      </c>
      <c r="DM42" s="1150">
        <f>INDEX(DM22:DM25,MATCH(E46,A22:A25))</f>
        <v>20</v>
      </c>
      <c r="DN42" s="1150">
        <f>INDEX(DN22:DN25,MATCH(E46,A22:A25))</f>
        <v>0</v>
      </c>
      <c r="DO42" s="1150">
        <f>INDEX(DO22:DO25,MATCH(E46,A22:A25))</f>
        <v>17</v>
      </c>
      <c r="DP42" s="1150">
        <f>INDEX(DP22:DP25,MATCH(E46,A22:A25))</f>
        <v>21</v>
      </c>
      <c r="DQ42" s="1150">
        <f>INDEX(DQ22:DQ25,MATCH(E46,A22:A25))</f>
        <v>35</v>
      </c>
      <c r="DR42" s="1150">
        <f>INDEX(DR22:DR25,MATCH(E46,A22:A25))</f>
        <v>108</v>
      </c>
      <c r="DS42" s="1150">
        <f>INDEX(DS22:DS25,MATCH(E46,A22:A25))</f>
        <v>0</v>
      </c>
      <c r="DT42" s="1150">
        <f>INDEX(DT22:DT25,MATCH(E46,A22:A25))</f>
        <v>35</v>
      </c>
      <c r="DU42" s="1150">
        <f>INDEX(DU22:DU25,MATCH(E46,A22:A25))</f>
        <v>18</v>
      </c>
      <c r="DV42" s="1150">
        <f>INDEX(DV22:DV25,MATCH(E46,A22:A25))</f>
        <v>72</v>
      </c>
      <c r="DW42" s="1150">
        <f>INDEX(DW22:DW25,MATCH(E46,A22:A25))</f>
        <v>55</v>
      </c>
      <c r="DX42" s="1150">
        <f>INDEX(DX22:DX25,MATCH(E46,A22:A25))</f>
        <v>0</v>
      </c>
      <c r="DY42" s="1150"/>
      <c r="DZ42" s="1150">
        <f>INDEX(DZ22:DZ25,MATCH(E46,A22:A25))</f>
        <v>915</v>
      </c>
      <c r="EA42" s="1150">
        <f>INDEX(EA22:EA25,MATCH(E46,A22:A25))</f>
        <v>0</v>
      </c>
      <c r="EB42" s="1150">
        <f>INDEX(EB22:EB25,MATCH(E46,A22:A25))</f>
        <v>150</v>
      </c>
      <c r="EC42" s="1150">
        <f>INDEX(EC22:EC25,MATCH(E46,A22:A25))</f>
        <v>0</v>
      </c>
      <c r="ED42" s="1150">
        <f>INDEX(ED22:ED25,MATCH(E46,A22:A25))</f>
        <v>16</v>
      </c>
      <c r="EE42" s="1150">
        <f>INDEX(EE22:EE25,MATCH(E46,A22:A25))</f>
        <v>237</v>
      </c>
      <c r="EF42" s="1150">
        <f>INDEX(EF22:EF25,MATCH(E46,A22:A25))</f>
        <v>0</v>
      </c>
      <c r="EG42" s="1150">
        <f>INDEX(EG22:EG25,MATCH(E46,A22:A25))</f>
        <v>0</v>
      </c>
      <c r="EH42" s="1150">
        <f>INDEX(EH22:EH25,MATCH(E46,A22:A25))</f>
        <v>21</v>
      </c>
      <c r="EI42" s="1150">
        <f>INDEX(EI22:EI25,MATCH(E46,A22:A25))</f>
        <v>60</v>
      </c>
      <c r="EJ42" s="1150">
        <f>INDEX(EJ22:EJ25,MATCH(E46,A22:A25))</f>
        <v>0</v>
      </c>
      <c r="EK42" s="1150">
        <f>INDEX(EK22:EK25,MATCH(E46,A22:A25))</f>
        <v>88</v>
      </c>
      <c r="EL42" s="1150">
        <f>INDEX(EL22:EL25,MATCH(E46,A22:A25))</f>
        <v>18</v>
      </c>
      <c r="EM42" s="1150">
        <f>INDEX(EM22:EM25,MATCH(E46,A22:A25))</f>
        <v>48</v>
      </c>
      <c r="EN42" s="1150">
        <f>INDEX(EN22:EN25,MATCH(E46,A22:A25))</f>
        <v>0</v>
      </c>
      <c r="EO42" s="1150">
        <f>INDEX(EO22:EO25,MATCH(E46,A22:A25))</f>
        <v>0</v>
      </c>
      <c r="EP42" s="1150">
        <f>INDEX(EP22:EP25,MATCH(E46,A22:A25))</f>
        <v>0</v>
      </c>
      <c r="EQ42" s="1150">
        <f>INDEX(EQ22:EQ25,MATCH(E46,A22:A25))</f>
        <v>32</v>
      </c>
      <c r="ER42" s="1150">
        <f>INDEX(ER22:ER25,MATCH(E46,A22:A25))</f>
        <v>0</v>
      </c>
      <c r="ES42" s="1150">
        <f>INDEX(ES22:ES25,MATCH(E46,A22:A25))</f>
        <v>51</v>
      </c>
      <c r="ET42" s="1150">
        <f>INDEX(ET22:ET25,MATCH(E46,A22:A25))</f>
        <v>0</v>
      </c>
      <c r="EU42" s="1150">
        <f>INDEX(EU22:EU25,MATCH(E46,A22:A25))</f>
        <v>0</v>
      </c>
      <c r="EV42" s="1150">
        <f>INDEX(EV22:EV25,MATCH(E46,A22:A25))</f>
        <v>32</v>
      </c>
      <c r="EW42" s="1150">
        <f>INDEX(EW22:EW25,MATCH(E46,A22:A25))</f>
        <v>8</v>
      </c>
      <c r="EX42" s="1150">
        <f>INDEX(EX22:EX25,MATCH(E46,A22:A25))</f>
        <v>33</v>
      </c>
      <c r="EY42" s="1150">
        <f>INDEX(EY22:EY25,MATCH(E46,A22:A25))</f>
        <v>19</v>
      </c>
      <c r="EZ42" s="1150">
        <f>INDEX(EZ22:EZ25,MATCH(E46,A22:A25))</f>
        <v>0</v>
      </c>
      <c r="FA42" s="1150">
        <f>INDEX(FA22:FA25,MATCH(E46,A22:A25))</f>
        <v>11</v>
      </c>
      <c r="FB42" s="1150">
        <f>INDEX(FB22:FB25,MATCH(E46,A22:A25))</f>
        <v>0</v>
      </c>
      <c r="FC42" s="1150">
        <f>INDEX(FC22:FC25,MATCH(E46,A22:A25))</f>
        <v>0</v>
      </c>
      <c r="FD42" s="1150">
        <f>INDEX(FD22:FD25,MATCH(E46,A22:A25))</f>
        <v>250</v>
      </c>
      <c r="FE42" s="1150">
        <f>INDEX(FE22:FE25,MATCH(E46,A22:A25))</f>
        <v>0</v>
      </c>
      <c r="FF42" s="1150">
        <f>INDEX(FF22:FF25,MATCH(E46,A22:A25))</f>
        <v>0</v>
      </c>
      <c r="FG42" s="1294">
        <f>INDEX(FG21:FG25,MATCH(E46,A21:A25))</f>
        <v>179</v>
      </c>
      <c r="FH42" s="1294">
        <f>INDEX(FH21:FH25,MATCH(E46,A21:A25))</f>
        <v>0</v>
      </c>
      <c r="FI42" s="1294">
        <f>INDEX(FI21:FI25,MATCH(E46,A21:A25))</f>
        <v>0</v>
      </c>
      <c r="FJ42" s="1294">
        <f>INDEX(FJ21:FJ25,MATCH(E46,A21:A25))</f>
        <v>215</v>
      </c>
      <c r="FK42" s="1294">
        <f>INDEX(FK21:FK25,MATCH(E46,A21:A25))</f>
        <v>0</v>
      </c>
      <c r="FL42" s="1294">
        <f>INDEX(FL22:FL25,MATCH(E46,A22:A25))</f>
        <v>55</v>
      </c>
      <c r="FM42" s="1294">
        <f>INDEX(FM22:FM25,MATCH(E46,A22:A25))</f>
        <v>150</v>
      </c>
      <c r="FN42" s="1294">
        <f>INDEX(FN22:FN25,MATCH(E46,A22:A25))</f>
        <v>0</v>
      </c>
      <c r="FO42" s="1294">
        <f>INDEX(FO22:FO25,MATCH(E46,A22:A25))</f>
        <v>297</v>
      </c>
      <c r="FP42" s="1294">
        <f>INDEX(FP22:FP25,MATCH(E46,A22:A25))</f>
        <v>0</v>
      </c>
      <c r="FQ42" s="1294">
        <f>INDEX(FQ22:FQ25,MATCH(E46,A22:A25))</f>
        <v>169</v>
      </c>
      <c r="FR42" s="1294">
        <f>INDEX(FR22:FR25,MATCH(E46,A22:A25))</f>
        <v>50</v>
      </c>
      <c r="FS42" s="1294">
        <f>INDEX(FS22:FS25,MATCH(E46,A22:A25))</f>
        <v>89</v>
      </c>
      <c r="FT42" s="1294">
        <f>INDEX(FT22:FT25,MATCH(E46,A22:A25))</f>
        <v>56</v>
      </c>
      <c r="FU42" s="1294">
        <f>INDEX(FU22:FU25,MATCH(E46,A22:A25))</f>
        <v>0</v>
      </c>
      <c r="FV42" s="1294">
        <f>INDEX(FV22:FV25,MATCH(E46,A22:A25))</f>
        <v>1</v>
      </c>
      <c r="FW42" s="1294">
        <f>INDEX(FW22:FW25,MATCH(E46,A22:A25))</f>
        <v>50</v>
      </c>
      <c r="FX42" s="1294">
        <f>INDEX(FX22:FX25,MATCH(E46,A22:A25))</f>
        <v>600</v>
      </c>
      <c r="FY42" s="1294">
        <f>INDEX(FY22:FY25,MATCH(E46,A22:A25))</f>
        <v>220</v>
      </c>
      <c r="FZ42" s="1294">
        <f>INDEX(FZ22:FZ25,MATCH(E46,A22:A25))</f>
        <v>0</v>
      </c>
      <c r="GA42" s="1294">
        <f>INDEX(GA22:GA25,MATCH(E46,A22:A25))</f>
        <v>90</v>
      </c>
      <c r="GB42" s="1294">
        <f>INDEX(GB22:GB25,MATCH(E46,A22:A25))</f>
        <v>4</v>
      </c>
      <c r="GC42" s="1294">
        <f>INDEX(GC22:GC25,MATCH(E46,A22:A25))</f>
        <v>74</v>
      </c>
      <c r="GD42" s="1294">
        <f>INDEX(GD22:GD25,MATCH(E46,A22:A25))</f>
        <v>34</v>
      </c>
      <c r="GE42" s="1294">
        <f>INDEX(GE22:GE25,MATCH(E46,A22:A25))</f>
        <v>0</v>
      </c>
      <c r="GF42" s="1294">
        <f>INDEX(GF22:GF25,MATCH(E46,A22:A25))</f>
        <v>0</v>
      </c>
      <c r="GG42" s="820"/>
      <c r="GH42" s="1317">
        <f>SUM(B42:GG42)</f>
        <v>10946</v>
      </c>
      <c r="GI42" s="892" t="s">
        <v>745</v>
      </c>
      <c r="GJ42" s="893"/>
      <c r="GK42" s="893"/>
      <c r="GL42" s="893"/>
      <c r="GM42" s="893"/>
      <c r="GN42" s="893"/>
      <c r="GO42" s="893"/>
      <c r="GP42" s="893"/>
      <c r="GQ42" s="893"/>
      <c r="GR42" s="893"/>
      <c r="GS42" s="893"/>
      <c r="GT42" s="893"/>
      <c r="GU42" s="893"/>
      <c r="GV42" s="894"/>
      <c r="GW42" s="894"/>
    </row>
    <row r="43" spans="1:278" ht="35.25" customHeight="1" thickBot="1">
      <c r="A43" s="818" t="s">
        <v>118</v>
      </c>
      <c r="B43" s="842">
        <f>INDEX(B30:B36,MATCH(E47,A30:A36))</f>
        <v>0</v>
      </c>
      <c r="C43" s="819">
        <f>INDEX(C30:C36,MATCH(E47,A30:A36))</f>
        <v>0</v>
      </c>
      <c r="D43" s="819">
        <f>INDEX(D30:D36,MATCH(E47,A30:A36))</f>
        <v>0</v>
      </c>
      <c r="E43" s="819">
        <f>INDEX(E30:E36,MATCH(E47,A30:A36))</f>
        <v>180</v>
      </c>
      <c r="F43" s="819">
        <f>INDEX(F30:F36,MATCH(E47,A30:A36))</f>
        <v>200</v>
      </c>
      <c r="G43" s="819">
        <f>INDEX(G30:G36,MATCH(E47,A30:A36))</f>
        <v>81</v>
      </c>
      <c r="H43" s="819">
        <f>INDEX(H30:H36,MATCH(E47,A30:A36))</f>
        <v>0</v>
      </c>
      <c r="I43" s="819">
        <f>INDEX(I30:I36,MATCH(E47,A30:A36))</f>
        <v>397</v>
      </c>
      <c r="J43" s="819">
        <f>INDEX(J30:J36,MATCH(E47,A30:A36))</f>
        <v>257</v>
      </c>
      <c r="K43" s="819">
        <f>INDEX(K30:K36,MATCH(E47,A30:A36))</f>
        <v>0</v>
      </c>
      <c r="L43" s="819">
        <f>INDEX(L30:L36,MATCH(E47,A30:A36))</f>
        <v>0</v>
      </c>
      <c r="M43" s="819">
        <f>INDEX(M30:M36,MATCH(E47,A30:A36))</f>
        <v>225</v>
      </c>
      <c r="N43" s="819">
        <f>INDEX(N30:N36,MATCH(E47,A30:A36))</f>
        <v>0</v>
      </c>
      <c r="O43" s="819">
        <f>INDEX(O30:O36,MATCH(E47,A30:A36))</f>
        <v>48</v>
      </c>
      <c r="P43" s="819">
        <f>INDEX(P30:P36,MATCH(E47,A30:A36))</f>
        <v>0</v>
      </c>
      <c r="Q43" s="819">
        <f>INDEX(Q30:Q36,MATCH(E47,A30:A36))</f>
        <v>30</v>
      </c>
      <c r="R43" s="819">
        <f>INDEX(R30:R36,MATCH(E47,A30:A36))</f>
        <v>0</v>
      </c>
      <c r="S43" s="819">
        <f>INDEX(S30:S36,MATCH(E47,A30:A36))</f>
        <v>0</v>
      </c>
      <c r="T43" s="819">
        <f>INDEX(T30:T36,MATCH(E47,A30:A36))</f>
        <v>0</v>
      </c>
      <c r="U43" s="819">
        <f>INDEX(U30:U36,MATCH(E47,A30:A36))</f>
        <v>48</v>
      </c>
      <c r="V43" s="819">
        <f>INDEX(V30:V36,MATCH(E47,A30:A36))</f>
        <v>50</v>
      </c>
      <c r="W43" s="819">
        <f>INDEX(W30:W36,MATCH(E47,A30:A36))</f>
        <v>128</v>
      </c>
      <c r="X43" s="819">
        <f>INDEX(X30:X36,MATCH(E47,A30:A36))</f>
        <v>0</v>
      </c>
      <c r="Y43" s="819">
        <f>INDEX(Y30:Y36,MATCH(E47,A30:A36))</f>
        <v>0</v>
      </c>
      <c r="Z43" s="819">
        <f>INDEX(Z30:Z36,MATCH(E47,A30:A36))</f>
        <v>0</v>
      </c>
      <c r="AA43" s="819">
        <f>INDEX(AA30:AA36,MATCH(E47,A30:A36))</f>
        <v>0</v>
      </c>
      <c r="AB43" s="819">
        <f>INDEX(AB30:AB36,MATCH(E47,A30:A36))</f>
        <v>54</v>
      </c>
      <c r="AC43" s="819">
        <f>INDEX(AC30:AC36,MATCH(E47,A30:A36))</f>
        <v>55</v>
      </c>
      <c r="AD43" s="819">
        <f>INDEX(AD30:AD36,MATCH(E47,A30:A36))</f>
        <v>55</v>
      </c>
      <c r="AE43" s="819">
        <f>INDEX(AE30:AE36,MATCH(E47,A30:A36))</f>
        <v>22</v>
      </c>
      <c r="AF43" s="819">
        <f>INDEX(AF30:AF36,MATCH(E47,A30:A36))</f>
        <v>25</v>
      </c>
      <c r="AG43" s="819">
        <f>INDEX(AG30:AG36,MATCH(E47,A30:A36))</f>
        <v>27</v>
      </c>
      <c r="AH43" s="819">
        <f>INDEX(AH30:AH36,MATCH(E47,A30:A36))</f>
        <v>33</v>
      </c>
      <c r="AI43" s="819">
        <f>INDEX(AI30:AI36,MATCH(E47,A30:A36))</f>
        <v>30</v>
      </c>
      <c r="AJ43" s="819">
        <f>INDEX(AJ30:AJ36,MATCH(E47,A30:A36))</f>
        <v>49</v>
      </c>
      <c r="AK43" s="819">
        <f>INDEX(AK30:AK36,MATCH(E47,A30:A36))</f>
        <v>0</v>
      </c>
      <c r="AL43" s="819">
        <f>INDEX(AL30:AL36,MATCH(E47,A30:A36))</f>
        <v>81</v>
      </c>
      <c r="AM43" s="819">
        <f>INDEX(AM30:AM36,MATCH(E47,A30:A36))</f>
        <v>35</v>
      </c>
      <c r="AN43" s="819">
        <f>INDEX(AN30:AN36,MATCH(E47,A30:A36))</f>
        <v>100</v>
      </c>
      <c r="AO43" s="819">
        <f>INDEX(AO30:AO36,MATCH(E47,A30:A36))</f>
        <v>0</v>
      </c>
      <c r="AP43" s="819">
        <f>INDEX(AP30:AP36,MATCH(E47,A30:A36))</f>
        <v>25</v>
      </c>
      <c r="AQ43" s="819">
        <f>INDEX(AQ30:AQ36,MATCH(E47,A30:A36))</f>
        <v>0</v>
      </c>
      <c r="AR43" s="819">
        <f>INDEX(AR30:AR36,MATCH(E47,A30:A36))</f>
        <v>0</v>
      </c>
      <c r="AS43" s="819">
        <f>INDEX(AS30:AS36,MATCH(E47,A30:A36))</f>
        <v>0</v>
      </c>
      <c r="AT43" s="819">
        <f>INDEX(AT30:AT36,MATCH(E47,A30:A36))</f>
        <v>0</v>
      </c>
      <c r="AU43" s="819">
        <f>INDEX(AU30:AU36,MATCH(E47,A30:A36))</f>
        <v>0</v>
      </c>
      <c r="AV43" s="819">
        <f>INDEX(AV30:AV36,MATCH(E47,A30:A36))</f>
        <v>6</v>
      </c>
      <c r="AW43" s="819">
        <f>INDEX(AW30:AW36,MATCH(E47,A30:A36))</f>
        <v>34</v>
      </c>
      <c r="AX43" s="819">
        <f>INDEX(AX30:AX36,MATCH(E47,A30:A36))</f>
        <v>51</v>
      </c>
      <c r="AY43" s="819">
        <f>INDEX(AY30:AY36,MATCH(E47,A30:A36))</f>
        <v>33</v>
      </c>
      <c r="AZ43" s="819">
        <f>INDEX(AZ30:AZ36,MATCH(E47,A30:A36))</f>
        <v>80</v>
      </c>
      <c r="BA43" s="819">
        <f>INDEX(BA30:BA36,MATCH(E47,A30:A36))</f>
        <v>25</v>
      </c>
      <c r="BB43" s="819">
        <f>INDEX(BB30:BB36,MATCH(E47,A30:A36))</f>
        <v>15</v>
      </c>
      <c r="BC43" s="819">
        <f>INDEX(BC30:BC36,MATCH(E47,A30:A36))</f>
        <v>30</v>
      </c>
      <c r="BD43" s="819">
        <f>INDEX(BD30:BD36,MATCH(E47,A30:A36))</f>
        <v>0</v>
      </c>
      <c r="BE43" s="819">
        <f>INDEX(BE30:BE36,MATCH(E47,A30:A36))</f>
        <v>0</v>
      </c>
      <c r="BF43" s="819">
        <f>INDEX(BF30:BF36,MATCH(E47,A30:A36))</f>
        <v>0</v>
      </c>
      <c r="BG43" s="819">
        <f>INDEX(BG30:BG36,MATCH(E47,A30:A36))</f>
        <v>320</v>
      </c>
      <c r="BH43" s="819">
        <f>INDEX(BH30:BH36,MATCH(E47,A30:A36))</f>
        <v>305</v>
      </c>
      <c r="BI43" s="819">
        <f>INDEX(BI30:BI36,MATCH(E47,A30:A36))</f>
        <v>208</v>
      </c>
      <c r="BJ43" s="819">
        <f>INDEX(BJ30:BJ36,MATCH(E47,A30:A36))</f>
        <v>8</v>
      </c>
      <c r="BK43" s="819">
        <f>INDEX(BK30:BK36,MATCH(E47,A30:A36))</f>
        <v>129</v>
      </c>
      <c r="BL43" s="819">
        <f>INDEX(BL30:BL36,MATCH(E47,A30:A36))</f>
        <v>41</v>
      </c>
      <c r="BM43" s="819">
        <f>INDEX(BM30:BM36,MATCH(E47,A30:A36))</f>
        <v>40</v>
      </c>
      <c r="BN43" s="819">
        <f>INDEX(BN30:BN36,MATCH(E47,A30:A36))</f>
        <v>0</v>
      </c>
      <c r="BO43" s="819">
        <f>INDEX(BO30:BO36,MATCH(E47,A30:A36))</f>
        <v>51</v>
      </c>
      <c r="BP43" s="819">
        <f>INDEX(BP30:BP36,MATCH(E47,A30:A36))</f>
        <v>0</v>
      </c>
      <c r="BQ43" s="819">
        <f>INDEX(BQ30:BQ36,MATCH(E47,A30:A36))</f>
        <v>38</v>
      </c>
      <c r="BR43" s="819">
        <f>INDEX(BR30:BR36,MATCH(E47,A30:A36))</f>
        <v>43</v>
      </c>
      <c r="BS43" s="819">
        <f>INDEX(BS30:BS36,MATCH(E47,A30:A36))</f>
        <v>19</v>
      </c>
      <c r="BT43" s="819">
        <f>INDEX(BT30:BT36,MATCH(E47,A30:A36))</f>
        <v>10</v>
      </c>
      <c r="BU43" s="819">
        <f>INDEX(BU30:BU36,MATCH(E47,A30:A36))</f>
        <v>33</v>
      </c>
      <c r="BV43" s="819">
        <f>INDEX(BV30:BV36,MATCH(E47,A30:A36))</f>
        <v>20</v>
      </c>
      <c r="BW43" s="819">
        <f>INDEX(BW30:BW36,MATCH(E47,A30:A36))</f>
        <v>160</v>
      </c>
      <c r="BX43" s="819">
        <f>INDEX(BX30:BX36,MATCH(E47,A30:A36))</f>
        <v>100</v>
      </c>
      <c r="BY43" s="819">
        <f>INDEX(BY30:BY36,MATCH(E47,A30:A36))</f>
        <v>0</v>
      </c>
      <c r="BZ43" s="819">
        <f>INDEX(BZ30:BZ36,MATCH(E47,A30:A36))</f>
        <v>20</v>
      </c>
      <c r="CA43" s="819">
        <f>INDEX(CA30:CA36,MATCH(E47,A30:A36))</f>
        <v>0</v>
      </c>
      <c r="CB43" s="819">
        <f>INDEX(CB30:CB36,MATCH(E47,A30:A36))</f>
        <v>44</v>
      </c>
      <c r="CC43" s="819">
        <f>INDEX(CC30:CC36,MATCH(E47,A30:A36))</f>
        <v>41</v>
      </c>
      <c r="CD43" s="819">
        <f>INDEX(CD30:CD36,MATCH(E47,A30:A36))</f>
        <v>53</v>
      </c>
      <c r="CE43" s="819">
        <f>INDEX(CE30:CE36,MATCH(E47,A30:A36))</f>
        <v>48</v>
      </c>
      <c r="CF43" s="819">
        <f>INDEX(CF30:CF36,MATCH(E47,A30:A36))</f>
        <v>110</v>
      </c>
      <c r="CG43" s="819">
        <f>INDEX(CG30:CG36,MATCH(E47,A30:A36))</f>
        <v>0</v>
      </c>
      <c r="CH43" s="819">
        <f>INDEX(CH30:CH36,MATCH(E47,A30:A36))</f>
        <v>56</v>
      </c>
      <c r="CI43" s="819">
        <f>INDEX(CI30:CI36,MATCH(E47,A30:A36))</f>
        <v>81</v>
      </c>
      <c r="CJ43" s="819">
        <f>INDEX(CJ30:CJ36,MATCH(E47,A30:A36))</f>
        <v>0</v>
      </c>
      <c r="CK43" s="819">
        <f>INDEX(CK30:CK36,MATCH(E47,A30:A36))</f>
        <v>221</v>
      </c>
      <c r="CL43" s="819">
        <f>INDEX(CL30:CL36,MATCH(E47,A30:A36))</f>
        <v>0</v>
      </c>
      <c r="CM43" s="819">
        <f>INDEX(CM30:CM36,MATCH(E47,A30:A36))</f>
        <v>31</v>
      </c>
      <c r="CN43" s="819">
        <f>INDEX(CN30:CN36,MATCH(E47,A30:A36))</f>
        <v>9</v>
      </c>
      <c r="CO43" s="819">
        <f>INDEX(CO30:CO36,MATCH(E47,A30:A36))</f>
        <v>275</v>
      </c>
      <c r="CP43" s="819">
        <f>INDEX(CP30:CP36,MATCH(E47,A30:A36))</f>
        <v>16</v>
      </c>
      <c r="CQ43" s="819">
        <f>INDEX(CQ30:CQ36,MATCH(E47,A30:A36))</f>
        <v>0</v>
      </c>
      <c r="CR43" s="1614">
        <f>INDEX(CR30:CR36,MATCH(E47,A30:A36))</f>
        <v>195</v>
      </c>
      <c r="CS43" s="819">
        <f>INDEX(CS30:CS36,MATCH(E47,A30:A36))</f>
        <v>242</v>
      </c>
      <c r="CT43" s="819">
        <f>INDEX(CT30:CT36,MATCH(E47,A30:A36))</f>
        <v>284</v>
      </c>
      <c r="CU43" s="819">
        <f>INDEX(CU30:CU36,MATCH(E47,A30:A36))</f>
        <v>96</v>
      </c>
      <c r="CV43" s="819">
        <f>INDEX(CV30:CV36,MATCH(E47,A30:A36))</f>
        <v>154</v>
      </c>
      <c r="CW43" s="819">
        <f>INDEX(CW30:CW36,MATCH(E47,A30:A36))</f>
        <v>100</v>
      </c>
      <c r="CX43" s="819">
        <f>INDEX(CX30:CX36,MATCH(E47,A30:A36))</f>
        <v>149</v>
      </c>
      <c r="CY43" s="819">
        <f>INDEX(CY30:CY36,MATCH(E47,A30:A36))</f>
        <v>0</v>
      </c>
      <c r="CZ43" s="819">
        <f>INDEX(CZ30:CZ36,MATCH(E47,A30:A36))</f>
        <v>90</v>
      </c>
      <c r="DA43" s="819">
        <f>INDEX(DA30:DA36,MATCH(E47,A30:A36))</f>
        <v>34</v>
      </c>
      <c r="DB43" s="819">
        <f>INDEX(DB30:DB36,MATCH(E47,A30:A36))</f>
        <v>122</v>
      </c>
      <c r="DC43" s="819">
        <f>INDEX(DC30:DC36,MATCH(E47,A30:A36))</f>
        <v>402</v>
      </c>
      <c r="DD43" s="819">
        <f>INDEX(DD30:DD36,MATCH(E47,A30:A36))</f>
        <v>106</v>
      </c>
      <c r="DE43" s="819">
        <f>INDEX(DE30:DE36,MATCH(E47,A30:A36))</f>
        <v>105</v>
      </c>
      <c r="DF43" s="819">
        <f>INDEX(DF30:DF36,MATCH(E47,A30:A36))</f>
        <v>105</v>
      </c>
      <c r="DG43" s="819">
        <f>INDEX(DG31:DG36,MATCH(E47,A31:A36))</f>
        <v>0</v>
      </c>
      <c r="DH43" s="819">
        <f>INDEX(DH31:DH36,MATCH(E47,A31:A36))</f>
        <v>214</v>
      </c>
      <c r="DI43" s="819">
        <f>INDEX(DI31:DI36,MATCH(E47,A31:A36))</f>
        <v>36</v>
      </c>
      <c r="DJ43" s="819">
        <f>INDEX(DJ31:DJ36,MATCH(E47,A31:A36))</f>
        <v>73</v>
      </c>
      <c r="DK43" s="819">
        <f>INDEX(DK31:DK36,MATCH(E47,A31:A36))</f>
        <v>114</v>
      </c>
      <c r="DL43" s="819">
        <f>INDEX(DL31:DL36,MATCH(E47,A31:A36))</f>
        <v>115</v>
      </c>
      <c r="DM43" s="819">
        <f>INDEX(DM31:DM36,MATCH(E47,A31:A36))</f>
        <v>100</v>
      </c>
      <c r="DN43" s="819">
        <f>INDEX(DN31:DN36,MATCH(E47,A31:A36))</f>
        <v>0</v>
      </c>
      <c r="DO43" s="819">
        <f>INDEX(DO31:DO36,MATCH(E47,A31:A36))</f>
        <v>52</v>
      </c>
      <c r="DP43" s="819">
        <f>INDEX(DP31:DP36,MATCH(E47,A31:A36))</f>
        <v>0</v>
      </c>
      <c r="DQ43" s="819">
        <f>INDEX(DQ31:DQ36,MATCH(E47,A31:A36))</f>
        <v>162</v>
      </c>
      <c r="DR43" s="819">
        <f>INDEX(DR31:DR36,MATCH(E47,A31:A36))</f>
        <v>108</v>
      </c>
      <c r="DS43" s="819">
        <f>INDEX(DS31:DS36,MATCH(E47,A31:A36))</f>
        <v>0</v>
      </c>
      <c r="DT43" s="819">
        <f>INDEX(DT31:DT36,MATCH(E47,A31:A36))</f>
        <v>6</v>
      </c>
      <c r="DU43" s="819">
        <f>INDEX(DU31:DU36,MATCH(E47,A31:A36))</f>
        <v>0</v>
      </c>
      <c r="DV43" s="819">
        <f>INDEX(DV31:DV36,MATCH(E47,A31:A36))</f>
        <v>75</v>
      </c>
      <c r="DW43" s="819">
        <f>INDEX(DW31:DW36,MATCH(E47,A31:A36))</f>
        <v>55</v>
      </c>
      <c r="DX43" s="819">
        <f>INDEX(DX31:DX36,MATCH(E47,A31:A36))</f>
        <v>0</v>
      </c>
      <c r="DY43" s="819"/>
      <c r="DZ43" s="819">
        <f>INDEX(DZ30:DZ36,MATCH(E47,A30:A36))</f>
        <v>909</v>
      </c>
      <c r="EA43" s="819">
        <f>INDEX(EA30:EA36,MATCH(E47,A30:A36))</f>
        <v>0</v>
      </c>
      <c r="EB43" s="819">
        <f>INDEX(EB30:EB36,MATCH(E47,A30:A36))</f>
        <v>150</v>
      </c>
      <c r="EC43" s="819">
        <f>INDEX(EC30:EC36,MATCH(E47,A30:A36))</f>
        <v>0</v>
      </c>
      <c r="ED43" s="819">
        <f>INDEX(ED30:ED36,MATCH(E47,A30:A36))</f>
        <v>32</v>
      </c>
      <c r="EE43" s="819">
        <f>INDEX(EE30:EE36,MATCH(E47,A30:A36))</f>
        <v>228</v>
      </c>
      <c r="EF43" s="819">
        <f>INDEX(EF30:EF36,MATCH(E47,A30:A36))</f>
        <v>0</v>
      </c>
      <c r="EG43" s="819">
        <f>INDEX(EG30:EG36,MATCH(E47,A30:A36))</f>
        <v>0</v>
      </c>
      <c r="EH43" s="819">
        <f>INDEX(EH30:EH36,MATCH(E47,A30:A36))</f>
        <v>38</v>
      </c>
      <c r="EI43" s="819">
        <f>INDEX(EI30:EI36,MATCH(E47,A30:A36))</f>
        <v>72</v>
      </c>
      <c r="EJ43" s="819">
        <f>INDEX(EJ30:EJ36,MATCH(E47,A30:A36))</f>
        <v>8</v>
      </c>
      <c r="EK43" s="819">
        <f>INDEX(EK30:EK36,MATCH(E47,A30:A36))</f>
        <v>88</v>
      </c>
      <c r="EL43" s="819">
        <f>INDEX(EL30:EL36,MATCH(E47,A30:A36))</f>
        <v>33</v>
      </c>
      <c r="EM43" s="819">
        <f>INDEX(EM30:EM36,MATCH(E47,A30:A36))</f>
        <v>64</v>
      </c>
      <c r="EN43" s="819">
        <f>INDEX(EN30:EN36,MATCH(E47,A30:A36))</f>
        <v>0</v>
      </c>
      <c r="EO43" s="819">
        <f>INDEX(EO30:EO36,MATCH(E47,A30:A36))</f>
        <v>0</v>
      </c>
      <c r="EP43" s="819">
        <f>INDEX(EP30:EP36,MATCH(E47,A30:A36))</f>
        <v>0</v>
      </c>
      <c r="EQ43" s="819">
        <f>INDEX(EQ30:EQ36,MATCH(E47,A30:A36))</f>
        <v>32</v>
      </c>
      <c r="ER43" s="819">
        <f>INDEX(ER30:ER36,MATCH(E47,A30:A36))</f>
        <v>25</v>
      </c>
      <c r="ES43" s="819">
        <f>INDEX(ES30:ES36,MATCH(E47,A30:A36))</f>
        <v>80</v>
      </c>
      <c r="ET43" s="819">
        <f>INDEX(ET30:ET36,MATCH(E47,A30:A36))</f>
        <v>0</v>
      </c>
      <c r="EU43" s="819">
        <f>INDEX(EU30:EU36,MATCH(E47,A30:A36))</f>
        <v>0</v>
      </c>
      <c r="EV43" s="819">
        <f>INDEX(EV30:EV36,MATCH(E47,A30:A36))</f>
        <v>32</v>
      </c>
      <c r="EW43" s="819">
        <f>INDEX(EW30:EW36,MATCH(E47,A30:A36))</f>
        <v>52</v>
      </c>
      <c r="EX43" s="819">
        <f>INDEX(EX30:EX36,MATCH(E47,A30:A36))</f>
        <v>34</v>
      </c>
      <c r="EY43" s="819">
        <f>INDEX(EY30:EY36,MATCH(E47,A30:A36))</f>
        <v>21</v>
      </c>
      <c r="EZ43" s="819">
        <f>INDEX(EZ30:EZ36,MATCH(E47,A30:A36))</f>
        <v>0</v>
      </c>
      <c r="FA43" s="819">
        <f>INDEX(FA30:FA36,MATCH(E47,A30:A36))</f>
        <v>11</v>
      </c>
      <c r="FB43" s="819">
        <f>INDEX(FB30:FB36,MATCH(E47,A30:A36))</f>
        <v>0</v>
      </c>
      <c r="FC43" s="819">
        <f>INDEX(FC30:FC36,MATCH(E47,A30:A36))</f>
        <v>0</v>
      </c>
      <c r="FD43" s="819">
        <f>INDEX(FD30:FD36,MATCH(E47,A30:A36))</f>
        <v>240</v>
      </c>
      <c r="FE43" s="819">
        <f>INDEX(FE30:FE36,MATCH(E47,A30:A36))</f>
        <v>0</v>
      </c>
      <c r="FF43" s="819">
        <f>INDEX(FF30:FF36,MATCH(E47,A30:A36))</f>
        <v>0</v>
      </c>
      <c r="FG43" s="820">
        <f>INDEX(FG30:FG36,MATCH(E47,A30:A36))</f>
        <v>170</v>
      </c>
      <c r="FH43" s="820">
        <f>INDEX(FH30:FH36,MATCH(E47,A30:A36))</f>
        <v>0</v>
      </c>
      <c r="FI43" s="820">
        <f>INDEX(FI30:FI36,MATCH(E47,A30:A36))</f>
        <v>0</v>
      </c>
      <c r="FJ43" s="820">
        <f>INDEX(FJ30:FJ36,MATCH(E47,A30:A36))</f>
        <v>213</v>
      </c>
      <c r="FK43" s="820">
        <f>INDEX(FK30:FK36,MATCH(E47,A30:A36))</f>
        <v>0</v>
      </c>
      <c r="FL43" s="820">
        <f>INDEX(FL30:FL36,MATCH(E47,A30:A36))</f>
        <v>96</v>
      </c>
      <c r="FM43" s="820">
        <f>INDEX(FM30:FM36,MATCH(E47,A30:A36))</f>
        <v>143</v>
      </c>
      <c r="FN43" s="820">
        <f>INDEX(FN30:FN36,MATCH(E47,A30:A36))</f>
        <v>0</v>
      </c>
      <c r="FO43" s="820">
        <f>INDEX(FO30:FO36,MATCH(E47,A30:A36))</f>
        <v>286</v>
      </c>
      <c r="FP43" s="820">
        <f>INDEX(FP30:FP36,MATCH(E47,A30:A36))</f>
        <v>53</v>
      </c>
      <c r="FQ43" s="820">
        <f>INDEX(FQ30:FQ36,MATCH(E47,A30:A36))</f>
        <v>172</v>
      </c>
      <c r="FR43" s="820">
        <f>INDEX(FR30:FR36,MATCH(E47,A30:A36))</f>
        <v>94</v>
      </c>
      <c r="FS43" s="820">
        <f>INDEX(FS30:FS36,MATCH(E47,A30:A36))</f>
        <v>105</v>
      </c>
      <c r="FT43" s="820">
        <f>INDEX(FT31:FT36,MATCH(E47,A31:A36))</f>
        <v>91</v>
      </c>
      <c r="FU43" s="820">
        <f>INDEX(FU31:FU36,MATCH(E47,A31:A36))</f>
        <v>0</v>
      </c>
      <c r="FV43" s="820">
        <f>INDEX(FV31:FV36,MATCH(E47,A31:A36))</f>
        <v>0</v>
      </c>
      <c r="FW43" s="820">
        <f>INDEX(FW31:FW36,MATCH(E47,A31:A36))</f>
        <v>95</v>
      </c>
      <c r="FX43" s="820">
        <f>INDEX(FX31:FX36,MATCH(E47,A31:A36))</f>
        <v>800</v>
      </c>
      <c r="FY43" s="820">
        <f>INDEX(FY31:FY36,MATCH(E47,A31:A36))</f>
        <v>187</v>
      </c>
      <c r="FZ43" s="820">
        <f>INDEX(FZ31:FZ36,MATCH(E47,A31:A36))</f>
        <v>0</v>
      </c>
      <c r="GA43" s="820">
        <f>INDEX(GA31:GA36,MATCH(E47,A31:A36))</f>
        <v>150</v>
      </c>
      <c r="GB43" s="820">
        <f>INDEX(GB31:GB36,MATCH(E47,A31:A36))</f>
        <v>0</v>
      </c>
      <c r="GC43" s="820">
        <f>INDEX(GC31:GC36,MATCH(E47,A31:A36))</f>
        <v>0</v>
      </c>
      <c r="GD43" s="820">
        <f>INDEX(GD31:GD36,MATCH(E47,A31:A36))</f>
        <v>90</v>
      </c>
      <c r="GE43" s="820">
        <f>INDEX(GE31:GE36,MATCH(E47,A31:A36))</f>
        <v>0</v>
      </c>
      <c r="GF43" s="820">
        <f>INDEX(GF31:GF36,MATCH(E47,A31:A36))</f>
        <v>0</v>
      </c>
      <c r="GG43" s="820"/>
      <c r="GH43" s="867">
        <f>SUM(B43:GG43)</f>
        <v>13227</v>
      </c>
      <c r="GI43" s="892" t="s">
        <v>746</v>
      </c>
      <c r="GJ43" s="893"/>
      <c r="GK43" s="893"/>
      <c r="GL43" s="893"/>
      <c r="GM43" s="893"/>
      <c r="GN43" s="893"/>
      <c r="GO43" s="893"/>
      <c r="GP43" s="893"/>
      <c r="GQ43" s="893"/>
      <c r="GR43" s="893"/>
      <c r="GS43" s="893"/>
      <c r="GT43" s="893"/>
      <c r="GU43" s="893"/>
      <c r="GV43" s="894"/>
      <c r="GW43" s="894"/>
    </row>
    <row r="44" spans="1:278" ht="36.75" customHeight="1">
      <c r="EE44" s="138"/>
    </row>
    <row r="45" spans="1:278" ht="36.75" customHeight="1">
      <c r="EE45" s="138"/>
      <c r="GN45" s="134"/>
      <c r="GO45" s="134"/>
    </row>
    <row r="46" spans="1:278" ht="28.5" customHeight="1">
      <c r="A46" s="151"/>
      <c r="B46" s="5520" t="s">
        <v>691</v>
      </c>
      <c r="C46" s="5521"/>
      <c r="D46" s="1315">
        <f>MAX(GJ22:GJ25)</f>
        <v>10946</v>
      </c>
      <c r="E46" s="807">
        <f>INDEX(A21:A35,MATCH(D46,GJ21:GJ25,0))</f>
        <v>0.375</v>
      </c>
      <c r="EE46" s="138"/>
      <c r="FH46" s="1316"/>
    </row>
    <row r="47" spans="1:278" ht="24" customHeight="1">
      <c r="A47" s="174"/>
      <c r="B47" s="5522" t="s">
        <v>692</v>
      </c>
      <c r="C47" s="5523"/>
      <c r="D47" s="871">
        <f>MAX(GJ31:GJ36)</f>
        <v>13227</v>
      </c>
      <c r="E47" s="807">
        <f>INDEX(A31:A36,MATCH(D47,GJ31:GJ36,0))</f>
        <v>0.875</v>
      </c>
      <c r="EE47" s="138"/>
      <c r="FF47" s="134"/>
      <c r="FG47" s="134"/>
      <c r="FH47" s="134"/>
      <c r="FI47" s="134"/>
      <c r="FJ47" s="134"/>
      <c r="FK47" s="134"/>
      <c r="FL47" s="134"/>
      <c r="FM47" s="134"/>
      <c r="FN47" s="134"/>
      <c r="FO47" s="134"/>
      <c r="FP47" s="134"/>
      <c r="FQ47" s="134"/>
      <c r="FR47" s="134"/>
      <c r="FS47" s="134"/>
      <c r="FT47" s="134"/>
      <c r="FU47" s="134"/>
      <c r="FV47" s="134"/>
      <c r="FW47" s="134"/>
      <c r="FX47" s="134"/>
      <c r="FY47" s="134"/>
      <c r="FZ47" s="134"/>
      <c r="GA47" s="134"/>
      <c r="GB47" s="134"/>
      <c r="GC47" s="134"/>
      <c r="GD47" s="134"/>
      <c r="GE47" s="134"/>
      <c r="GF47" s="134"/>
      <c r="GN47" s="134"/>
    </row>
    <row r="48" spans="1:278">
      <c r="A48" s="163"/>
      <c r="B48" s="5519" t="s">
        <v>689</v>
      </c>
      <c r="C48" s="5519"/>
      <c r="D48" s="808">
        <f>MIN(GJ14:GJ21)</f>
        <v>11166</v>
      </c>
      <c r="E48" s="807">
        <f>INDEX(A14:A21,MATCH(D48,GJ14:GJ21,0))</f>
        <v>0.33333333333333331</v>
      </c>
    </row>
    <row r="49" spans="1:278">
      <c r="A49" s="164"/>
    </row>
    <row r="51" spans="1:278" ht="14.25">
      <c r="B51" s="134">
        <f>B25-B42</f>
        <v>0</v>
      </c>
      <c r="C51" s="134">
        <f t="shared" ref="C51:BI51" si="24">C25-C42</f>
        <v>0</v>
      </c>
      <c r="D51" s="134">
        <f t="shared" si="24"/>
        <v>0</v>
      </c>
      <c r="E51" s="134">
        <f t="shared" si="24"/>
        <v>-180</v>
      </c>
      <c r="F51" s="134">
        <f t="shared" si="24"/>
        <v>0</v>
      </c>
      <c r="G51" s="134">
        <f t="shared" si="24"/>
        <v>-83</v>
      </c>
      <c r="H51" s="134">
        <f t="shared" si="24"/>
        <v>0</v>
      </c>
      <c r="I51" s="134">
        <f t="shared" si="24"/>
        <v>-406</v>
      </c>
      <c r="J51" s="134">
        <f t="shared" si="24"/>
        <v>-320</v>
      </c>
      <c r="K51" s="134">
        <f t="shared" si="24"/>
        <v>0</v>
      </c>
      <c r="L51" s="134">
        <f t="shared" si="24"/>
        <v>0</v>
      </c>
      <c r="M51" s="134">
        <f t="shared" si="24"/>
        <v>-225</v>
      </c>
      <c r="N51" s="134">
        <f t="shared" si="24"/>
        <v>0</v>
      </c>
      <c r="O51" s="134">
        <f t="shared" si="24"/>
        <v>-7</v>
      </c>
      <c r="P51" s="134">
        <f t="shared" si="24"/>
        <v>0</v>
      </c>
      <c r="Q51" s="134">
        <f t="shared" si="24"/>
        <v>-30</v>
      </c>
      <c r="R51" s="134">
        <f t="shared" si="24"/>
        <v>0</v>
      </c>
      <c r="S51" s="134">
        <f t="shared" si="24"/>
        <v>0</v>
      </c>
      <c r="T51" s="134">
        <f t="shared" si="24"/>
        <v>0</v>
      </c>
      <c r="U51" s="134">
        <f t="shared" si="24"/>
        <v>-8</v>
      </c>
      <c r="V51" s="134">
        <f t="shared" si="24"/>
        <v>-8</v>
      </c>
      <c r="W51" s="134">
        <f t="shared" si="24"/>
        <v>-48</v>
      </c>
      <c r="X51" s="134">
        <f t="shared" si="24"/>
        <v>0</v>
      </c>
      <c r="Y51" s="134">
        <f t="shared" si="24"/>
        <v>0</v>
      </c>
      <c r="Z51" s="134">
        <f t="shared" si="24"/>
        <v>0</v>
      </c>
      <c r="AA51" s="134">
        <f t="shared" si="24"/>
        <v>0</v>
      </c>
      <c r="AB51" s="134">
        <f t="shared" si="24"/>
        <v>-35</v>
      </c>
      <c r="AC51" s="134">
        <f t="shared" si="24"/>
        <v>-55</v>
      </c>
      <c r="AD51" s="134">
        <f t="shared" si="24"/>
        <v>-35</v>
      </c>
      <c r="AE51" s="134">
        <f t="shared" si="24"/>
        <v>-19</v>
      </c>
      <c r="AF51" s="134">
        <f t="shared" si="24"/>
        <v>-25</v>
      </c>
      <c r="AG51" s="134">
        <f t="shared" si="24"/>
        <v>-27</v>
      </c>
      <c r="AH51" s="134">
        <f t="shared" si="24"/>
        <v>-33</v>
      </c>
      <c r="AI51" s="134">
        <f t="shared" si="24"/>
        <v>-30</v>
      </c>
      <c r="AJ51" s="134">
        <f t="shared" si="24"/>
        <v>-50</v>
      </c>
      <c r="AK51" s="134">
        <f t="shared" si="24"/>
        <v>0</v>
      </c>
      <c r="AL51" s="134">
        <f t="shared" si="24"/>
        <v>-82</v>
      </c>
      <c r="AM51" s="134">
        <f t="shared" si="24"/>
        <v>-35</v>
      </c>
      <c r="AN51" s="134">
        <f t="shared" si="24"/>
        <v>-100</v>
      </c>
      <c r="AO51" s="134">
        <f t="shared" si="24"/>
        <v>0</v>
      </c>
      <c r="AP51" s="134">
        <f t="shared" si="24"/>
        <v>-25</v>
      </c>
      <c r="AQ51" s="134">
        <f t="shared" si="24"/>
        <v>0</v>
      </c>
      <c r="AR51" s="134">
        <f t="shared" si="24"/>
        <v>0</v>
      </c>
      <c r="AS51" s="134">
        <f t="shared" si="24"/>
        <v>0</v>
      </c>
      <c r="AT51" s="134">
        <f t="shared" si="24"/>
        <v>0</v>
      </c>
      <c r="AU51" s="134">
        <f t="shared" si="24"/>
        <v>0</v>
      </c>
      <c r="AV51" s="134">
        <f t="shared" si="24"/>
        <v>-11</v>
      </c>
      <c r="AW51" s="134">
        <f t="shared" si="24"/>
        <v>-26</v>
      </c>
      <c r="AX51" s="134">
        <f t="shared" si="24"/>
        <v>-17</v>
      </c>
      <c r="AY51" s="134">
        <f t="shared" si="24"/>
        <v>-33</v>
      </c>
      <c r="AZ51" s="134">
        <f t="shared" si="24"/>
        <v>-11</v>
      </c>
      <c r="BA51" s="134">
        <f t="shared" si="24"/>
        <v>-25</v>
      </c>
      <c r="BB51" s="134">
        <f t="shared" si="24"/>
        <v>-15</v>
      </c>
      <c r="BC51" s="134">
        <f t="shared" si="24"/>
        <v>-3</v>
      </c>
      <c r="BD51" s="134">
        <f t="shared" si="24"/>
        <v>0</v>
      </c>
      <c r="BE51" s="134">
        <f t="shared" si="24"/>
        <v>0</v>
      </c>
      <c r="BF51" s="134">
        <f t="shared" si="24"/>
        <v>0</v>
      </c>
      <c r="BG51" s="134">
        <f t="shared" si="24"/>
        <v>-320</v>
      </c>
      <c r="BH51" s="134">
        <f t="shared" si="24"/>
        <v>-320</v>
      </c>
      <c r="BI51" s="134">
        <f t="shared" si="24"/>
        <v>-198</v>
      </c>
      <c r="BJ51" s="134">
        <f t="shared" ref="BJ51:FA51" si="25">BJ25-BJ42</f>
        <v>-8</v>
      </c>
      <c r="BK51" s="134">
        <f t="shared" si="25"/>
        <v>-135</v>
      </c>
      <c r="BL51" s="134">
        <f t="shared" si="25"/>
        <v>-39</v>
      </c>
      <c r="BM51" s="134">
        <f t="shared" si="25"/>
        <v>-49</v>
      </c>
      <c r="BN51" s="134">
        <f t="shared" si="25"/>
        <v>0</v>
      </c>
      <c r="BO51" s="134">
        <f t="shared" si="25"/>
        <v>-51</v>
      </c>
      <c r="BP51" s="134">
        <f t="shared" si="25"/>
        <v>0</v>
      </c>
      <c r="BQ51" s="134">
        <f t="shared" si="25"/>
        <v>-30</v>
      </c>
      <c r="BR51" s="134">
        <f t="shared" si="25"/>
        <v>-8</v>
      </c>
      <c r="BS51" s="134">
        <f t="shared" si="25"/>
        <v>-21</v>
      </c>
      <c r="BT51" s="134">
        <f t="shared" si="25"/>
        <v>-10</v>
      </c>
      <c r="BU51" s="134">
        <f t="shared" si="25"/>
        <v>-33</v>
      </c>
      <c r="BV51" s="134">
        <f t="shared" si="25"/>
        <v>-20</v>
      </c>
      <c r="BW51" s="134">
        <f t="shared" si="25"/>
        <v>-154</v>
      </c>
      <c r="BX51" s="134">
        <f t="shared" si="25"/>
        <v>-70</v>
      </c>
      <c r="BY51" s="134">
        <f t="shared" si="25"/>
        <v>0</v>
      </c>
      <c r="BZ51" s="134">
        <f t="shared" si="25"/>
        <v>-22</v>
      </c>
      <c r="CA51" s="134">
        <f t="shared" si="25"/>
        <v>-2</v>
      </c>
      <c r="CB51" s="134">
        <f t="shared" si="25"/>
        <v>-44</v>
      </c>
      <c r="CC51" s="134">
        <f t="shared" si="25"/>
        <v>-41</v>
      </c>
      <c r="CD51" s="134">
        <f t="shared" si="25"/>
        <v>-31</v>
      </c>
      <c r="CE51" s="134">
        <f t="shared" si="25"/>
        <v>-30</v>
      </c>
      <c r="CF51" s="134">
        <f t="shared" si="25"/>
        <v>-110</v>
      </c>
      <c r="CG51" s="134">
        <f t="shared" si="25"/>
        <v>0</v>
      </c>
      <c r="CH51" s="134">
        <f t="shared" si="25"/>
        <v>-60</v>
      </c>
      <c r="CI51" s="134">
        <f t="shared" si="25"/>
        <v>-10</v>
      </c>
      <c r="CJ51" s="134">
        <f t="shared" si="25"/>
        <v>0</v>
      </c>
      <c r="CK51" s="134">
        <f t="shared" si="25"/>
        <v>-220</v>
      </c>
      <c r="CL51" s="134">
        <f t="shared" si="25"/>
        <v>0</v>
      </c>
      <c r="CM51" s="134">
        <f t="shared" si="25"/>
        <v>-31</v>
      </c>
      <c r="CN51" s="134">
        <f t="shared" si="25"/>
        <v>-9</v>
      </c>
      <c r="CO51" s="134">
        <f t="shared" si="25"/>
        <v>-300</v>
      </c>
      <c r="CP51" s="134">
        <f t="shared" si="25"/>
        <v>-8</v>
      </c>
      <c r="CQ51" s="134">
        <f t="shared" si="25"/>
        <v>0</v>
      </c>
      <c r="CR51" s="134"/>
      <c r="CS51" s="134"/>
      <c r="CT51" s="134"/>
      <c r="CU51" s="134"/>
      <c r="CV51" s="134"/>
      <c r="CW51" s="134"/>
      <c r="CX51" s="134"/>
      <c r="CY51" s="134"/>
      <c r="CZ51" s="134"/>
      <c r="DA51" s="134"/>
      <c r="DB51" s="134"/>
      <c r="DC51" s="134"/>
      <c r="DD51" s="134"/>
      <c r="DE51" s="134"/>
      <c r="DF51" s="134"/>
      <c r="DG51" s="134"/>
      <c r="DH51" s="134"/>
      <c r="DI51" s="134"/>
      <c r="DJ51" s="134"/>
      <c r="DK51" s="134"/>
      <c r="DL51" s="134"/>
      <c r="DM51" s="134"/>
      <c r="DN51" s="134"/>
      <c r="DO51" s="134"/>
      <c r="DP51" s="134"/>
      <c r="DQ51" s="134"/>
      <c r="DR51" s="134"/>
      <c r="DS51" s="134"/>
      <c r="DT51" s="134"/>
      <c r="DU51" s="134"/>
      <c r="DV51" s="134"/>
      <c r="DW51" s="134"/>
      <c r="DX51" s="134"/>
      <c r="DY51" s="134">
        <f t="shared" si="25"/>
        <v>0</v>
      </c>
      <c r="DZ51" s="134">
        <f t="shared" si="25"/>
        <v>-915</v>
      </c>
      <c r="EA51" s="134">
        <f t="shared" si="25"/>
        <v>0</v>
      </c>
      <c r="EB51" s="134">
        <f t="shared" si="25"/>
        <v>-150</v>
      </c>
      <c r="EC51" s="134">
        <f t="shared" si="25"/>
        <v>0</v>
      </c>
      <c r="ED51" s="134">
        <f t="shared" si="25"/>
        <v>-16</v>
      </c>
      <c r="EE51" s="134">
        <f t="shared" si="25"/>
        <v>-237</v>
      </c>
      <c r="EF51" s="134">
        <f t="shared" si="25"/>
        <v>0</v>
      </c>
      <c r="EG51" s="134">
        <f t="shared" si="25"/>
        <v>0</v>
      </c>
      <c r="EH51" s="134">
        <f t="shared" si="25"/>
        <v>-21</v>
      </c>
      <c r="EI51" s="134">
        <f t="shared" si="25"/>
        <v>-60</v>
      </c>
      <c r="EJ51" s="134">
        <f t="shared" si="25"/>
        <v>0</v>
      </c>
      <c r="EK51" s="134">
        <f t="shared" si="25"/>
        <v>-88</v>
      </c>
      <c r="EL51" s="134">
        <f t="shared" si="25"/>
        <v>-18</v>
      </c>
      <c r="EM51" s="134">
        <f t="shared" si="25"/>
        <v>-48</v>
      </c>
      <c r="EN51" s="134">
        <f t="shared" si="25"/>
        <v>0</v>
      </c>
      <c r="EO51" s="134">
        <f t="shared" si="25"/>
        <v>0</v>
      </c>
      <c r="EP51" s="134">
        <f t="shared" si="25"/>
        <v>0</v>
      </c>
      <c r="EQ51" s="134">
        <f t="shared" si="25"/>
        <v>-32</v>
      </c>
      <c r="ER51" s="134">
        <f t="shared" si="25"/>
        <v>0</v>
      </c>
      <c r="ES51" s="134">
        <f t="shared" si="25"/>
        <v>-51</v>
      </c>
      <c r="ET51" s="134">
        <f t="shared" si="25"/>
        <v>0</v>
      </c>
      <c r="EU51" s="134">
        <f t="shared" si="25"/>
        <v>0</v>
      </c>
      <c r="EV51" s="134">
        <f t="shared" si="25"/>
        <v>-32</v>
      </c>
      <c r="EW51" s="134">
        <f t="shared" si="25"/>
        <v>-8</v>
      </c>
      <c r="EX51" s="134">
        <f t="shared" si="25"/>
        <v>-33</v>
      </c>
      <c r="EY51" s="134">
        <f t="shared" si="25"/>
        <v>-19</v>
      </c>
      <c r="EZ51" s="134">
        <f t="shared" si="25"/>
        <v>0</v>
      </c>
      <c r="FA51" s="134">
        <f t="shared" si="25"/>
        <v>-11</v>
      </c>
      <c r="FB51" s="134">
        <f t="shared" ref="FB51:FK51" si="26">FB25-FB42</f>
        <v>0</v>
      </c>
      <c r="FC51" s="134">
        <f t="shared" si="26"/>
        <v>0</v>
      </c>
      <c r="FD51" s="134">
        <f t="shared" si="26"/>
        <v>-250</v>
      </c>
      <c r="FE51" s="134">
        <f t="shared" si="26"/>
        <v>0</v>
      </c>
      <c r="FF51" s="134">
        <f t="shared" si="26"/>
        <v>0</v>
      </c>
      <c r="FG51" s="134">
        <f t="shared" si="26"/>
        <v>-179</v>
      </c>
      <c r="FH51" s="134">
        <f t="shared" si="26"/>
        <v>0</v>
      </c>
      <c r="FI51" s="134">
        <f t="shared" si="26"/>
        <v>0</v>
      </c>
      <c r="FJ51" s="134">
        <f t="shared" si="26"/>
        <v>-215</v>
      </c>
      <c r="FK51" s="134">
        <f t="shared" si="26"/>
        <v>0</v>
      </c>
      <c r="FL51" s="134"/>
      <c r="FM51" s="134"/>
      <c r="FN51" s="134"/>
      <c r="FO51" s="134"/>
      <c r="FP51" s="134"/>
      <c r="FQ51" s="134"/>
      <c r="FR51" s="134"/>
      <c r="FS51" s="134"/>
      <c r="FT51" s="134"/>
      <c r="FU51" s="134"/>
      <c r="FV51" s="134"/>
      <c r="FW51" s="134"/>
      <c r="FX51" s="134"/>
      <c r="FY51" s="134"/>
      <c r="FZ51" s="134"/>
      <c r="GA51" s="134"/>
      <c r="GB51" s="134"/>
      <c r="GC51" s="134"/>
      <c r="GD51" s="134"/>
      <c r="GE51" s="134"/>
      <c r="GF51" s="134"/>
      <c r="GG51" s="134">
        <f>GG25-GG42</f>
        <v>0</v>
      </c>
    </row>
    <row r="52" spans="1:278">
      <c r="FE52" s="134"/>
    </row>
    <row r="53" spans="1:278">
      <c r="B53" s="873"/>
    </row>
    <row r="54" spans="1:278">
      <c r="A54" s="157"/>
      <c r="B54" s="157"/>
      <c r="C54" s="157"/>
    </row>
    <row r="55" spans="1:278" s="4" customFormat="1">
      <c r="A55" s="157"/>
      <c r="B55" s="157"/>
      <c r="C55" s="157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K55" s="138"/>
      <c r="CL55" s="138"/>
      <c r="CM55" s="138"/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B55" s="138"/>
      <c r="EC55" s="138"/>
      <c r="ED55" s="138"/>
      <c r="EE55" s="126"/>
      <c r="EF55" s="138"/>
      <c r="EG55" s="138"/>
      <c r="EH55" s="138"/>
      <c r="EI55" s="138"/>
      <c r="EJ55" s="138"/>
      <c r="EK55" s="138"/>
      <c r="EL55" s="138"/>
      <c r="EM55" s="138"/>
      <c r="EN55" s="138"/>
      <c r="EO55" s="138"/>
      <c r="EP55" s="138"/>
      <c r="EQ55" s="138"/>
      <c r="ER55" s="138"/>
      <c r="ES55" s="138"/>
      <c r="ET55" s="138"/>
      <c r="EU55" s="138"/>
      <c r="EV55" s="138"/>
      <c r="EW55" s="138"/>
      <c r="EX55" s="138"/>
      <c r="EY55" s="138"/>
      <c r="EZ55" s="138"/>
      <c r="FA55" s="138"/>
      <c r="FB55" s="138"/>
      <c r="FC55" s="138"/>
      <c r="FD55" s="138"/>
      <c r="FE55" s="138"/>
      <c r="FF55" s="138"/>
      <c r="FG55" s="138"/>
      <c r="FH55" s="138"/>
      <c r="FI55" s="138"/>
      <c r="FJ55" s="138"/>
      <c r="FK55" s="138"/>
      <c r="FL55" s="138"/>
      <c r="FM55" s="138"/>
      <c r="FN55" s="138"/>
      <c r="FO55" s="138"/>
      <c r="FP55" s="138"/>
      <c r="FQ55" s="138"/>
      <c r="FR55" s="138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K55" s="138"/>
      <c r="GL55" s="138"/>
      <c r="GM55" s="138"/>
      <c r="GN55" s="138"/>
      <c r="GO55" s="138"/>
      <c r="GP55" s="138"/>
      <c r="GQ55" s="138"/>
      <c r="GR55" s="138"/>
      <c r="GS55" s="138"/>
      <c r="GT55" s="138"/>
      <c r="GU55" s="138"/>
      <c r="GV55" s="138"/>
      <c r="GW55" s="138"/>
      <c r="GX55" s="138"/>
      <c r="GY55" s="138"/>
      <c r="GZ55" s="138"/>
      <c r="HA55" s="138"/>
      <c r="HB55" s="138"/>
      <c r="HC55" s="138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IT55" s="138"/>
      <c r="IU55" s="138"/>
      <c r="IV55" s="138"/>
      <c r="IW55" s="138"/>
      <c r="IX55" s="138"/>
      <c r="IY55" s="138"/>
      <c r="IZ55" s="138"/>
      <c r="JA55" s="138"/>
      <c r="JB55" s="138"/>
      <c r="JC55" s="138"/>
      <c r="JD55" s="138"/>
      <c r="JE55" s="138"/>
      <c r="JF55" s="138"/>
      <c r="JG55" s="138"/>
      <c r="JH55" s="138"/>
      <c r="JI55" s="138"/>
      <c r="JJ55" s="138"/>
      <c r="JK55" s="138"/>
      <c r="JL55" s="138"/>
      <c r="JM55" s="138"/>
      <c r="JN55" s="138"/>
      <c r="JO55" s="138"/>
      <c r="JP55" s="138"/>
      <c r="JQ55" s="138"/>
      <c r="JR55" s="138"/>
    </row>
    <row r="56" spans="1:278" s="4" customFormat="1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  <c r="CK56" s="138"/>
      <c r="CL56" s="138"/>
      <c r="CM56" s="138"/>
      <c r="CN56" s="138"/>
      <c r="CO56" s="138"/>
      <c r="CP56" s="138"/>
      <c r="CQ56" s="138"/>
      <c r="CR56" s="138"/>
      <c r="CS56" s="138"/>
      <c r="CT56" s="138"/>
      <c r="CU56" s="138"/>
      <c r="CV56" s="138"/>
      <c r="CW56" s="138"/>
      <c r="CX56" s="138"/>
      <c r="CY56" s="138"/>
      <c r="CZ56" s="138"/>
      <c r="DA56" s="138"/>
      <c r="DB56" s="138"/>
      <c r="DC56" s="138"/>
      <c r="DD56" s="138"/>
      <c r="DE56" s="138"/>
      <c r="DF56" s="138"/>
      <c r="DG56" s="138"/>
      <c r="DH56" s="138"/>
      <c r="DI56" s="138"/>
      <c r="DJ56" s="138"/>
      <c r="DK56" s="138"/>
      <c r="DL56" s="138"/>
      <c r="DM56" s="138"/>
      <c r="DN56" s="138"/>
      <c r="DO56" s="138"/>
      <c r="DP56" s="138"/>
      <c r="DQ56" s="138"/>
      <c r="DR56" s="138"/>
      <c r="DS56" s="138"/>
      <c r="DT56" s="138"/>
      <c r="DU56" s="138"/>
      <c r="DV56" s="138"/>
      <c r="DW56" s="138"/>
      <c r="DX56" s="138"/>
      <c r="DY56" s="138"/>
      <c r="DZ56" s="138"/>
      <c r="EA56" s="138"/>
      <c r="EB56" s="138"/>
      <c r="EC56" s="138"/>
      <c r="ED56" s="138"/>
      <c r="EE56" s="126"/>
      <c r="EF56" s="138"/>
      <c r="EG56" s="138"/>
      <c r="EH56" s="138"/>
      <c r="EI56" s="138"/>
      <c r="EJ56" s="138"/>
      <c r="EK56" s="138"/>
      <c r="EL56" s="138"/>
      <c r="EM56" s="138"/>
      <c r="EN56" s="138"/>
      <c r="EO56" s="138"/>
      <c r="EP56" s="138"/>
      <c r="EQ56" s="138"/>
      <c r="ER56" s="138"/>
      <c r="ES56" s="138"/>
      <c r="ET56" s="138"/>
      <c r="EU56" s="138"/>
      <c r="EV56" s="138"/>
      <c r="EW56" s="138"/>
      <c r="EX56" s="138"/>
      <c r="EY56" s="138"/>
      <c r="EZ56" s="138"/>
      <c r="FA56" s="138"/>
      <c r="FB56" s="138"/>
      <c r="FC56" s="138"/>
      <c r="FD56" s="138"/>
      <c r="FE56" s="138"/>
      <c r="FF56" s="138"/>
      <c r="FG56" s="138"/>
      <c r="FH56" s="138"/>
      <c r="FI56" s="138"/>
      <c r="FJ56" s="138"/>
      <c r="FK56" s="138"/>
      <c r="FL56" s="138"/>
      <c r="FM56" s="138"/>
      <c r="FN56" s="138"/>
      <c r="FO56" s="138"/>
      <c r="FP56" s="138"/>
      <c r="FQ56" s="138"/>
      <c r="FR56" s="138"/>
      <c r="FS56" s="138"/>
      <c r="FT56" s="138"/>
      <c r="FU56" s="138"/>
      <c r="FV56" s="138"/>
      <c r="FW56" s="138"/>
      <c r="FX56" s="138"/>
      <c r="FY56" s="138"/>
      <c r="FZ56" s="138"/>
      <c r="GA56" s="138"/>
      <c r="GB56" s="138"/>
      <c r="GC56" s="138"/>
      <c r="GD56" s="138"/>
      <c r="GE56" s="138"/>
      <c r="GF56" s="138"/>
      <c r="GG56" s="138"/>
      <c r="GH56" s="138"/>
      <c r="GI56" s="138"/>
      <c r="GJ56" s="138"/>
      <c r="GK56" s="138"/>
      <c r="GL56" s="138"/>
      <c r="GM56" s="138"/>
      <c r="GN56" s="138"/>
      <c r="GO56" s="138"/>
      <c r="GP56" s="138"/>
      <c r="GQ56" s="138"/>
      <c r="GR56" s="138"/>
      <c r="GS56" s="138"/>
      <c r="GT56" s="138"/>
      <c r="GU56" s="138"/>
      <c r="GV56" s="138"/>
      <c r="GW56" s="138"/>
      <c r="GX56" s="138"/>
      <c r="GY56" s="138"/>
      <c r="GZ56" s="138"/>
      <c r="HA56" s="138"/>
      <c r="HB56" s="138"/>
      <c r="HC56" s="138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HT56" s="138"/>
      <c r="HU56" s="138"/>
      <c r="HV56" s="138"/>
      <c r="HW56" s="138"/>
      <c r="HX56" s="138"/>
      <c r="HY56" s="138"/>
      <c r="HZ56" s="138"/>
      <c r="IA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R56" s="138"/>
      <c r="IS56" s="138"/>
      <c r="IT56" s="138"/>
      <c r="IU56" s="138"/>
      <c r="IV56" s="138"/>
      <c r="IW56" s="138"/>
      <c r="IX56" s="138"/>
      <c r="IY56" s="138"/>
      <c r="IZ56" s="138"/>
      <c r="JA56" s="138"/>
      <c r="JB56" s="138"/>
      <c r="JC56" s="138"/>
      <c r="JD56" s="138"/>
      <c r="JE56" s="138"/>
      <c r="JF56" s="138"/>
      <c r="JG56" s="138"/>
      <c r="JH56" s="138"/>
      <c r="JI56" s="138"/>
      <c r="JJ56" s="138"/>
      <c r="JK56" s="138"/>
      <c r="JL56" s="138"/>
      <c r="JM56" s="138"/>
      <c r="JN56" s="138"/>
      <c r="JO56" s="138"/>
      <c r="JP56" s="138"/>
      <c r="JQ56" s="138"/>
      <c r="JR56" s="138"/>
    </row>
    <row r="57" spans="1:278" s="4" customFormat="1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  <c r="BJ57" s="138"/>
      <c r="BK57" s="138"/>
      <c r="BL57" s="138"/>
      <c r="BM57" s="138"/>
      <c r="BN57" s="138"/>
      <c r="BO57" s="138"/>
      <c r="BP57" s="138"/>
      <c r="BQ57" s="138"/>
      <c r="BR57" s="138"/>
      <c r="BS57" s="138"/>
      <c r="BT57" s="138"/>
      <c r="BU57" s="138"/>
      <c r="BV57" s="138"/>
      <c r="BW57" s="138"/>
      <c r="BX57" s="138"/>
      <c r="BY57" s="138"/>
      <c r="BZ57" s="138"/>
      <c r="CA57" s="138"/>
      <c r="CB57" s="138"/>
      <c r="CC57" s="138"/>
      <c r="CD57" s="138"/>
      <c r="CE57" s="138"/>
      <c r="CF57" s="138"/>
      <c r="CG57" s="138"/>
      <c r="CH57" s="138"/>
      <c r="CI57" s="138"/>
      <c r="CJ57" s="138"/>
      <c r="CK57" s="138"/>
      <c r="CL57" s="138"/>
      <c r="CM57" s="138"/>
      <c r="CN57" s="138"/>
      <c r="CO57" s="138"/>
      <c r="CP57" s="138"/>
      <c r="CQ57" s="138"/>
      <c r="CR57" s="138"/>
      <c r="CS57" s="138"/>
      <c r="CT57" s="138"/>
      <c r="CU57" s="138"/>
      <c r="CV57" s="138"/>
      <c r="CW57" s="138"/>
      <c r="CX57" s="138"/>
      <c r="CY57" s="138"/>
      <c r="CZ57" s="138"/>
      <c r="DA57" s="138"/>
      <c r="DB57" s="138"/>
      <c r="DC57" s="138"/>
      <c r="DD57" s="138"/>
      <c r="DE57" s="138"/>
      <c r="DF57" s="138"/>
      <c r="DG57" s="138"/>
      <c r="DH57" s="138"/>
      <c r="DI57" s="138"/>
      <c r="DJ57" s="138"/>
      <c r="DK57" s="138"/>
      <c r="DL57" s="138"/>
      <c r="DM57" s="138"/>
      <c r="DN57" s="138"/>
      <c r="DO57" s="138"/>
      <c r="DP57" s="138"/>
      <c r="DQ57" s="138"/>
      <c r="DR57" s="138"/>
      <c r="DS57" s="138"/>
      <c r="DT57" s="138"/>
      <c r="DU57" s="138"/>
      <c r="DV57" s="138"/>
      <c r="DW57" s="138"/>
      <c r="DX57" s="138"/>
      <c r="DY57" s="138"/>
      <c r="DZ57" s="138"/>
      <c r="EA57" s="138"/>
      <c r="EB57" s="138"/>
      <c r="EC57" s="138"/>
      <c r="ED57" s="138"/>
      <c r="EE57" s="126"/>
      <c r="EF57" s="138"/>
      <c r="EG57" s="138"/>
      <c r="EH57" s="138"/>
      <c r="EI57" s="138"/>
      <c r="EJ57" s="138"/>
      <c r="EK57" s="138"/>
      <c r="EL57" s="138"/>
      <c r="EM57" s="138"/>
      <c r="EN57" s="138"/>
      <c r="EO57" s="138"/>
      <c r="EP57" s="138"/>
      <c r="EQ57" s="138"/>
      <c r="ER57" s="138"/>
      <c r="ES57" s="138"/>
      <c r="ET57" s="138"/>
      <c r="EU57" s="138"/>
      <c r="EV57" s="138"/>
      <c r="EW57" s="138"/>
      <c r="EX57" s="138"/>
      <c r="EY57" s="138"/>
      <c r="EZ57" s="138"/>
      <c r="FA57" s="138"/>
      <c r="FB57" s="138"/>
      <c r="FC57" s="138"/>
      <c r="FD57" s="138"/>
      <c r="FE57" s="138"/>
      <c r="FF57" s="138"/>
      <c r="FG57" s="138"/>
      <c r="FH57" s="138"/>
      <c r="FI57" s="138"/>
      <c r="FJ57" s="138"/>
      <c r="FK57" s="138"/>
      <c r="FL57" s="138"/>
      <c r="FM57" s="138"/>
      <c r="FN57" s="138"/>
      <c r="FO57" s="138"/>
      <c r="FP57" s="138"/>
      <c r="FQ57" s="138"/>
      <c r="FR57" s="138"/>
      <c r="FS57" s="138"/>
      <c r="FT57" s="138"/>
      <c r="FU57" s="138"/>
      <c r="FV57" s="138"/>
      <c r="FW57" s="138"/>
      <c r="FX57" s="138"/>
      <c r="FY57" s="138"/>
      <c r="FZ57" s="138"/>
      <c r="GA57" s="138"/>
      <c r="GB57" s="138"/>
      <c r="GC57" s="138"/>
      <c r="GD57" s="138"/>
      <c r="GE57" s="138"/>
      <c r="GF57" s="138"/>
      <c r="GG57" s="138"/>
      <c r="GH57" s="138"/>
      <c r="GI57" s="138"/>
      <c r="GJ57" s="138"/>
      <c r="GK57" s="138"/>
      <c r="GL57" s="138"/>
      <c r="GM57" s="138"/>
      <c r="GN57" s="138"/>
      <c r="GO57" s="138"/>
      <c r="GP57" s="138"/>
      <c r="GQ57" s="138"/>
      <c r="GR57" s="138"/>
      <c r="GS57" s="138"/>
      <c r="GT57" s="138"/>
      <c r="GU57" s="138"/>
      <c r="GV57" s="138"/>
      <c r="GW57" s="138"/>
      <c r="GX57" s="138"/>
      <c r="GY57" s="138"/>
      <c r="GZ57" s="138"/>
      <c r="HA57" s="138"/>
      <c r="HB57" s="138"/>
      <c r="HC57" s="138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HT57" s="138"/>
      <c r="HU57" s="138"/>
      <c r="HV57" s="138"/>
      <c r="HW57" s="138"/>
      <c r="HX57" s="138"/>
      <c r="HY57" s="138"/>
      <c r="HZ57" s="138"/>
      <c r="IA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R57" s="138"/>
      <c r="IS57" s="138"/>
      <c r="IT57" s="138"/>
      <c r="IU57" s="138"/>
      <c r="IV57" s="138"/>
      <c r="IW57" s="138"/>
      <c r="IX57" s="138"/>
      <c r="IY57" s="138"/>
      <c r="IZ57" s="138"/>
      <c r="JA57" s="138"/>
      <c r="JB57" s="138"/>
      <c r="JC57" s="138"/>
      <c r="JD57" s="138"/>
      <c r="JE57" s="138"/>
      <c r="JF57" s="138"/>
      <c r="JG57" s="138"/>
      <c r="JH57" s="138"/>
      <c r="JI57" s="138"/>
      <c r="JJ57" s="138"/>
      <c r="JK57" s="138"/>
      <c r="JL57" s="138"/>
      <c r="JM57" s="138"/>
      <c r="JN57" s="138"/>
      <c r="JO57" s="138"/>
      <c r="JP57" s="138"/>
      <c r="JQ57" s="138"/>
      <c r="JR57" s="138"/>
    </row>
    <row r="58" spans="1:278" s="4" customFormat="1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  <c r="BJ58" s="138"/>
      <c r="BK58" s="138"/>
      <c r="BL58" s="138"/>
      <c r="BM58" s="138"/>
      <c r="BN58" s="138"/>
      <c r="BO58" s="138"/>
      <c r="BP58" s="138"/>
      <c r="BQ58" s="138"/>
      <c r="BR58" s="138"/>
      <c r="BS58" s="138"/>
      <c r="BT58" s="138"/>
      <c r="BU58" s="138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  <c r="CK58" s="138"/>
      <c r="CL58" s="138"/>
      <c r="CM58" s="138"/>
      <c r="CN58" s="138"/>
      <c r="CO58" s="138"/>
      <c r="CP58" s="138"/>
      <c r="CQ58" s="138"/>
      <c r="CR58" s="138"/>
      <c r="CS58" s="138"/>
      <c r="CT58" s="138"/>
      <c r="CU58" s="138"/>
      <c r="CV58" s="138"/>
      <c r="CW58" s="138"/>
      <c r="CX58" s="138"/>
      <c r="CY58" s="138"/>
      <c r="CZ58" s="138"/>
      <c r="DA58" s="138"/>
      <c r="DB58" s="138"/>
      <c r="DC58" s="138"/>
      <c r="DD58" s="138"/>
      <c r="DE58" s="138"/>
      <c r="DF58" s="138"/>
      <c r="DG58" s="138"/>
      <c r="DH58" s="138"/>
      <c r="DI58" s="138"/>
      <c r="DJ58" s="138"/>
      <c r="DK58" s="138"/>
      <c r="DL58" s="138"/>
      <c r="DM58" s="138"/>
      <c r="DN58" s="138"/>
      <c r="DO58" s="138"/>
      <c r="DP58" s="138"/>
      <c r="DQ58" s="138"/>
      <c r="DR58" s="138"/>
      <c r="DS58" s="138"/>
      <c r="DT58" s="138"/>
      <c r="DU58" s="138"/>
      <c r="DV58" s="138"/>
      <c r="DW58" s="138"/>
      <c r="DX58" s="138"/>
      <c r="DY58" s="138"/>
      <c r="DZ58" s="138"/>
      <c r="EA58" s="138"/>
      <c r="EB58" s="138"/>
      <c r="EC58" s="138"/>
      <c r="ED58" s="138"/>
      <c r="EE58" s="126"/>
      <c r="EF58" s="138"/>
      <c r="EG58" s="138"/>
      <c r="EH58" s="138"/>
      <c r="EI58" s="138"/>
      <c r="EJ58" s="138"/>
      <c r="EK58" s="138"/>
      <c r="EL58" s="138"/>
      <c r="EM58" s="138"/>
      <c r="EN58" s="138"/>
      <c r="EO58" s="138"/>
      <c r="EP58" s="138"/>
      <c r="EQ58" s="138"/>
      <c r="ER58" s="138"/>
      <c r="ES58" s="138"/>
      <c r="ET58" s="138"/>
      <c r="EU58" s="138"/>
      <c r="EV58" s="138"/>
      <c r="EW58" s="138"/>
      <c r="EX58" s="138"/>
      <c r="EY58" s="138"/>
      <c r="EZ58" s="138"/>
      <c r="FA58" s="138"/>
      <c r="FB58" s="138"/>
      <c r="FC58" s="138"/>
      <c r="FD58" s="138"/>
      <c r="FE58" s="138"/>
      <c r="FF58" s="138"/>
      <c r="FG58" s="138"/>
      <c r="FH58" s="138"/>
      <c r="FI58" s="138"/>
      <c r="FJ58" s="138"/>
      <c r="FK58" s="138"/>
      <c r="FL58" s="138"/>
      <c r="FM58" s="138"/>
      <c r="FN58" s="138"/>
      <c r="FO58" s="138"/>
      <c r="FP58" s="138"/>
      <c r="FQ58" s="138"/>
      <c r="FR58" s="138"/>
      <c r="FS58" s="138"/>
      <c r="FT58" s="138"/>
      <c r="FU58" s="138"/>
      <c r="FV58" s="138"/>
      <c r="FW58" s="138"/>
      <c r="FX58" s="138"/>
      <c r="FY58" s="138"/>
      <c r="FZ58" s="138"/>
      <c r="GA58" s="138"/>
      <c r="GB58" s="138"/>
      <c r="GC58" s="138"/>
      <c r="GD58" s="138"/>
      <c r="GE58" s="138"/>
      <c r="GF58" s="138"/>
      <c r="GG58" s="138"/>
      <c r="GH58" s="138"/>
      <c r="GI58" s="138"/>
      <c r="GJ58" s="138"/>
      <c r="GK58" s="138"/>
      <c r="GL58" s="138"/>
      <c r="GM58" s="138"/>
      <c r="GN58" s="138"/>
      <c r="GO58" s="138"/>
      <c r="GP58" s="138"/>
      <c r="GQ58" s="138"/>
      <c r="GR58" s="138"/>
      <c r="GS58" s="138"/>
      <c r="GT58" s="138"/>
      <c r="GU58" s="138"/>
      <c r="GV58" s="138"/>
      <c r="GW58" s="138"/>
      <c r="GX58" s="138"/>
      <c r="GY58" s="138"/>
      <c r="GZ58" s="138"/>
      <c r="HA58" s="138"/>
      <c r="HB58" s="138"/>
      <c r="HC58" s="138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HT58" s="138"/>
      <c r="HU58" s="138"/>
      <c r="HV58" s="138"/>
      <c r="HW58" s="138"/>
      <c r="HX58" s="138"/>
      <c r="HY58" s="138"/>
      <c r="HZ58" s="138"/>
      <c r="IA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R58" s="138"/>
      <c r="IS58" s="138"/>
      <c r="IT58" s="138"/>
      <c r="IU58" s="138"/>
      <c r="IV58" s="138"/>
      <c r="IW58" s="138"/>
      <c r="IX58" s="138"/>
      <c r="IY58" s="138"/>
      <c r="IZ58" s="138"/>
      <c r="JA58" s="138"/>
      <c r="JB58" s="138"/>
      <c r="JC58" s="138"/>
      <c r="JD58" s="138"/>
      <c r="JE58" s="138"/>
      <c r="JF58" s="138"/>
      <c r="JG58" s="138"/>
      <c r="JH58" s="138"/>
      <c r="JI58" s="138"/>
      <c r="JJ58" s="138"/>
      <c r="JK58" s="138"/>
      <c r="JL58" s="138"/>
      <c r="JM58" s="138"/>
      <c r="JN58" s="138"/>
      <c r="JO58" s="138"/>
      <c r="JP58" s="138"/>
      <c r="JQ58" s="138"/>
      <c r="JR58" s="138"/>
    </row>
    <row r="59" spans="1:278" s="4" customFormat="1" ht="44.25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8"/>
      <c r="BH59" s="138"/>
      <c r="BI59" s="138"/>
      <c r="BJ59" s="138"/>
      <c r="BK59" s="138"/>
      <c r="BL59" s="138"/>
      <c r="BM59" s="138"/>
      <c r="BN59" s="138"/>
      <c r="BO59" s="138"/>
      <c r="BP59" s="138"/>
      <c r="BQ59" s="138"/>
      <c r="BR59" s="138"/>
      <c r="BS59" s="138"/>
      <c r="BT59" s="138"/>
      <c r="BU59" s="138"/>
      <c r="BV59" s="138"/>
      <c r="BW59" s="138"/>
      <c r="BX59" s="138"/>
      <c r="BY59" s="138"/>
      <c r="BZ59" s="138"/>
      <c r="CA59" s="138"/>
      <c r="CB59" s="138"/>
      <c r="CC59" s="138"/>
      <c r="CD59" s="138"/>
      <c r="CE59" s="138"/>
      <c r="CF59" s="138"/>
      <c r="CG59" s="138"/>
      <c r="CH59" s="138"/>
      <c r="CI59" s="138"/>
      <c r="CJ59" s="138"/>
      <c r="CK59" s="138"/>
      <c r="CL59" s="138"/>
      <c r="CM59" s="138"/>
      <c r="CN59" s="138"/>
      <c r="CO59" s="138"/>
      <c r="CP59" s="138"/>
      <c r="CQ59" s="138"/>
      <c r="CR59" s="138"/>
      <c r="CS59" s="138"/>
      <c r="CT59" s="138"/>
      <c r="CU59" s="138"/>
      <c r="CV59" s="138"/>
      <c r="CW59" s="138"/>
      <c r="CX59" s="138"/>
      <c r="CY59" s="138"/>
      <c r="CZ59" s="138"/>
      <c r="DA59" s="138"/>
      <c r="DB59" s="138"/>
      <c r="DC59" s="138"/>
      <c r="DD59" s="138"/>
      <c r="DE59" s="138"/>
      <c r="DF59" s="138"/>
      <c r="DG59" s="138"/>
      <c r="DH59" s="138"/>
      <c r="DI59" s="138"/>
      <c r="DJ59" s="138"/>
      <c r="DK59" s="138"/>
      <c r="DL59" s="138"/>
      <c r="DM59" s="138"/>
      <c r="DN59" s="138"/>
      <c r="DO59" s="138"/>
      <c r="DP59" s="138"/>
      <c r="DQ59" s="138"/>
      <c r="DR59" s="138"/>
      <c r="DS59" s="138"/>
      <c r="DT59" s="138"/>
      <c r="DU59" s="138"/>
      <c r="DV59" s="138"/>
      <c r="DW59" s="138"/>
      <c r="DX59" s="138"/>
      <c r="DY59" s="138"/>
      <c r="DZ59" s="137"/>
      <c r="EA59" s="137"/>
      <c r="EB59" s="137"/>
      <c r="EC59" s="137"/>
      <c r="ED59" s="137"/>
      <c r="EE59" s="137"/>
      <c r="EF59" s="137"/>
      <c r="EG59" s="137"/>
      <c r="EH59" s="137"/>
      <c r="EI59" s="137"/>
      <c r="EJ59" s="137"/>
      <c r="EK59" s="137"/>
      <c r="EL59" s="137"/>
      <c r="EM59" s="137"/>
      <c r="EN59" s="137"/>
      <c r="EO59" s="137"/>
      <c r="EP59" s="137"/>
      <c r="EQ59" s="137"/>
      <c r="ER59" s="137"/>
      <c r="ES59" s="137"/>
      <c r="ET59" s="137"/>
      <c r="EU59" s="137"/>
      <c r="EV59" s="137"/>
      <c r="EW59" s="137"/>
      <c r="EX59" s="137"/>
      <c r="EY59" s="137"/>
      <c r="EZ59" s="137"/>
      <c r="FA59" s="137"/>
      <c r="FB59" s="137"/>
      <c r="FC59" s="137"/>
      <c r="FD59" s="137"/>
      <c r="FE59" s="137"/>
      <c r="FF59" s="137"/>
      <c r="FG59" s="137"/>
      <c r="FH59" s="137"/>
      <c r="FI59" s="137"/>
      <c r="FJ59" s="137"/>
      <c r="FK59" s="137"/>
      <c r="FL59" s="137"/>
      <c r="FM59" s="137"/>
      <c r="FN59" s="137"/>
      <c r="FO59" s="137"/>
      <c r="FP59" s="137"/>
      <c r="FQ59" s="137"/>
      <c r="FR59" s="137"/>
      <c r="FS59" s="137"/>
      <c r="FT59" s="137"/>
      <c r="FU59" s="137"/>
      <c r="FV59" s="137"/>
      <c r="FW59" s="137"/>
      <c r="FX59" s="137"/>
      <c r="FY59" s="137"/>
      <c r="FZ59" s="137"/>
      <c r="GA59" s="137"/>
      <c r="GB59" s="137"/>
      <c r="GC59" s="137"/>
      <c r="GD59" s="137"/>
      <c r="GE59" s="137"/>
      <c r="GF59" s="137"/>
      <c r="GG59" s="137"/>
      <c r="GH59" s="137"/>
      <c r="GI59" s="137"/>
      <c r="GJ59" s="138"/>
      <c r="GK59" s="138"/>
      <c r="GL59" s="138"/>
      <c r="GM59" s="138"/>
      <c r="GN59" s="138"/>
      <c r="GO59" s="138"/>
      <c r="GP59" s="138"/>
      <c r="GQ59" s="138"/>
      <c r="GR59" s="138"/>
      <c r="GS59" s="138"/>
      <c r="GT59" s="138"/>
      <c r="GU59" s="138"/>
      <c r="GV59" s="138"/>
      <c r="GW59" s="138"/>
      <c r="GX59" s="138"/>
      <c r="GY59" s="138"/>
      <c r="GZ59" s="138"/>
      <c r="HA59" s="138"/>
      <c r="HB59" s="138"/>
      <c r="HC59" s="138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HT59" s="138"/>
      <c r="HU59" s="138"/>
      <c r="HV59" s="138"/>
      <c r="HW59" s="138"/>
      <c r="HX59" s="138"/>
      <c r="HY59" s="138"/>
      <c r="HZ59" s="138"/>
      <c r="IA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R59" s="138"/>
      <c r="IS59" s="138"/>
      <c r="IT59" s="138"/>
      <c r="IU59" s="138"/>
      <c r="IV59" s="138"/>
      <c r="IW59" s="138"/>
      <c r="IX59" s="138"/>
      <c r="IY59" s="138"/>
      <c r="IZ59" s="138"/>
      <c r="JA59" s="138"/>
      <c r="JB59" s="138"/>
      <c r="JC59" s="138"/>
      <c r="JD59" s="138"/>
      <c r="JE59" s="138"/>
      <c r="JF59" s="138"/>
      <c r="JG59" s="138"/>
      <c r="JH59" s="138"/>
      <c r="JI59" s="138"/>
      <c r="JJ59" s="138"/>
      <c r="JK59" s="138"/>
      <c r="JL59" s="138"/>
      <c r="JM59" s="138"/>
      <c r="JN59" s="138"/>
      <c r="JO59" s="138"/>
      <c r="JP59" s="138"/>
      <c r="JQ59" s="138"/>
      <c r="JR59" s="138"/>
    </row>
    <row r="60" spans="1:278" s="4" customFormat="1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8"/>
      <c r="BH60" s="138"/>
      <c r="BI60" s="138"/>
      <c r="BJ60" s="138"/>
      <c r="BK60" s="138"/>
      <c r="BL60" s="138"/>
      <c r="BM60" s="138"/>
      <c r="BN60" s="138"/>
      <c r="BO60" s="138"/>
      <c r="BP60" s="138"/>
      <c r="BQ60" s="138"/>
      <c r="BR60" s="138"/>
      <c r="BS60" s="138"/>
      <c r="BT60" s="138"/>
      <c r="BU60" s="138"/>
      <c r="BV60" s="138"/>
      <c r="BW60" s="138"/>
      <c r="BX60" s="138"/>
      <c r="BY60" s="138"/>
      <c r="BZ60" s="138"/>
      <c r="CA60" s="138"/>
      <c r="CB60" s="138"/>
      <c r="CC60" s="138"/>
      <c r="CD60" s="138"/>
      <c r="CE60" s="138"/>
      <c r="CF60" s="138"/>
      <c r="CG60" s="138"/>
      <c r="CH60" s="138"/>
      <c r="CI60" s="138"/>
      <c r="CJ60" s="138"/>
      <c r="CK60" s="138"/>
      <c r="CL60" s="138"/>
      <c r="CM60" s="138"/>
      <c r="CN60" s="138"/>
      <c r="CO60" s="138"/>
      <c r="CP60" s="138"/>
      <c r="CQ60" s="138"/>
      <c r="CR60" s="138"/>
      <c r="CS60" s="138"/>
      <c r="CT60" s="138"/>
      <c r="CU60" s="138"/>
      <c r="CV60" s="138"/>
      <c r="CW60" s="138"/>
      <c r="CX60" s="138"/>
      <c r="CY60" s="138"/>
      <c r="CZ60" s="138"/>
      <c r="DA60" s="138"/>
      <c r="DB60" s="138"/>
      <c r="DC60" s="138"/>
      <c r="DD60" s="138"/>
      <c r="DE60" s="138"/>
      <c r="DF60" s="138"/>
      <c r="DG60" s="138"/>
      <c r="DH60" s="138"/>
      <c r="DI60" s="138"/>
      <c r="DJ60" s="138"/>
      <c r="DK60" s="138"/>
      <c r="DL60" s="138"/>
      <c r="DM60" s="138"/>
      <c r="DN60" s="138"/>
      <c r="DO60" s="138"/>
      <c r="DP60" s="138"/>
      <c r="DQ60" s="138"/>
      <c r="DR60" s="138"/>
      <c r="DS60" s="138"/>
      <c r="DT60" s="138"/>
      <c r="DU60" s="138"/>
      <c r="DV60" s="138"/>
      <c r="DW60" s="138"/>
      <c r="DX60" s="138"/>
      <c r="DY60" s="138"/>
      <c r="DZ60" s="138"/>
      <c r="EA60" s="138"/>
      <c r="EB60" s="138"/>
      <c r="EC60" s="138"/>
      <c r="ED60" s="138"/>
      <c r="EE60" s="126"/>
      <c r="EF60" s="138"/>
      <c r="EG60" s="138"/>
      <c r="EH60" s="138"/>
      <c r="EI60" s="138"/>
      <c r="EJ60" s="138"/>
      <c r="EK60" s="138"/>
      <c r="EL60" s="138"/>
      <c r="EM60" s="138"/>
      <c r="EN60" s="138"/>
      <c r="EO60" s="138"/>
      <c r="EP60" s="138"/>
      <c r="EQ60" s="138"/>
      <c r="ER60" s="138"/>
      <c r="ES60" s="138"/>
      <c r="ET60" s="138"/>
      <c r="EU60" s="138"/>
      <c r="EV60" s="138"/>
      <c r="EW60" s="138"/>
      <c r="EX60" s="138"/>
      <c r="EY60" s="138"/>
      <c r="EZ60" s="138"/>
      <c r="FA60" s="138"/>
      <c r="FB60" s="138"/>
      <c r="FC60" s="138"/>
      <c r="FD60" s="138"/>
      <c r="FE60" s="138"/>
      <c r="FF60" s="138"/>
      <c r="FG60" s="138"/>
      <c r="FH60" s="138"/>
      <c r="FI60" s="138"/>
      <c r="FJ60" s="138"/>
      <c r="FK60" s="138"/>
      <c r="FL60" s="138"/>
      <c r="FM60" s="138"/>
      <c r="FN60" s="138"/>
      <c r="FO60" s="138"/>
      <c r="FP60" s="138"/>
      <c r="FQ60" s="138"/>
      <c r="FR60" s="138"/>
      <c r="FS60" s="138"/>
      <c r="FT60" s="138"/>
      <c r="FU60" s="138"/>
      <c r="FV60" s="138"/>
      <c r="FW60" s="138"/>
      <c r="FX60" s="138"/>
      <c r="FY60" s="138"/>
      <c r="FZ60" s="138"/>
      <c r="GA60" s="138"/>
      <c r="GB60" s="138"/>
      <c r="GC60" s="138"/>
      <c r="GD60" s="138"/>
      <c r="GE60" s="138"/>
      <c r="GF60" s="138"/>
      <c r="GG60" s="138"/>
      <c r="GH60" s="138"/>
      <c r="GI60" s="138"/>
      <c r="GJ60" s="138"/>
      <c r="GK60" s="138"/>
      <c r="GL60" s="138"/>
      <c r="GM60" s="138"/>
      <c r="GN60" s="138"/>
      <c r="GO60" s="138"/>
      <c r="GP60" s="138"/>
      <c r="GQ60" s="138"/>
      <c r="GR60" s="138"/>
      <c r="GS60" s="138"/>
      <c r="GT60" s="138"/>
      <c r="GU60" s="138"/>
      <c r="GV60" s="138"/>
      <c r="GW60" s="138"/>
      <c r="GX60" s="138"/>
      <c r="GY60" s="138"/>
      <c r="GZ60" s="138"/>
      <c r="HA60" s="138"/>
      <c r="HB60" s="138"/>
      <c r="HC60" s="138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HT60" s="138"/>
      <c r="HU60" s="138"/>
      <c r="HV60" s="138"/>
      <c r="HW60" s="138"/>
      <c r="HX60" s="138"/>
      <c r="HY60" s="138"/>
      <c r="HZ60" s="138"/>
      <c r="IA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R60" s="138"/>
      <c r="IS60" s="138"/>
      <c r="IT60" s="138"/>
      <c r="IU60" s="138"/>
      <c r="IV60" s="138"/>
      <c r="IW60" s="138"/>
      <c r="IX60" s="138"/>
      <c r="IY60" s="138"/>
      <c r="IZ60" s="138"/>
      <c r="JA60" s="138"/>
      <c r="JB60" s="138"/>
      <c r="JC60" s="138"/>
      <c r="JD60" s="138"/>
      <c r="JE60" s="138"/>
      <c r="JF60" s="138"/>
      <c r="JG60" s="138"/>
      <c r="JH60" s="138"/>
      <c r="JI60" s="138"/>
      <c r="JJ60" s="138"/>
      <c r="JK60" s="138"/>
      <c r="JL60" s="138"/>
      <c r="JM60" s="138"/>
      <c r="JN60" s="138"/>
      <c r="JO60" s="138"/>
      <c r="JP60" s="138"/>
      <c r="JQ60" s="138"/>
      <c r="JR60" s="138"/>
    </row>
    <row r="61" spans="1:278" s="140" customFormat="1">
      <c r="B61" s="141"/>
      <c r="C61" s="141"/>
      <c r="D61" s="141"/>
      <c r="E61" s="141"/>
      <c r="F61" s="142"/>
      <c r="G61" s="143"/>
      <c r="H61" s="141"/>
      <c r="I61" s="144"/>
      <c r="J61" s="144"/>
      <c r="K61" s="144"/>
      <c r="L61" s="144"/>
      <c r="M61" s="145"/>
      <c r="N61" s="145"/>
      <c r="O61" s="145"/>
      <c r="P61" s="146"/>
      <c r="Q61" s="141"/>
      <c r="R61" s="141"/>
      <c r="S61" s="141"/>
      <c r="T61" s="141"/>
      <c r="U61" s="141"/>
      <c r="V61" s="142"/>
      <c r="W61" s="142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7"/>
      <c r="BQ61" s="147"/>
      <c r="BR61" s="142"/>
      <c r="BS61" s="141"/>
      <c r="BT61" s="148"/>
      <c r="BU61" s="142"/>
      <c r="BV61" s="142"/>
      <c r="BW61" s="142"/>
      <c r="BX61" s="142"/>
      <c r="BY61" s="142"/>
      <c r="BZ61" s="142"/>
      <c r="CA61" s="142"/>
      <c r="CB61" s="142"/>
      <c r="CC61" s="142"/>
      <c r="CD61" s="142"/>
      <c r="CE61" s="142"/>
      <c r="CF61" s="142"/>
      <c r="CG61" s="142"/>
      <c r="CH61" s="142"/>
      <c r="CI61" s="142"/>
      <c r="CJ61" s="142"/>
      <c r="CK61" s="142"/>
      <c r="CL61" s="142"/>
      <c r="CM61" s="142"/>
      <c r="CN61" s="142"/>
      <c r="CO61" s="142"/>
      <c r="CP61" s="142"/>
      <c r="CQ61" s="142"/>
      <c r="CR61" s="142"/>
      <c r="CS61" s="142"/>
      <c r="CT61" s="142"/>
      <c r="CU61" s="142"/>
      <c r="CV61" s="142"/>
      <c r="CW61" s="142"/>
      <c r="CX61" s="142"/>
      <c r="CY61" s="142"/>
      <c r="CZ61" s="142"/>
      <c r="DA61" s="142"/>
      <c r="DB61" s="142"/>
      <c r="DC61" s="142"/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DN61" s="142"/>
      <c r="DO61" s="142"/>
      <c r="DP61" s="142"/>
      <c r="DQ61" s="142"/>
      <c r="DR61" s="142"/>
      <c r="DS61" s="142"/>
      <c r="DT61" s="142"/>
      <c r="DU61" s="142"/>
      <c r="DV61" s="142"/>
      <c r="DW61" s="142"/>
      <c r="DX61" s="142"/>
      <c r="DY61" s="142"/>
      <c r="DZ61" s="138"/>
      <c r="EA61" s="138"/>
      <c r="EB61" s="138"/>
      <c r="EC61" s="138"/>
      <c r="ED61" s="138"/>
      <c r="EE61" s="126"/>
      <c r="EF61" s="138"/>
      <c r="EG61" s="138"/>
      <c r="EH61" s="138"/>
      <c r="EI61" s="138"/>
      <c r="EJ61" s="138"/>
      <c r="EK61" s="138"/>
      <c r="EL61" s="138"/>
      <c r="EM61" s="138"/>
      <c r="EN61" s="138"/>
      <c r="EO61" s="138"/>
      <c r="EP61" s="138"/>
      <c r="EQ61" s="138"/>
      <c r="ER61" s="138"/>
      <c r="ES61" s="138"/>
      <c r="ET61" s="138"/>
      <c r="EU61" s="138"/>
      <c r="EV61" s="138"/>
      <c r="EW61" s="138"/>
      <c r="EX61" s="138"/>
      <c r="EY61" s="138"/>
      <c r="EZ61" s="138"/>
      <c r="FA61" s="138"/>
      <c r="FB61" s="138"/>
      <c r="FC61" s="138"/>
      <c r="FD61" s="138"/>
      <c r="FE61" s="138"/>
      <c r="FF61" s="138"/>
      <c r="FG61" s="138"/>
      <c r="FH61" s="138"/>
      <c r="FI61" s="138"/>
      <c r="FJ61" s="138"/>
      <c r="FK61" s="138"/>
      <c r="FL61" s="138"/>
      <c r="FM61" s="138"/>
      <c r="FN61" s="138"/>
      <c r="FO61" s="138"/>
      <c r="FP61" s="138"/>
      <c r="FQ61" s="138"/>
      <c r="FR61" s="138"/>
      <c r="FS61" s="138"/>
      <c r="FT61" s="138"/>
      <c r="FU61" s="138"/>
      <c r="FV61" s="138"/>
      <c r="FW61" s="138"/>
      <c r="FX61" s="138"/>
      <c r="FY61" s="138"/>
      <c r="FZ61" s="138"/>
      <c r="GA61" s="138"/>
      <c r="GB61" s="138"/>
      <c r="GC61" s="138"/>
      <c r="GD61" s="138"/>
      <c r="GE61" s="138"/>
      <c r="GF61" s="138"/>
      <c r="GG61" s="138"/>
      <c r="GH61" s="138"/>
      <c r="GI61" s="138"/>
    </row>
    <row r="62" spans="1:278" s="140" customFormat="1" ht="44.25">
      <c r="B62" s="150"/>
      <c r="C62" s="150"/>
      <c r="D62" s="150"/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  <c r="AC62" s="150"/>
      <c r="AD62" s="150"/>
      <c r="AE62" s="150"/>
      <c r="AF62" s="150"/>
      <c r="AG62" s="150"/>
      <c r="AH62" s="150"/>
      <c r="AI62" s="150"/>
      <c r="AJ62" s="150"/>
      <c r="AK62" s="150"/>
      <c r="AL62" s="150"/>
      <c r="AM62" s="150"/>
      <c r="AN62" s="150"/>
      <c r="AO62" s="150"/>
      <c r="AP62" s="150"/>
      <c r="AQ62" s="150"/>
      <c r="AR62" s="150"/>
      <c r="AS62" s="150"/>
      <c r="AT62" s="150"/>
      <c r="AU62" s="150"/>
      <c r="AV62" s="150"/>
      <c r="AW62" s="150"/>
      <c r="AX62" s="150"/>
      <c r="AY62" s="150"/>
      <c r="AZ62" s="150"/>
      <c r="BA62" s="150"/>
      <c r="BB62" s="150"/>
      <c r="BC62" s="150"/>
      <c r="BD62" s="150"/>
      <c r="BE62" s="150"/>
      <c r="BF62" s="150"/>
      <c r="BG62" s="150"/>
      <c r="BH62" s="150"/>
      <c r="BI62" s="150"/>
      <c r="BJ62" s="150"/>
      <c r="BK62" s="150"/>
      <c r="BL62" s="150"/>
      <c r="BM62" s="150"/>
      <c r="BN62" s="150"/>
      <c r="BO62" s="150"/>
      <c r="BP62" s="150"/>
      <c r="BQ62" s="150"/>
      <c r="BR62" s="150"/>
      <c r="BS62" s="150"/>
      <c r="BT62" s="150"/>
      <c r="BU62" s="150"/>
      <c r="BV62" s="150"/>
      <c r="BW62" s="150"/>
      <c r="BX62" s="150"/>
      <c r="BY62" s="150"/>
      <c r="BZ62" s="150"/>
      <c r="CA62" s="150"/>
      <c r="CB62" s="150"/>
      <c r="CC62" s="150"/>
      <c r="CD62" s="150"/>
      <c r="CE62" s="150"/>
      <c r="CF62" s="150"/>
      <c r="CG62" s="150"/>
      <c r="CH62" s="150"/>
      <c r="CI62" s="150"/>
      <c r="CJ62" s="150"/>
      <c r="CK62" s="150"/>
      <c r="CL62" s="150"/>
      <c r="CM62" s="150"/>
      <c r="CN62" s="150"/>
      <c r="CO62" s="150"/>
      <c r="CP62" s="150"/>
      <c r="CQ62" s="150"/>
      <c r="CR62" s="150"/>
      <c r="CS62" s="150"/>
      <c r="CT62" s="150"/>
      <c r="CU62" s="150"/>
      <c r="CV62" s="150"/>
      <c r="CW62" s="150"/>
      <c r="CX62" s="150"/>
      <c r="CY62" s="150"/>
      <c r="CZ62" s="150"/>
      <c r="DA62" s="150"/>
      <c r="DB62" s="150"/>
      <c r="DC62" s="150"/>
      <c r="DD62" s="150"/>
      <c r="DE62" s="150"/>
      <c r="DF62" s="150"/>
      <c r="DG62" s="150"/>
      <c r="DH62" s="150"/>
      <c r="DI62" s="150"/>
      <c r="DJ62" s="150"/>
      <c r="DK62" s="150"/>
      <c r="DL62" s="150"/>
      <c r="DM62" s="150"/>
      <c r="DN62" s="150"/>
      <c r="DO62" s="150"/>
      <c r="DP62" s="150"/>
      <c r="DQ62" s="150"/>
      <c r="DR62" s="150"/>
      <c r="DS62" s="150"/>
      <c r="DT62" s="150"/>
      <c r="DU62" s="150"/>
      <c r="DV62" s="150"/>
      <c r="DW62" s="150"/>
      <c r="DX62" s="150"/>
      <c r="DY62" s="150"/>
      <c r="DZ62" s="138"/>
      <c r="EA62" s="138"/>
      <c r="EB62" s="138"/>
      <c r="EC62" s="138"/>
      <c r="ED62" s="138"/>
      <c r="EE62" s="126"/>
      <c r="EF62" s="138"/>
      <c r="EG62" s="138"/>
      <c r="EH62" s="138"/>
      <c r="EI62" s="138"/>
      <c r="EJ62" s="138"/>
      <c r="EK62" s="138"/>
      <c r="EL62" s="138"/>
      <c r="EM62" s="138"/>
      <c r="EN62" s="138"/>
      <c r="EO62" s="138"/>
      <c r="EP62" s="138"/>
      <c r="EQ62" s="138"/>
      <c r="ER62" s="138"/>
      <c r="ES62" s="138"/>
      <c r="ET62" s="138"/>
      <c r="EU62" s="138"/>
      <c r="EV62" s="138"/>
      <c r="EW62" s="138"/>
      <c r="EX62" s="138"/>
      <c r="EY62" s="138"/>
      <c r="EZ62" s="138"/>
      <c r="FA62" s="138"/>
      <c r="FB62" s="138"/>
      <c r="FC62" s="138"/>
      <c r="FD62" s="138"/>
      <c r="FE62" s="138"/>
      <c r="FF62" s="138"/>
      <c r="FG62" s="138"/>
      <c r="FH62" s="138"/>
      <c r="FI62" s="138"/>
      <c r="FJ62" s="138"/>
      <c r="FK62" s="138"/>
      <c r="FL62" s="138"/>
      <c r="FM62" s="138"/>
      <c r="FN62" s="138"/>
      <c r="FO62" s="138"/>
      <c r="FP62" s="138"/>
      <c r="FQ62" s="138"/>
      <c r="FR62" s="138"/>
      <c r="FS62" s="138"/>
      <c r="FT62" s="138"/>
      <c r="FU62" s="138"/>
      <c r="FV62" s="138"/>
      <c r="FW62" s="138"/>
      <c r="FX62" s="138"/>
      <c r="FY62" s="138"/>
      <c r="FZ62" s="138"/>
      <c r="GA62" s="138"/>
      <c r="GB62" s="138"/>
      <c r="GC62" s="138"/>
      <c r="GD62" s="138"/>
      <c r="GE62" s="138"/>
      <c r="GF62" s="138"/>
      <c r="GG62" s="138"/>
      <c r="GH62" s="138"/>
      <c r="GI62" s="138"/>
    </row>
    <row r="64" spans="1:278" s="4" customFormat="1">
      <c r="A64" s="138"/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38"/>
      <c r="V64" s="138"/>
      <c r="W64" s="138"/>
      <c r="X64" s="138"/>
      <c r="Y64" s="138"/>
      <c r="Z64" s="138"/>
      <c r="AA64" s="138"/>
      <c r="AB64" s="138"/>
      <c r="AC64" s="138"/>
      <c r="AD64" s="138"/>
      <c r="AE64" s="138"/>
      <c r="AF64" s="138"/>
      <c r="AG64" s="138"/>
      <c r="AH64" s="138"/>
      <c r="AI64" s="138"/>
      <c r="AJ64" s="138"/>
      <c r="AK64" s="138"/>
      <c r="AL64" s="138"/>
      <c r="AM64" s="138"/>
      <c r="AN64" s="138"/>
      <c r="AO64" s="138"/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  <c r="BE64" s="138"/>
      <c r="BF64" s="138"/>
      <c r="BG64" s="138"/>
      <c r="BH64" s="138"/>
      <c r="BI64" s="138"/>
      <c r="BJ64" s="138"/>
      <c r="BK64" s="138"/>
      <c r="BL64" s="138"/>
      <c r="BM64" s="138"/>
      <c r="BN64" s="138"/>
      <c r="BO64" s="138"/>
      <c r="BP64" s="138"/>
      <c r="BQ64" s="138"/>
      <c r="BR64" s="138"/>
      <c r="BS64" s="138"/>
      <c r="BT64" s="138"/>
      <c r="BU64" s="138"/>
      <c r="BV64" s="138"/>
      <c r="BW64" s="138"/>
      <c r="BX64" s="138"/>
      <c r="BY64" s="138"/>
      <c r="BZ64" s="138"/>
      <c r="CA64" s="138"/>
      <c r="CB64" s="138"/>
      <c r="CC64" s="138"/>
      <c r="CD64" s="138"/>
      <c r="CE64" s="138"/>
      <c r="CF64" s="138"/>
      <c r="CG64" s="138"/>
      <c r="CH64" s="138"/>
      <c r="CI64" s="138"/>
      <c r="CJ64" s="138"/>
      <c r="CK64" s="138"/>
      <c r="CL64" s="138"/>
      <c r="CM64" s="138"/>
      <c r="CN64" s="138"/>
      <c r="CO64" s="138"/>
      <c r="CP64" s="138"/>
      <c r="CQ64" s="138"/>
      <c r="CR64" s="138"/>
      <c r="CS64" s="138"/>
      <c r="CT64" s="138"/>
      <c r="CU64" s="138"/>
      <c r="CV64" s="138"/>
      <c r="CW64" s="138"/>
      <c r="CX64" s="138"/>
      <c r="CY64" s="138"/>
      <c r="CZ64" s="138"/>
      <c r="DA64" s="138"/>
      <c r="DB64" s="138"/>
      <c r="DC64" s="138"/>
      <c r="DD64" s="138"/>
      <c r="DE64" s="138"/>
      <c r="DF64" s="138"/>
      <c r="DG64" s="138"/>
      <c r="DH64" s="138"/>
      <c r="DI64" s="138"/>
      <c r="DJ64" s="138"/>
      <c r="DK64" s="138"/>
      <c r="DL64" s="138"/>
      <c r="DM64" s="138"/>
      <c r="DN64" s="138"/>
      <c r="DO64" s="138"/>
      <c r="DP64" s="138"/>
      <c r="DQ64" s="138"/>
      <c r="DR64" s="138"/>
      <c r="DS64" s="138"/>
      <c r="DT64" s="138"/>
      <c r="DU64" s="138"/>
      <c r="DV64" s="138"/>
      <c r="DW64" s="138"/>
      <c r="DX64" s="138"/>
      <c r="DY64" s="138"/>
      <c r="DZ64" s="140"/>
      <c r="EA64" s="140"/>
      <c r="EB64" s="140"/>
      <c r="EC64" s="140"/>
      <c r="ED64" s="140"/>
      <c r="EE64" s="149"/>
      <c r="EF64" s="140"/>
      <c r="EG64" s="140"/>
      <c r="EH64" s="140"/>
      <c r="EI64" s="140"/>
      <c r="EJ64" s="140"/>
      <c r="EK64" s="140"/>
      <c r="EL64" s="140"/>
      <c r="EM64" s="140"/>
      <c r="EN64" s="140"/>
      <c r="EO64" s="140"/>
      <c r="EP64" s="140"/>
      <c r="EQ64" s="140"/>
      <c r="ER64" s="140"/>
      <c r="ES64" s="140"/>
      <c r="ET64" s="140"/>
      <c r="EU64" s="140"/>
      <c r="EV64" s="140"/>
      <c r="EW64" s="140"/>
      <c r="EX64" s="140"/>
      <c r="EY64" s="140"/>
      <c r="EZ64" s="140"/>
      <c r="FA64" s="140"/>
      <c r="FB64" s="140"/>
      <c r="FC64" s="140"/>
      <c r="FD64" s="140"/>
      <c r="FE64" s="140"/>
      <c r="FF64" s="140"/>
      <c r="FG64" s="140"/>
      <c r="FH64" s="140"/>
      <c r="FI64" s="140"/>
      <c r="FJ64" s="140"/>
      <c r="FK64" s="140"/>
      <c r="FL64" s="140"/>
      <c r="FM64" s="140"/>
      <c r="FN64" s="140"/>
      <c r="FO64" s="140"/>
      <c r="FP64" s="140"/>
      <c r="FQ64" s="140"/>
      <c r="FR64" s="140"/>
      <c r="FS64" s="140"/>
      <c r="FT64" s="140"/>
      <c r="FU64" s="140"/>
      <c r="FV64" s="140"/>
      <c r="FW64" s="140"/>
      <c r="FX64" s="140"/>
      <c r="FY64" s="140"/>
      <c r="FZ64" s="140"/>
      <c r="GA64" s="140"/>
      <c r="GB64" s="140"/>
      <c r="GC64" s="140"/>
      <c r="GD64" s="140"/>
      <c r="GE64" s="140"/>
      <c r="GF64" s="140"/>
      <c r="GG64" s="140"/>
      <c r="GH64" s="140"/>
      <c r="GI64" s="140"/>
      <c r="GJ64" s="138"/>
      <c r="GK64" s="138"/>
      <c r="GL64" s="138"/>
      <c r="GM64" s="138"/>
      <c r="GN64" s="138"/>
      <c r="GO64" s="138"/>
      <c r="GP64" s="138"/>
      <c r="GQ64" s="138"/>
      <c r="GR64" s="138"/>
      <c r="GS64" s="138"/>
      <c r="GT64" s="138"/>
      <c r="GU64" s="138"/>
      <c r="GV64" s="138"/>
      <c r="GW64" s="138"/>
      <c r="GX64" s="138"/>
      <c r="GY64" s="138"/>
      <c r="GZ64" s="138"/>
      <c r="HA64" s="138"/>
      <c r="HB64" s="138"/>
      <c r="HC64" s="138"/>
      <c r="HD64" s="138"/>
      <c r="HE64" s="138"/>
      <c r="HF64" s="138"/>
      <c r="HG64" s="138"/>
      <c r="HH64" s="138"/>
      <c r="HI64" s="138"/>
      <c r="HJ64" s="138"/>
      <c r="HK64" s="138"/>
      <c r="HL64" s="138"/>
      <c r="HM64" s="138"/>
      <c r="HN64" s="138"/>
      <c r="HO64" s="138"/>
      <c r="HP64" s="138"/>
      <c r="HQ64" s="138"/>
      <c r="HR64" s="138"/>
      <c r="HS64" s="138"/>
      <c r="HT64" s="138"/>
      <c r="HU64" s="138"/>
      <c r="HV64" s="138"/>
      <c r="HW64" s="138"/>
      <c r="HX64" s="138"/>
      <c r="HY64" s="138"/>
      <c r="HZ64" s="138"/>
      <c r="IA64" s="138"/>
      <c r="IB64" s="138"/>
      <c r="IC64" s="138"/>
      <c r="ID64" s="138"/>
      <c r="IE64" s="138"/>
      <c r="IF64" s="138"/>
      <c r="IG64" s="138"/>
      <c r="IH64" s="138"/>
      <c r="II64" s="138"/>
      <c r="IJ64" s="138"/>
      <c r="IK64" s="138"/>
      <c r="IL64" s="138"/>
      <c r="IM64" s="138"/>
      <c r="IN64" s="138"/>
      <c r="IO64" s="138"/>
      <c r="IP64" s="138"/>
      <c r="IQ64" s="138"/>
      <c r="IR64" s="138"/>
      <c r="IS64" s="138"/>
      <c r="IT64" s="138"/>
      <c r="IU64" s="138"/>
      <c r="IV64" s="138"/>
      <c r="IW64" s="138"/>
      <c r="IX64" s="138"/>
      <c r="IY64" s="138"/>
      <c r="IZ64" s="138"/>
      <c r="JA64" s="138"/>
      <c r="JB64" s="138"/>
      <c r="JC64" s="138"/>
      <c r="JD64" s="138"/>
      <c r="JE64" s="138"/>
      <c r="JF64" s="138"/>
      <c r="JG64" s="138"/>
      <c r="JH64" s="138"/>
      <c r="JI64" s="138"/>
      <c r="JJ64" s="138"/>
      <c r="JK64" s="138"/>
      <c r="JL64" s="138"/>
      <c r="JM64" s="138"/>
      <c r="JN64" s="138"/>
      <c r="JO64" s="138"/>
      <c r="JP64" s="138"/>
      <c r="JQ64" s="138"/>
      <c r="JR64" s="138"/>
    </row>
    <row r="65" spans="1:278" s="4" customFormat="1">
      <c r="A65" s="138"/>
      <c r="B65" s="138"/>
      <c r="C65" s="138"/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  <c r="BF65" s="138"/>
      <c r="BG65" s="138"/>
      <c r="BH65" s="138"/>
      <c r="BI65" s="138"/>
      <c r="BJ65" s="138"/>
      <c r="BK65" s="138"/>
      <c r="BL65" s="138"/>
      <c r="BM65" s="138"/>
      <c r="BN65" s="138"/>
      <c r="BO65" s="138"/>
      <c r="BP65" s="138"/>
      <c r="BQ65" s="138"/>
      <c r="BR65" s="138"/>
      <c r="BS65" s="138"/>
      <c r="BT65" s="138"/>
      <c r="BU65" s="138"/>
      <c r="BV65" s="138"/>
      <c r="BW65" s="138"/>
      <c r="BX65" s="138"/>
      <c r="BY65" s="138"/>
      <c r="BZ65" s="138"/>
      <c r="CA65" s="138"/>
      <c r="CB65" s="138"/>
      <c r="CC65" s="138"/>
      <c r="CD65" s="138"/>
      <c r="CE65" s="138"/>
      <c r="CF65" s="138"/>
      <c r="CG65" s="138"/>
      <c r="CH65" s="138"/>
      <c r="CI65" s="138"/>
      <c r="CJ65" s="138"/>
      <c r="CK65" s="138"/>
      <c r="CL65" s="138"/>
      <c r="CM65" s="138"/>
      <c r="CN65" s="138"/>
      <c r="CO65" s="138"/>
      <c r="CP65" s="138"/>
      <c r="CQ65" s="138"/>
      <c r="CR65" s="138"/>
      <c r="CS65" s="138"/>
      <c r="CT65" s="138"/>
      <c r="CU65" s="138"/>
      <c r="CV65" s="138"/>
      <c r="CW65" s="138"/>
      <c r="CX65" s="138"/>
      <c r="CY65" s="138"/>
      <c r="CZ65" s="138"/>
      <c r="DA65" s="138"/>
      <c r="DB65" s="138"/>
      <c r="DC65" s="138"/>
      <c r="DD65" s="138"/>
      <c r="DE65" s="138"/>
      <c r="DF65" s="138"/>
      <c r="DG65" s="138"/>
      <c r="DH65" s="138"/>
      <c r="DI65" s="138"/>
      <c r="DJ65" s="138"/>
      <c r="DK65" s="138"/>
      <c r="DL65" s="138"/>
      <c r="DM65" s="138"/>
      <c r="DN65" s="138"/>
      <c r="DO65" s="138"/>
      <c r="DP65" s="138"/>
      <c r="DQ65" s="138"/>
      <c r="DR65" s="138"/>
      <c r="DS65" s="138"/>
      <c r="DT65" s="138"/>
      <c r="DU65" s="138"/>
      <c r="DV65" s="138"/>
      <c r="DW65" s="138"/>
      <c r="DX65" s="138"/>
      <c r="DY65" s="138"/>
      <c r="DZ65" s="140"/>
      <c r="EA65" s="140"/>
      <c r="EB65" s="140"/>
      <c r="EC65" s="140"/>
      <c r="ED65" s="140"/>
      <c r="EE65" s="149"/>
      <c r="EF65" s="140"/>
      <c r="EG65" s="140"/>
      <c r="EH65" s="140"/>
      <c r="EI65" s="140"/>
      <c r="EJ65" s="140"/>
      <c r="EK65" s="140"/>
      <c r="EL65" s="140"/>
      <c r="EM65" s="140"/>
      <c r="EN65" s="140"/>
      <c r="EO65" s="140"/>
      <c r="EP65" s="140"/>
      <c r="EQ65" s="140"/>
      <c r="ER65" s="140"/>
      <c r="ES65" s="140"/>
      <c r="ET65" s="140"/>
      <c r="EU65" s="140"/>
      <c r="EV65" s="140"/>
      <c r="EW65" s="140"/>
      <c r="EX65" s="140"/>
      <c r="EY65" s="140"/>
      <c r="EZ65" s="140"/>
      <c r="FA65" s="140"/>
      <c r="FB65" s="140"/>
      <c r="FC65" s="140"/>
      <c r="FD65" s="140"/>
      <c r="FE65" s="140"/>
      <c r="FF65" s="140"/>
      <c r="FG65" s="140"/>
      <c r="FH65" s="140"/>
      <c r="FI65" s="140"/>
      <c r="FJ65" s="140"/>
      <c r="FK65" s="140"/>
      <c r="FL65" s="140"/>
      <c r="FM65" s="140"/>
      <c r="FN65" s="140"/>
      <c r="FO65" s="140"/>
      <c r="FP65" s="140"/>
      <c r="FQ65" s="140"/>
      <c r="FR65" s="140"/>
      <c r="FS65" s="140"/>
      <c r="FT65" s="140"/>
      <c r="FU65" s="140"/>
      <c r="FV65" s="140"/>
      <c r="FW65" s="140"/>
      <c r="FX65" s="140"/>
      <c r="FY65" s="140"/>
      <c r="FZ65" s="140"/>
      <c r="GA65" s="140"/>
      <c r="GB65" s="140"/>
      <c r="GC65" s="140"/>
      <c r="GD65" s="140"/>
      <c r="GE65" s="140"/>
      <c r="GF65" s="140"/>
      <c r="GG65" s="140"/>
      <c r="GH65" s="140"/>
      <c r="GI65" s="140"/>
      <c r="GJ65" s="138"/>
      <c r="GK65" s="138"/>
      <c r="GL65" s="138"/>
      <c r="GM65" s="138"/>
      <c r="GN65" s="138"/>
      <c r="GO65" s="138"/>
      <c r="GP65" s="138"/>
      <c r="GQ65" s="138"/>
      <c r="GR65" s="138"/>
      <c r="GS65" s="138"/>
      <c r="GT65" s="138"/>
      <c r="GU65" s="138"/>
      <c r="GV65" s="138"/>
      <c r="GW65" s="138"/>
      <c r="GX65" s="138"/>
      <c r="GY65" s="138"/>
      <c r="GZ65" s="138"/>
      <c r="HA65" s="138"/>
      <c r="HB65" s="138"/>
      <c r="HC65" s="138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HT65" s="138"/>
      <c r="HU65" s="138"/>
      <c r="HV65" s="138"/>
      <c r="HW65" s="138"/>
      <c r="HX65" s="138"/>
      <c r="HY65" s="138"/>
      <c r="HZ65" s="138"/>
      <c r="IA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R65" s="138"/>
      <c r="IS65" s="138"/>
      <c r="IT65" s="138"/>
      <c r="IU65" s="138"/>
      <c r="IV65" s="138"/>
      <c r="IW65" s="138"/>
      <c r="IX65" s="138"/>
      <c r="IY65" s="138"/>
      <c r="IZ65" s="138"/>
      <c r="JA65" s="138"/>
      <c r="JB65" s="138"/>
      <c r="JC65" s="138"/>
      <c r="JD65" s="138"/>
      <c r="JE65" s="138"/>
      <c r="JF65" s="138"/>
      <c r="JG65" s="138"/>
      <c r="JH65" s="138"/>
      <c r="JI65" s="138"/>
      <c r="JJ65" s="138"/>
      <c r="JK65" s="138"/>
      <c r="JL65" s="138"/>
      <c r="JM65" s="138"/>
      <c r="JN65" s="138"/>
      <c r="JO65" s="138"/>
      <c r="JP65" s="138"/>
      <c r="JQ65" s="138"/>
      <c r="JR65" s="138"/>
    </row>
    <row r="85" spans="161:161">
      <c r="FE85" s="172"/>
    </row>
    <row r="99" spans="4:4">
      <c r="D99" s="919" t="s">
        <v>750</v>
      </c>
    </row>
    <row r="196" spans="1:4">
      <c r="A196" s="176"/>
      <c r="B196" s="176"/>
      <c r="C196" s="176"/>
      <c r="D196" s="926"/>
    </row>
    <row r="197" spans="1:4">
      <c r="A197" s="908"/>
      <c r="B197" s="925"/>
      <c r="C197" s="176"/>
      <c r="D197" s="926"/>
    </row>
    <row r="198" spans="1:4">
      <c r="A198" s="908"/>
      <c r="B198" s="925"/>
      <c r="C198" s="176"/>
      <c r="D198" s="926"/>
    </row>
    <row r="199" spans="1:4">
      <c r="A199" s="908"/>
      <c r="B199" s="925"/>
      <c r="C199" s="176"/>
      <c r="D199" s="926"/>
    </row>
    <row r="200" spans="1:4">
      <c r="A200" s="908"/>
      <c r="B200" s="925"/>
      <c r="C200" s="176"/>
      <c r="D200" s="926"/>
    </row>
  </sheetData>
  <customSheetViews>
    <customSheetView guid="{751D391F-C74F-4B53-B5B5-25E01AC12EA4}">
      <pane xSplit="1" ySplit="2" topLeftCell="GJ3" activePane="bottomRight" state="frozen"/>
      <selection pane="bottomRight" activeCell="GI3" sqref="GI3"/>
      <colBreaks count="1" manualBreakCount="1">
        <brk id="185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1"/>
    </customSheetView>
    <customSheetView guid="{5A803268-F6C5-4035-B3E1-A94CB9AA8994}" showPageBreaks="1" printArea="1" hiddenRows="1">
      <pane xSplit="1" ySplit="3" topLeftCell="B36" activePane="bottomRight" state="frozen"/>
      <selection pane="bottomRight" activeCell="B43" sqref="B43"/>
      <colBreaks count="1" manualBreakCount="1">
        <brk id="153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2"/>
    </customSheetView>
    <customSheetView guid="{917057C8-5E5F-4164-B84C-85103677A2E5}">
      <pane xSplit="1" ySplit="2" topLeftCell="B3" activePane="bottomRight" state="frozen"/>
      <selection pane="bottomRight" activeCell="B14" sqref="B14:FX41"/>
      <colBreaks count="1" manualBreakCount="1">
        <brk id="172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3"/>
    </customSheetView>
    <customSheetView guid="{4593F3EE-0998-4E0E-994A-E02D6BAF3A4B}" showPageBreaks="1" printArea="1" hiddenRows="1">
      <pane xSplit="1" ySplit="3" topLeftCell="B36" activePane="bottomRight" state="frozen"/>
      <selection pane="bottomRight" activeCell="B42" sqref="B42:FD43"/>
      <colBreaks count="1" manualBreakCount="1">
        <brk id="156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4"/>
    </customSheetView>
    <customSheetView guid="{23F4DC00-BC97-4745-AA5C-F05D469CB1EF}" showPageBreaks="1" printArea="1" hiddenRows="1">
      <pane xSplit="1" ySplit="2" topLeftCell="CU18" activePane="bottomRight" state="frozen"/>
      <selection pane="bottomRight" activeCell="EL1" sqref="EL1:EL1048576"/>
      <colBreaks count="1" manualBreakCount="1">
        <brk id="154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5"/>
    </customSheetView>
    <customSheetView guid="{B91C2E87-5EDA-40AE-AC27-0E2C17E803CE}" showPageBreaks="1" printArea="1" hiddenRows="1">
      <pane xSplit="1" ySplit="3" topLeftCell="FC33" activePane="bottomRight" state="frozen"/>
      <selection pane="bottomRight" activeCell="FI44" sqref="FI44"/>
      <colBreaks count="1" manualBreakCount="1">
        <brk id="170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6"/>
    </customSheetView>
    <customSheetView guid="{7C71EF2A-5ADA-494C-8F58-DDA71753DD90}" showPageBreaks="1">
      <pane xSplit="1" ySplit="2" topLeftCell="B3" activePane="bottomRight" state="frozen"/>
      <selection pane="bottomRight" activeCell="B14" sqref="B14:GB41"/>
      <colBreaks count="1" manualBreakCount="1">
        <brk id="175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7"/>
    </customSheetView>
    <customSheetView guid="{4DB6C640-CE65-4513-9E5A-F6CDD1F4B8AF}" scale="96">
      <pane xSplit="1" ySplit="2" topLeftCell="B31" activePane="bottomRight" state="frozen"/>
      <selection pane="bottomRight" activeCell="DX1" sqref="DX1:DX1048576"/>
      <colBreaks count="1" manualBreakCount="1">
        <brk id="187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8"/>
    </customSheetView>
    <customSheetView guid="{D1D1E152-95AB-45D3-AC07-4EC0834D3E0C}">
      <pane xSplit="1" ySplit="2" topLeftCell="B3" activePane="bottomRight" state="frozen"/>
      <selection pane="bottomRight" activeCell="B14" sqref="B14:GW41"/>
      <colBreaks count="1" manualBreakCount="1">
        <brk id="188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9"/>
    </customSheetView>
    <customSheetView guid="{C3348F62-02F2-4500-9BF2-19F2DEA57A8D}" scale="98" showPageBreaks="1">
      <pane xSplit="1" ySplit="2" topLeftCell="B31" activePane="bottomRight" state="frozen"/>
      <selection pane="bottomRight" activeCell="B42" sqref="B42:GW43"/>
      <colBreaks count="1" manualBreakCount="1">
        <brk id="187" max="1048575" man="1"/>
      </colBreaks>
      <pageMargins left="0.2" right="0.2" top="0.75" bottom="0.75" header="0.3" footer="0.3"/>
      <printOptions horizontalCentered="1" verticalCentered="1"/>
      <pageSetup paperSize="9" scale="40" orientation="landscape" r:id="rId10"/>
    </customSheetView>
  </customSheetViews>
  <mergeCells count="4">
    <mergeCell ref="B48:C48"/>
    <mergeCell ref="B46:C46"/>
    <mergeCell ref="B47:C47"/>
    <mergeCell ref="A6:A7"/>
  </mergeCells>
  <dataValidations count="1">
    <dataValidation allowBlank="1" showInputMessage="1" showErrorMessage="1" prompt="precision" sqref="AE3:AE9 AE12" xr:uid="{00000000-0002-0000-1700-000000000000}"/>
  </dataValidations>
  <printOptions horizontalCentered="1" verticalCentered="1"/>
  <pageMargins left="0.2" right="0.2" top="0.75" bottom="0.75" header="0.3" footer="0.3"/>
  <pageSetup paperSize="9" scale="40" orientation="landscape" r:id="rId11"/>
  <colBreaks count="1" manualBreakCount="1">
    <brk id="187" max="1048575" man="1"/>
  </col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R29"/>
  <sheetViews>
    <sheetView zoomScaleNormal="90" workbookViewId="0">
      <selection activeCell="D27" sqref="D27"/>
    </sheetView>
  </sheetViews>
  <sheetFormatPr defaultRowHeight="15"/>
  <cols>
    <col min="1" max="1" width="14.7109375" style="1802" customWidth="1"/>
    <col min="2" max="2" width="14" style="1802" customWidth="1"/>
    <col min="3" max="3" width="14.28515625" style="1802" customWidth="1"/>
    <col min="4" max="4" width="12.85546875" style="1802" customWidth="1"/>
    <col min="5" max="5" width="11.5703125" style="1802" customWidth="1"/>
    <col min="6" max="6" width="12.7109375" style="1802" customWidth="1"/>
    <col min="7" max="7" width="13" style="1802" customWidth="1"/>
    <col min="8" max="9" width="12.7109375" style="1802" customWidth="1"/>
    <col min="10" max="10" width="15.28515625" style="1802" customWidth="1"/>
    <col min="11" max="11" width="14.7109375" style="1802" customWidth="1"/>
    <col min="12" max="16384" width="9.140625" style="1802"/>
  </cols>
  <sheetData>
    <row r="1" spans="1:18" ht="35.25">
      <c r="A1" s="3157" t="s">
        <v>149</v>
      </c>
      <c r="B1" s="3158">
        <f>GEntry!A2</f>
        <v>43319</v>
      </c>
      <c r="C1" s="3159"/>
      <c r="D1" s="3159"/>
    </row>
    <row r="2" spans="1:18" ht="27" thickBot="1">
      <c r="E2" s="3160" t="s">
        <v>1196</v>
      </c>
    </row>
    <row r="3" spans="1:18" ht="24" customHeight="1" thickBot="1">
      <c r="A3" s="3161" t="s">
        <v>0</v>
      </c>
      <c r="B3" s="3163" t="s">
        <v>10</v>
      </c>
      <c r="C3" s="3163" t="s">
        <v>859</v>
      </c>
      <c r="D3" s="3163" t="s">
        <v>5</v>
      </c>
      <c r="E3" s="3163" t="s">
        <v>1195</v>
      </c>
      <c r="F3" s="3163" t="s">
        <v>4</v>
      </c>
      <c r="G3" s="3163" t="s">
        <v>55</v>
      </c>
      <c r="H3" s="3163" t="s">
        <v>6</v>
      </c>
      <c r="I3" s="3163" t="s">
        <v>858</v>
      </c>
      <c r="J3" s="3163" t="s">
        <v>106</v>
      </c>
      <c r="K3" s="3163" t="s">
        <v>12</v>
      </c>
    </row>
    <row r="4" spans="1:18" ht="24" customHeight="1" thickBot="1">
      <c r="A4" s="3171">
        <v>4.1666666666666664E-2</v>
      </c>
      <c r="B4" s="3170">
        <f>Master!B14+Master!C14+Master!D14+Master!E14+Master!F14+Master!G14+Master!H14+Master!I14+Master!J14+Master!L14+Master!M14+Master!N14+Master!O14+Master!P14+Master!Q14+Master!R14+Master!S14+Master!T14+Master!U14+Master!V14+Master!W14+Master!X14+Master!Y14+Master!Z14+Master!AA14+Master!AB14+Master!AC14+Master!AD14+Master!AE14+Master!AF14+Master!AG14+Master!AH14+Master!AI14+Master!AJ14+Master!AK14+Master!CS14+Master!CT14+Master!CU14+Master!CW14+Master!CX14+Master!DE14+Master!DO14+Master!DQ14+Master!DU14+Master!DW14</f>
        <v>2696</v>
      </c>
      <c r="C4" s="3170">
        <f>Master!AL14+Master!AM14+Master!AN14+Master!AO14+Master!AP14+Master!AQ14+Master!AR14+Master!AS14+Master!AT14+Master!AW14+Master!AX14+Master!AY14+Master!AZ14+Master!BA14+Master!BB14+Master!BC14+Master!CY14+Master!CZ14+Master!DF14+Master!DG14+Master!DH14+Master!DI14+Master!DJ14+Master!DM14+Master!DR14</f>
        <v>807</v>
      </c>
      <c r="D4" s="3170">
        <f>Master!DZ14+Master!EA14+Master!EB14+Master!EC14+Master!ED14+Master!EE14+Master!EF14+Master!EG14+Master!EH14+Master!EI14+Master!EJ14+Master!EN14+Master!FL14+Master!FP14+Master!FS14+Master!GC14+Master!GE14+Master!GF14</f>
        <v>1588</v>
      </c>
      <c r="E4" s="3170">
        <f>Master!FK14+Master!FY14+Master!FZ14+Master!GA14+Master!EL14+Master!EM14+Master!EK14+Master!FX14</f>
        <v>1138</v>
      </c>
      <c r="F4" s="3170">
        <f>Master!CB14+Master!CC14+Master!CD14+Master!CE14+Master!CF14+Master!CG14+Master!CH14+Master!CI14+Master!CJ14+Master!CK14+Master!CL14+Master!CM14+Master!CN14+Master!CO14+Master!CP14+Master!CQ14+Master!DC14+Master!DN14+Master!DS14</f>
        <v>1414</v>
      </c>
      <c r="G4" s="3170">
        <f>Master!EO14+Master!EP14+Master!EQ14+Master!ER14+Master!ES14+Master!ET14+Master!EU14+Master!EV14+Master!EW14+Master!EX14+Master!EY14+Master!EZ14+Master!FA14+Master!FG14+Master!FH14+Master!FI14+Master!FJ14+Master!FM14+Master!FN14+Master!FO14+Master!FQ14+Master!FR14+Master!FU14+Master!FW14+Master!GB14</f>
        <v>1342</v>
      </c>
      <c r="H4" s="3170">
        <f>Master!FB14+Master!FC14+Master!FD14+Master!FE14+Master!FF14+Master!FT14+Master!FV14+Master!GD14</f>
        <v>340</v>
      </c>
      <c r="I4" s="3170">
        <f>Master!BD14+Master!BE14+Master!BF14+Master!BG14+Master!BH14+Master!BI14+Master!BJ14+Master!BK14+Master!BL14+Master!BM14+Master!BN14+Master!BO14+Master!BP14+Master!BQ14+Master!BR14+Master!BS14+Master!BT14+Master!BU14+Master!BV14+Master!BW14+Master!CR14+Master!DA14+Master!DB14+Master!DK14+Master!DL14+Master!DT14+Master!DV14+Master!DX14</f>
        <v>1942</v>
      </c>
      <c r="J4" s="3170">
        <f>Master!AV14+Master!BX14+Master!BY14+Master!BZ14+Master!CA14+Master!CV14+Master!DD14+Master!DP14</f>
        <v>228</v>
      </c>
      <c r="K4" s="3170">
        <f>SUM(B4:J4)</f>
        <v>11495</v>
      </c>
    </row>
    <row r="5" spans="1:18" ht="24" customHeight="1" thickBot="1">
      <c r="A5" s="3171">
        <v>8.3333333333333329E-2</v>
      </c>
      <c r="B5" s="3170">
        <f>Master!B15+Master!C15+Master!D15+Master!E15+Master!F15+Master!G15+Master!H15+Master!I15+Master!J15+Master!L15+Master!M15+Master!N15+Master!O15+Master!P15+Master!Q15+Master!R15+Master!S15+Master!T15+Master!U15+Master!V15+Master!W15+Master!X15+Master!Y15+Master!Z15+Master!AA15+Master!AB15+Master!AC15+Master!AD15+Master!AE15+Master!AF15+Master!AG15+Master!AH15+Master!AI15+Master!AJ15+Master!AK15+Master!CS15+Master!CT15+Master!CU15+Master!CW15+Master!CX15+Master!DE15+Master!DO15+Master!DQ15+Master!DU15+Master!DW15</f>
        <v>2675</v>
      </c>
      <c r="C5" s="3170">
        <f>Master!AL15+Master!AM15+Master!AN15+Master!AO15+Master!AP15+Master!AQ15+Master!AR15+Master!AS15+Master!AT15+Master!AW15+Master!AX15+Master!AY15+Master!AZ15+Master!BA15+Master!BB15+Master!BC15+Master!CY15+Master!CZ15+Master!DF15+Master!DG15+Master!DH15+Master!DI15+Master!DJ15+Master!DM15+Master!DR15</f>
        <v>782</v>
      </c>
      <c r="D5" s="3170">
        <f>Master!DZ15+Master!EA15+Master!EB15+Master!EC15+Master!ED15+Master!EE15+Master!EF15+Master!EG15+Master!EH15+Master!EI15+Master!EJ15+Master!EN15+Master!FL15+Master!FP15+Master!FS15+Master!GC15+Master!GE15+Master!GF15</f>
        <v>1572</v>
      </c>
      <c r="E5" s="3170">
        <f>Master!FK15+Master!FY15+Master!FZ15+Master!GA15+Master!EL15+Master!EM15+Master!EK15+Master!FX15</f>
        <v>1141</v>
      </c>
      <c r="F5" s="3170">
        <f>Master!CB15+Master!CC15+Master!CD15+Master!CE15+Master!CF15+Master!CG15+Master!CH15+Master!CI15+Master!CJ15+Master!CK15+Master!CL15+Master!CM15+Master!CN15+Master!CO15+Master!CP15+Master!CQ15+Master!DC15+Master!DN15+Master!DS15</f>
        <v>1388</v>
      </c>
      <c r="G5" s="3170">
        <f>Master!EO15+Master!EP15+Master!EQ15+Master!ER15+Master!ES15+Master!ET15+Master!EU15+Master!EV15+Master!EW15+Master!EX15+Master!EY15+Master!EZ15+Master!FA15+Master!FG15+Master!FH15+Master!FI15+Master!FJ15+Master!FM15+Master!FN15+Master!FO15+Master!FQ15+Master!FR15+Master!FU15+Master!FW15+Master!GB15</f>
        <v>1299</v>
      </c>
      <c r="H5" s="3170">
        <f>Master!FB15+Master!FC15+Master!FD15+Master!FE15+Master!FF15+Master!FT15+Master!FV15+Master!GD15</f>
        <v>339</v>
      </c>
      <c r="I5" s="3170">
        <f>Master!BD15+Master!BE15+Master!BF15+Master!BG15+Master!BH15+Master!BI15+Master!BJ15+Master!BK15+Master!BL15+Master!BM15+Master!BN15+Master!BO15+Master!BP15+Master!BQ15+Master!BR15+Master!BS15+Master!BT15+Master!BU15+Master!BV15+Master!BW15+Master!CR15+Master!DA15+Master!DB15+Master!DK15+Master!DL15+Master!DT15+Master!DV15+Master!DX15</f>
        <v>1936</v>
      </c>
      <c r="J5" s="3170">
        <f>Master!AV15+Master!BX15+Master!BY15+Master!BZ15+Master!CA15+Master!CV15+Master!DD15+Master!DP15</f>
        <v>229</v>
      </c>
      <c r="K5" s="3170">
        <f t="shared" ref="K5:K29" si="0">SUM(B5:J5)</f>
        <v>11361</v>
      </c>
    </row>
    <row r="6" spans="1:18" ht="24" customHeight="1" thickBot="1">
      <c r="A6" s="3171">
        <v>0.125</v>
      </c>
      <c r="B6" s="3170">
        <f>Master!B16+Master!C16+Master!D16+Master!E16+Master!F16+Master!G16+Master!H16+Master!I16+Master!J16+Master!L16+Master!M16+Master!N16+Master!O16+Master!P16+Master!Q16+Master!R16+Master!S16+Master!T16+Master!U16+Master!V16+Master!W16+Master!X16+Master!Y16+Master!Z16+Master!AA16+Master!AB16+Master!AC16+Master!AD16+Master!AE16+Master!AF16+Master!AG16+Master!AH16+Master!AI16+Master!AJ16+Master!AK16+Master!CS16+Master!CT16+Master!CU16+Master!CW16+Master!CX16+Master!DE16+Master!DO16+Master!DQ16+Master!DU16+Master!DW16</f>
        <v>2693</v>
      </c>
      <c r="C6" s="3170">
        <f>Master!AL16+Master!AM16+Master!AN16+Master!AO16+Master!AP16+Master!AQ16+Master!AR16+Master!AS16+Master!AT16+Master!AW16+Master!AX16+Master!AY16+Master!AZ16+Master!BA16+Master!BB16+Master!BC16+Master!CY16+Master!CZ16+Master!DF16+Master!DG16+Master!DH16+Master!DI16+Master!DJ16+Master!DM16+Master!DR16</f>
        <v>785</v>
      </c>
      <c r="D6" s="3170">
        <f>Master!DZ16+Master!EA16+Master!EB16+Master!EC16+Master!ED16+Master!EE16+Master!EF16+Master!EG16+Master!EH16+Master!EI16+Master!EJ16+Master!EN16+Master!FL16+Master!FP16+Master!FS16+Master!GC16+Master!GE16+Master!GF16</f>
        <v>1578</v>
      </c>
      <c r="E6" s="3170">
        <f>Master!FK16+Master!FY16+Master!FZ16+Master!GA16+Master!EL16+Master!EM16+Master!EK16+Master!FX16</f>
        <v>1142</v>
      </c>
      <c r="F6" s="3170">
        <f>Master!CB16+Master!CC16+Master!CD16+Master!CE16+Master!CF16+Master!CG16+Master!CH16+Master!CI16+Master!CJ16+Master!CK16+Master!CL16+Master!CM16+Master!CN16+Master!CO16+Master!CP16+Master!CQ16+Master!DC16+Master!DN16+Master!DS16</f>
        <v>1297</v>
      </c>
      <c r="G6" s="3170">
        <f>Master!EO16+Master!EP16+Master!EQ16+Master!ER16+Master!ES16+Master!ET16+Master!EU16+Master!EV16+Master!EW16+Master!EX16+Master!EY16+Master!EZ16+Master!FA16+Master!FG16+Master!FH16+Master!FI16+Master!FJ16+Master!FM16+Master!FN16+Master!FO16+Master!FQ16+Master!FR16+Master!FU16+Master!FW16+Master!GB16</f>
        <v>1325</v>
      </c>
      <c r="H6" s="3170">
        <f>Master!FB16+Master!FC16+Master!FD16+Master!FE16+Master!FF16+Master!FT16+Master!FV16+Master!GD16</f>
        <v>340</v>
      </c>
      <c r="I6" s="3170">
        <f>Master!BD16+Master!BE16+Master!BF16+Master!BG16+Master!BH16+Master!BI16+Master!BJ16+Master!BK16+Master!BL16+Master!BM16+Master!BN16+Master!BO16+Master!BP16+Master!BQ16+Master!BR16+Master!BS16+Master!BT16+Master!BU16+Master!BV16+Master!BW16+Master!CR16+Master!DA16+Master!DB16+Master!DK16+Master!DL16+Master!DT16+Master!DV16+Master!DX16</f>
        <v>1945</v>
      </c>
      <c r="J6" s="3170">
        <f>Master!AV16+Master!BX16+Master!BY16+Master!BZ16+Master!CA16+Master!CV16+Master!DD16+Master!DP16</f>
        <v>231</v>
      </c>
      <c r="K6" s="3170">
        <f t="shared" si="0"/>
        <v>11336</v>
      </c>
    </row>
    <row r="7" spans="1:18" ht="24" customHeight="1" thickBot="1">
      <c r="A7" s="3171">
        <v>0.16666666666666666</v>
      </c>
      <c r="B7" s="3170">
        <f>Master!B17+Master!C17+Master!D17+Master!E17+Master!F17+Master!G17+Master!H17+Master!I17+Master!J17+Master!L17+Master!M17+Master!N17+Master!O17+Master!P17+Master!Q17+Master!R17+Master!S17+Master!T17+Master!U17+Master!V17+Master!W17+Master!X17+Master!Y17+Master!Z17+Master!AA17+Master!AB17+Master!AC17+Master!AD17+Master!AE17+Master!AF17+Master!AG17+Master!AH17+Master!AI17+Master!AJ17+Master!AK17+Master!CS17+Master!CT17+Master!CU17+Master!CW17+Master!CX17+Master!DE17+Master!DO17+Master!DQ17+Master!DU17+Master!DW17</f>
        <v>2704</v>
      </c>
      <c r="C7" s="3170">
        <f>Master!AL17+Master!AM17+Master!AN17+Master!AO17+Master!AP17+Master!AQ17+Master!AR17+Master!AS17+Master!AT17+Master!AW17+Master!AX17+Master!AY17+Master!AZ17+Master!BA17+Master!BB17+Master!BC17+Master!CY17+Master!CZ17+Master!DF17+Master!DG17+Master!DH17+Master!DI17+Master!DJ17+Master!DM17+Master!DR17</f>
        <v>752</v>
      </c>
      <c r="D7" s="3170">
        <f>Master!DZ17+Master!EA17+Master!EB17+Master!EC17+Master!ED17+Master!EE17+Master!EF17+Master!EG17+Master!EH17+Master!EI17+Master!EJ17+Master!EN17+Master!FL17+Master!FP17+Master!FS17+Master!GC17+Master!GE17+Master!GF17</f>
        <v>1578</v>
      </c>
      <c r="E7" s="3170">
        <f>Master!FK17+Master!FY17+Master!FZ17+Master!GA17+Master!EL17+Master!EM17+Master!EK17+Master!FX17</f>
        <v>1107</v>
      </c>
      <c r="F7" s="3170">
        <f>Master!CB17+Master!CC17+Master!CD17+Master!CE17+Master!CF17+Master!CG17+Master!CH17+Master!CI17+Master!CJ17+Master!CK17+Master!CL17+Master!CM17+Master!CN17+Master!CO17+Master!CP17+Master!CQ17+Master!DC17+Master!DN17+Master!DS17</f>
        <v>1311</v>
      </c>
      <c r="G7" s="3170">
        <f>Master!EO17+Master!EP17+Master!EQ17+Master!ER17+Master!ES17+Master!ET17+Master!EU17+Master!EV17+Master!EW17+Master!EX17+Master!EY17+Master!EZ17+Master!FA17+Master!FG17+Master!FH17+Master!FI17+Master!FJ17+Master!FM17+Master!FN17+Master!FO17+Master!FQ17+Master!FR17+Master!FU17+Master!FW17+Master!GB17</f>
        <v>1296</v>
      </c>
      <c r="H7" s="3170">
        <f>Master!FB17+Master!FC17+Master!FD17+Master!FE17+Master!FF17+Master!FT17+Master!FV17+Master!GD17</f>
        <v>340</v>
      </c>
      <c r="I7" s="3170">
        <f>Master!BD17+Master!BE17+Master!BF17+Master!BG17+Master!BH17+Master!BI17+Master!BJ17+Master!BK17+Master!BL17+Master!BM17+Master!BN17+Master!BO17+Master!BP17+Master!BQ17+Master!BR17+Master!BS17+Master!BT17+Master!BU17+Master!BV17+Master!BW17+Master!CR17+Master!DA17+Master!DB17+Master!DK17+Master!DL17+Master!DT17+Master!DV17+Master!DX17</f>
        <v>1951</v>
      </c>
      <c r="J7" s="3170">
        <f>Master!AV17+Master!BX17+Master!BY17+Master!BZ17+Master!CA17+Master!CV17+Master!DD17+Master!DP17</f>
        <v>230</v>
      </c>
      <c r="K7" s="3170">
        <f t="shared" si="0"/>
        <v>11269</v>
      </c>
    </row>
    <row r="8" spans="1:18" ht="24" customHeight="1" thickBot="1">
      <c r="A8" s="3169">
        <v>0.20833333333333334</v>
      </c>
      <c r="B8" s="3170">
        <f>Master!B18+Master!C18+Master!D18+Master!E18+Master!F18+Master!G18+Master!H18+Master!I18+Master!J18+Master!L18+Master!M18+Master!N18+Master!O18+Master!P18+Master!Q18+Master!R18+Master!S18+Master!T18+Master!U18+Master!V18+Master!W18+Master!X18+Master!Y18+Master!Z18+Master!AA18+Master!AB18+Master!AC18+Master!AD18+Master!AE18+Master!AF18+Master!AG18+Master!AH18+Master!AI18+Master!AJ18+Master!AK18+Master!CS18+Master!CT18+Master!CU18+Master!CW18+Master!CX18+Master!DE18+Master!DO18+Master!DQ18+Master!DU18+Master!DW18</f>
        <v>2714</v>
      </c>
      <c r="C8" s="3170">
        <f>Master!AL18+Master!AM18+Master!AN18+Master!AO18+Master!AP18+Master!AQ18+Master!AR18+Master!AS18+Master!AT18+Master!AW18+Master!AX18+Master!AY18+Master!AZ18+Master!BA18+Master!BB18+Master!BC18+Master!CY18+Master!CZ18+Master!DF18+Master!DG18+Master!DH18+Master!DI18+Master!DJ18+Master!DM18+Master!DR18</f>
        <v>730</v>
      </c>
      <c r="D8" s="3170">
        <f>Master!DZ18+Master!EA18+Master!EB18+Master!EC18+Master!ED18+Master!EE18+Master!EF18+Master!EG18+Master!EH18+Master!EI18+Master!EJ18+Master!EN18+Master!FL18+Master!FP18+Master!FS18+Master!GC18+Master!GE18+Master!GF18</f>
        <v>1578</v>
      </c>
      <c r="E8" s="3170">
        <f>Master!FK18+Master!FY18+Master!FZ18+Master!GA18+Master!EL18+Master!EM18+Master!EK18+Master!FX18</f>
        <v>1109</v>
      </c>
      <c r="F8" s="3170">
        <f>Master!CB18+Master!CC18+Master!CD18+Master!CE18+Master!CF18+Master!CG18+Master!CH18+Master!CI18+Master!CJ18+Master!CK18+Master!CL18+Master!CM18+Master!CN18+Master!CO18+Master!CP18+Master!CQ18+Master!DC18+Master!DN18+Master!DS18</f>
        <v>1328</v>
      </c>
      <c r="G8" s="3170">
        <f>Master!EO18+Master!EP18+Master!EQ18+Master!ER18+Master!ES18+Master!ET18+Master!EU18+Master!EV18+Master!EW18+Master!EX18+Master!EY18+Master!EZ18+Master!FA18+Master!FG18+Master!FH18+Master!FI18+Master!FJ18+Master!FM18+Master!FN18+Master!FO18+Master!FQ18+Master!FR18+Master!FU18+Master!FW18+Master!GB18</f>
        <v>1300</v>
      </c>
      <c r="H8" s="3170">
        <f>Master!FB18+Master!FC18+Master!FD18+Master!FE18+Master!FF18+Master!FT18+Master!FV18+Master!GD18</f>
        <v>340</v>
      </c>
      <c r="I8" s="3170">
        <f>Master!BD18+Master!BE18+Master!BF18+Master!BG18+Master!BH18+Master!BI18+Master!BJ18+Master!BK18+Master!BL18+Master!BM18+Master!BN18+Master!BO18+Master!BP18+Master!BQ18+Master!BR18+Master!BS18+Master!BT18+Master!BU18+Master!BV18+Master!BW18+Master!CR18+Master!DA18+Master!DB18+Master!DK18+Master!DL18+Master!DT18+Master!DV18+Master!DX18</f>
        <v>1943</v>
      </c>
      <c r="J8" s="3170">
        <f>Master!AV18+Master!BX18+Master!BY18+Master!BZ18+Master!CA18+Master!CV18+Master!DD18+Master!DP18</f>
        <v>231</v>
      </c>
      <c r="K8" s="3170">
        <f t="shared" si="0"/>
        <v>11273</v>
      </c>
    </row>
    <row r="9" spans="1:18" ht="24" customHeight="1" thickBot="1">
      <c r="A9" s="3169">
        <v>0.25</v>
      </c>
      <c r="B9" s="3170">
        <f>Master!B19+Master!C19+Master!D19+Master!E19+Master!F19+Master!G19+Master!H19+Master!I19+Master!J19+Master!L19+Master!M19+Master!N19+Master!O19+Master!P19+Master!Q19+Master!R19+Master!S19+Master!T19+Master!U19+Master!V19+Master!W19+Master!X19+Master!Y19+Master!Z19+Master!AA19+Master!AB19+Master!AC19+Master!AD19+Master!AE19+Master!AF19+Master!AG19+Master!AH19+Master!AI19+Master!AJ19+Master!AK19+Master!CS19+Master!CT19+Master!CU19+Master!CW19+Master!CX19+Master!DE19+Master!DO19+Master!DQ19+Master!DU19+Master!DW19</f>
        <v>2709</v>
      </c>
      <c r="C9" s="3170">
        <f>Master!AL19+Master!AM19+Master!AN19+Master!AO19+Master!AP19+Master!AQ19+Master!AR19+Master!AS19+Master!AT19+Master!AW19+Master!AX19+Master!AY19+Master!AZ19+Master!BA19+Master!BB19+Master!BC19+Master!CY19+Master!CZ19+Master!DF19+Master!DG19+Master!DH19+Master!DI19+Master!DJ19+Master!DM19+Master!DR19</f>
        <v>745</v>
      </c>
      <c r="D9" s="3170">
        <f>Master!DZ19+Master!EA19+Master!EB19+Master!EC19+Master!ED19+Master!EE19+Master!EF19+Master!EG19+Master!EH19+Master!EI19+Master!EJ19+Master!EN19+Master!FL19+Master!FP19+Master!FS19+Master!GC19+Master!GE19+Master!GF19</f>
        <v>1585</v>
      </c>
      <c r="E9" s="3170">
        <f>Master!FK19+Master!FY19+Master!FZ19+Master!GA19+Master!EL19+Master!EM19+Master!EK19+Master!FX19</f>
        <v>1095</v>
      </c>
      <c r="F9" s="3170">
        <f>Master!CB19+Master!CC19+Master!CD19+Master!CE19+Master!CF19+Master!CG19+Master!CH19+Master!CI19+Master!CJ19+Master!CK19+Master!CL19+Master!CM19+Master!CN19+Master!CO19+Master!CP19+Master!CQ19+Master!DC19+Master!DN19+Master!DS19</f>
        <v>1312</v>
      </c>
      <c r="G9" s="3170">
        <f>Master!EO19+Master!EP19+Master!EQ19+Master!ER19+Master!ES19+Master!ET19+Master!EU19+Master!EV19+Master!EW19+Master!EX19+Master!EY19+Master!EZ19+Master!FA19+Master!FG19+Master!FH19+Master!FI19+Master!FJ19+Master!FM19+Master!FN19+Master!FO19+Master!FQ19+Master!FR19+Master!FU19+Master!FW19+Master!GB19</f>
        <v>1311</v>
      </c>
      <c r="H9" s="3170">
        <f>Master!FB19+Master!FC19+Master!FD19+Master!FE19+Master!FF19+Master!FT19+Master!FV19+Master!GD19</f>
        <v>340</v>
      </c>
      <c r="I9" s="3170">
        <f>Master!BD19+Master!BE19+Master!BF19+Master!BG19+Master!BH19+Master!BI19+Master!BJ19+Master!BK19+Master!BL19+Master!BM19+Master!BN19+Master!BO19+Master!BP19+Master!BQ19+Master!BR19+Master!BS19+Master!BT19+Master!BU19+Master!BV19+Master!BW19+Master!CR19+Master!DA19+Master!DB19+Master!DK19+Master!DL19+Master!DT19+Master!DV19+Master!DX19</f>
        <v>1935</v>
      </c>
      <c r="J9" s="3170">
        <f>Master!AV19+Master!BX19+Master!BY19+Master!BZ19+Master!CA19+Master!CV19+Master!DD19+Master!DP19</f>
        <v>233</v>
      </c>
      <c r="K9" s="3170">
        <f t="shared" si="0"/>
        <v>11265</v>
      </c>
    </row>
    <row r="10" spans="1:18" ht="24" customHeight="1" thickBot="1">
      <c r="A10" s="3169">
        <v>0.29166666666666669</v>
      </c>
      <c r="B10" s="3170">
        <f>Master!B20+Master!C20+Master!D20+Master!E20+Master!F20+Master!G20+Master!H20+Master!I20+Master!J20+Master!L20+Master!M20+Master!N20+Master!O20+Master!P20+Master!Q20+Master!R20+Master!S20+Master!T20+Master!U20+Master!V20+Master!W20+Master!X20+Master!Y20+Master!Z20+Master!AA20+Master!AB20+Master!AC20+Master!AD20+Master!AE20+Master!AF20+Master!AG20+Master!AH20+Master!AI20+Master!AJ20+Master!AK20+Master!CS20+Master!CT20+Master!CU20+Master!CW20+Master!CX20+Master!DE20+Master!DO20+Master!DQ20+Master!DU20+Master!DW20</f>
        <v>2709</v>
      </c>
      <c r="C10" s="3170">
        <f>Master!AL20+Master!AM20+Master!AN20+Master!AO20+Master!AP20+Master!AQ20+Master!AR20+Master!AS20+Master!AT20+Master!AW20+Master!AX20+Master!AY20+Master!AZ20+Master!BA20+Master!BB20+Master!BC20+Master!CY20+Master!CZ20+Master!DF20+Master!DG20+Master!DH20+Master!DI20+Master!DJ20+Master!DM20+Master!DR20</f>
        <v>740</v>
      </c>
      <c r="D10" s="3170">
        <f>Master!DZ20+Master!EA20+Master!EB20+Master!EC20+Master!ED20+Master!EE20+Master!EF20+Master!EG20+Master!EH20+Master!EI20+Master!EJ20+Master!EN20+Master!FL20+Master!FP20+Master!FS20+Master!GC20+Master!GE20+Master!GF20</f>
        <v>1576</v>
      </c>
      <c r="E10" s="3170">
        <f>Master!FK20+Master!FY20+Master!FZ20+Master!GA20+Master!EL20+Master!EM20+Master!EK20+Master!FX20</f>
        <v>1079</v>
      </c>
      <c r="F10" s="3170">
        <f>Master!CB20+Master!CC20+Master!CD20+Master!CE20+Master!CF20+Master!CG20+Master!CH20+Master!CI20+Master!CJ20+Master!CK20+Master!CL20+Master!CM20+Master!CN20+Master!CO20+Master!CP20+Master!CQ20+Master!DC20+Master!DN20+Master!DS20</f>
        <v>1320</v>
      </c>
      <c r="G10" s="3170">
        <f>Master!EO20+Master!EP20+Master!EQ20+Master!ER20+Master!ES20+Master!ET20+Master!EU20+Master!EV20+Master!EW20+Master!EX20+Master!EY20+Master!EZ20+Master!FA20+Master!FG20+Master!FH20+Master!FI20+Master!FJ20+Master!FM20+Master!FN20+Master!FO20+Master!FQ20+Master!FR20+Master!FU20+Master!FW20+Master!GB20</f>
        <v>1311</v>
      </c>
      <c r="H10" s="3170">
        <f>Master!FB20+Master!FC20+Master!FD20+Master!FE20+Master!FF20+Master!FT20+Master!FV20+Master!GD20</f>
        <v>341</v>
      </c>
      <c r="I10" s="3170">
        <f>Master!BD20+Master!BE20+Master!BF20+Master!BG20+Master!BH20+Master!BI20+Master!BJ20+Master!BK20+Master!BL20+Master!BM20+Master!BN20+Master!BO20+Master!BP20+Master!BQ20+Master!BR20+Master!BS20+Master!BT20+Master!BU20+Master!BV20+Master!BW20+Master!CR20+Master!DA20+Master!DB20+Master!DK20+Master!DL20+Master!DT20+Master!DV20+Master!DX20</f>
        <v>1913</v>
      </c>
      <c r="J10" s="3170">
        <f>Master!AV20+Master!BX20+Master!BY20+Master!BZ20+Master!CA20+Master!CV20+Master!DD20+Master!DP20</f>
        <v>233</v>
      </c>
      <c r="K10" s="3170">
        <f t="shared" si="0"/>
        <v>11222</v>
      </c>
    </row>
    <row r="11" spans="1:18" ht="24" customHeight="1" thickBot="1">
      <c r="A11" s="3167">
        <v>0.33333333333333331</v>
      </c>
      <c r="B11" s="3168">
        <f>Master!B21+Master!C21+Master!D21+Master!E21+Master!F21+Master!G21+Master!H21+Master!I21+Master!J21+Master!L21+Master!M21+Master!N21+Master!O21+Master!P21+Master!Q21+Master!R21+Master!S21+Master!T21+Master!U21+Master!V21+Master!W21+Master!X21+Master!Y21+Master!Z21+Master!AA21+Master!AB21+Master!AC21+Master!AD21+Master!AE21+Master!AF21+Master!AG21+Master!AH21+Master!AI21+Master!AJ21+Master!AK21+Master!CS21+Master!CT21+Master!CU21+Master!CW21+Master!CX21+Master!DE21+Master!DO21+Master!DQ21+Master!DU21+Master!DW21</f>
        <v>2669</v>
      </c>
      <c r="C11" s="3168">
        <f>Master!AL21+Master!AM21+Master!AN21+Master!AO21+Master!AP21+Master!AQ21+Master!AR21+Master!AS21+Master!AT21+Master!AW21+Master!AX21+Master!AY21+Master!AZ21+Master!BA21+Master!BB21+Master!BC21+Master!CY21+Master!CZ21+Master!DF21+Master!DG21+Master!DH21+Master!DI21+Master!DJ21+Master!DM21+Master!DR21</f>
        <v>740</v>
      </c>
      <c r="D11" s="3168">
        <f>Master!DZ21+Master!EA21+Master!EB21+Master!EC21+Master!ED21+Master!EE21+Master!EF21+Master!EG21+Master!EH21+Master!EI21+Master!EJ21+Master!EN21+Master!FL21+Master!FP21+Master!FS21+Master!GC21+Master!GE21+Master!GF21</f>
        <v>1590</v>
      </c>
      <c r="E11" s="3168">
        <f>Master!FK21+Master!FY21+Master!FZ21+Master!GA21+Master!EL21+Master!EM21+Master!EK21+Master!FX21</f>
        <v>1080</v>
      </c>
      <c r="F11" s="3168">
        <f>Master!CB21+Master!CC21+Master!CD21+Master!CE21+Master!CF21+Master!CG21+Master!CH21+Master!CI21+Master!CJ21+Master!CK21+Master!CL21+Master!CM21+Master!CN21+Master!CO21+Master!CP21+Master!CQ21+Master!DC21+Master!DN21+Master!DS21</f>
        <v>1292</v>
      </c>
      <c r="G11" s="3168">
        <f>Master!EO21+Master!EP21+Master!EQ21+Master!ER21+Master!ES21+Master!ET21+Master!EU21+Master!EV21+Master!EW21+Master!EX21+Master!EY21+Master!EZ21+Master!FA21+Master!FG21+Master!FH21+Master!FI21+Master!FJ21+Master!FM21+Master!FN21+Master!FO21+Master!FQ21+Master!FR21+Master!FU21+Master!FW21+Master!GB21</f>
        <v>1319</v>
      </c>
      <c r="H11" s="3168">
        <f>Master!FB21+Master!FC21+Master!FD21+Master!FE21+Master!FF21+Master!FT21+Master!FV21+Master!GD21</f>
        <v>341</v>
      </c>
      <c r="I11" s="3168">
        <f>Master!BD21+Master!BE21+Master!BF21+Master!BG21+Master!BH21+Master!BI21+Master!BJ21+Master!BK21+Master!BL21+Master!BM21+Master!BN21+Master!BO21+Master!BP21+Master!BQ21+Master!BR21+Master!BS21+Master!BT21+Master!BU21+Master!BV21+Master!BW21+Master!CR21+Master!DA21+Master!DB21+Master!DK21+Master!DL21+Master!DT21+Master!DV21+Master!DX21</f>
        <v>1900</v>
      </c>
      <c r="J11" s="3168">
        <f>Master!AV21+Master!BX21+Master!BY21+Master!BZ21+Master!CA21+Master!CV21+Master!DD21+Master!DP21</f>
        <v>235</v>
      </c>
      <c r="K11" s="3168">
        <f t="shared" si="0"/>
        <v>11166</v>
      </c>
    </row>
    <row r="12" spans="1:18" ht="24" customHeight="1" thickBot="1">
      <c r="A12" s="3167">
        <v>0.375</v>
      </c>
      <c r="B12" s="3168">
        <f>Master!B22+Master!C22+Master!D22+Master!E22+Master!F22+Master!G22+Master!H22+Master!I22+Master!J22+Master!L22+Master!M22+Master!N22+Master!O22+Master!P22+Master!Q22+Master!R22+Master!S22+Master!T22+Master!U22+Master!V22+Master!W22+Master!X22+Master!Y22+Master!Z22+Master!AA22+Master!AB22+Master!AC22+Master!AD22+Master!AE22+Master!AF22+Master!AG22+Master!AH22+Master!AI22+Master!AJ22+Master!AK22+Master!CS22+Master!CT22+Master!CU22+Master!CW22+Master!CX22+Master!DE22+Master!DO22+Master!DQ22+Master!DU22+Master!DW22</f>
        <v>2459</v>
      </c>
      <c r="C12" s="3168">
        <f>Master!AL22+Master!AM22+Master!AN22+Master!AO22+Master!AP22+Master!AQ22+Master!AR22+Master!AS22+Master!AT22+Master!AW22+Master!AX22+Master!AY22+Master!AZ22+Master!BA22+Master!BB22+Master!BC22+Master!CY22+Master!CZ22+Master!DF22+Master!DG22+Master!DH22+Master!DI22+Master!DJ22+Master!DM22+Master!DR22</f>
        <v>740</v>
      </c>
      <c r="D12" s="3168">
        <f>Master!DZ22+Master!EA22+Master!EB22+Master!EC22+Master!ED22+Master!EE22+Master!EF22+Master!EG22+Master!EH22+Master!EI22+Master!EJ22+Master!EN22+Master!FL22+Master!FP22+Master!FS22+Master!GC22+Master!GE22+Master!GF22</f>
        <v>1617</v>
      </c>
      <c r="E12" s="3168">
        <f>Master!FK22+Master!FY22+Master!FZ22+Master!GA22+Master!EL22+Master!EM22+Master!EK22+Master!FX22</f>
        <v>1064</v>
      </c>
      <c r="F12" s="3168">
        <f>Master!CB22+Master!CC22+Master!CD22+Master!CE22+Master!CF22+Master!CG22+Master!CH22+Master!CI22+Master!CJ22+Master!CK22+Master!CL22+Master!CM22+Master!CN22+Master!CO22+Master!CP22+Master!CQ22+Master!DC22+Master!DN22+Master!DS22</f>
        <v>1296</v>
      </c>
      <c r="G12" s="3168">
        <f>Master!EO22+Master!EP22+Master!EQ22+Master!ER22+Master!ES22+Master!ET22+Master!EU22+Master!EV22+Master!EW22+Master!EX22+Master!EY22+Master!EZ22+Master!FA22+Master!FG22+Master!FH22+Master!FI22+Master!FJ22+Master!FM22+Master!FN22+Master!FO22+Master!FQ22+Master!FR22+Master!FU22+Master!FW22+Master!GB22</f>
        <v>1300</v>
      </c>
      <c r="H12" s="3168">
        <f>Master!FB22+Master!FC22+Master!FD22+Master!FE22+Master!FF22+Master!FT22+Master!FV22+Master!GD22</f>
        <v>341</v>
      </c>
      <c r="I12" s="3168">
        <f>Master!BD22+Master!BE22+Master!BF22+Master!BG22+Master!BH22+Master!BI22+Master!BJ22+Master!BK22+Master!BL22+Master!BM22+Master!BN22+Master!BO22+Master!BP22+Master!BQ22+Master!BR22+Master!BS22+Master!BT22+Master!BU22+Master!BV22+Master!BW22+Master!CR22+Master!DA22+Master!DB22+Master!DK22+Master!DL22+Master!DT22+Master!DV22+Master!DX22</f>
        <v>1908</v>
      </c>
      <c r="J12" s="3168">
        <f>Master!AV22+Master!BX22+Master!BY22+Master!BZ22+Master!CA22+Master!CV22+Master!DD22+Master!DP22</f>
        <v>221</v>
      </c>
      <c r="K12" s="3168">
        <f t="shared" si="0"/>
        <v>10946</v>
      </c>
    </row>
    <row r="13" spans="1:18" ht="24" customHeight="1" thickBot="1">
      <c r="A13" s="3167">
        <v>0.41666666666666669</v>
      </c>
      <c r="B13" s="3168">
        <f>Master!B23+Master!C23+Master!D23+Master!E23+Master!F23+Master!G23+Master!H23+Master!I23+Master!J23+Master!L23+Master!M23+Master!N23+Master!O23+Master!P23+Master!Q23+Master!R23+Master!S23+Master!T23+Master!U23+Master!V23+Master!W23+Master!X23+Master!Y23+Master!Z23+Master!AA23+Master!AB23+Master!AC23+Master!AD23+Master!AE23+Master!AF23+Master!AG23+Master!AH23+Master!AI23+Master!AJ23+Master!AK23+Master!CS23+Master!CT23+Master!CU23+Master!CW23+Master!CX23+Master!DE23+Master!DO23+Master!DQ23+Master!DU23+Master!DW23</f>
        <v>2552</v>
      </c>
      <c r="C13" s="3168">
        <f>Master!AL23+Master!AM23+Master!AN23+Master!AO23+Master!AP23+Master!AQ23+Master!AR23+Master!AS23+Master!AT23+Master!AW23+Master!AX23+Master!AY23+Master!AZ23+Master!BA23+Master!BB23+Master!BC23+Master!CY23+Master!CZ23+Master!DF23+Master!DG23+Master!DH23+Master!DI23+Master!DJ23+Master!DM23+Master!DR23</f>
        <v>727</v>
      </c>
      <c r="D13" s="3168">
        <f>Master!DZ23+Master!EA23+Master!EB23+Master!EC23+Master!ED23+Master!EE23+Master!EF23+Master!EG23+Master!EH23+Master!EI23+Master!EJ23+Master!EN23+Master!FL23+Master!FP23+Master!FS23+Master!GC23+Master!GE23+Master!GF23</f>
        <v>1596</v>
      </c>
      <c r="E13" s="3168">
        <f>Master!FK23+Master!FY23+Master!FZ23+Master!GA23+Master!EL23+Master!EM23+Master!EK23+Master!FX23</f>
        <v>623</v>
      </c>
      <c r="F13" s="3168">
        <f>Master!CB23+Master!CC23+Master!CD23+Master!CE23+Master!CF23+Master!CG23+Master!CH23+Master!CI23+Master!CJ23+Master!CK23+Master!CL23+Master!CM23+Master!CN23+Master!CO23+Master!CP23+Master!CQ23+Master!DC23+Master!DN23+Master!DS23</f>
        <v>1296</v>
      </c>
      <c r="G13" s="3168">
        <f>Master!EO23+Master!EP23+Master!EQ23+Master!ER23+Master!ES23+Master!ET23+Master!EU23+Master!EV23+Master!EW23+Master!EX23+Master!EY23+Master!EZ23+Master!FA23+Master!FG23+Master!FH23+Master!FI23+Master!FJ23+Master!FM23+Master!FN23+Master!FO23+Master!FQ23+Master!FR23+Master!FU23+Master!FW23+Master!GB23</f>
        <v>1243</v>
      </c>
      <c r="H13" s="3168">
        <f>Master!FB23+Master!FC23+Master!FD23+Master!FE23+Master!FF23+Master!FT23+Master!FV23+Master!GD23</f>
        <v>342</v>
      </c>
      <c r="I13" s="3168">
        <f>Master!BD23+Master!BE23+Master!BF23+Master!BG23+Master!BH23+Master!BI23+Master!BJ23+Master!BK23+Master!BL23+Master!BM23+Master!BN23+Master!BO23+Master!BP23+Master!BQ23+Master!BR23+Master!BS23+Master!BT23+Master!BU23+Master!BV23+Master!BW23+Master!CR23+Master!DA23+Master!DB23+Master!DK23+Master!DL23+Master!DT23+Master!DV23+Master!DX23</f>
        <v>1880</v>
      </c>
      <c r="J13" s="3168">
        <f>Master!AV23+Master!BX23+Master!BY23+Master!BZ23+Master!CA23+Master!CV23+Master!DD23+Master!DP23</f>
        <v>246</v>
      </c>
      <c r="K13" s="3168">
        <f t="shared" si="0"/>
        <v>10505</v>
      </c>
    </row>
    <row r="14" spans="1:18" ht="24" customHeight="1" thickBot="1">
      <c r="A14" s="3167">
        <v>0.45833333333333331</v>
      </c>
      <c r="B14" s="3168">
        <f>Master!B24+Master!C24+Master!D24+Master!E24+Master!F24+Master!G24+Master!H24+Master!I24+Master!J24+Master!L24+Master!M24+Master!N24+Master!O24+Master!P24+Master!Q24+Master!R24+Master!S24+Master!T24+Master!U24+Master!V24+Master!W24+Master!X24+Master!Y24+Master!Z24+Master!AA24+Master!AB24+Master!AC24+Master!AD24+Master!AE24+Master!AF24+Master!AG24+Master!AH24+Master!AI24+Master!AJ24+Master!AK24+Master!CS24+Master!CT24+Master!CU24+Master!CW24+Master!CX24+Master!DE24+Master!DO24+Master!DQ24+Master!DU24+Master!DW24</f>
        <v>2506</v>
      </c>
      <c r="C14" s="3168">
        <f>Master!AL24+Master!AM24+Master!AN24+Master!AO24+Master!AP24+Master!AQ24+Master!AR24+Master!AS24+Master!AT24+Master!AW24+Master!AX24+Master!AY24+Master!AZ24+Master!BA24+Master!BB24+Master!BC24+Master!CY24+Master!CZ24+Master!DF24+Master!DG24+Master!DH24+Master!DI24+Master!DJ24+Master!DM24+Master!DR24</f>
        <v>719</v>
      </c>
      <c r="D14" s="3168">
        <f>Master!DZ24+Master!EA24+Master!EB24+Master!EC24+Master!ED24+Master!EE24+Master!EF24+Master!EG24+Master!EH24+Master!EI24+Master!EJ24+Master!EN24+Master!FL24+Master!FP24+Master!FS24+Master!GC24+Master!GE24+Master!GF24</f>
        <v>1659</v>
      </c>
      <c r="E14" s="3168">
        <f>Master!FK24+Master!FY24+Master!FZ24+Master!GA24+Master!EL24+Master!EM24+Master!EK24+Master!FX24</f>
        <v>700</v>
      </c>
      <c r="F14" s="3168">
        <f>Master!CB24+Master!CC24+Master!CD24+Master!CE24+Master!CF24+Master!CG24+Master!CH24+Master!CI24+Master!CJ24+Master!CK24+Master!CL24+Master!CM24+Master!CN24+Master!CO24+Master!CP24+Master!CQ24+Master!DC24+Master!DN24+Master!DS24</f>
        <v>1305</v>
      </c>
      <c r="G14" s="3168">
        <f>Master!EO24+Master!EP24+Master!EQ24+Master!ER24+Master!ES24+Master!ET24+Master!EU24+Master!EV24+Master!EW24+Master!EX24+Master!EY24+Master!EZ24+Master!FA24+Master!FG24+Master!FH24+Master!FI24+Master!FJ24+Master!FM24+Master!FN24+Master!FO24+Master!FQ24+Master!FR24+Master!FU24+Master!FW24+Master!GB24</f>
        <v>1232</v>
      </c>
      <c r="H14" s="3168">
        <f>Master!FB24+Master!FC24+Master!FD24+Master!FE24+Master!FF24+Master!FT24+Master!FV24+Master!GD24</f>
        <v>345</v>
      </c>
      <c r="I14" s="3168">
        <f>Master!BD24+Master!BE24+Master!BF24+Master!BG24+Master!BH24+Master!BI24+Master!BJ24+Master!BK24+Master!BL24+Master!BM24+Master!BN24+Master!BO24+Master!BP24+Master!BQ24+Master!BR24+Master!BS24+Master!BT24+Master!BU24+Master!BV24+Master!BW24+Master!CR24+Master!DA24+Master!DB24+Master!DK24+Master!DL24+Master!DT24+Master!DV24+Master!DX24</f>
        <v>1879</v>
      </c>
      <c r="J14" s="3168">
        <f>Master!AV24+Master!BX24+Master!BY24+Master!BZ24+Master!CA24+Master!CV24+Master!DD24+Master!DP24</f>
        <v>228</v>
      </c>
      <c r="K14" s="3168">
        <f t="shared" si="0"/>
        <v>10573</v>
      </c>
    </row>
    <row r="15" spans="1:18" ht="24" customHeight="1" thickBot="1">
      <c r="A15" s="3167">
        <v>0.5</v>
      </c>
      <c r="B15" s="3168">
        <f>Master!B25+Master!C25+Master!D25+Master!E25+Master!F25+Master!G25+Master!H25+Master!I25+Master!J25+Master!L25+Master!M25+Master!N25+Master!O25+Master!P25+Master!Q25+Master!R25+Master!S25+Master!T25+Master!U25+Master!V25+Master!W25+Master!X25+Master!Y25+Master!Z25+Master!AA25+Master!AB25+Master!AC25+Master!AD25+Master!AE25+Master!AF25+Master!AG25+Master!AH25+Master!AI25+Master!AJ25+Master!AK25+Master!CS25+Master!CT25+Master!CU25+Master!CW25+Master!CX25+Master!DE25+Master!DO25+Master!DQ25+Master!DU25+Master!DW25</f>
        <v>0</v>
      </c>
      <c r="C15" s="3168">
        <f>Master!AL25+Master!AM25+Master!AN25+Master!AO25+Master!AP25+Master!AQ25+Master!AR25+Master!AS25+Master!AT25+Master!AW25+Master!AX25+Master!AY25+Master!AZ25+Master!BA25+Master!BB25+Master!BC25+Master!CY25+Master!CZ25+Master!DF25+Master!DG25+Master!DH25+Master!DI25+Master!DJ25+Master!DM25+Master!DR25</f>
        <v>0</v>
      </c>
      <c r="D15" s="3168">
        <f>Master!DZ25+Master!EA25+Master!EB25+Master!EC25+Master!ED25+Master!EE25+Master!EF25+Master!EG25+Master!EH25+Master!EI25+Master!EJ25+Master!EN25+Master!FL25+Master!FP25+Master!FS25+Master!GC25+Master!GE25+Master!GF25</f>
        <v>0</v>
      </c>
      <c r="E15" s="3168">
        <f>Master!FK25+Master!FY25+Master!FZ25+Master!GA25+Master!EL25+Master!EM25+Master!EK25+Master!FX25</f>
        <v>0</v>
      </c>
      <c r="F15" s="3168">
        <f>Master!CB25+Master!CC25+Master!CD25+Master!CE25+Master!CF25+Master!CG25+Master!CH25+Master!CI25+Master!CJ25+Master!CK25+Master!CL25+Master!CM25+Master!CN25+Master!CO25+Master!CP25+Master!CQ25+Master!DC25+Master!DN25+Master!DS25</f>
        <v>0</v>
      </c>
      <c r="G15" s="3168">
        <f>Master!EO25+Master!EP25+Master!EQ25+Master!ER25+Master!ES25+Master!ET25+Master!EU25+Master!EV25+Master!EW25+Master!EX25+Master!EY25+Master!EZ25+Master!FA25+Master!FG25+Master!FH25+Master!FI25+Master!FJ25+Master!FM25+Master!FN25+Master!FO25+Master!FQ25+Master!FR25+Master!FU25+Master!FW25+Master!GB25</f>
        <v>0</v>
      </c>
      <c r="H15" s="3168">
        <f>Master!FB25+Master!FC25+Master!FD25+Master!FE25+Master!FF25+Master!FT25+Master!FV25+Master!GD25</f>
        <v>0</v>
      </c>
      <c r="I15" s="3168">
        <f>Master!BD25+Master!BE25+Master!BF25+Master!BG25+Master!BH25+Master!BI25+Master!BJ25+Master!BK25+Master!BL25+Master!BM25+Master!BN25+Master!BO25+Master!BP25+Master!BQ25+Master!BR25+Master!BS25+Master!BT25+Master!BU25+Master!BV25+Master!BW25+Master!CR25+Master!DA25+Master!DB25+Master!DK25+Master!DL25+Master!DT25+Master!DV25+Master!DX25</f>
        <v>0</v>
      </c>
      <c r="J15" s="3168">
        <f>Master!AV25+Master!BX25+Master!BY25+Master!BZ25+Master!CA25+Master!CV25+Master!DD25+Master!DP25</f>
        <v>0</v>
      </c>
      <c r="K15" s="3168">
        <f t="shared" si="0"/>
        <v>0</v>
      </c>
      <c r="O15" s="3162"/>
      <c r="P15" s="3162"/>
      <c r="Q15" s="3162"/>
      <c r="R15" s="3162"/>
    </row>
    <row r="16" spans="1:18" ht="24" customHeight="1" thickBot="1">
      <c r="A16" s="3167">
        <v>0.54166666666666663</v>
      </c>
      <c r="B16" s="3168">
        <f>Master!B26+Master!C26+Master!D26+Master!E26+Master!F26+Master!G26+Master!H26+Master!I26+Master!J26+Master!L26+Master!M26+Master!N26+Master!O26+Master!P26+Master!Q26+Master!R26+Master!S26+Master!T26+Master!U26+Master!V26+Master!W26+Master!X26+Master!Y26+Master!Z26+Master!AA26+Master!AB26+Master!AC26+Master!AD26+Master!AE26+Master!AF26+Master!AG26+Master!AH26+Master!AI26+Master!AJ26+Master!AK26+Master!CS26+Master!CT26+Master!CU26+Master!CW26+Master!CX26+Master!DE26+Master!DO26+Master!DQ26+Master!DU26+Master!DW26</f>
        <v>0</v>
      </c>
      <c r="C16" s="3168">
        <f>Master!AL26+Master!AM26+Master!AN26+Master!AO26+Master!AP26+Master!AQ26+Master!AR26+Master!AS26+Master!AT26+Master!AW26+Master!AX26+Master!AY26+Master!AZ26+Master!BA26+Master!BB26+Master!BC26+Master!CY26+Master!CZ26+Master!DF26+Master!DG26+Master!DH26+Master!DI26+Master!DJ26+Master!DM26+Master!DR26</f>
        <v>0</v>
      </c>
      <c r="D16" s="3168">
        <f>Master!DZ26+Master!EA26+Master!EB26+Master!EC26+Master!ED26+Master!EE26+Master!EF26+Master!EG26+Master!EH26+Master!EI26+Master!EJ26+Master!EN26+Master!FL26+Master!FP26+Master!FS26+Master!GC26+Master!GE26+Master!GF26</f>
        <v>0</v>
      </c>
      <c r="E16" s="3168">
        <f>Master!FK26+Master!FY26+Master!FZ26+Master!GA26+Master!EL26+Master!EM26+Master!EK26+Master!FX26</f>
        <v>0</v>
      </c>
      <c r="F16" s="3168">
        <f>Master!CB26+Master!CC26+Master!CD26+Master!CE26+Master!CF26+Master!CG26+Master!CH26+Master!CI26+Master!CJ26+Master!CK26+Master!CL26+Master!CM26+Master!CN26+Master!CO26+Master!CP26+Master!CQ26+Master!DC26+Master!DN26+Master!DS26</f>
        <v>0</v>
      </c>
      <c r="G16" s="3168">
        <f>Master!EO26+Master!EP26+Master!EQ26+Master!ER26+Master!ES26+Master!ET26+Master!EU26+Master!EV26+Master!EW26+Master!EX26+Master!EY26+Master!EZ26+Master!FA26+Master!FG26+Master!FH26+Master!FI26+Master!FJ26+Master!FM26+Master!FN26+Master!FO26+Master!FQ26+Master!FR26+Master!FU26+Master!FW26+Master!GB26</f>
        <v>0</v>
      </c>
      <c r="H16" s="3168">
        <f>Master!FB26+Master!FC26+Master!FD26+Master!FE26+Master!FF26+Master!FT26+Master!FV26+Master!GD26</f>
        <v>0</v>
      </c>
      <c r="I16" s="3168">
        <f>Master!BD26+Master!BE26+Master!BF26+Master!BG26+Master!BH26+Master!BI26+Master!BJ26+Master!BK26+Master!BL26+Master!BM26+Master!BN26+Master!BO26+Master!BP26+Master!BQ26+Master!BR26+Master!BS26+Master!BT26+Master!BU26+Master!BV26+Master!BW26+Master!CR26+Master!DA26+Master!DB26+Master!DK26+Master!DL26+Master!DT26+Master!DV26+Master!DX26</f>
        <v>0</v>
      </c>
      <c r="J16" s="3168">
        <f>Master!AV26+Master!BX26+Master!BY26+Master!BZ26+Master!CA26+Master!CV26+Master!DD26+Master!DP26</f>
        <v>0</v>
      </c>
      <c r="K16" s="3168">
        <f t="shared" si="0"/>
        <v>0</v>
      </c>
    </row>
    <row r="17" spans="1:17" ht="24" customHeight="1" thickBot="1">
      <c r="A17" s="3169">
        <v>0.58333333333333337</v>
      </c>
      <c r="B17" s="3170">
        <f>Master!B27+Master!C27+Master!D27+Master!E27+Master!F27+Master!G27+Master!H27+Master!I27+Master!J27+Master!L27+Master!M27+Master!N27+Master!O27+Master!P27+Master!Q27+Master!R27+Master!S27+Master!T27+Master!U27+Master!V27+Master!W27+Master!X27+Master!Y27+Master!Z27+Master!AA27+Master!AB27+Master!AC27+Master!AD27+Master!AE27+Master!AF27+Master!AG27+Master!AH27+Master!AI27+Master!AJ27+Master!AK27+Master!CS27+Master!CT27+Master!CU27+Master!CW27+Master!CX27+Master!DE27+Master!DO27+Master!DQ27+Master!DU27+Master!DW27</f>
        <v>0</v>
      </c>
      <c r="C17" s="3170">
        <f>Master!AL27+Master!AM27+Master!AN27+Master!AO27+Master!AP27+Master!AQ27+Master!AR27+Master!AS27+Master!AT27+Master!AW27+Master!AX27+Master!AY27+Master!AZ27+Master!BA27+Master!BB27+Master!BC27+Master!CY27+Master!CZ27+Master!DF27+Master!DG27+Master!DH27+Master!DI27+Master!DJ27+Master!DM27+Master!DR27</f>
        <v>0</v>
      </c>
      <c r="D17" s="3170">
        <f>Master!DZ27+Master!EA27+Master!EB27+Master!EC27+Master!ED27+Master!EE27+Master!EF27+Master!EG27+Master!EH27+Master!EI27+Master!EJ27+Master!EN27+Master!FL27+Master!FP27+Master!FS27+Master!GC27+Master!GE27+Master!GF27</f>
        <v>0</v>
      </c>
      <c r="E17" s="3170">
        <f>Master!FK27+Master!FY27+Master!FZ27+Master!GA27+Master!EL27+Master!EM27+Master!EK27+Master!FX27</f>
        <v>0</v>
      </c>
      <c r="F17" s="3170">
        <f>Master!CB27+Master!CC27+Master!CD27+Master!CE27+Master!CF27+Master!CG27+Master!CH27+Master!CI27+Master!CJ27+Master!CK27+Master!CL27+Master!CM27+Master!CN27+Master!CO27+Master!CP27+Master!CQ27+Master!DC27+Master!DN27+Master!DS27</f>
        <v>0</v>
      </c>
      <c r="G17" s="3170">
        <f>Master!EO27+Master!EP27+Master!EQ27+Master!ER27+Master!ES27+Master!ET27+Master!EU27+Master!EV27+Master!EW27+Master!EX27+Master!EY27+Master!EZ27+Master!FA27+Master!FG27+Master!FH27+Master!FI27+Master!FJ27+Master!FM27+Master!FN27+Master!FO27+Master!FQ27+Master!FR27+Master!FU27+Master!FW27+Master!GB27</f>
        <v>0</v>
      </c>
      <c r="H17" s="3170">
        <f>Master!FB27+Master!FC27+Master!FD27+Master!FE27+Master!FF27+Master!FT27+Master!FV27+Master!GD27</f>
        <v>0</v>
      </c>
      <c r="I17" s="3170">
        <f>Master!BD27+Master!BE27+Master!BF27+Master!BG27+Master!BH27+Master!BI27+Master!BJ27+Master!BK27+Master!BL27+Master!BM27+Master!BN27+Master!BO27+Master!BP27+Master!BQ27+Master!BR27+Master!BS27+Master!BT27+Master!BU27+Master!BV27+Master!BW27+Master!CR27+Master!DA27+Master!DB27+Master!DK27+Master!DL27+Master!DT27+Master!DV27+Master!DX27</f>
        <v>0</v>
      </c>
      <c r="J17" s="3170">
        <f>Master!AV27+Master!BX27+Master!BY27+Master!BZ27+Master!CA27+Master!CV27+Master!DD27+Master!DP27</f>
        <v>0</v>
      </c>
      <c r="K17" s="3170">
        <f>SUM(B17:J17)</f>
        <v>0</v>
      </c>
    </row>
    <row r="18" spans="1:17" ht="24" customHeight="1" thickBot="1">
      <c r="A18" s="3169">
        <v>0.625</v>
      </c>
      <c r="B18" s="3170">
        <f>Master!B28+Master!C28+Master!D28+Master!E28+Master!F28+Master!G28+Master!H28+Master!I28+Master!J28+Master!L28+Master!M28+Master!N28+Master!O28+Master!P28+Master!Q28+Master!R28+Master!S28+Master!T28+Master!U28+Master!V28+Master!W28+Master!X28+Master!Y28+Master!Z28+Master!AA28+Master!AB28+Master!AC28+Master!AD28+Master!AE28+Master!AF28+Master!AG28+Master!AH28+Master!AI28+Master!AJ28+Master!AK28+Master!CS28+Master!CT28+Master!CU28+Master!CW28+Master!CX28+Master!DE28+Master!DO28+Master!DQ28+Master!DU28+Master!DW28</f>
        <v>0</v>
      </c>
      <c r="C18" s="3170">
        <f>Master!AL28+Master!AM28+Master!AN28+Master!AO28+Master!AP28+Master!AQ28+Master!AR28+Master!AS28+Master!AT28+Master!AW28+Master!AX28+Master!AY28+Master!AZ28+Master!BA28+Master!BB28+Master!BC28+Master!CY28+Master!CZ28+Master!DF28+Master!DG28+Master!DH28+Master!DI28+Master!DJ28+Master!DM28+Master!DR28</f>
        <v>0</v>
      </c>
      <c r="D18" s="3170">
        <f>Master!DZ28+Master!EA28+Master!EB28+Master!EC28+Master!ED28+Master!EE28+Master!EF28+Master!EG28+Master!EH28+Master!EI28+Master!EJ28+Master!EN28+Master!FL28+Master!FP28+Master!FS28+Master!GC28+Master!GE28+Master!GF28</f>
        <v>0</v>
      </c>
      <c r="E18" s="3170">
        <f>Master!FK28+Master!FY28+Master!FZ28+Master!GA28+Master!EL28+Master!EM28+Master!EK28+Master!FX28</f>
        <v>0</v>
      </c>
      <c r="F18" s="3170">
        <f>Master!CB28+Master!CC28+Master!CD28+Master!CE28+Master!CF28+Master!CG28+Master!CH28+Master!CI28+Master!CJ28+Master!CK28+Master!CL28+Master!CM28+Master!CN28+Master!CO28+Master!CP28+Master!CQ28+Master!DC28+Master!DN28+Master!DS28</f>
        <v>0</v>
      </c>
      <c r="G18" s="3170">
        <f>Master!EO28+Master!EP28+Master!EQ28+Master!ER28+Master!ES28+Master!ET28+Master!EU28+Master!EV28+Master!EW28+Master!EX28+Master!EY28+Master!EZ28+Master!FA28+Master!FG28+Master!FH28+Master!FI28+Master!FJ28+Master!FM28+Master!FN28+Master!FO28+Master!FQ28+Master!FR28+Master!FU28+Master!FW28+Master!GB28</f>
        <v>0</v>
      </c>
      <c r="H18" s="3170">
        <f>Master!FB28+Master!FC28+Master!FD28+Master!FE28+Master!FF28+Master!FT28+Master!FV28+Master!GD28</f>
        <v>0</v>
      </c>
      <c r="I18" s="3170">
        <f>Master!BD28+Master!BE28+Master!BF28+Master!BG28+Master!BH28+Master!BI28+Master!BJ28+Master!BK28+Master!BL28+Master!BM28+Master!BN28+Master!BO28+Master!BP28+Master!BQ28+Master!BR28+Master!BS28+Master!BT28+Master!BU28+Master!BV28+Master!BW28+Master!CR28+Master!DA28+Master!DB28+Master!DK28+Master!DL28+Master!DT28+Master!DV28+Master!DX28</f>
        <v>0</v>
      </c>
      <c r="J18" s="3170">
        <f>Master!AV28+Master!BX28+Master!BY28+Master!BZ28+Master!CA28+Master!CV28+Master!DD28+Master!DP28</f>
        <v>0</v>
      </c>
      <c r="K18" s="3170">
        <f t="shared" si="0"/>
        <v>0</v>
      </c>
    </row>
    <row r="19" spans="1:17" ht="24" customHeight="1" thickBot="1">
      <c r="A19" s="3169">
        <v>0.66666666666666663</v>
      </c>
      <c r="B19" s="3170">
        <f>Master!B29+Master!C29+Master!D29+Master!E29+Master!F29+Master!G29+Master!H29+Master!I29+Master!J29+Master!L29+Master!M29+Master!N29+Master!O29+Master!P29+Master!Q29+Master!R29+Master!S29+Master!T29+Master!U29+Master!V29+Master!W29+Master!X29+Master!Y29+Master!Z29+Master!AA29+Master!AB29+Master!AC29+Master!AD29+Master!AE29+Master!AF29+Master!AG29+Master!AH29+Master!AI29+Master!AJ29+Master!AK29+Master!CS29+Master!CT29+Master!CU29+Master!CW29+Master!CX29+Master!DE29+Master!DO29+Master!DQ29+Master!DU29+Master!DW29</f>
        <v>0</v>
      </c>
      <c r="C19" s="3170">
        <f>Master!AL29+Master!AM29+Master!AN29+Master!AO29+Master!AP29+Master!AQ29+Master!AR29+Master!AS29+Master!AT29+Master!AW29+Master!AX29+Master!AY29+Master!AZ29+Master!BA29+Master!BB29+Master!BC29+Master!CY29+Master!CZ29+Master!DF29+Master!DG29+Master!DH29+Master!DI29+Master!DJ29+Master!DM29+Master!DR29</f>
        <v>0</v>
      </c>
      <c r="D19" s="3170">
        <f>Master!DZ29+Master!EA29+Master!EB29+Master!EC29+Master!ED29+Master!EE29+Master!EF29+Master!EG29+Master!EH29+Master!EI29+Master!EJ29+Master!EN29+Master!FL29+Master!FP29+Master!FS29+Master!GC29+Master!GE29+Master!GF29</f>
        <v>0</v>
      </c>
      <c r="E19" s="3170">
        <f>Master!FK29+Master!FY29+Master!FZ29+Master!GA29+Master!EL29+Master!EM29+Master!EK29+Master!FX29</f>
        <v>0</v>
      </c>
      <c r="F19" s="3170">
        <f>Master!CB29+Master!CC29+Master!CD29+Master!CE29+Master!CF29+Master!CG29+Master!CH29+Master!CI29+Master!CJ29+Master!CK29+Master!CL29+Master!CM29+Master!CN29+Master!CO29+Master!CP29+Master!CQ29+Master!DC29+Master!DN29+Master!DS29</f>
        <v>0</v>
      </c>
      <c r="G19" s="3170">
        <f>Master!EO29+Master!EP29+Master!EQ29+Master!ER29+Master!ES29+Master!ET29+Master!EU29+Master!EV29+Master!EW29+Master!EX29+Master!EY29+Master!EZ29+Master!FA29+Master!FG29+Master!FH29+Master!FI29+Master!FJ29+Master!FM29+Master!FN29+Master!FO29+Master!FQ29+Master!FR29+Master!FU29+Master!FW29+Master!GB29</f>
        <v>0</v>
      </c>
      <c r="H19" s="3170">
        <f>Master!FB29+Master!FC29+Master!FD29+Master!FE29+Master!FF29+Master!FT29+Master!FV29+Master!GD29</f>
        <v>0</v>
      </c>
      <c r="I19" s="3170">
        <f>Master!BD29+Master!BE29+Master!BF29+Master!BG29+Master!BH29+Master!BI29+Master!BJ29+Master!BK29+Master!BL29+Master!BM29+Master!BN29+Master!BO29+Master!BP29+Master!BQ29+Master!BR29+Master!BS29+Master!BT29+Master!BU29+Master!BV29+Master!BW29+Master!CR29+Master!DA29+Master!DB29+Master!DK29+Master!DL29+Master!DT29+Master!DV29+Master!DX29</f>
        <v>0</v>
      </c>
      <c r="J19" s="3170">
        <f>Master!AV29+Master!BX29+Master!BY29+Master!BZ29+Master!CA29+Master!CV29+Master!DD29+Master!DP29</f>
        <v>0</v>
      </c>
      <c r="K19" s="3170">
        <f t="shared" si="0"/>
        <v>0</v>
      </c>
      <c r="P19" s="1802" t="s">
        <v>1790</v>
      </c>
    </row>
    <row r="20" spans="1:17" ht="24" customHeight="1" thickBot="1">
      <c r="A20" s="3169">
        <v>0.70833333333333337</v>
      </c>
      <c r="B20" s="3170">
        <f>Master!B30+Master!C30+Master!D30+Master!E30+Master!F30+Master!G30+Master!H30+Master!I30+Master!J30+Master!L30+Master!M30+Master!N30+Master!O30+Master!P30+Master!Q30+Master!R30+Master!S30+Master!T30+Master!U30+Master!V30+Master!W30+Master!X30+Master!Y30+Master!Z30+Master!AA30+Master!AB30+Master!AC30+Master!AD30+Master!AE30+Master!AF30+Master!AG30+Master!AH30+Master!AI30+Master!AJ30+Master!AK30+Master!CS30+Master!CT30+Master!CU30+Master!CW30+Master!CX30+Master!DE30+Master!DO30+Master!DQ30+Master!DU30+Master!DW30</f>
        <v>0</v>
      </c>
      <c r="C20" s="3170">
        <f>Master!AL30+Master!AM30+Master!AN30+Master!AO30+Master!AP30+Master!AQ30+Master!AR30+Master!AS30+Master!AT30+Master!AW30+Master!AX30+Master!AY30+Master!AZ30+Master!BA30+Master!BB30+Master!BC30+Master!CY30+Master!CZ30+Master!DF30+Master!DG30+Master!DH30+Master!DI30+Master!DJ30+Master!DM30+Master!DR30</f>
        <v>0</v>
      </c>
      <c r="D20" s="3170">
        <f>Master!DZ30+Master!EA30+Master!EB30+Master!EC30+Master!ED30+Master!EE30+Master!EF30+Master!EG30+Master!EH30+Master!EI30+Master!EJ30+Master!EN30+Master!FL30+Master!FP30+Master!FS30+Master!GC30+Master!GE30+Master!GF30</f>
        <v>0</v>
      </c>
      <c r="E20" s="3170">
        <f>Master!FK30+Master!FY30+Master!FZ30+Master!GA30+Master!EL30+Master!EM30+Master!EK30+Master!FX30</f>
        <v>0</v>
      </c>
      <c r="F20" s="3170">
        <f>Master!CB30+Master!CC30+Master!CD30+Master!CE30+Master!CF30+Master!CG30+Master!CH30+Master!CI30+Master!CJ30+Master!CK30+Master!CL30+Master!CM30+Master!CN30+Master!CO30+Master!CP30+Master!CQ30+Master!DC30+Master!DN30+Master!DS30</f>
        <v>0</v>
      </c>
      <c r="G20" s="3170">
        <f>Master!EO30+Master!EP30+Master!EQ30+Master!ER30+Master!ES30+Master!ET30+Master!EU30+Master!EV30+Master!EW30+Master!EX30+Master!EY30+Master!EZ30+Master!FA30+Master!FG30+Master!FH30+Master!FI30+Master!FJ30+Master!FM30+Master!FN30+Master!FO30+Master!FQ30+Master!FR30+Master!FU30+Master!FW30+Master!GB30</f>
        <v>0</v>
      </c>
      <c r="H20" s="3170">
        <f>Master!FB30+Master!FC30+Master!FD30+Master!FE30+Master!FF30+Master!FT30+Master!FV30+Master!GD30</f>
        <v>0</v>
      </c>
      <c r="I20" s="3170">
        <f>Master!BD30+Master!BE30+Master!BF30+Master!BG30+Master!BH30+Master!BI30+Master!BJ30+Master!BK30+Master!BL30+Master!BM30+Master!BN30+Master!BO30+Master!BP30+Master!BQ30+Master!BR30+Master!BS30+Master!BT30+Master!BU30+Master!BV30+Master!BW30+Master!CR30+Master!DA30+Master!DB30+Master!DK30+Master!DL30+Master!DT30+Master!DV30+Master!DX30</f>
        <v>0</v>
      </c>
      <c r="J20" s="3170">
        <f>Master!AV30+Master!BX30+Master!BY30+Master!BZ30+Master!CA30+Master!CV30+Master!DD30+Master!DP30</f>
        <v>0</v>
      </c>
      <c r="K20" s="3170">
        <f t="shared" si="0"/>
        <v>0</v>
      </c>
    </row>
    <row r="21" spans="1:17" ht="22.5" customHeight="1" thickBot="1">
      <c r="A21" s="3169">
        <v>0.75</v>
      </c>
      <c r="B21" s="3170">
        <f>Master!B31+Master!C31+Master!D31+Master!E31+Master!F31+Master!G31+Master!H31+Master!I31+Master!J31+Master!L31+Master!M31+Master!N31+Master!O31+Master!P31+Master!Q31+Master!R31+Master!S31+Master!T31+Master!U31+Master!V31+Master!W31+Master!X31+Master!Y31+Master!Z31+Master!AA31+Master!AB31+Master!AC31+Master!AD31+Master!AE31+Master!AF31+Master!AG31+Master!AH31+Master!AI31+Master!AJ31+Master!AK31+Master!CS31+Master!CT31+Master!CU31+Master!CW31+Master!CX31+Master!DE31+Master!DO31+Master!DQ31+Master!DU31+Master!DW31</f>
        <v>0</v>
      </c>
      <c r="C21" s="3170">
        <f>Master!AL31+Master!AM31+Master!AN31+Master!AO31+Master!AP31+Master!AQ31+Master!AR31+Master!AS31+Master!AT31+Master!AW31+Master!AX31+Master!AY31+Master!AZ31+Master!BA31+Master!BB31+Master!BC31+Master!CY31+Master!CZ31+Master!DF31+Master!DG31+Master!DH31+Master!DI31+Master!DJ31+Master!DM31+Master!DR31</f>
        <v>0</v>
      </c>
      <c r="D21" s="3170">
        <f>Master!DZ31+Master!EA31+Master!EB31+Master!EC31+Master!ED31+Master!EE31+Master!EF31+Master!EG31+Master!EH31+Master!EI31+Master!EJ31+Master!EN31+Master!FL31+Master!FP31+Master!FS31+Master!GC31+Master!GE31+Master!GF31</f>
        <v>0</v>
      </c>
      <c r="E21" s="3170">
        <f>Master!FK31+Master!FY31+Master!FZ31+Master!GA31+Master!EL31+Master!EM31+Master!EK31+Master!FX31</f>
        <v>0</v>
      </c>
      <c r="F21" s="3170">
        <f>Master!CB31+Master!CC31+Master!CD31+Master!CE31+Master!CF31+Master!CG31+Master!CH31+Master!CI31+Master!CJ31+Master!CK31+Master!CL31+Master!CM31+Master!CN31+Master!CO31+Master!CP31+Master!CQ31+Master!DC31+Master!DN31+Master!DS31</f>
        <v>0</v>
      </c>
      <c r="G21" s="3170">
        <f>Master!EO31+Master!EP31+Master!EQ31+Master!ER31+Master!ES31+Master!ET31+Master!EU31+Master!EV31+Master!EW31+Master!EX31+Master!EY31+Master!EZ31+Master!FA31+Master!FG31+Master!FH31+Master!FI31+Master!FJ31+Master!FM31+Master!FN31+Master!FO31+Master!FQ31+Master!FR31+Master!FU31+Master!FW31+Master!GB31</f>
        <v>0</v>
      </c>
      <c r="H21" s="3170">
        <f>Master!FB31+Master!FC31+Master!FD31+Master!FE31+Master!FF31+Master!FT31+Master!FV31+Master!GD31</f>
        <v>0</v>
      </c>
      <c r="I21" s="3170">
        <f>Master!BD31+Master!BE31+Master!BF31+Master!BG31+Master!BH31+Master!BI31+Master!BJ31+Master!BK31+Master!BL31+Master!BM31+Master!BN31+Master!BO31+Master!BP31+Master!BQ31+Master!BR31+Master!BS31+Master!BT31+Master!BU31+Master!BV31+Master!BW31+Master!CR31+Master!DA31+Master!DB31+Master!DK31+Master!DL31+Master!DT31+Master!DV31+Master!DX31</f>
        <v>0</v>
      </c>
      <c r="J21" s="3170">
        <f>Master!AV31+Master!BX31+Master!BY31+Master!BZ31+Master!CA31+Master!CV31+Master!DD31+Master!DP31</f>
        <v>0</v>
      </c>
      <c r="K21" s="3170">
        <f t="shared" si="0"/>
        <v>0</v>
      </c>
    </row>
    <row r="22" spans="1:17" ht="9" hidden="1" customHeight="1" thickBot="1">
      <c r="A22" s="3169">
        <v>0</v>
      </c>
      <c r="B22" s="3170">
        <f>Master!B32+Master!C32+Master!D32+Master!E32+Master!F32+Master!G32+Master!H32+Master!I32+Master!J32+Master!L32+Master!M32+Master!N32+Master!O32+Master!P32+Master!Q32+Master!R32+Master!S32+Master!T32+Master!U32+Master!V32+Master!W32+Master!X32+Master!Y32+Master!Z32+Master!AA32+Master!AB32+Master!AC32+Master!AD32+Master!AE32+Master!AF32+Master!AG32+Master!AH32+Master!AI32+Master!AJ32+Master!AK32+Master!CS32+Master!CT32+Master!CU32+Master!CW32+Master!CX32+Master!DE32+Master!DO32+Master!DQ32+Master!DU32+Master!DW32</f>
        <v>0</v>
      </c>
      <c r="C22" s="3170">
        <f>Master!AL32+Master!AM32+Master!AN32+Master!AO32+Master!AP32+Master!AQ32+Master!AR32+Master!AS32+Master!AT32+Master!AW32+Master!AX32+Master!AY32+Master!AZ32+Master!BA32+Master!BB32+Master!BC32+Master!CY32+Master!CZ32+Master!DF32+Master!DG32+Master!DH32+Master!DI32+Master!DJ32+Master!DM32+Master!DR32</f>
        <v>0</v>
      </c>
      <c r="D22" s="3170">
        <f>Master!DZ32+Master!EA32+Master!EB32+Master!EC32+Master!ED32+Master!EE32+Master!EF32+Master!EG32+Master!EH32+Master!EI32+Master!EJ32+Master!EN32+Master!FL32+Master!FP32+Master!FS32+Master!GC32+Master!GE32+Master!GF32</f>
        <v>0</v>
      </c>
      <c r="E22" s="3170">
        <f>Master!FK32+Master!FY32+Master!FZ32+Master!GA32+Master!EL32+Master!EM32+Master!EK32+Master!FX32</f>
        <v>0</v>
      </c>
      <c r="F22" s="3170">
        <f>Master!CB32+Master!CC32+Master!CD32+Master!CE32+Master!CF32+Master!CG32+Master!CH32+Master!CI32+Master!CJ32+Master!CK32+Master!CL32+Master!CM32+Master!CN32+Master!CO32+Master!CP32+Master!CQ32+Master!DC32+Master!DN32+Master!DS32</f>
        <v>0</v>
      </c>
      <c r="G22" s="3170">
        <f>Master!EO32+Master!EP32+Master!EQ32+Master!ER32+Master!ES32+Master!ET32+Master!EU32+Master!EV32+Master!EW32+Master!EX32+Master!EY32+Master!EZ32+Master!FA32+Master!FG32+Master!FH32+Master!FI32+Master!FJ32+Master!FM32+Master!FN32+Master!FO32+Master!FQ32+Master!FR32+Master!FU32+Master!FW32+Master!GB32</f>
        <v>0</v>
      </c>
      <c r="H22" s="3170">
        <f>Master!FB32+Master!FC32+Master!FD32+Master!FE32+Master!FF32+Master!FT32+Master!FV32+Master!GD32</f>
        <v>0</v>
      </c>
      <c r="I22" s="3170">
        <f>Master!BD32+Master!BE32+Master!BF32+Master!BG32+Master!BH32+Master!BI32+Master!BJ32+Master!BK32+Master!BL32+Master!BM32+Master!BN32+Master!BO32+Master!BP32+Master!BQ32+Master!BR32+Master!BS32+Master!BT32+Master!BU32+Master!BV32+Master!BW32+Master!CR32+Master!DA32+Master!DB32+Master!DK32+Master!DL32+Master!DT32+Master!DV32+Master!DX32</f>
        <v>0</v>
      </c>
      <c r="J22" s="3170">
        <f>Master!AV32+Master!BX32+Master!BY32+Master!BZ32+Master!CA32+Master!CV32+Master!DD32+Master!DP32</f>
        <v>0</v>
      </c>
      <c r="K22" s="3170">
        <f t="shared" si="0"/>
        <v>0</v>
      </c>
    </row>
    <row r="23" spans="1:17" ht="24" customHeight="1" thickBot="1">
      <c r="A23" s="3169">
        <v>0.79166666666666663</v>
      </c>
      <c r="B23" s="3170">
        <f>Master!B33+Master!C33+Master!D33+Master!E33+Master!F33+Master!G33+Master!H33+Master!I33+Master!J33+Master!L33+Master!M33+Master!N33+Master!O33+Master!P33+Master!Q33+Master!R33+Master!S33+Master!T33+Master!U33+Master!V33+Master!W33+Master!X33+Master!Y33+Master!Z33+Master!AA33+Master!AB33+Master!AC33+Master!AD33+Master!AE33+Master!AF33+Master!AG33+Master!AH33+Master!AI33+Master!AJ33+Master!AK33+Master!CS33+Master!CT33+Master!CU33+Master!CW33+Master!CX33+Master!DE33+Master!DO33+Master!DQ33+Master!DU33+Master!DW33</f>
        <v>2854</v>
      </c>
      <c r="C23" s="3170">
        <f>Master!AL33+Master!AM33+Master!AN33+Master!AO33+Master!AP33+Master!AQ33+Master!AR33+Master!AS33+Master!AT33+Master!AW33+Master!AX33+Master!AY33+Master!AZ33+Master!BA33+Master!BB33+Master!BC33+Master!CY33+Master!CZ33+Master!DF33+Master!DG33+Master!DH33+Master!DI33+Master!DJ33+Master!DM33+Master!DR33</f>
        <v>1131</v>
      </c>
      <c r="D23" s="3170">
        <f>Master!DZ33+Master!EA33+Master!EB33+Master!EC33+Master!ED33+Master!EE33+Master!EF33+Master!EG33+Master!EH33+Master!EI33+Master!EJ33+Master!EN33+Master!FL33+Master!FP33+Master!FS33+Master!GC33+Master!GE33+Master!GF33</f>
        <v>1554</v>
      </c>
      <c r="E23" s="3170">
        <f>Master!FK33+Master!FY33+Master!FZ33+Master!GA33+Master!EL33+Master!EM33+Master!EK33+Master!FX33</f>
        <v>1057</v>
      </c>
      <c r="F23" s="3170">
        <f>Master!CB33+Master!CC33+Master!CD33+Master!CE33+Master!CF33+Master!CG33+Master!CH33+Master!CI33+Master!CJ33+Master!CK33+Master!CL33+Master!CM33+Master!CN33+Master!CO33+Master!CP33+Master!CQ33+Master!DC33+Master!DN33+Master!DS33</f>
        <v>1392</v>
      </c>
      <c r="G23" s="3170">
        <f>Master!EO33+Master!EP33+Master!EQ33+Master!ER33+Master!ES33+Master!ET33+Master!EU33+Master!EV33+Master!EW33+Master!EX33+Master!EY33+Master!EZ33+Master!FA33+Master!FG33+Master!FH33+Master!FI33+Master!FJ33+Master!FM33+Master!FN33+Master!FO33+Master!FQ33+Master!FR33+Master!FU33+Master!FW33+Master!GB33</f>
        <v>1340</v>
      </c>
      <c r="H23" s="3170">
        <f>Master!FB33+Master!FC33+Master!FD33+Master!FE33+Master!FF33+Master!FT33+Master!FV33+Master!GD33</f>
        <v>431</v>
      </c>
      <c r="I23" s="3170">
        <f>Master!BD33+Master!BE33+Master!BF33+Master!BG33+Master!BH33+Master!BI33+Master!BJ33+Master!BK33+Master!BL33+Master!BM33+Master!BN33+Master!BO33+Master!BP33+Master!BQ33+Master!BR33+Master!BS33+Master!BT33+Master!BU33+Master!BV33+Master!BW33+Master!CR33+Master!DA33+Master!DB33+Master!DK33+Master!DL33+Master!DT33+Master!DV33+Master!DX33</f>
        <v>1909</v>
      </c>
      <c r="J23" s="3170">
        <f>Master!AV33+Master!BX33+Master!BY33+Master!BZ33+Master!CA33+Master!CV33+Master!DD33+Master!DP33</f>
        <v>351</v>
      </c>
      <c r="K23" s="3170">
        <f t="shared" si="0"/>
        <v>12019</v>
      </c>
    </row>
    <row r="24" spans="1:17" ht="24" customHeight="1" thickBot="1">
      <c r="A24" s="3169">
        <v>0.8125</v>
      </c>
      <c r="B24" s="3170">
        <f>Master!B34+Master!C34+Master!D34+Master!E34+Master!F34+Master!G34+Master!H34+Master!I34+Master!J34+Master!L34+Master!M34+Master!N34+Master!O34+Master!P34+Master!Q34+Master!R34+Master!S34+Master!T34+Master!U34+Master!V34+Master!W34+Master!X34+Master!Y34+Master!Z34+Master!AA34+Master!AB34+Master!AC34+Master!AD34+Master!AE34+Master!AF34+Master!AG34+Master!AH34+Master!AI34+Master!AJ34+Master!AK34+Master!CS34+Master!CT34+Master!CU34+Master!CW34+Master!CX34+Master!DE34+Master!DO34+Master!DQ34+Master!DU34+Master!DW34</f>
        <v>2868</v>
      </c>
      <c r="C24" s="3170">
        <f>Master!AL34+Master!AM34+Master!AN34+Master!AO34+Master!AP34+Master!AQ34+Master!AR34+Master!AS34+Master!AT34+Master!AW34+Master!AX34+Master!AY34+Master!AZ34+Master!BA34+Master!BB34+Master!BC34+Master!CY34+Master!CZ34+Master!DF34+Master!DG34+Master!DH34+Master!DI34+Master!DJ34+Master!DM34+Master!DR34</f>
        <v>1204</v>
      </c>
      <c r="D24" s="3170">
        <f>Master!DZ34+Master!EA34+Master!EB34+Master!EC34+Master!ED34+Master!EE34+Master!EF34+Master!EG34+Master!EH34+Master!EI34+Master!EJ34+Master!EN34+Master!FL34+Master!FP34+Master!FS34+Master!GC34+Master!GE34+Master!GF34</f>
        <v>1685</v>
      </c>
      <c r="E24" s="3170">
        <f>Master!FK34+Master!FY34+Master!FZ34+Master!GA34+Master!EL34+Master!EM34+Master!EK34+Master!FX34</f>
        <v>1176</v>
      </c>
      <c r="F24" s="3170">
        <f>Master!CB34+Master!CC34+Master!CD34+Master!CE34+Master!CF34+Master!CG34+Master!CH34+Master!CI34+Master!CJ34+Master!CK34+Master!CL34+Master!CM34+Master!CN34+Master!CO34+Master!CP34+Master!CQ34+Master!DC34+Master!DN34+Master!DS34</f>
        <v>1381</v>
      </c>
      <c r="G24" s="3170">
        <f>Master!EO34+Master!EP34+Master!EQ34+Master!ER34+Master!ES34+Master!ET34+Master!EU34+Master!EV34+Master!EW34+Master!EX34+Master!EY34+Master!EZ34+Master!FA34+Master!FG34+Master!FH34+Master!FI34+Master!FJ34+Master!FM34+Master!FN34+Master!FO34+Master!FQ34+Master!FR34+Master!FU34+Master!FW34+Master!GB34</f>
        <v>1429</v>
      </c>
      <c r="H24" s="3170">
        <f>Master!FB34+Master!FC34+Master!FD34+Master!FE34+Master!FF34+Master!FT34+Master!FV34+Master!GD34</f>
        <v>431</v>
      </c>
      <c r="I24" s="3170">
        <f>Master!BD34+Master!BE34+Master!BF34+Master!BG34+Master!BH34+Master!BI34+Master!BJ34+Master!BK34+Master!BL34+Master!BM34+Master!BN34+Master!BO34+Master!BP34+Master!BQ34+Master!BR34+Master!BS34+Master!BT34+Master!BU34+Master!BV34+Master!BW34+Master!CR34+Master!DA34+Master!DB34+Master!DK34+Master!DL34+Master!DT34+Master!DV34+Master!DX34</f>
        <v>1959</v>
      </c>
      <c r="J24" s="3170">
        <f>Master!AV34+Master!BX34+Master!BY34+Master!BZ34+Master!CA34+Master!CV34+Master!DD34+Master!DP34</f>
        <v>353</v>
      </c>
      <c r="K24" s="3170">
        <f t="shared" si="0"/>
        <v>12486</v>
      </c>
      <c r="N24" s="1802" t="s">
        <v>18</v>
      </c>
    </row>
    <row r="25" spans="1:17" ht="24" customHeight="1" thickBot="1">
      <c r="A25" s="3169">
        <v>0.83333333333333337</v>
      </c>
      <c r="B25" s="3170">
        <f>Master!B35+Master!C35+Master!D35+Master!E35+Master!F35+Master!G35+Master!H35+Master!I35+Master!J35+Master!L35+Master!M35+Master!N35+Master!O35+Master!P35+Master!Q35+Master!R35+Master!S35+Master!T35+Master!U35+Master!V35+Master!W35+Master!X35+Master!Y35+Master!Z35+Master!AA35+Master!AB35+Master!AC35+Master!AD35+Master!AE35+Master!AF35+Master!AG35+Master!AH35+Master!AI35+Master!AJ35+Master!AK35+Master!CS35+Master!CT35+Master!CU35+Master!CW35+Master!CX35+Master!DE35+Master!DO35+Master!DQ35+Master!DU35+Master!DW35</f>
        <v>2906</v>
      </c>
      <c r="C25" s="3170">
        <f>Master!AL35+Master!AM35+Master!AN35+Master!AO35+Master!AP35+Master!AQ35+Master!AR35+Master!AS35+Master!AT35+Master!AW35+Master!AX35+Master!AY35+Master!AZ35+Master!BA35+Master!BB35+Master!BC35+Master!CY35+Master!CZ35+Master!DF35+Master!DG35+Master!DH35+Master!DI35+Master!DJ35+Master!DM35+Master!DR35</f>
        <v>1222</v>
      </c>
      <c r="D25" s="3170">
        <f>Master!DZ35+Master!EA35+Master!EB35+Master!EC35+Master!ED35+Master!EE35+Master!EF35+Master!EG35+Master!EH35+Master!EI35+Master!EJ35+Master!EN35+Master!FL35+Master!FP35+Master!FS35+Master!GC35+Master!GE35+Master!GF35</f>
        <v>1688</v>
      </c>
      <c r="E25" s="3170">
        <f>Master!FK35+Master!FY35+Master!FZ35+Master!GA35+Master!EL35+Master!EM35+Master!EK35+Master!FX35</f>
        <v>1303</v>
      </c>
      <c r="F25" s="3170">
        <f>Master!CB35+Master!CC35+Master!CD35+Master!CE35+Master!CF35+Master!CG35+Master!CH35+Master!CI35+Master!CJ35+Master!CK35+Master!CL35+Master!CM35+Master!CN35+Master!CO35+Master!CP35+Master!CQ35+Master!DC35+Master!DN35+Master!DS35</f>
        <v>1377</v>
      </c>
      <c r="G25" s="3170">
        <f>Master!EO35+Master!EP35+Master!EQ35+Master!ER35+Master!ES35+Master!ET35+Master!EU35+Master!EV35+Master!EW35+Master!EX35+Master!EY35+Master!EZ35+Master!FA35+Master!FG35+Master!FH35+Master!FI35+Master!FJ35+Master!FM35+Master!FN35+Master!FO35+Master!FQ35+Master!FR35+Master!FU35+Master!FW35+Master!GB35</f>
        <v>1446</v>
      </c>
      <c r="H25" s="3170">
        <f>Master!FB35+Master!FC35+Master!FD35+Master!FE35+Master!FF35+Master!FT35+Master!FV35+Master!GD35</f>
        <v>432</v>
      </c>
      <c r="I25" s="3170">
        <f>Master!BD35+Master!BE35+Master!BF35+Master!BG35+Master!BH35+Master!BI35+Master!BJ35+Master!BK35+Master!BL35+Master!BM35+Master!BN35+Master!BO35+Master!BP35+Master!BQ35+Master!BR35+Master!BS35+Master!BT35+Master!BU35+Master!BV35+Master!BW35+Master!CR35+Master!DA35+Master!DB35+Master!DK35+Master!DL35+Master!DT35+Master!DV35+Master!DX35</f>
        <v>1960</v>
      </c>
      <c r="J25" s="3170">
        <f>Master!AV35+Master!BX35+Master!BY35+Master!BZ35+Master!CA35+Master!CV35+Master!DD35+Master!DP35</f>
        <v>356</v>
      </c>
      <c r="K25" s="3170">
        <f t="shared" si="0"/>
        <v>12690</v>
      </c>
    </row>
    <row r="26" spans="1:17" ht="24" customHeight="1" thickBot="1">
      <c r="A26" s="3169">
        <v>0.875</v>
      </c>
      <c r="B26" s="3170">
        <f>Master!B36+Master!C36+Master!D36+Master!E36+Master!F36+Master!G36+Master!H36+Master!I36+Master!J36+Master!L36+Master!M36+Master!N36+Master!O36+Master!P36+Master!Q36+Master!R36+Master!S36+Master!T36+Master!U36+Master!V36+Master!W36+Master!X36+Master!Y36+Master!Z36+Master!AA36+Master!AB36+Master!AC36+Master!AD36+Master!AE36+Master!AF36+Master!AG36+Master!AH36+Master!AI36+Master!AJ36+Master!AK36+Master!CS36+Master!CT36+Master!CU36+Master!CW36+Master!CX36+Master!DE36+Master!DO36+Master!DQ36+Master!DU36+Master!DW36</f>
        <v>3239</v>
      </c>
      <c r="C26" s="3170">
        <f>Master!AL36+Master!AM36+Master!AN36+Master!AO36+Master!AP36+Master!AQ36+Master!AR36+Master!AS36+Master!AT36+Master!AW36+Master!AX36+Master!AY36+Master!AZ36+Master!BA36+Master!BB36+Master!BC36+Master!CY36+Master!CZ36+Master!DF36+Master!DG36+Master!DH36+Master!DI36+Master!DJ36+Master!DM36+Master!DR36</f>
        <v>1235</v>
      </c>
      <c r="D26" s="3170">
        <f>Master!DZ36+Master!EA36+Master!EB36+Master!EC36+Master!ED36+Master!EE36+Master!EF36+Master!EG36+Master!EH36+Master!EI36+Master!EJ36+Master!EN36+Master!FL36+Master!FP36+Master!FS36+Master!GC36+Master!GE36+Master!GF36</f>
        <v>1691</v>
      </c>
      <c r="E26" s="3170">
        <f>Master!FK36+Master!FY36+Master!FZ36+Master!GA36+Master!EL36+Master!EM36+Master!EK36+Master!FX36</f>
        <v>1322</v>
      </c>
      <c r="F26" s="3170">
        <f>Master!CB36+Master!CC36+Master!CD36+Master!CE36+Master!CF36+Master!CG36+Master!CH36+Master!CI36+Master!CJ36+Master!CK36+Master!CL36+Master!CM36+Master!CN36+Master!CO36+Master!CP36+Master!CQ36+Master!DC36+Master!DN36+Master!DS36</f>
        <v>1387</v>
      </c>
      <c r="G26" s="3170">
        <f>Master!EO36+Master!EP36+Master!EQ36+Master!ER36+Master!ES36+Master!ET36+Master!EU36+Master!EV36+Master!EW36+Master!EX36+Master!EY36+Master!EZ36+Master!FA36+Master!FG36+Master!FH36+Master!FI36+Master!FJ36+Master!FM36+Master!FN36+Master!FO36+Master!FQ36+Master!FR36+Master!FU36+Master!FW36+Master!GB36</f>
        <v>1460</v>
      </c>
      <c r="H26" s="3170">
        <f>Master!FB36+Master!FC36+Master!FD36+Master!FE36+Master!FF36+Master!FT36+Master!FV36+Master!GD36</f>
        <v>421</v>
      </c>
      <c r="I26" s="3170">
        <f>Master!BD36+Master!BE36+Master!BF36+Master!BG36+Master!BH36+Master!BI36+Master!BJ36+Master!BK36+Master!BL36+Master!BM36+Master!BN36+Master!BO36+Master!BP36+Master!BQ36+Master!BR36+Master!BS36+Master!BT36+Master!BU36+Master!BV36+Master!BW36+Master!CR36+Master!DA36+Master!DB36+Master!DK36+Master!DL36+Master!DT36+Master!DV36+Master!DX36</f>
        <v>2086</v>
      </c>
      <c r="J26" s="3170">
        <f>Master!AV36+Master!BX36+Master!BY36+Master!BZ36+Master!CA36+Master!CV36+Master!DD36+Master!DP36</f>
        <v>386</v>
      </c>
      <c r="K26" s="3170">
        <f t="shared" si="0"/>
        <v>13227</v>
      </c>
    </row>
    <row r="27" spans="1:17" ht="24" customHeight="1" thickBot="1">
      <c r="A27" s="3165">
        <v>0.91666666666666663</v>
      </c>
      <c r="B27" s="3166">
        <f>Master!B37+Master!C37+Master!D37+Master!E37+Master!F37+Master!G37+Master!H37+Master!I37+Master!J37+Master!L37+Master!M37+Master!N37+Master!O37+Master!P37+Master!Q37+Master!R37+Master!S37+Master!T37+Master!U37+Master!V37+Master!W37+Master!X37+Master!Y37+Master!Z37+Master!AA37+Master!AB37+Master!AC37+Master!AD37+Master!AE37+Master!AF37+Master!AG37+Master!AH37+Master!AI37+Master!AJ37+Master!AK37+Master!CS37+Master!CT37+Master!CU37+Master!CW37+Master!CX37+Master!DE37+Master!DO37+Master!DQ37+Master!DU37+Master!DW37</f>
        <v>3132</v>
      </c>
      <c r="C27" s="3166">
        <f>Master!AL37+Master!AM37+Master!AN37+Master!AO37+Master!AP37+Master!AQ37+Master!AR37+Master!AS37+Master!AT37+Master!AW37+Master!AX37+Master!AY37+Master!AZ37+Master!BA37+Master!BB37+Master!BC37+Master!CY37+Master!CZ37+Master!DF37+Master!DG37+Master!DH37+Master!DI37+Master!DJ37+Master!DM37+Master!DR37</f>
        <v>1241</v>
      </c>
      <c r="D27" s="3166">
        <f>Master!DZ37+Master!EA37+Master!EB37+Master!EC37+Master!ED37+Master!EE37+Master!EF37+Master!EG37+Master!EH37+Master!EI37+Master!EJ37+Master!EN37+Master!FL37+Master!FP37+Master!FS37+Master!GC37+Master!GE37+Master!GF37</f>
        <v>1694</v>
      </c>
      <c r="E27" s="3166">
        <f>Master!FK37+Master!FY37+Master!FZ37+Master!GA37+Master!EL37+Master!EM37+Master!EK37+Master!FX37</f>
        <v>1347</v>
      </c>
      <c r="F27" s="3166">
        <f>Master!CB37+Master!CC37+Master!CD37+Master!CE37+Master!CF37+Master!CG37+Master!CH37+Master!CI37+Master!CJ37+Master!CK37+Master!CL37+Master!CM37+Master!CN37+Master!CO37+Master!CP37+Master!CQ37+Master!DC37+Master!DN37+Master!DS37</f>
        <v>1417</v>
      </c>
      <c r="G27" s="3166">
        <f>Master!EO37+Master!EP37+Master!EQ37+Master!ER37+Master!ES37+Master!ET37+Master!EU37+Master!EV37+Master!EW37+Master!EX37+Master!EY37+Master!EZ37+Master!FA37+Master!FG37+Master!FH37+Master!FI37+Master!FJ37+Master!FM37+Master!FN37+Master!FO37+Master!FQ37+Master!FR37+Master!FU37+Master!FW37+Master!GB37</f>
        <v>1470</v>
      </c>
      <c r="H27" s="3166">
        <f>Master!FB37+Master!FC37+Master!FD37+Master!FE37+Master!FF37+Master!FT37+Master!FV37+Master!GD37</f>
        <v>431</v>
      </c>
      <c r="I27" s="3166">
        <f>Master!BD37+Master!BE37+Master!BF37+Master!BG37+Master!BH37+Master!BI37+Master!BJ37+Master!BK37+Master!BL37+Master!BM37+Master!BN37+Master!BO37+Master!BP37+Master!BQ37+Master!BR37+Master!BS37+Master!BT37+Master!BU37+Master!BV37+Master!BW37+Master!CR37+Master!DA37+Master!DB37+Master!DK37+Master!DL37+Master!DT37+Master!DV37+Master!DX37</f>
        <v>2096</v>
      </c>
      <c r="J27" s="3166">
        <f>Master!AV37+Master!BX37+Master!BY37+Master!BZ37+Master!CA37+Master!CV37+Master!DD37+Master!DP37</f>
        <v>395</v>
      </c>
      <c r="K27" s="3166">
        <f t="shared" si="0"/>
        <v>13223</v>
      </c>
    </row>
    <row r="28" spans="1:17" ht="24" customHeight="1" thickBot="1">
      <c r="A28" s="3165">
        <v>0.95833333333333337</v>
      </c>
      <c r="B28" s="3166">
        <f>Master!B38+Master!C38+Master!D38+Master!E38+Master!F38+Master!G38+Master!H38+Master!I38+Master!J38+Master!L38+Master!M38+Master!N38+Master!O38+Master!P38+Master!Q38+Master!R38+Master!S38+Master!T38+Master!U38+Master!V38+Master!W38+Master!X38+Master!Y38+Master!Z38+Master!AA38+Master!AB38+Master!AC38+Master!AD38+Master!AE38+Master!AF38+Master!AG38+Master!AH38+Master!AI38+Master!AJ38+Master!AK38+Master!CS38+Master!CT38+Master!CU38+Master!CW38+Master!CX38+Master!DE38+Master!DO38+Master!DQ38+Master!DU38+Master!DW38</f>
        <v>3235</v>
      </c>
      <c r="C28" s="3166">
        <f>Master!AL38+Master!AM38+Master!AN38+Master!AO38+Master!AP38+Master!AQ38+Master!AR38+Master!AS38+Master!AT38+Master!AW38+Master!AX38+Master!AY38+Master!AZ38+Master!BA38+Master!BB38+Master!BC38+Master!CY38+Master!CZ38+Master!DF38+Master!DG38+Master!DH38+Master!DI38+Master!DJ38+Master!DM38+Master!DR38</f>
        <v>1047</v>
      </c>
      <c r="D28" s="3166">
        <f>Master!DZ38+Master!EA38+Master!EB38+Master!EC38+Master!ED38+Master!EE38+Master!EF38+Master!EG38+Master!EH38+Master!EI38+Master!EJ38+Master!EN38+Master!FL38+Master!FP38+Master!FS38+Master!GC38+Master!GE38+Master!GF38</f>
        <v>1666</v>
      </c>
      <c r="E28" s="3166">
        <f>Master!FK38+Master!FY38+Master!FZ38+Master!GA38+Master!EL38+Master!EM38+Master!EK38+Master!FX38</f>
        <v>1224</v>
      </c>
      <c r="F28" s="3166">
        <f>Master!CB38+Master!CC38+Master!CD38+Master!CE38+Master!CF38+Master!CG38+Master!CH38+Master!CI38+Master!CJ38+Master!CK38+Master!CL38+Master!CM38+Master!CN38+Master!CO38+Master!CP38+Master!CQ38+Master!DC38+Master!DN38+Master!DS38</f>
        <v>1414</v>
      </c>
      <c r="G28" s="3166">
        <f>Master!EO38+Master!EP38+Master!EQ38+Master!ER38+Master!ES38+Master!ET38+Master!EU38+Master!EV38+Master!EW38+Master!EX38+Master!EY38+Master!EZ38+Master!FA38+Master!FG38+Master!FH38+Master!FI38+Master!FJ38+Master!FM38+Master!FN38+Master!FO38+Master!FQ38+Master!FR38+Master!FU38+Master!FW38+Master!GB38</f>
        <v>1456</v>
      </c>
      <c r="H28" s="3166">
        <f>Master!FB38+Master!FC38+Master!FD38+Master!FE38+Master!FF38+Master!FT38+Master!FV38+Master!GD38</f>
        <v>431</v>
      </c>
      <c r="I28" s="3166">
        <f>Master!BD38+Master!BE38+Master!BF38+Master!BG38+Master!BH38+Master!BI38+Master!BJ38+Master!BK38+Master!BL38+Master!BM38+Master!BN38+Master!BO38+Master!BP38+Master!BQ38+Master!BR38+Master!BS38+Master!BT38+Master!BU38+Master!BV38+Master!BW38+Master!CR38+Master!DA38+Master!DB38+Master!DK38+Master!DL38+Master!DT38+Master!DV38+Master!DX38</f>
        <v>2135</v>
      </c>
      <c r="J28" s="3166">
        <f>Master!AV38+Master!BX38+Master!BY38+Master!BZ38+Master!CA38+Master!CV38+Master!DD38+Master!DP38</f>
        <v>386</v>
      </c>
      <c r="K28" s="3166">
        <f t="shared" si="0"/>
        <v>12994</v>
      </c>
    </row>
    <row r="29" spans="1:17" ht="24" customHeight="1" thickBot="1">
      <c r="A29" s="3164">
        <v>24</v>
      </c>
      <c r="B29" s="3166">
        <f>Master!B39+Master!C39+Master!D39+Master!E39+Master!F39+Master!G39+Master!H39+Master!I39+Master!J39+Master!L39+Master!M39+Master!N39+Master!O39+Master!P39+Master!Q39+Master!R39+Master!S39+Master!T39+Master!U39+Master!V39+Master!W39+Master!X39+Master!Y39+Master!Z39+Master!AA39+Master!AB39+Master!AC39+Master!AD39+Master!AE39+Master!AF39+Master!AG39+Master!AH39+Master!AI39+Master!AJ39+Master!AK39+Master!CS39+Master!CT39+Master!CU39+Master!CW39+Master!CX39+Master!DE39+Master!DO39+Master!DQ39+Master!DU39+Master!DW39</f>
        <v>2883</v>
      </c>
      <c r="C29" s="3166">
        <f>Master!AL39+Master!AM39+Master!AN39+Master!AO39+Master!AP39+Master!AQ39+Master!AR39+Master!AS39+Master!AT39+Master!AW39+Master!AX39+Master!AY39+Master!AZ39+Master!BA39+Master!BB39+Master!BC39+Master!CY39+Master!CZ39+Master!DF39+Master!DG39+Master!DH39+Master!DI39+Master!DJ39+Master!DM39+Master!DR39</f>
        <v>914</v>
      </c>
      <c r="D29" s="3166">
        <f>Master!DZ39+Master!EA39+Master!EB39+Master!EC39+Master!ED39+Master!EE39+Master!EF39+Master!EG39+Master!EH39+Master!EI39+Master!EJ39+Master!EN39+Master!FL39+Master!FP39+Master!FS39+Master!GC39+Master!GE39+Master!GF39</f>
        <v>1614</v>
      </c>
      <c r="E29" s="3166">
        <f>Master!FK39+Master!FY39+Master!FZ39+Master!GA39+Master!EL39+Master!EM39+Master!EK39+Master!FX39</f>
        <v>1283</v>
      </c>
      <c r="F29" s="3166">
        <f>Master!CB39+Master!CC39+Master!CD39+Master!CE39+Master!CF39+Master!CG39+Master!CH39+Master!CI39+Master!CJ39+Master!CK39+Master!CL39+Master!CM39+Master!CN39+Master!CO39+Master!CP39+Master!CQ39+Master!DC39+Master!DN39+Master!DS39</f>
        <v>1402</v>
      </c>
      <c r="G29" s="3166">
        <f>Master!EO39+Master!EP39+Master!EQ39+Master!ER39+Master!ES39+Master!ET39+Master!EU39+Master!EV39+Master!EW39+Master!EX39+Master!EY39+Master!EZ39+Master!FA39+Master!FG39+Master!FH39+Master!FI39+Master!FJ39+Master!FM39+Master!FN39+Master!FO39+Master!FQ39+Master!FR39+Master!FU39+Master!FW39+Master!GB39</f>
        <v>1411</v>
      </c>
      <c r="H29" s="3166">
        <f>Master!FB39+Master!FC39+Master!FD39+Master!FE39+Master!FF39+Master!FT39+Master!FV39+Master!GD39</f>
        <v>396</v>
      </c>
      <c r="I29" s="3166">
        <f>Master!BD39+Master!BE39+Master!BF39+Master!BG39+Master!BH39+Master!BI39+Master!BJ39+Master!BK39+Master!BL39+Master!BM39+Master!BN39+Master!BO39+Master!BP39+Master!BQ39+Master!BR39+Master!BS39+Master!BT39+Master!BU39+Master!BV39+Master!BW39+Master!CR39+Master!DA39+Master!DB39+Master!DK39+Master!DL39+Master!DT39+Master!DV39+Master!DX39</f>
        <v>2028</v>
      </c>
      <c r="J29" s="3166">
        <f>Master!AV39+Master!BX39+Master!BY39+Master!BZ39+Master!CA39+Master!CV39+Master!DD39+Master!DP39</f>
        <v>228</v>
      </c>
      <c r="K29" s="3166">
        <f t="shared" si="0"/>
        <v>12159</v>
      </c>
      <c r="Q29" s="1802">
        <v>0</v>
      </c>
    </row>
  </sheetData>
  <customSheetViews>
    <customSheetView guid="{751D391F-C74F-4B53-B5B5-25E01AC12EA4}" showPageBreaks="1" printArea="1">
      <selection activeCell="N21" sqref="N21"/>
      <pageMargins left="0.7" right="0.7" top="0.75" bottom="0.75" header="0.3" footer="0.3"/>
      <pageSetup scale="55" orientation="portrait" r:id="rId1"/>
    </customSheetView>
    <customSheetView guid="{5A803268-F6C5-4035-B3E1-A94CB9AA8994}" scale="70">
      <selection activeCell="I9" sqref="I9"/>
      <pageMargins left="0.7" right="0.7" top="0.75" bottom="0.75" header="0.3" footer="0.3"/>
      <pageSetup orientation="portrait" horizontalDpi="0" verticalDpi="0" r:id="rId2"/>
    </customSheetView>
    <customSheetView guid="{4DB6C640-CE65-4513-9E5A-F6CDD1F4B8AF}" showPageBreaks="1">
      <selection activeCell="D18" sqref="D18"/>
      <pageMargins left="0.7" right="0.7" top="0.75" bottom="0.75" header="0.3" footer="0.3"/>
      <pageSetup scale="55" orientation="portrait" r:id="rId3"/>
    </customSheetView>
    <customSheetView guid="{D1D1E152-95AB-45D3-AC07-4EC0834D3E0C}" scale="90" hiddenRows="1">
      <selection activeCell="O18" sqref="O18"/>
      <pageMargins left="0.7" right="0.7" top="0.75" bottom="0.75" header="0.3" footer="0.3"/>
      <pageSetup scale="55" orientation="portrait" r:id="rId4"/>
    </customSheetView>
    <customSheetView guid="{C3348F62-02F2-4500-9BF2-19F2DEA57A8D}" showPageBreaks="1" printArea="1" hiddenRows="1">
      <selection activeCell="D27" sqref="D27"/>
      <pageMargins left="0.7" right="0.7" top="0.75" bottom="0.75" header="0.3" footer="0.3"/>
      <pageSetup scale="55" orientation="portrait" r:id="rId5"/>
    </customSheetView>
  </customSheetViews>
  <pageMargins left="0.7" right="0.7" top="0.75" bottom="0.75" header="0.3" footer="0.3"/>
  <pageSetup scale="55" orientation="portrait" r:id="rId6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6"/>
  <dimension ref="A1:K34"/>
  <sheetViews>
    <sheetView topLeftCell="B1" workbookViewId="0">
      <selection activeCell="D9" sqref="D9"/>
    </sheetView>
  </sheetViews>
  <sheetFormatPr defaultRowHeight="15"/>
  <cols>
    <col min="1" max="1" width="15" customWidth="1"/>
    <col min="2" max="22" width="23.5703125" customWidth="1"/>
  </cols>
  <sheetData>
    <row r="1" spans="1:11" ht="34.5" customHeight="1">
      <c r="A1" s="2375" t="s">
        <v>0</v>
      </c>
      <c r="B1" s="2375" t="s">
        <v>1144</v>
      </c>
      <c r="C1" s="2375" t="s">
        <v>1145</v>
      </c>
      <c r="D1" s="2375" t="s">
        <v>1146</v>
      </c>
      <c r="E1" s="2375" t="s">
        <v>1147</v>
      </c>
      <c r="F1" s="2375" t="s">
        <v>1148</v>
      </c>
    </row>
    <row r="2" spans="1:11" ht="34.5" customHeight="1">
      <c r="A2" s="2375"/>
      <c r="B2" s="2375" t="s">
        <v>1149</v>
      </c>
      <c r="C2" s="2375" t="s">
        <v>1150</v>
      </c>
      <c r="D2" s="2375" t="s">
        <v>880</v>
      </c>
      <c r="E2" s="2375" t="s">
        <v>1151</v>
      </c>
      <c r="F2" s="2375" t="s">
        <v>1038</v>
      </c>
      <c r="G2" s="2365"/>
      <c r="H2" s="2365"/>
      <c r="I2" s="2365"/>
      <c r="J2" s="2365"/>
      <c r="K2" s="2365"/>
    </row>
    <row r="3" spans="1:11" ht="24" customHeight="1">
      <c r="A3" s="2367">
        <v>4.1666666666666664E-2</v>
      </c>
      <c r="B3" s="2374">
        <v>233</v>
      </c>
      <c r="C3" s="2369"/>
      <c r="D3" s="2369"/>
      <c r="E3" s="2369"/>
      <c r="F3" s="2369"/>
      <c r="G3" s="2365"/>
      <c r="H3" s="2365"/>
      <c r="I3" s="2365"/>
      <c r="J3" s="2365"/>
      <c r="K3" s="2365"/>
    </row>
    <row r="4" spans="1:11" ht="24" customHeight="1">
      <c r="A4" s="2367">
        <v>8.3333333333333329E-2</v>
      </c>
      <c r="B4" s="2374">
        <v>234</v>
      </c>
      <c r="C4" s="2370"/>
      <c r="D4" s="2370"/>
      <c r="E4" s="2370"/>
      <c r="F4" s="2369"/>
      <c r="G4" s="2365"/>
      <c r="H4" s="2365"/>
      <c r="I4" s="2365"/>
      <c r="J4" s="2365"/>
      <c r="K4" s="2365"/>
    </row>
    <row r="5" spans="1:11" ht="24" customHeight="1">
      <c r="A5" s="2367">
        <v>0.125</v>
      </c>
      <c r="B5" s="2373">
        <v>233</v>
      </c>
      <c r="C5" s="2371"/>
      <c r="D5" s="2372"/>
      <c r="E5" s="2372"/>
      <c r="F5" s="2372"/>
      <c r="G5" s="2366"/>
      <c r="H5" s="2365"/>
      <c r="I5" s="2365"/>
      <c r="J5" s="2365"/>
      <c r="K5" s="2365"/>
    </row>
    <row r="6" spans="1:11" ht="24" customHeight="1">
      <c r="A6" s="2367">
        <v>0.16666666666666666</v>
      </c>
      <c r="B6" s="2373">
        <v>233</v>
      </c>
      <c r="C6" s="2371"/>
      <c r="D6" s="2372"/>
      <c r="E6" s="2372"/>
      <c r="F6" s="2372"/>
      <c r="G6" s="2366"/>
      <c r="H6" s="2365"/>
      <c r="I6" s="2365"/>
      <c r="J6" s="2365"/>
      <c r="K6" s="2365"/>
    </row>
    <row r="7" spans="1:11" ht="24" customHeight="1">
      <c r="A7" s="2367">
        <v>0.20833333333333334</v>
      </c>
      <c r="B7" s="2373">
        <v>232</v>
      </c>
      <c r="C7" s="2371"/>
      <c r="D7" s="2371"/>
      <c r="E7" s="2371"/>
      <c r="F7" s="2369"/>
      <c r="G7" s="2365"/>
      <c r="H7" s="2365"/>
      <c r="I7" s="2365"/>
      <c r="J7" s="2365"/>
      <c r="K7" s="2365">
        <f>560/50</f>
        <v>11.2</v>
      </c>
    </row>
    <row r="8" spans="1:11" ht="24" customHeight="1">
      <c r="A8" s="2367">
        <v>0.25</v>
      </c>
      <c r="B8" s="2373">
        <v>232</v>
      </c>
      <c r="C8" s="2371"/>
      <c r="D8" s="2371"/>
      <c r="E8" s="2371"/>
      <c r="F8" s="2369"/>
      <c r="G8" s="2365"/>
      <c r="H8" s="2365"/>
      <c r="I8" s="2365"/>
      <c r="J8" s="2365"/>
      <c r="K8" s="2365"/>
    </row>
    <row r="9" spans="1:11" ht="24" customHeight="1">
      <c r="A9" s="2367">
        <v>0.29166666666666669</v>
      </c>
      <c r="B9" s="2373">
        <v>232</v>
      </c>
      <c r="C9" s="2371">
        <v>2.0699999999999998</v>
      </c>
      <c r="D9" s="2371">
        <v>0.31</v>
      </c>
      <c r="E9" s="2371">
        <v>0.1</v>
      </c>
      <c r="F9" s="2369">
        <v>0.3</v>
      </c>
      <c r="G9" s="2365"/>
      <c r="H9" s="2365"/>
      <c r="I9" s="2365"/>
      <c r="J9" s="2365"/>
      <c r="K9" s="2365"/>
    </row>
    <row r="10" spans="1:11" ht="24" customHeight="1">
      <c r="A10" s="2367">
        <v>0.33333333333333331</v>
      </c>
      <c r="B10" s="2373">
        <v>233</v>
      </c>
      <c r="C10" s="2370">
        <v>8.15</v>
      </c>
      <c r="D10" s="2371">
        <v>1.2</v>
      </c>
      <c r="E10" s="2371">
        <v>0.1</v>
      </c>
      <c r="F10" s="2369">
        <v>1.3</v>
      </c>
      <c r="G10" s="2365"/>
      <c r="H10" s="2365"/>
      <c r="I10" s="2365"/>
      <c r="J10" s="2365"/>
      <c r="K10" s="2365"/>
    </row>
    <row r="11" spans="1:11" ht="24" customHeight="1">
      <c r="A11" s="2367">
        <v>0.375</v>
      </c>
      <c r="B11" s="2373">
        <v>234</v>
      </c>
      <c r="C11" s="2371">
        <v>8.74</v>
      </c>
      <c r="D11" s="2371">
        <v>3.1</v>
      </c>
      <c r="E11" s="2371">
        <v>0.4</v>
      </c>
      <c r="F11" s="2369">
        <v>3.8</v>
      </c>
      <c r="G11" s="2365"/>
      <c r="H11" s="2365"/>
      <c r="I11" s="2365"/>
      <c r="J11" s="2365"/>
      <c r="K11" s="2365">
        <f>1500+280</f>
        <v>1780</v>
      </c>
    </row>
    <row r="12" spans="1:11" ht="24" customHeight="1">
      <c r="A12" s="2367">
        <v>0.41666666666666669</v>
      </c>
      <c r="B12" s="2373">
        <v>234</v>
      </c>
      <c r="C12" s="2371">
        <v>9.6999999999999993</v>
      </c>
      <c r="D12" s="2371">
        <v>4.2</v>
      </c>
      <c r="E12" s="2371">
        <v>1</v>
      </c>
      <c r="F12" s="2369">
        <v>5.6</v>
      </c>
      <c r="G12" s="2365"/>
      <c r="H12" s="2365"/>
      <c r="I12" s="2365"/>
      <c r="J12" s="2365"/>
      <c r="K12" s="2365">
        <f>380+580+900</f>
        <v>1860</v>
      </c>
    </row>
    <row r="13" spans="1:11" ht="24" customHeight="1">
      <c r="A13" s="2367">
        <v>0.45833333333333331</v>
      </c>
      <c r="B13" s="2373">
        <v>234</v>
      </c>
      <c r="C13" s="2371">
        <v>13.1</v>
      </c>
      <c r="D13" s="2371">
        <v>5.5</v>
      </c>
      <c r="E13" s="2371">
        <v>2</v>
      </c>
      <c r="F13" s="2369">
        <v>5.5</v>
      </c>
      <c r="G13" s="2365"/>
      <c r="H13" s="2365"/>
      <c r="I13" s="2365"/>
      <c r="J13" s="2365"/>
      <c r="K13" s="2365">
        <f>K12-K11</f>
        <v>80</v>
      </c>
    </row>
    <row r="14" spans="1:11" ht="24" customHeight="1">
      <c r="A14" s="2367">
        <v>0.5</v>
      </c>
      <c r="B14" s="2373">
        <v>234</v>
      </c>
      <c r="C14" s="2371">
        <v>12</v>
      </c>
      <c r="D14" s="2371">
        <v>2.9</v>
      </c>
      <c r="E14" s="2371">
        <v>2.2000000000000002</v>
      </c>
      <c r="F14" s="2369">
        <v>7.8</v>
      </c>
      <c r="G14" s="2365"/>
      <c r="H14" s="2365"/>
      <c r="I14" s="2365"/>
      <c r="J14" s="2365"/>
      <c r="K14" s="2418"/>
    </row>
    <row r="15" spans="1:11" ht="24" customHeight="1">
      <c r="A15" s="2367">
        <v>0.54166666666666663</v>
      </c>
      <c r="B15" s="2373">
        <v>234</v>
      </c>
      <c r="C15" s="2371">
        <v>11.2</v>
      </c>
      <c r="D15" s="2371">
        <v>5.3</v>
      </c>
      <c r="E15" s="2371">
        <v>2.2000000000000002</v>
      </c>
      <c r="F15" s="2369">
        <v>7.6</v>
      </c>
      <c r="G15" s="2365"/>
      <c r="H15" s="2365"/>
      <c r="I15" s="2365"/>
      <c r="J15" s="2365"/>
      <c r="K15" s="2365"/>
    </row>
    <row r="16" spans="1:11" ht="24" customHeight="1">
      <c r="A16" s="2367">
        <v>0.58333333333333337</v>
      </c>
      <c r="B16" s="2373">
        <v>235</v>
      </c>
      <c r="C16" s="2371">
        <v>17.100000000000001</v>
      </c>
      <c r="D16" s="2371">
        <v>2.8</v>
      </c>
      <c r="E16" s="2371">
        <v>1.8</v>
      </c>
      <c r="F16" s="2369">
        <v>4.8</v>
      </c>
      <c r="G16" s="2365"/>
      <c r="H16" s="2365"/>
      <c r="I16" s="2365"/>
      <c r="J16" s="2365"/>
      <c r="K16" s="2365"/>
    </row>
    <row r="17" spans="1:11" ht="24" customHeight="1">
      <c r="A17" s="2367">
        <v>0.625</v>
      </c>
      <c r="B17" s="2373">
        <v>233</v>
      </c>
      <c r="C17" s="2369">
        <v>13.1</v>
      </c>
      <c r="D17" s="2371">
        <v>1.1000000000000001</v>
      </c>
      <c r="E17" s="2371">
        <v>1.6</v>
      </c>
      <c r="F17" s="2369">
        <v>6.2</v>
      </c>
      <c r="G17" s="2365"/>
      <c r="H17" s="2365"/>
      <c r="I17" s="2365"/>
      <c r="J17" s="2365"/>
      <c r="K17" s="2365"/>
    </row>
    <row r="18" spans="1:11" ht="24" customHeight="1">
      <c r="A18" s="2367">
        <v>0.66666666666666663</v>
      </c>
      <c r="B18" s="2373">
        <v>234</v>
      </c>
      <c r="C18" s="2370">
        <v>8.1999999999999993</v>
      </c>
      <c r="D18" s="2371">
        <v>1.8</v>
      </c>
      <c r="E18" s="2371">
        <v>0.4</v>
      </c>
      <c r="F18" s="2369">
        <v>2.2999999999999998</v>
      </c>
      <c r="G18" s="2365"/>
      <c r="H18" s="2365"/>
      <c r="I18" s="2365"/>
      <c r="J18" s="2365"/>
      <c r="K18" s="2365"/>
    </row>
    <row r="19" spans="1:11" ht="24" customHeight="1">
      <c r="A19" s="2367">
        <v>0.70833333333333337</v>
      </c>
      <c r="B19" s="2373">
        <v>233</v>
      </c>
      <c r="C19" s="2371">
        <v>2.6</v>
      </c>
      <c r="D19" s="2371">
        <v>0.56999999999999995</v>
      </c>
      <c r="E19" s="2371">
        <v>0.3</v>
      </c>
      <c r="F19" s="2369">
        <v>1.3</v>
      </c>
      <c r="G19" s="2365"/>
      <c r="H19" s="2365"/>
      <c r="I19" s="2365"/>
      <c r="J19" s="2365"/>
      <c r="K19" s="2365">
        <f>320+40</f>
        <v>360</v>
      </c>
    </row>
    <row r="20" spans="1:11" ht="24" customHeight="1">
      <c r="A20" s="2367">
        <v>0.75</v>
      </c>
      <c r="B20" s="2371"/>
      <c r="C20" s="2371"/>
      <c r="D20" s="2371"/>
      <c r="E20" s="2371"/>
      <c r="F20" s="2369"/>
      <c r="G20" s="2365"/>
      <c r="H20" s="2365"/>
      <c r="I20" s="2365"/>
      <c r="J20" s="2365"/>
      <c r="K20" s="2365">
        <f>50</f>
        <v>50</v>
      </c>
    </row>
    <row r="21" spans="1:11" ht="24" customHeight="1">
      <c r="A21" s="2367">
        <v>0.77083333333333337</v>
      </c>
      <c r="B21" s="2371"/>
      <c r="C21" s="2371"/>
      <c r="D21" s="2371"/>
      <c r="E21" s="2371"/>
      <c r="F21" s="2369"/>
      <c r="G21" s="2365"/>
      <c r="H21" s="2365"/>
      <c r="I21" s="2365"/>
      <c r="J21" s="2365"/>
      <c r="K21" s="2365">
        <f>K20+K19</f>
        <v>410</v>
      </c>
    </row>
    <row r="22" spans="1:11" ht="24" customHeight="1">
      <c r="A22" s="2367">
        <v>0.79166666666666663</v>
      </c>
      <c r="B22" s="2371"/>
      <c r="C22" s="2371"/>
      <c r="D22" s="2371"/>
      <c r="E22" s="2371"/>
      <c r="F22" s="2369"/>
      <c r="G22" s="2365"/>
      <c r="H22" s="2365"/>
      <c r="I22" s="2365"/>
      <c r="J22" s="2365"/>
      <c r="K22" s="2365">
        <f>1800-K21</f>
        <v>1390</v>
      </c>
    </row>
    <row r="23" spans="1:11" ht="24" customHeight="1">
      <c r="A23" s="2367">
        <v>0.8125</v>
      </c>
      <c r="B23" s="2371"/>
      <c r="C23" s="2371"/>
      <c r="D23" s="2371"/>
      <c r="E23" s="2371"/>
      <c r="F23" s="2369"/>
      <c r="G23" s="2365"/>
      <c r="H23" s="2365"/>
      <c r="I23" s="2365"/>
      <c r="J23" s="2365"/>
      <c r="K23" s="2365">
        <f>1500-370</f>
        <v>1130</v>
      </c>
    </row>
    <row r="24" spans="1:11" ht="24" customHeight="1">
      <c r="A24" s="2367">
        <v>0.83333333333333337</v>
      </c>
      <c r="B24" s="2371"/>
      <c r="C24" s="2371"/>
      <c r="D24" s="2371"/>
      <c r="E24" s="2371"/>
      <c r="F24" s="2369"/>
      <c r="G24" s="2365"/>
      <c r="H24" s="2365"/>
      <c r="I24" s="2365"/>
      <c r="J24" s="2365"/>
      <c r="K24" s="2365">
        <f>K23+K21</f>
        <v>1540</v>
      </c>
    </row>
    <row r="25" spans="1:11" ht="24" customHeight="1">
      <c r="A25" s="2367">
        <v>0.875</v>
      </c>
      <c r="B25" s="2371"/>
      <c r="C25" s="2371"/>
      <c r="D25" s="2371"/>
      <c r="E25" s="2371"/>
      <c r="F25" s="2369"/>
      <c r="G25" s="2365"/>
      <c r="H25" s="2365"/>
      <c r="I25" s="2365"/>
      <c r="J25" s="2365"/>
      <c r="K25" s="2365"/>
    </row>
    <row r="26" spans="1:11" ht="24" customHeight="1">
      <c r="A26" s="2367">
        <v>0.91666666666666663</v>
      </c>
      <c r="B26" s="2371"/>
      <c r="C26" s="2371"/>
      <c r="D26" s="2371"/>
      <c r="E26" s="2371"/>
      <c r="F26" s="2369"/>
      <c r="G26" s="2365"/>
      <c r="H26" s="2365"/>
      <c r="I26" s="2365"/>
      <c r="J26" s="2365"/>
      <c r="K26" s="2365"/>
    </row>
    <row r="27" spans="1:11" ht="24" customHeight="1">
      <c r="A27" s="2367">
        <v>0.95833333333333337</v>
      </c>
      <c r="B27" s="2371"/>
      <c r="C27" s="2371"/>
      <c r="D27" s="2371"/>
      <c r="E27" s="2371"/>
      <c r="F27" s="2369"/>
      <c r="G27" s="2365"/>
      <c r="H27" s="2365"/>
      <c r="I27" s="2365"/>
      <c r="J27" s="2365"/>
      <c r="K27" s="2365"/>
    </row>
    <row r="28" spans="1:11" ht="24" customHeight="1">
      <c r="A28" s="2368">
        <v>1</v>
      </c>
      <c r="B28" s="2369"/>
      <c r="C28" s="2371"/>
      <c r="D28" s="2371"/>
      <c r="E28" s="2371"/>
      <c r="F28" s="2369"/>
      <c r="G28" s="2365"/>
      <c r="H28" s="2365"/>
      <c r="I28" s="2365"/>
      <c r="J28" s="2365"/>
      <c r="K28" s="2365"/>
    </row>
    <row r="29" spans="1:11">
      <c r="B29" s="2365"/>
      <c r="C29" s="2365"/>
      <c r="D29" s="2365"/>
      <c r="E29" s="2365"/>
      <c r="F29" s="2365"/>
      <c r="G29" s="2365"/>
      <c r="H29" s="2365"/>
      <c r="I29" s="2365"/>
      <c r="J29" s="2365"/>
      <c r="K29" s="2365"/>
    </row>
    <row r="30" spans="1:11">
      <c r="B30" s="2365"/>
      <c r="C30" s="2365"/>
      <c r="D30" s="2365"/>
      <c r="E30" s="2365"/>
      <c r="F30" s="2365"/>
      <c r="G30" s="2365"/>
      <c r="H30" s="2365"/>
      <c r="I30" s="2365"/>
      <c r="J30" s="2365"/>
      <c r="K30" s="2365"/>
    </row>
    <row r="31" spans="1:11">
      <c r="B31" s="2365"/>
      <c r="C31" s="2365"/>
      <c r="D31" s="2365"/>
      <c r="E31" s="2365"/>
      <c r="F31" s="2365"/>
      <c r="G31" s="2365"/>
      <c r="H31" s="2365"/>
      <c r="I31" s="2365"/>
      <c r="J31" s="2365"/>
      <c r="K31" s="2365"/>
    </row>
    <row r="32" spans="1:11">
      <c r="B32" s="2365"/>
      <c r="C32" s="2365"/>
      <c r="D32" s="2365"/>
      <c r="E32" s="2365"/>
      <c r="F32" s="2365"/>
      <c r="G32" s="2365"/>
      <c r="H32" s="2365"/>
      <c r="I32" s="2365"/>
      <c r="J32" s="2365"/>
      <c r="K32" s="2365"/>
    </row>
    <row r="33" spans="5:5" ht="15.75">
      <c r="E33" s="1812"/>
    </row>
    <row r="34" spans="5:5" ht="15.75">
      <c r="E34" s="1813"/>
    </row>
  </sheetData>
  <customSheetViews>
    <customSheetView guid="{751D391F-C74F-4B53-B5B5-25E01AC12EA4}" topLeftCell="B1">
      <selection activeCell="M22" sqref="M22"/>
      <pageMargins left="0.7" right="0.7" top="0.75" bottom="0.75" header="0.3" footer="0.3"/>
      <pageSetup orientation="portrait" verticalDpi="4294967295" r:id="rId1"/>
    </customSheetView>
    <customSheetView guid="{5A803268-F6C5-4035-B3E1-A94CB9AA8994}" showPageBreaks="1">
      <selection activeCell="K2" sqref="K2:K29"/>
      <pageMargins left="0.7" right="0.7" top="0.75" bottom="0.75" header="0.3" footer="0.3"/>
      <pageSetup orientation="portrait" horizontalDpi="0" verticalDpi="0" r:id="rId2"/>
    </customSheetView>
    <customSheetView guid="{917057C8-5E5F-4164-B84C-85103677A2E5}">
      <selection activeCell="A22" sqref="A22:XFD22"/>
      <pageMargins left="0.7" right="0.7" top="0.75" bottom="0.75" header="0.3" footer="0.3"/>
      <pageSetup orientation="portrait" verticalDpi="0" r:id="rId3"/>
    </customSheetView>
    <customSheetView guid="{23F4DC00-BC97-4745-AA5C-F05D469CB1EF}" showPageBreaks="1">
      <selection activeCell="K2" sqref="K2:K29"/>
      <pageMargins left="0.7" right="0.7" top="0.75" bottom="0.75" header="0.3" footer="0.3"/>
      <pageSetup paperSize="9" orientation="portrait" verticalDpi="0" r:id="rId4"/>
    </customSheetView>
    <customSheetView guid="{B91C2E87-5EDA-40AE-AC27-0E2C17E803CE}" showPageBreaks="1" printArea="1">
      <selection activeCell="O9" sqref="O9:O10"/>
      <pageMargins left="0.95" right="0.5" top="0.75" bottom="0.75" header="0.3" footer="0.3"/>
      <pageSetup scale="71" orientation="portrait" r:id="rId5"/>
    </customSheetView>
    <customSheetView guid="{7C71EF2A-5ADA-494C-8F58-DDA71753DD90}" showPageBreaks="1" topLeftCell="A10">
      <selection activeCell="G36" sqref="G36"/>
      <pageMargins left="0.7" right="0.7" top="0.75" bottom="0.75" header="0.3" footer="0.3"/>
      <pageSetup orientation="portrait" verticalDpi="4294967295" r:id="rId6"/>
    </customSheetView>
    <customSheetView guid="{4DB6C640-CE65-4513-9E5A-F6CDD1F4B8AF}" topLeftCell="B1">
      <selection activeCell="K13" sqref="K13"/>
      <pageMargins left="0.7" right="0.7" top="0.75" bottom="0.75" header="0.3" footer="0.3"/>
      <pageSetup orientation="portrait" verticalDpi="4294967295" r:id="rId7"/>
    </customSheetView>
    <customSheetView guid="{D1D1E152-95AB-45D3-AC07-4EC0834D3E0C}" topLeftCell="B1">
      <selection activeCell="K8" sqref="K8"/>
      <pageMargins left="0.7" right="0.7" top="0.75" bottom="0.75" header="0.3" footer="0.3"/>
      <pageSetup orientation="portrait" verticalDpi="4294967295" r:id="rId8"/>
    </customSheetView>
    <customSheetView guid="{C3348F62-02F2-4500-9BF2-19F2DEA57A8D}" showPageBreaks="1" topLeftCell="B1">
      <selection activeCell="D9" sqref="D9"/>
      <pageMargins left="0.7" right="0.7" top="0.75" bottom="0.75" header="0.3" footer="0.3"/>
      <pageSetup orientation="portrait" verticalDpi="4294967295" r:id="rId9"/>
    </customSheetView>
  </customSheetViews>
  <pageMargins left="0.7" right="0.7" top="0.75" bottom="0.75" header="0.3" footer="0.3"/>
  <pageSetup orientation="portrait" verticalDpi="4294967295" r:id="rId10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/>
  <dimension ref="C1:AL372"/>
  <sheetViews>
    <sheetView workbookViewId="0">
      <selection activeCell="U14" sqref="U14"/>
    </sheetView>
  </sheetViews>
  <sheetFormatPr defaultRowHeight="15"/>
  <cols>
    <col min="3" max="3" width="22.42578125" customWidth="1"/>
    <col min="4" max="4" width="44.7109375" customWidth="1"/>
    <col min="5" max="5" width="45.7109375" customWidth="1"/>
    <col min="6" max="6" width="36.140625" customWidth="1"/>
    <col min="7" max="7" width="11" customWidth="1"/>
    <col min="8" max="8" width="20" customWidth="1"/>
    <col min="9" max="9" width="7.140625" customWidth="1"/>
    <col min="14" max="14" width="9.140625" customWidth="1"/>
    <col min="16" max="16" width="12" bestFit="1" customWidth="1"/>
    <col min="21" max="21" width="45.140625" customWidth="1"/>
    <col min="25" max="25" width="13.140625" customWidth="1"/>
    <col min="26" max="26" width="12.42578125" customWidth="1"/>
  </cols>
  <sheetData>
    <row r="1" spans="3:28">
      <c r="G1" s="3000"/>
      <c r="H1" s="3003" t="s">
        <v>1225</v>
      </c>
    </row>
    <row r="2" spans="3:28" ht="22.5" customHeight="1">
      <c r="G2" s="3001" t="s">
        <v>1224</v>
      </c>
      <c r="H2" s="3004">
        <v>43281</v>
      </c>
    </row>
    <row r="3" spans="3:28" ht="20.25" customHeight="1">
      <c r="C3" s="2982"/>
      <c r="D3" s="2983"/>
      <c r="E3" s="2983"/>
      <c r="F3" s="2983"/>
      <c r="G3" s="3002" t="s">
        <v>1226</v>
      </c>
      <c r="H3" s="3004">
        <v>43311</v>
      </c>
      <c r="U3" s="1811" t="s">
        <v>1063</v>
      </c>
      <c r="V3" s="1802"/>
      <c r="W3" s="1802"/>
      <c r="X3" s="1802"/>
      <c r="Y3" s="1802"/>
      <c r="AA3" t="s">
        <v>1205</v>
      </c>
      <c r="AB3">
        <f>6673+4290+1800+400+R10+R15</f>
        <v>13163</v>
      </c>
    </row>
    <row r="4" spans="3:28" ht="12" customHeight="1">
      <c r="C4" s="2984"/>
      <c r="D4" s="2365"/>
      <c r="E4" s="2365"/>
      <c r="F4" s="2365"/>
      <c r="G4" s="2365"/>
      <c r="H4" s="2365"/>
      <c r="U4" s="1816" t="s">
        <v>1053</v>
      </c>
    </row>
    <row r="5" spans="3:28" ht="30" customHeight="1">
      <c r="C5" s="2995"/>
      <c r="D5" s="2996" t="s">
        <v>1902</v>
      </c>
      <c r="E5" s="2993"/>
      <c r="F5" s="2994"/>
      <c r="G5" s="2365"/>
      <c r="H5" s="2365"/>
      <c r="U5" s="1819" t="s">
        <v>1054</v>
      </c>
      <c r="V5" s="1815"/>
      <c r="W5" s="1815"/>
      <c r="X5" s="1819" t="s">
        <v>1152</v>
      </c>
    </row>
    <row r="6" spans="3:28" ht="44.25" customHeight="1">
      <c r="C6" s="2986" t="s">
        <v>19</v>
      </c>
      <c r="D6" s="2987" t="s">
        <v>1903</v>
      </c>
      <c r="E6" s="2987" t="s">
        <v>1904</v>
      </c>
      <c r="F6" s="2986" t="s">
        <v>1223</v>
      </c>
      <c r="G6" s="2985"/>
      <c r="H6" s="2366"/>
      <c r="U6" s="1803" t="s">
        <v>1050</v>
      </c>
      <c r="V6" s="1803" t="s">
        <v>1043</v>
      </c>
      <c r="W6" s="1820" t="s">
        <v>1056</v>
      </c>
      <c r="X6" s="1820" t="s">
        <v>1066</v>
      </c>
      <c r="Y6" s="1826" t="s">
        <v>1060</v>
      </c>
      <c r="Z6" s="1825" t="s">
        <v>1061</v>
      </c>
    </row>
    <row r="7" spans="3:28" ht="24.95" customHeight="1">
      <c r="C7" s="2997">
        <v>43281</v>
      </c>
      <c r="D7" s="2988">
        <v>211090047.44</v>
      </c>
      <c r="E7" s="2989">
        <v>276195971.14999998</v>
      </c>
      <c r="F7" s="2998">
        <f t="shared" ref="F7:F37" si="0">(E7-D7)/D7</f>
        <v>0.30842725414851979</v>
      </c>
      <c r="G7" s="2985"/>
      <c r="H7" s="2366"/>
      <c r="U7" s="1803" t="s">
        <v>1064</v>
      </c>
      <c r="V7" s="1805"/>
      <c r="W7" s="1833">
        <v>0.33333333333333331</v>
      </c>
      <c r="X7" s="1833"/>
      <c r="Y7" s="1883"/>
      <c r="Z7" s="1832"/>
    </row>
    <row r="8" spans="3:28" ht="24.95" customHeight="1">
      <c r="C8" s="2997">
        <v>43282</v>
      </c>
      <c r="D8" s="2988">
        <v>197525294.59999999</v>
      </c>
      <c r="E8" s="2989">
        <v>283167650.08999997</v>
      </c>
      <c r="F8" s="2998">
        <f t="shared" si="0"/>
        <v>0.43357664983328159</v>
      </c>
      <c r="G8" s="2365"/>
      <c r="H8" s="2365"/>
      <c r="U8" s="1804" t="s">
        <v>1047</v>
      </c>
      <c r="V8" s="1806"/>
      <c r="W8" s="1817">
        <v>0.45833333333333331</v>
      </c>
      <c r="X8" s="1817"/>
      <c r="Y8" s="1837"/>
      <c r="Z8" s="1837"/>
    </row>
    <row r="9" spans="3:28" ht="24.95" customHeight="1">
      <c r="C9" s="2997">
        <v>43283</v>
      </c>
      <c r="D9" s="2988">
        <v>226523222.15000001</v>
      </c>
      <c r="E9" s="2989">
        <v>275502864.5</v>
      </c>
      <c r="F9" s="2998">
        <f t="shared" si="0"/>
        <v>0.21622349304905467</v>
      </c>
      <c r="G9" s="2365"/>
      <c r="H9" s="2365"/>
      <c r="U9" s="1804" t="s">
        <v>1048</v>
      </c>
      <c r="V9" s="1806"/>
      <c r="W9" s="1817">
        <v>0.54166666666666663</v>
      </c>
      <c r="X9" s="1817"/>
      <c r="Y9" s="1808"/>
      <c r="Z9" s="1808"/>
    </row>
    <row r="10" spans="3:28" ht="24.95" customHeight="1">
      <c r="C10" s="2997">
        <v>43284</v>
      </c>
      <c r="D10" s="2989">
        <v>238288544.41</v>
      </c>
      <c r="E10" s="2989">
        <v>271048658.10000002</v>
      </c>
      <c r="F10" s="2998">
        <f t="shared" si="0"/>
        <v>0.13748085864183582</v>
      </c>
      <c r="G10" s="2365"/>
      <c r="H10" s="2365"/>
      <c r="U10" s="1804" t="s">
        <v>1049</v>
      </c>
      <c r="V10" s="1806"/>
      <c r="W10" s="1817">
        <v>0.47916666666666669</v>
      </c>
      <c r="X10" s="1817"/>
      <c r="Y10" s="1808"/>
      <c r="Z10" s="1808"/>
    </row>
    <row r="11" spans="3:28" ht="24.95" customHeight="1">
      <c r="C11" s="2997">
        <v>43285</v>
      </c>
      <c r="D11" s="2989">
        <v>251493371.61000001</v>
      </c>
      <c r="E11" s="2989">
        <v>281811988.42000002</v>
      </c>
      <c r="F11" s="2998">
        <f t="shared" si="0"/>
        <v>0.12055433753942506</v>
      </c>
      <c r="G11" s="2365"/>
      <c r="H11" s="2365"/>
      <c r="U11" s="1804" t="s">
        <v>1062</v>
      </c>
      <c r="V11" s="1806" t="s">
        <v>1044</v>
      </c>
      <c r="W11" s="1817">
        <v>0.52083333333333337</v>
      </c>
      <c r="X11" s="1817"/>
      <c r="Y11" s="1808"/>
      <c r="Z11" s="1808"/>
    </row>
    <row r="12" spans="3:28" ht="24.95" customHeight="1">
      <c r="C12" s="2997">
        <v>43286</v>
      </c>
      <c r="D12" s="2989">
        <v>257526281.25</v>
      </c>
      <c r="E12" s="2989">
        <v>296457117.68000001</v>
      </c>
      <c r="F12" s="2998">
        <f t="shared" si="0"/>
        <v>0.15117228517817541</v>
      </c>
      <c r="G12" s="2365"/>
      <c r="H12" s="2365"/>
      <c r="P12" s="2587"/>
      <c r="U12" s="1804" t="s">
        <v>1041</v>
      </c>
      <c r="V12" s="1806"/>
      <c r="W12" s="1803" t="s">
        <v>1055</v>
      </c>
      <c r="X12" s="1803"/>
      <c r="Y12" s="1808"/>
      <c r="Z12" s="1808"/>
    </row>
    <row r="13" spans="3:28" ht="24.95" customHeight="1">
      <c r="C13" s="2997">
        <v>43287</v>
      </c>
      <c r="D13" s="2989">
        <v>252652905.86000001</v>
      </c>
      <c r="E13" s="2989">
        <v>296913789.76999998</v>
      </c>
      <c r="F13" s="2998">
        <f t="shared" si="0"/>
        <v>0.17518454323468499</v>
      </c>
      <c r="G13" s="2365"/>
      <c r="H13" s="2365"/>
      <c r="P13" s="2588"/>
      <c r="U13" s="1804" t="s">
        <v>1042</v>
      </c>
      <c r="V13" s="1806"/>
      <c r="W13" s="1817">
        <v>0.47916666666666669</v>
      </c>
      <c r="X13" s="1817"/>
      <c r="Y13" s="1808"/>
      <c r="Z13" s="1808"/>
    </row>
    <row r="14" spans="3:28" ht="24.95" customHeight="1">
      <c r="C14" s="2997">
        <v>43288</v>
      </c>
      <c r="D14" s="2989">
        <v>251430531.43000001</v>
      </c>
      <c r="E14" s="2989">
        <v>272957778.72000003</v>
      </c>
      <c r="F14" s="2998">
        <f t="shared" si="0"/>
        <v>8.5619066099748328E-2</v>
      </c>
      <c r="G14" s="2365"/>
      <c r="H14" s="2365"/>
      <c r="P14" s="2588"/>
      <c r="U14" s="1804" t="s">
        <v>1065</v>
      </c>
      <c r="V14" s="1807"/>
      <c r="W14" s="1821">
        <v>0.58333333333333337</v>
      </c>
      <c r="X14" s="1817"/>
      <c r="Y14" s="886"/>
      <c r="Z14" s="886"/>
    </row>
    <row r="15" spans="3:28" ht="24.95" customHeight="1">
      <c r="C15" s="2997">
        <v>43289</v>
      </c>
      <c r="D15" s="2989">
        <v>247829540.68000001</v>
      </c>
      <c r="E15" s="2989">
        <v>252032208.94</v>
      </c>
      <c r="F15" s="2998">
        <f t="shared" si="0"/>
        <v>1.6957898757624372E-2</v>
      </c>
      <c r="G15" s="2365"/>
      <c r="H15" s="2365"/>
      <c r="P15" s="2589"/>
      <c r="U15" s="1824" t="s">
        <v>1057</v>
      </c>
      <c r="V15" s="1828"/>
      <c r="W15" s="1810"/>
      <c r="X15" s="1822"/>
      <c r="Y15" s="1823"/>
      <c r="Z15" s="1809"/>
    </row>
    <row r="16" spans="3:28" ht="24.95" customHeight="1">
      <c r="C16" s="2997">
        <v>43290</v>
      </c>
      <c r="D16" s="2989">
        <v>263771762.34</v>
      </c>
      <c r="E16" s="2989">
        <v>242626691.09999999</v>
      </c>
      <c r="F16" s="2998">
        <f t="shared" si="0"/>
        <v>-8.0164271764405756E-2</v>
      </c>
      <c r="G16" s="2365"/>
      <c r="H16" s="2365"/>
      <c r="P16" s="2589"/>
      <c r="U16" s="1803" t="s">
        <v>1064</v>
      </c>
      <c r="V16" s="1805"/>
      <c r="W16" s="1834">
        <v>0.58333333333333337</v>
      </c>
      <c r="X16" s="1804"/>
      <c r="Y16" s="1835"/>
      <c r="Z16" s="1835"/>
    </row>
    <row r="17" spans="3:26" ht="24.95" customHeight="1">
      <c r="C17" s="2997">
        <v>43291</v>
      </c>
      <c r="D17" s="2989">
        <v>272880186.47000003</v>
      </c>
      <c r="E17" s="2989">
        <v>247367362.63</v>
      </c>
      <c r="F17" s="2998">
        <f t="shared" si="0"/>
        <v>-9.3494599846313392E-2</v>
      </c>
      <c r="G17" s="2365"/>
      <c r="H17" s="2365"/>
      <c r="P17" s="2588"/>
      <c r="U17" s="1804" t="s">
        <v>1051</v>
      </c>
      <c r="V17" s="1806"/>
      <c r="W17" s="1817">
        <v>0.91666666666666663</v>
      </c>
      <c r="X17" s="1817"/>
      <c r="Y17" s="1836"/>
      <c r="Z17" s="1837"/>
    </row>
    <row r="18" spans="3:26" ht="24.95" customHeight="1">
      <c r="C18" s="2997">
        <v>43292</v>
      </c>
      <c r="D18" s="2989">
        <v>279646262.54000002</v>
      </c>
      <c r="E18" s="2989">
        <v>255236645.03</v>
      </c>
      <c r="F18" s="2998">
        <f t="shared" si="0"/>
        <v>-8.7287479862200978E-2</v>
      </c>
      <c r="G18" s="2365"/>
      <c r="H18" s="2365"/>
      <c r="P18" s="2588"/>
      <c r="U18" s="1804" t="s">
        <v>1052</v>
      </c>
      <c r="V18" s="1831"/>
      <c r="W18" s="1817">
        <v>0.77083333333333337</v>
      </c>
      <c r="X18" s="1817"/>
      <c r="Y18" s="1808"/>
      <c r="Z18" s="1808"/>
    </row>
    <row r="19" spans="3:26" ht="24.95" customHeight="1">
      <c r="C19" s="2997">
        <v>43293</v>
      </c>
      <c r="D19" s="2989">
        <v>273692248</v>
      </c>
      <c r="E19" s="2989">
        <v>263066446.02000001</v>
      </c>
      <c r="F19" s="2998">
        <f t="shared" si="0"/>
        <v>-3.8823905527642089E-2</v>
      </c>
      <c r="G19" s="2365"/>
      <c r="H19" s="2365"/>
      <c r="P19" s="2588"/>
      <c r="U19" s="1804" t="s">
        <v>1041</v>
      </c>
      <c r="V19" s="1806" t="s">
        <v>1045</v>
      </c>
      <c r="W19" s="1803" t="s">
        <v>1055</v>
      </c>
      <c r="X19" s="1803"/>
      <c r="Y19" s="1808"/>
      <c r="Z19" s="1808"/>
    </row>
    <row r="20" spans="3:26" ht="24.95" customHeight="1">
      <c r="C20" s="2997">
        <v>43294</v>
      </c>
      <c r="D20" s="2989">
        <v>276834757.86000001</v>
      </c>
      <c r="E20" s="2989">
        <v>270448346.69</v>
      </c>
      <c r="F20" s="2998">
        <f t="shared" si="0"/>
        <v>-2.3069397858016559E-2</v>
      </c>
      <c r="G20" s="2365"/>
      <c r="H20" s="2365"/>
      <c r="P20" s="2590"/>
      <c r="U20" s="1804" t="s">
        <v>1079</v>
      </c>
      <c r="V20" s="1806"/>
      <c r="W20" s="1817">
        <v>0.83333333333333337</v>
      </c>
      <c r="X20" s="1817"/>
      <c r="Y20" s="1808"/>
      <c r="Z20" s="1808"/>
    </row>
    <row r="21" spans="3:26" ht="24.95" customHeight="1">
      <c r="C21" s="2997">
        <v>43295</v>
      </c>
      <c r="D21" s="2989">
        <v>287510568.38</v>
      </c>
      <c r="E21" s="2989">
        <v>272489786.94999999</v>
      </c>
      <c r="F21" s="2998">
        <f t="shared" si="0"/>
        <v>-5.2244275800488779E-2</v>
      </c>
      <c r="G21" s="2365"/>
      <c r="H21" s="2365"/>
      <c r="P21" s="2591"/>
      <c r="U21" s="1804" t="s">
        <v>1065</v>
      </c>
      <c r="V21" s="1807"/>
      <c r="W21" s="1817">
        <v>0.91666666666666663</v>
      </c>
      <c r="X21" s="1817"/>
      <c r="Y21" s="886"/>
      <c r="Z21" s="886"/>
    </row>
    <row r="22" spans="3:26" ht="24.95" customHeight="1">
      <c r="C22" s="2997">
        <v>43296</v>
      </c>
      <c r="D22" s="2989">
        <v>274388694.91000003</v>
      </c>
      <c r="E22" s="2989">
        <v>290509485.74000001</v>
      </c>
      <c r="F22" s="2998">
        <f t="shared" si="0"/>
        <v>5.8751658246297758E-2</v>
      </c>
      <c r="G22" s="2365"/>
      <c r="H22" s="2365"/>
      <c r="U22" s="1824" t="s">
        <v>1058</v>
      </c>
      <c r="V22" s="1828"/>
      <c r="W22" s="1810"/>
      <c r="X22" s="1810"/>
      <c r="Y22" s="1823"/>
      <c r="Z22" s="1809"/>
    </row>
    <row r="23" spans="3:26" ht="24.95" customHeight="1">
      <c r="C23" s="2997">
        <v>43297</v>
      </c>
      <c r="D23" s="2989">
        <v>274991761.36000001</v>
      </c>
      <c r="E23" s="2989">
        <v>300468026.06</v>
      </c>
      <c r="F23" s="2998">
        <f t="shared" si="0"/>
        <v>9.2643738030566816E-2</v>
      </c>
      <c r="G23" s="2365"/>
      <c r="H23" s="2365"/>
      <c r="U23" s="1803" t="s">
        <v>1064</v>
      </c>
      <c r="V23" s="1805"/>
      <c r="W23" s="1817">
        <v>0.91666666666666663</v>
      </c>
      <c r="X23" s="1803"/>
      <c r="Y23" s="1835"/>
      <c r="Z23" s="1835"/>
    </row>
    <row r="24" spans="3:26" ht="24.95" customHeight="1">
      <c r="C24" s="2997">
        <v>43298</v>
      </c>
      <c r="D24" s="2989">
        <v>274611971.70999998</v>
      </c>
      <c r="E24" s="2989">
        <v>299975158.75999999</v>
      </c>
      <c r="F24" s="2998">
        <f t="shared" si="0"/>
        <v>9.2360092286087367E-2</v>
      </c>
      <c r="G24" s="2365"/>
      <c r="H24" s="2365"/>
      <c r="U24" s="1804" t="s">
        <v>1078</v>
      </c>
      <c r="V24" s="1806"/>
      <c r="W24" s="1817">
        <v>0.95833333333333337</v>
      </c>
      <c r="X24" s="1817"/>
      <c r="Y24" s="1837"/>
      <c r="Z24" s="1837"/>
    </row>
    <row r="25" spans="3:26" ht="24.95" customHeight="1">
      <c r="C25" s="2997">
        <v>43299</v>
      </c>
      <c r="D25" s="2989">
        <v>260334063.52000001</v>
      </c>
      <c r="E25" s="2989">
        <v>275230346.47000003</v>
      </c>
      <c r="F25" s="2998">
        <f t="shared" si="0"/>
        <v>5.7219876448690782E-2</v>
      </c>
      <c r="G25" s="2365"/>
      <c r="H25" s="2365"/>
      <c r="U25" s="1804" t="s">
        <v>1041</v>
      </c>
      <c r="V25" s="1806"/>
      <c r="W25" s="1803" t="s">
        <v>1055</v>
      </c>
      <c r="X25" s="1803"/>
      <c r="Y25" s="1808"/>
      <c r="Z25" s="1808"/>
    </row>
    <row r="26" spans="3:26" ht="24.95" customHeight="1">
      <c r="C26" s="2997">
        <v>43300</v>
      </c>
      <c r="D26" s="2989">
        <v>225749817.08000001</v>
      </c>
      <c r="E26" s="2989">
        <v>282115427.38</v>
      </c>
      <c r="F26" s="2998">
        <f t="shared" si="0"/>
        <v>0.24968175402784684</v>
      </c>
      <c r="G26" s="2365"/>
      <c r="H26" s="2365"/>
      <c r="U26" s="1804" t="s">
        <v>1040</v>
      </c>
      <c r="V26" s="1830" t="s">
        <v>1046</v>
      </c>
      <c r="W26" s="1817">
        <v>4.1666666666666664E-2</v>
      </c>
      <c r="X26" s="1818"/>
      <c r="Y26" s="1808"/>
      <c r="Z26" s="1808"/>
    </row>
    <row r="27" spans="3:26" ht="24.95" customHeight="1">
      <c r="C27" s="2997">
        <v>43301</v>
      </c>
      <c r="D27" s="2989">
        <v>215597084.88</v>
      </c>
      <c r="E27" s="2989">
        <v>277736983.23000002</v>
      </c>
      <c r="F27" s="2998">
        <f t="shared" si="0"/>
        <v>0.28822234950248382</v>
      </c>
      <c r="G27" s="2365"/>
      <c r="H27" s="2365"/>
      <c r="U27" s="1804" t="s">
        <v>1065</v>
      </c>
      <c r="V27" s="1814"/>
      <c r="W27" s="1817">
        <v>0.33333333333333331</v>
      </c>
      <c r="X27" s="1818"/>
      <c r="Y27" s="886"/>
      <c r="Z27" s="886"/>
    </row>
    <row r="28" spans="3:26" ht="24.95" customHeight="1">
      <c r="C28" s="2997">
        <v>43302</v>
      </c>
      <c r="D28" s="2989">
        <v>231367958.66</v>
      </c>
      <c r="E28" s="2989">
        <v>279949163.83999997</v>
      </c>
      <c r="F28" s="2998">
        <f t="shared" si="0"/>
        <v>0.20997378142317047</v>
      </c>
      <c r="G28" s="2365"/>
      <c r="H28" s="2365"/>
      <c r="U28" s="1827" t="s">
        <v>1059</v>
      </c>
      <c r="V28" s="1829"/>
      <c r="W28" s="1823"/>
      <c r="X28" s="1823"/>
      <c r="Y28" s="1823"/>
      <c r="Z28" s="1809"/>
    </row>
    <row r="29" spans="3:26" ht="24.95" customHeight="1">
      <c r="C29" s="2997">
        <v>43303</v>
      </c>
      <c r="D29" s="2989">
        <v>215406631.12</v>
      </c>
      <c r="E29" s="2989">
        <v>274769680.97000003</v>
      </c>
      <c r="F29" s="2998">
        <f t="shared" si="0"/>
        <v>0.27558599074384904</v>
      </c>
    </row>
    <row r="30" spans="3:26" ht="24.95" customHeight="1">
      <c r="C30" s="2997">
        <v>43304</v>
      </c>
      <c r="D30" s="2989">
        <v>210423361.77000001</v>
      </c>
      <c r="E30" s="2989">
        <v>263148267.56</v>
      </c>
      <c r="F30" s="2998">
        <f t="shared" si="0"/>
        <v>0.25056583711284935</v>
      </c>
    </row>
    <row r="31" spans="3:26" ht="24.95" customHeight="1">
      <c r="C31" s="2997">
        <v>43305</v>
      </c>
      <c r="D31" s="2989">
        <v>225499765.56</v>
      </c>
      <c r="E31" s="2989">
        <v>263026721.22</v>
      </c>
      <c r="F31" s="2998">
        <f t="shared" si="0"/>
        <v>0.16641682782599163</v>
      </c>
    </row>
    <row r="32" spans="3:26" ht="24.95" customHeight="1">
      <c r="C32" s="2997">
        <v>43306</v>
      </c>
      <c r="D32" s="2989">
        <v>235461460.02000001</v>
      </c>
      <c r="E32" s="2989">
        <v>266894322.56</v>
      </c>
      <c r="F32" s="2998">
        <f t="shared" si="0"/>
        <v>0.1334947236687061</v>
      </c>
    </row>
    <row r="33" spans="3:6" ht="24.95" customHeight="1">
      <c r="C33" s="2997">
        <v>43307</v>
      </c>
      <c r="D33" s="2989">
        <v>226380223.34</v>
      </c>
      <c r="E33" s="2989">
        <v>271365344.79000002</v>
      </c>
      <c r="F33" s="2998">
        <f t="shared" si="0"/>
        <v>0.19871489119629038</v>
      </c>
    </row>
    <row r="34" spans="3:6" ht="24.95" customHeight="1">
      <c r="C34" s="2997">
        <v>43308</v>
      </c>
      <c r="D34" s="2988">
        <v>212074024.62</v>
      </c>
      <c r="E34" s="2989">
        <v>277408526.64999998</v>
      </c>
      <c r="F34" s="2998">
        <f t="shared" si="0"/>
        <v>0.308074042292865</v>
      </c>
    </row>
    <row r="35" spans="3:6" ht="24.95" customHeight="1">
      <c r="C35" s="2997">
        <v>43309</v>
      </c>
      <c r="D35" s="2999">
        <v>192303681.00999999</v>
      </c>
      <c r="E35" s="2989">
        <v>273068054.16000003</v>
      </c>
      <c r="F35" s="2998">
        <f t="shared" si="0"/>
        <v>0.41998350071000567</v>
      </c>
    </row>
    <row r="36" spans="3:6" ht="24.95" customHeight="1">
      <c r="C36" s="2997">
        <v>43310</v>
      </c>
      <c r="D36" s="2989">
        <v>198755187.59</v>
      </c>
      <c r="E36" s="2989">
        <v>274048871.07999998</v>
      </c>
      <c r="F36" s="2998">
        <f t="shared" si="0"/>
        <v>0.37882625557084199</v>
      </c>
    </row>
    <row r="37" spans="3:6" ht="24.95" customHeight="1">
      <c r="C37" s="2997">
        <v>43311</v>
      </c>
      <c r="D37" s="2989">
        <v>211260340.25</v>
      </c>
      <c r="E37" s="2989">
        <v>271505186.63</v>
      </c>
      <c r="F37" s="2998">
        <f t="shared" si="0"/>
        <v>0.28516874633784933</v>
      </c>
    </row>
    <row r="38" spans="3:6" ht="24.95" customHeight="1">
      <c r="C38" s="2990" t="s">
        <v>12</v>
      </c>
      <c r="D38" s="2991">
        <v>180930540.41999999</v>
      </c>
      <c r="E38" s="2991">
        <v>199826136.56</v>
      </c>
      <c r="F38" s="2992">
        <f t="shared" ref="F38" si="1">(E38-D38)/D38</f>
        <v>0.10443563643891766</v>
      </c>
    </row>
    <row r="39" spans="3:6">
      <c r="D39">
        <v>182471070.94</v>
      </c>
      <c r="E39">
        <v>198868995.71000001</v>
      </c>
    </row>
    <row r="40" spans="3:6">
      <c r="D40">
        <v>183861840.09</v>
      </c>
      <c r="E40">
        <v>150502550.16</v>
      </c>
    </row>
    <row r="41" spans="3:6" ht="19.899999999999999" customHeight="1">
      <c r="D41">
        <v>165277444.31999999</v>
      </c>
      <c r="E41">
        <v>170276535.56</v>
      </c>
    </row>
    <row r="42" spans="3:6">
      <c r="D42">
        <v>175819378.06</v>
      </c>
      <c r="E42">
        <v>182726650.93000001</v>
      </c>
    </row>
    <row r="43" spans="3:6">
      <c r="D43">
        <v>184073522.62</v>
      </c>
      <c r="E43">
        <v>186070762.18000001</v>
      </c>
    </row>
    <row r="44" spans="3:6">
      <c r="D44">
        <v>186326671.71000001</v>
      </c>
      <c r="E44">
        <v>188970203.19</v>
      </c>
    </row>
    <row r="45" spans="3:6">
      <c r="D45">
        <v>185733354.13999999</v>
      </c>
      <c r="E45">
        <v>190891250.91</v>
      </c>
    </row>
    <row r="46" spans="3:6">
      <c r="D46">
        <v>187111093.40000001</v>
      </c>
      <c r="E46">
        <v>190485817.25999999</v>
      </c>
    </row>
    <row r="47" spans="3:6">
      <c r="D47">
        <v>187532034.72</v>
      </c>
      <c r="E47">
        <v>173337415.06999999</v>
      </c>
    </row>
    <row r="48" spans="3:6">
      <c r="D48">
        <v>169091395.90000001</v>
      </c>
      <c r="E48">
        <v>182642631.38</v>
      </c>
    </row>
    <row r="49" spans="4:5">
      <c r="D49">
        <v>180856988.75999999</v>
      </c>
      <c r="E49">
        <v>195347275.53</v>
      </c>
    </row>
    <row r="50" spans="4:5">
      <c r="D50">
        <v>188872459.59999999</v>
      </c>
      <c r="E50">
        <v>196359385.24000001</v>
      </c>
    </row>
    <row r="51" spans="4:5">
      <c r="D51">
        <v>189658656.31</v>
      </c>
      <c r="E51">
        <v>197536010.24000001</v>
      </c>
    </row>
    <row r="52" spans="4:5">
      <c r="D52">
        <v>190991366.00999999</v>
      </c>
      <c r="E52">
        <v>201787342.09</v>
      </c>
    </row>
    <row r="53" spans="4:5">
      <c r="D53">
        <v>195868101.83000001</v>
      </c>
      <c r="E53">
        <v>200676591.88</v>
      </c>
    </row>
    <row r="54" spans="4:5">
      <c r="D54">
        <v>188985351.40000001</v>
      </c>
      <c r="E54">
        <v>180749492.91999999</v>
      </c>
    </row>
    <row r="55" spans="4:5">
      <c r="D55">
        <v>175323598.63999999</v>
      </c>
      <c r="E55">
        <v>191305612.91</v>
      </c>
    </row>
    <row r="56" spans="4:5">
      <c r="D56">
        <v>180782183.83000001</v>
      </c>
      <c r="E56">
        <v>197469685.66999999</v>
      </c>
    </row>
    <row r="57" spans="4:5">
      <c r="D57">
        <v>171227407.25</v>
      </c>
      <c r="E57">
        <v>176921103.21000001</v>
      </c>
    </row>
    <row r="58" spans="4:5">
      <c r="D58">
        <v>186522895.31</v>
      </c>
      <c r="E58">
        <v>194520131.33000001</v>
      </c>
    </row>
    <row r="59" spans="4:5">
      <c r="D59">
        <v>193637646.50999999</v>
      </c>
      <c r="E59">
        <v>203382553.37</v>
      </c>
    </row>
    <row r="60" spans="4:5">
      <c r="D60">
        <v>197754333.25</v>
      </c>
      <c r="E60">
        <v>202816887.06999999</v>
      </c>
    </row>
    <row r="61" spans="4:5">
      <c r="D61">
        <v>198021708.50999999</v>
      </c>
      <c r="E61">
        <v>180359785.72999999</v>
      </c>
    </row>
    <row r="62" spans="4:5">
      <c r="D62">
        <v>185241879.05000001</v>
      </c>
      <c r="E62">
        <v>202457988.59</v>
      </c>
    </row>
    <row r="63" spans="4:5">
      <c r="D63">
        <v>204341447.71000001</v>
      </c>
      <c r="E63">
        <v>207515538.63</v>
      </c>
    </row>
    <row r="64" spans="4:5">
      <c r="D64">
        <v>214821664.81</v>
      </c>
      <c r="E64">
        <v>212414567.19999999</v>
      </c>
    </row>
    <row r="65" spans="4:38">
      <c r="D65">
        <v>186511597.34999999</v>
      </c>
      <c r="E65">
        <v>229724607.06999999</v>
      </c>
    </row>
    <row r="66" spans="4:38">
      <c r="D66">
        <v>192923633.22999999</v>
      </c>
      <c r="E66">
        <v>217467747.19</v>
      </c>
      <c r="L66" s="1873"/>
      <c r="M66" s="1873"/>
      <c r="N66" s="1873"/>
      <c r="O66" s="1873"/>
      <c r="P66" s="1873"/>
      <c r="Q66" s="1873"/>
      <c r="R66" s="1873"/>
      <c r="S66" s="1873"/>
      <c r="T66" s="1873"/>
      <c r="U66" s="1873"/>
      <c r="V66" s="1873"/>
      <c r="W66" s="1873"/>
      <c r="X66" s="1873"/>
      <c r="Y66" s="1873"/>
      <c r="Z66" s="1873"/>
      <c r="AA66" s="1873"/>
      <c r="AB66" s="1873"/>
      <c r="AC66" s="1873"/>
      <c r="AD66" s="1873"/>
      <c r="AE66" s="1873"/>
      <c r="AF66" s="1873"/>
      <c r="AG66" s="1873"/>
      <c r="AH66" s="1873"/>
      <c r="AI66" s="1873"/>
      <c r="AJ66" s="1873"/>
      <c r="AK66" s="1873"/>
      <c r="AL66" s="1873"/>
    </row>
    <row r="67" spans="4:38">
      <c r="D67">
        <v>204231555.78999999</v>
      </c>
      <c r="E67">
        <v>206745333.25999999</v>
      </c>
    </row>
    <row r="68" spans="4:38">
      <c r="D68">
        <v>193816122.09</v>
      </c>
      <c r="E68">
        <v>216767207.84</v>
      </c>
      <c r="L68" s="1873"/>
      <c r="M68" s="1873"/>
      <c r="N68" s="1873"/>
      <c r="O68" s="1873"/>
      <c r="P68" s="1873"/>
      <c r="Q68" s="1873"/>
      <c r="R68" s="1873"/>
      <c r="S68" s="1873"/>
      <c r="T68" s="1873"/>
      <c r="U68" s="1873"/>
      <c r="V68" s="1873"/>
      <c r="W68" s="1873"/>
      <c r="X68" s="1873"/>
      <c r="Y68" s="1873"/>
      <c r="Z68" s="1873"/>
      <c r="AA68" s="1873"/>
      <c r="AB68" s="1873"/>
      <c r="AC68" s="1873"/>
      <c r="AD68" s="1873"/>
      <c r="AE68" s="1873"/>
      <c r="AF68" s="1873"/>
      <c r="AG68" s="1873"/>
      <c r="AH68" s="1873"/>
      <c r="AI68" s="1873"/>
      <c r="AJ68" s="1873"/>
      <c r="AK68" s="1873"/>
      <c r="AL68" s="1873"/>
    </row>
    <row r="69" spans="4:38">
      <c r="D69">
        <v>193635667.41</v>
      </c>
      <c r="E69">
        <v>225285613.19999999</v>
      </c>
    </row>
    <row r="70" spans="4:38">
      <c r="D70">
        <v>203308876.36000001</v>
      </c>
      <c r="E70">
        <v>232313053.53999999</v>
      </c>
    </row>
    <row r="71" spans="4:38">
      <c r="D71">
        <v>213171932.91999999</v>
      </c>
      <c r="E71">
        <v>226940279.91</v>
      </c>
    </row>
    <row r="72" spans="4:38">
      <c r="D72">
        <v>199140085.12</v>
      </c>
      <c r="E72">
        <v>235129774.91999999</v>
      </c>
    </row>
    <row r="73" spans="4:38">
      <c r="D73">
        <v>211941344.53</v>
      </c>
      <c r="E73">
        <v>220379130.94999999</v>
      </c>
    </row>
    <row r="74" spans="4:38">
      <c r="D74">
        <v>212935226.66</v>
      </c>
      <c r="E74">
        <v>235341200.90000001</v>
      </c>
    </row>
    <row r="75" spans="4:38">
      <c r="D75">
        <v>193839460.72999999</v>
      </c>
      <c r="E75">
        <v>262338286.78999999</v>
      </c>
    </row>
    <row r="76" spans="4:38">
      <c r="D76">
        <v>202858383.31999999</v>
      </c>
      <c r="E76">
        <v>255707314.03</v>
      </c>
    </row>
    <row r="77" spans="4:38">
      <c r="D77">
        <v>189736811.88</v>
      </c>
      <c r="E77">
        <v>261569669.25</v>
      </c>
    </row>
    <row r="78" spans="4:38">
      <c r="D78">
        <v>202370618.84</v>
      </c>
      <c r="E78">
        <v>266761487.63999999</v>
      </c>
    </row>
    <row r="79" spans="4:38">
      <c r="D79">
        <v>203791744.06</v>
      </c>
      <c r="E79">
        <v>263889352.16</v>
      </c>
    </row>
    <row r="80" spans="4:38">
      <c r="D80">
        <v>198706159.02000001</v>
      </c>
      <c r="E80">
        <v>234879893.56</v>
      </c>
    </row>
    <row r="81" spans="4:38">
      <c r="D81">
        <v>183416326.59</v>
      </c>
      <c r="E81">
        <v>249607975.53999999</v>
      </c>
    </row>
    <row r="82" spans="4:38">
      <c r="D82">
        <v>185889662.65000001</v>
      </c>
      <c r="E82">
        <v>257575836.05000001</v>
      </c>
    </row>
    <row r="83" spans="4:38">
      <c r="D83">
        <v>195000814.34</v>
      </c>
      <c r="E83">
        <v>257959813.66999999</v>
      </c>
    </row>
    <row r="84" spans="4:38">
      <c r="D84">
        <v>194764147.38</v>
      </c>
      <c r="E84">
        <v>228816022.61000001</v>
      </c>
    </row>
    <row r="85" spans="4:38">
      <c r="D85">
        <v>189558866.62</v>
      </c>
      <c r="E85">
        <v>253707102.33000001</v>
      </c>
    </row>
    <row r="86" spans="4:38">
      <c r="D86">
        <v>190174390.63</v>
      </c>
      <c r="E86">
        <v>268365067.09</v>
      </c>
    </row>
    <row r="87" spans="4:38">
      <c r="D87">
        <v>192862678.44999999</v>
      </c>
      <c r="E87">
        <v>254490676.46000001</v>
      </c>
    </row>
    <row r="88" spans="4:38">
      <c r="D88">
        <v>192654342.11000001</v>
      </c>
      <c r="E88">
        <v>261117824.41</v>
      </c>
    </row>
    <row r="89" spans="4:38">
      <c r="D89">
        <v>181280423.19</v>
      </c>
      <c r="E89">
        <v>226536124.97</v>
      </c>
    </row>
    <row r="90" spans="4:38">
      <c r="D90">
        <v>187167758.84</v>
      </c>
      <c r="E90">
        <v>214116040.69</v>
      </c>
    </row>
    <row r="91" spans="4:38">
      <c r="D91">
        <v>195863589.15000001</v>
      </c>
      <c r="E91">
        <v>241891585.25</v>
      </c>
    </row>
    <row r="92" spans="4:38">
      <c r="D92">
        <v>194404553.53999999</v>
      </c>
      <c r="E92">
        <v>254654458.36000001</v>
      </c>
      <c r="L92" s="1873"/>
      <c r="M92" s="1873"/>
      <c r="N92" s="1873"/>
      <c r="O92" s="1873"/>
      <c r="P92" s="1873"/>
      <c r="Q92" s="1873"/>
      <c r="R92" s="1873"/>
      <c r="S92" s="1873"/>
      <c r="T92" s="1873"/>
      <c r="U92" s="1873"/>
      <c r="V92" s="1873"/>
      <c r="W92" s="1873"/>
      <c r="X92" s="1873"/>
      <c r="Y92" s="1873"/>
      <c r="Z92" s="1873"/>
      <c r="AA92" s="1873"/>
      <c r="AB92" s="1873"/>
      <c r="AC92" s="1873"/>
      <c r="AD92" s="1873"/>
      <c r="AE92" s="1873"/>
      <c r="AF92" s="1873"/>
      <c r="AG92" s="1873"/>
      <c r="AH92" s="1873"/>
      <c r="AI92" s="1873"/>
      <c r="AJ92" s="1873"/>
      <c r="AK92" s="1873"/>
      <c r="AL92" s="1873"/>
    </row>
    <row r="93" spans="4:38">
      <c r="D93">
        <v>194230995.88999999</v>
      </c>
      <c r="E93">
        <v>259283566.15000001</v>
      </c>
    </row>
    <row r="94" spans="4:38">
      <c r="D94">
        <v>198236903.53999999</v>
      </c>
      <c r="E94">
        <v>222281308.91999999</v>
      </c>
      <c r="L94" s="1873"/>
      <c r="M94" s="1873"/>
      <c r="N94" s="1873"/>
      <c r="O94" s="1873"/>
      <c r="P94" s="1873"/>
      <c r="Q94" s="1873"/>
      <c r="R94" s="1873"/>
      <c r="S94" s="1873"/>
      <c r="T94" s="1873"/>
      <c r="U94" s="1873"/>
      <c r="V94" s="1873"/>
      <c r="W94" s="1873"/>
      <c r="X94" s="1873"/>
      <c r="Y94" s="1873"/>
      <c r="Z94" s="1873"/>
      <c r="AA94" s="1873"/>
      <c r="AB94" s="1873"/>
      <c r="AC94" s="1873"/>
      <c r="AD94" s="1873"/>
      <c r="AE94" s="1873"/>
      <c r="AF94" s="1873"/>
      <c r="AG94" s="1873"/>
      <c r="AH94" s="1873"/>
      <c r="AI94" s="1873"/>
      <c r="AJ94" s="1873"/>
      <c r="AK94" s="1873"/>
      <c r="AL94" s="1873"/>
    </row>
    <row r="95" spans="4:38">
      <c r="D95">
        <v>194529939.84999999</v>
      </c>
      <c r="E95">
        <v>253340896.44</v>
      </c>
    </row>
    <row r="96" spans="4:38">
      <c r="D96">
        <v>193099255.25</v>
      </c>
      <c r="E96">
        <v>275268211.87</v>
      </c>
    </row>
    <row r="97" spans="4:5">
      <c r="D97">
        <v>181981846.19999999</v>
      </c>
      <c r="E97">
        <v>276845439.48000002</v>
      </c>
    </row>
    <row r="98" spans="4:5">
      <c r="D98">
        <v>151451339.19</v>
      </c>
      <c r="E98">
        <v>272128792.87</v>
      </c>
    </row>
    <row r="99" spans="4:5">
      <c r="D99">
        <v>182472471.31</v>
      </c>
      <c r="E99">
        <v>273790467.69999999</v>
      </c>
    </row>
    <row r="100" spans="4:5">
      <c r="D100">
        <v>199344402.31999999</v>
      </c>
      <c r="E100">
        <v>277076740.14999998</v>
      </c>
    </row>
    <row r="101" spans="4:5">
      <c r="D101">
        <v>168566847.84999999</v>
      </c>
      <c r="E101">
        <v>261987511.63999999</v>
      </c>
    </row>
    <row r="102" spans="4:5">
      <c r="D102">
        <v>160837321.25999999</v>
      </c>
      <c r="E102">
        <v>213480882.38</v>
      </c>
    </row>
    <row r="103" spans="4:5">
      <c r="D103">
        <v>161412276.65000001</v>
      </c>
      <c r="E103">
        <v>250013802.97</v>
      </c>
    </row>
    <row r="104" spans="4:5">
      <c r="D104">
        <v>165239713.69999999</v>
      </c>
      <c r="E104">
        <v>263302680.06999999</v>
      </c>
    </row>
    <row r="105" spans="4:5">
      <c r="D105">
        <v>163156991.36000001</v>
      </c>
      <c r="E105">
        <v>273264476.67000002</v>
      </c>
    </row>
    <row r="106" spans="4:5">
      <c r="D106">
        <v>158174846.99000001</v>
      </c>
      <c r="E106">
        <v>267872102.94999999</v>
      </c>
    </row>
    <row r="107" spans="4:5">
      <c r="D107">
        <v>148702491.52000001</v>
      </c>
      <c r="E107">
        <v>244331848.68000001</v>
      </c>
    </row>
    <row r="108" spans="4:5">
      <c r="D108">
        <v>154088275.90000001</v>
      </c>
      <c r="E108">
        <v>242642393.53</v>
      </c>
    </row>
    <row r="109" spans="4:5">
      <c r="D109">
        <v>153339591.36000001</v>
      </c>
      <c r="E109">
        <v>254641240.81999999</v>
      </c>
    </row>
    <row r="110" spans="4:5">
      <c r="D110">
        <v>137670812.22</v>
      </c>
      <c r="E110">
        <v>278971461.23000002</v>
      </c>
    </row>
    <row r="111" spans="4:5">
      <c r="D111">
        <v>147381338.37</v>
      </c>
      <c r="E111">
        <v>288817413.16000003</v>
      </c>
    </row>
    <row r="112" spans="4:5">
      <c r="D112">
        <v>145816815.18000001</v>
      </c>
      <c r="E112">
        <v>296654800.41000003</v>
      </c>
    </row>
    <row r="113" spans="4:5">
      <c r="D113">
        <v>158764486.28</v>
      </c>
      <c r="E113">
        <v>292940915.13</v>
      </c>
    </row>
    <row r="114" spans="4:5">
      <c r="D114">
        <v>155753725.53</v>
      </c>
      <c r="E114">
        <v>276764376.88</v>
      </c>
    </row>
    <row r="115" spans="4:5">
      <c r="D115">
        <v>161424391.38</v>
      </c>
      <c r="E115">
        <v>273423035.25999999</v>
      </c>
    </row>
    <row r="116" spans="4:5">
      <c r="D116">
        <v>167932770.69</v>
      </c>
      <c r="E116">
        <v>241585235.19999999</v>
      </c>
    </row>
    <row r="117" spans="4:5">
      <c r="D117">
        <v>154930925.36000001</v>
      </c>
      <c r="E117">
        <v>266773556.75999999</v>
      </c>
    </row>
    <row r="118" spans="4:5">
      <c r="D118">
        <v>158935830.63999999</v>
      </c>
      <c r="E118">
        <v>253577954.46000001</v>
      </c>
    </row>
    <row r="119" spans="4:5">
      <c r="D119">
        <v>171839959.06</v>
      </c>
      <c r="E119">
        <v>228645688.31999999</v>
      </c>
    </row>
    <row r="120" spans="4:5">
      <c r="D120">
        <v>193213866.63</v>
      </c>
      <c r="E120">
        <v>240522339.28</v>
      </c>
    </row>
    <row r="121" spans="4:5">
      <c r="D121">
        <v>191570813.62</v>
      </c>
      <c r="E121">
        <v>246934234.91999999</v>
      </c>
    </row>
    <row r="122" spans="4:5">
      <c r="D122">
        <v>164689879.90000001</v>
      </c>
      <c r="E122">
        <v>240206745.33000001</v>
      </c>
    </row>
    <row r="123" spans="4:5">
      <c r="D123">
        <v>170966550.13</v>
      </c>
      <c r="E123">
        <v>250558823.41999999</v>
      </c>
    </row>
    <row r="124" spans="4:5">
      <c r="D124">
        <v>169551352.13999999</v>
      </c>
      <c r="E124">
        <v>247423057.13999999</v>
      </c>
    </row>
    <row r="125" spans="4:5">
      <c r="D125">
        <v>195524764.15000001</v>
      </c>
      <c r="E125">
        <v>245841365.68000001</v>
      </c>
    </row>
    <row r="126" spans="4:5">
      <c r="D126">
        <v>214813844.75999999</v>
      </c>
      <c r="E126">
        <v>208500616.71000001</v>
      </c>
    </row>
    <row r="127" spans="4:5">
      <c r="D127">
        <v>209118731.91</v>
      </c>
      <c r="E127">
        <v>201979843.41999999</v>
      </c>
    </row>
    <row r="128" spans="4:5">
      <c r="D128">
        <v>233067203.44999999</v>
      </c>
      <c r="E128">
        <v>193008349.11000001</v>
      </c>
    </row>
    <row r="129" spans="4:5">
      <c r="D129">
        <v>223808753.28999999</v>
      </c>
      <c r="E129">
        <v>191654216.41</v>
      </c>
    </row>
    <row r="130" spans="4:5">
      <c r="D130">
        <v>216590805.59999999</v>
      </c>
      <c r="E130">
        <v>190174056.81999999</v>
      </c>
    </row>
    <row r="131" spans="4:5">
      <c r="D131">
        <v>204269237</v>
      </c>
      <c r="E131">
        <v>210344339.09999999</v>
      </c>
    </row>
    <row r="132" spans="4:5">
      <c r="D132">
        <v>219185161.84</v>
      </c>
      <c r="E132">
        <v>239385694.59</v>
      </c>
    </row>
    <row r="133" spans="4:5">
      <c r="D133">
        <v>224373821.19999999</v>
      </c>
      <c r="E133">
        <v>243666588.03</v>
      </c>
    </row>
    <row r="134" spans="4:5">
      <c r="D134">
        <v>250884176.09</v>
      </c>
      <c r="E134">
        <v>259051039.94999999</v>
      </c>
    </row>
    <row r="135" spans="4:5">
      <c r="D135">
        <v>234173078.66999999</v>
      </c>
      <c r="E135">
        <v>267461647.47</v>
      </c>
    </row>
    <row r="136" spans="4:5">
      <c r="D136">
        <v>167608322.36000001</v>
      </c>
      <c r="E136">
        <v>255482440.31</v>
      </c>
    </row>
    <row r="137" spans="4:5">
      <c r="D137">
        <v>114691765.95</v>
      </c>
      <c r="E137">
        <v>274938313.23000002</v>
      </c>
    </row>
    <row r="138" spans="4:5">
      <c r="D138">
        <v>168190013.71000001</v>
      </c>
      <c r="E138">
        <v>292528209.19999999</v>
      </c>
    </row>
    <row r="139" spans="4:5">
      <c r="D139">
        <v>200764418</v>
      </c>
      <c r="E139">
        <v>279683334.76999998</v>
      </c>
    </row>
    <row r="140" spans="4:5">
      <c r="D140">
        <v>197049594.15000001</v>
      </c>
      <c r="E140">
        <v>242142545.94999999</v>
      </c>
    </row>
    <row r="141" spans="4:5">
      <c r="D141">
        <v>171342009.52000001</v>
      </c>
      <c r="E141">
        <v>235039047.69999999</v>
      </c>
    </row>
    <row r="142" spans="4:5">
      <c r="D142">
        <v>168319045.56</v>
      </c>
      <c r="E142">
        <v>240886994.36000001</v>
      </c>
    </row>
    <row r="143" spans="4:5">
      <c r="D143">
        <v>123069879.28</v>
      </c>
      <c r="E143">
        <v>243485702.75999999</v>
      </c>
    </row>
    <row r="144" spans="4:5">
      <c r="D144">
        <v>151613909.91999999</v>
      </c>
      <c r="E144">
        <v>269580775.83999997</v>
      </c>
    </row>
    <row r="145" spans="4:5">
      <c r="D145">
        <v>172303313.59999999</v>
      </c>
      <c r="E145">
        <v>285350073.04000002</v>
      </c>
    </row>
    <row r="146" spans="4:5">
      <c r="D146">
        <v>183180954.40000001</v>
      </c>
      <c r="E146">
        <v>260294446.75</v>
      </c>
    </row>
    <row r="147" spans="4:5">
      <c r="D147">
        <v>204511497.25999999</v>
      </c>
      <c r="E147">
        <v>235945789.72999999</v>
      </c>
    </row>
    <row r="148" spans="4:5">
      <c r="D148">
        <v>208815641.66</v>
      </c>
      <c r="E148">
        <v>254877236.19999999</v>
      </c>
    </row>
    <row r="149" spans="4:5">
      <c r="D149">
        <v>218891866.66</v>
      </c>
      <c r="E149">
        <v>270936764.38</v>
      </c>
    </row>
    <row r="150" spans="4:5">
      <c r="D150">
        <v>221988536.63999999</v>
      </c>
      <c r="E150">
        <v>259295983.24000001</v>
      </c>
    </row>
    <row r="151" spans="4:5">
      <c r="D151">
        <v>211265742.03</v>
      </c>
      <c r="E151">
        <v>246764084.41999999</v>
      </c>
    </row>
    <row r="152" spans="4:5">
      <c r="D152">
        <v>195208133.31999999</v>
      </c>
      <c r="E152">
        <v>247104924.84999999</v>
      </c>
    </row>
    <row r="153" spans="4:5">
      <c r="D153">
        <v>218626800.31999999</v>
      </c>
      <c r="E153">
        <v>241511625.5</v>
      </c>
    </row>
    <row r="154" spans="4:5">
      <c r="D154">
        <v>236587305.03999999</v>
      </c>
      <c r="E154">
        <v>248544227.13</v>
      </c>
    </row>
    <row r="155" spans="4:5">
      <c r="D155">
        <v>236846447.43000001</v>
      </c>
      <c r="E155">
        <v>262379431.34999999</v>
      </c>
    </row>
    <row r="156" spans="4:5">
      <c r="D156">
        <v>248104629.87</v>
      </c>
      <c r="E156">
        <v>271681773.91000003</v>
      </c>
    </row>
    <row r="157" spans="4:5">
      <c r="D157">
        <v>241818390.75</v>
      </c>
      <c r="E157">
        <v>241801248.59999999</v>
      </c>
    </row>
    <row r="158" spans="4:5">
      <c r="D158">
        <v>240135084.34</v>
      </c>
      <c r="E158">
        <v>253187862.22999999</v>
      </c>
    </row>
    <row r="159" spans="4:5">
      <c r="D159">
        <v>211706053.05000001</v>
      </c>
      <c r="E159">
        <v>268118033.02000001</v>
      </c>
    </row>
    <row r="160" spans="4:5">
      <c r="D160">
        <v>216405130.81999999</v>
      </c>
      <c r="E160">
        <v>274870769.06999999</v>
      </c>
    </row>
    <row r="161" spans="4:5">
      <c r="D161">
        <v>233359174.75</v>
      </c>
      <c r="E161">
        <v>268973759.73000002</v>
      </c>
    </row>
    <row r="162" spans="4:5">
      <c r="D162">
        <v>241171623.84</v>
      </c>
      <c r="E162">
        <v>249621028.84</v>
      </c>
    </row>
    <row r="163" spans="4:5">
      <c r="D163">
        <v>237726424.71000001</v>
      </c>
      <c r="E163">
        <v>244500681.69</v>
      </c>
    </row>
    <row r="164" spans="4:5">
      <c r="D164">
        <v>225924592.59999999</v>
      </c>
      <c r="E164">
        <v>214283631.02000001</v>
      </c>
    </row>
    <row r="165" spans="4:5">
      <c r="D165">
        <v>214551579.43000001</v>
      </c>
      <c r="E165">
        <v>217971086.72999999</v>
      </c>
    </row>
    <row r="166" spans="4:5">
      <c r="D166">
        <v>207157094.66</v>
      </c>
      <c r="E166">
        <v>229012991.13</v>
      </c>
    </row>
    <row r="167" spans="4:5">
      <c r="D167">
        <v>223411373.28</v>
      </c>
      <c r="E167">
        <v>246297983.55000001</v>
      </c>
    </row>
    <row r="168" spans="4:5">
      <c r="D168">
        <v>230248484.59999999</v>
      </c>
      <c r="E168">
        <v>249665992.33000001</v>
      </c>
    </row>
    <row r="169" spans="4:5">
      <c r="D169">
        <v>232614175.66999999</v>
      </c>
      <c r="E169">
        <v>261158213.30000001</v>
      </c>
    </row>
    <row r="170" spans="4:5">
      <c r="D170">
        <v>243021871.41</v>
      </c>
      <c r="E170">
        <v>266656550.03999999</v>
      </c>
    </row>
    <row r="171" spans="4:5">
      <c r="D171">
        <v>249221697.38</v>
      </c>
      <c r="E171">
        <v>251700792.87</v>
      </c>
    </row>
    <row r="172" spans="4:5">
      <c r="D172">
        <v>245250255.40000001</v>
      </c>
      <c r="E172">
        <v>261725074.72999999</v>
      </c>
    </row>
    <row r="173" spans="4:5">
      <c r="D173">
        <v>219863973.06999999</v>
      </c>
      <c r="E173">
        <v>272915979.33999997</v>
      </c>
    </row>
    <row r="174" spans="4:5">
      <c r="D174">
        <v>219610466.58000001</v>
      </c>
      <c r="E174">
        <v>270100578.63999999</v>
      </c>
    </row>
    <row r="175" spans="4:5">
      <c r="D175">
        <v>237307132.46000001</v>
      </c>
      <c r="E175">
        <v>249196698.62</v>
      </c>
    </row>
    <row r="176" spans="4:5">
      <c r="D176">
        <v>231265139.46000001</v>
      </c>
      <c r="E176">
        <v>239018493.78999999</v>
      </c>
    </row>
    <row r="177" spans="4:5">
      <c r="D177">
        <v>240443120.81999999</v>
      </c>
      <c r="E177">
        <v>211090047.44</v>
      </c>
    </row>
    <row r="178" spans="4:5">
      <c r="D178">
        <v>253695702.13999999</v>
      </c>
      <c r="E178">
        <v>197525294.59999999</v>
      </c>
    </row>
    <row r="179" spans="4:5">
      <c r="D179">
        <v>256124062.37</v>
      </c>
      <c r="E179">
        <v>226523222.15000001</v>
      </c>
    </row>
    <row r="180" spans="4:5">
      <c r="D180">
        <v>233652393.88999999</v>
      </c>
      <c r="E180">
        <v>238288544.41</v>
      </c>
    </row>
    <row r="181" spans="4:5">
      <c r="D181">
        <v>245452577.81999999</v>
      </c>
      <c r="E181">
        <v>251493371.61000001</v>
      </c>
    </row>
    <row r="182" spans="4:5">
      <c r="D182">
        <v>244190312.81999999</v>
      </c>
      <c r="E182">
        <v>257526281.25</v>
      </c>
    </row>
    <row r="183" spans="4:5">
      <c r="D183">
        <v>238792380.96000001</v>
      </c>
      <c r="E183">
        <v>252652905.86000001</v>
      </c>
    </row>
    <row r="184" spans="4:5">
      <c r="D184">
        <v>244922087.06999999</v>
      </c>
      <c r="E184">
        <v>251430531.43000001</v>
      </c>
    </row>
    <row r="185" spans="4:5">
      <c r="D185">
        <v>254162027.96000001</v>
      </c>
      <c r="E185">
        <v>247829540.68000001</v>
      </c>
    </row>
    <row r="186" spans="4:5">
      <c r="D186">
        <v>249406614</v>
      </c>
      <c r="E186">
        <v>263771762.34</v>
      </c>
    </row>
    <row r="187" spans="4:5">
      <c r="D187">
        <v>221925632.19</v>
      </c>
      <c r="E187">
        <v>272880186.47000003</v>
      </c>
    </row>
    <row r="188" spans="4:5">
      <c r="D188">
        <v>223676778.09999999</v>
      </c>
      <c r="E188">
        <v>279646262.54000002</v>
      </c>
    </row>
    <row r="189" spans="4:5">
      <c r="D189">
        <v>227470129.44999999</v>
      </c>
      <c r="E189">
        <v>273692248</v>
      </c>
    </row>
    <row r="190" spans="4:5">
      <c r="D190">
        <v>234722301.41999999</v>
      </c>
      <c r="E190">
        <v>276834757.86000001</v>
      </c>
    </row>
    <row r="191" spans="4:5">
      <c r="D191">
        <v>243873883.40000001</v>
      </c>
      <c r="E191">
        <v>287510568.38</v>
      </c>
    </row>
    <row r="192" spans="4:5">
      <c r="D192">
        <v>247314450.36000001</v>
      </c>
      <c r="E192">
        <v>274388694.91000003</v>
      </c>
    </row>
    <row r="193" spans="4:5">
      <c r="D193">
        <v>252358930.19</v>
      </c>
      <c r="E193">
        <v>274991761.36000001</v>
      </c>
    </row>
    <row r="194" spans="4:5">
      <c r="D194">
        <v>232270832.88999999</v>
      </c>
      <c r="E194">
        <v>274611971.70999998</v>
      </c>
    </row>
    <row r="195" spans="4:5">
      <c r="D195">
        <v>251514146.84999999</v>
      </c>
      <c r="E195">
        <v>260334063.52000001</v>
      </c>
    </row>
    <row r="196" spans="4:5">
      <c r="D196">
        <v>248167038.15000001</v>
      </c>
      <c r="E196">
        <v>225749817.08000001</v>
      </c>
    </row>
    <row r="197" spans="4:5">
      <c r="D197">
        <v>229326603.87</v>
      </c>
      <c r="E197">
        <v>215597084.88</v>
      </c>
    </row>
    <row r="198" spans="4:5">
      <c r="D198">
        <v>221078994.34</v>
      </c>
      <c r="E198">
        <v>231367958.66</v>
      </c>
    </row>
    <row r="199" spans="4:5">
      <c r="D199">
        <v>227704619.31</v>
      </c>
      <c r="E199">
        <v>215406631.12</v>
      </c>
    </row>
    <row r="200" spans="4:5">
      <c r="D200">
        <v>236817928.65000001</v>
      </c>
      <c r="E200">
        <v>210423361.77000001</v>
      </c>
    </row>
    <row r="201" spans="4:5">
      <c r="D201">
        <v>223282271.88999999</v>
      </c>
      <c r="E201">
        <v>225499765.56</v>
      </c>
    </row>
    <row r="202" spans="4:5">
      <c r="D202">
        <v>238092184.15000001</v>
      </c>
      <c r="E202">
        <v>235461460.02000001</v>
      </c>
    </row>
    <row r="203" spans="4:5">
      <c r="D203">
        <v>263534734.13999999</v>
      </c>
      <c r="E203">
        <v>226380223.34</v>
      </c>
    </row>
    <row r="204" spans="4:5">
      <c r="D204">
        <v>250137198.47999999</v>
      </c>
      <c r="E204">
        <v>212074024.62</v>
      </c>
    </row>
    <row r="205" spans="4:5">
      <c r="D205">
        <v>245972615.22999999</v>
      </c>
      <c r="E205">
        <v>192303681.00999999</v>
      </c>
    </row>
    <row r="206" spans="4:5">
      <c r="D206">
        <v>236481478.06</v>
      </c>
      <c r="E206">
        <v>198755187.59</v>
      </c>
    </row>
    <row r="207" spans="4:5">
      <c r="D207">
        <v>233326585.22</v>
      </c>
      <c r="E207">
        <v>211260340.25</v>
      </c>
    </row>
    <row r="208" spans="4:5">
      <c r="D208">
        <v>215792649.13999999</v>
      </c>
      <c r="E208">
        <v>236180577.44</v>
      </c>
    </row>
    <row r="209" spans="4:5">
      <c r="D209">
        <v>208461091.61000001</v>
      </c>
      <c r="E209">
        <v>245761634.58000001</v>
      </c>
    </row>
    <row r="210" spans="4:5">
      <c r="D210">
        <v>222449010.94</v>
      </c>
      <c r="E210">
        <v>253657989.69999999</v>
      </c>
    </row>
    <row r="211" spans="4:5">
      <c r="D211">
        <v>236725109.36000001</v>
      </c>
      <c r="E211">
        <v>252114258.13</v>
      </c>
    </row>
    <row r="212" spans="4:5">
      <c r="D212">
        <v>227473736.16999999</v>
      </c>
      <c r="E212">
        <v>266668798.94999999</v>
      </c>
    </row>
    <row r="213" spans="4:5">
      <c r="D213">
        <v>218501223</v>
      </c>
      <c r="E213">
        <v>255124983.16999999</v>
      </c>
    </row>
    <row r="214" spans="4:5">
      <c r="D214">
        <v>231157649.62</v>
      </c>
      <c r="E214">
        <v>255045136.58000001</v>
      </c>
    </row>
    <row r="215" spans="4:5">
      <c r="D215">
        <v>228919524.21000001</v>
      </c>
      <c r="E215">
        <v>257529173.47</v>
      </c>
    </row>
    <row r="216" spans="4:5">
      <c r="D216">
        <v>246779074.31</v>
      </c>
      <c r="E216">
        <v>265481147.93000001</v>
      </c>
    </row>
    <row r="217" spans="4:5">
      <c r="D217">
        <v>255802022</v>
      </c>
      <c r="E217">
        <v>281713621.83999997</v>
      </c>
    </row>
    <row r="218" spans="4:5">
      <c r="D218">
        <v>258583949.59</v>
      </c>
      <c r="E218">
        <v>274879016.11000001</v>
      </c>
    </row>
    <row r="219" spans="4:5">
      <c r="D219">
        <v>258556005.44</v>
      </c>
      <c r="E219">
        <v>275619501.38</v>
      </c>
    </row>
    <row r="220" spans="4:5">
      <c r="D220">
        <v>260154481.91999999</v>
      </c>
      <c r="E220">
        <v>245772568.13999999</v>
      </c>
    </row>
    <row r="221" spans="4:5">
      <c r="D221">
        <v>264267048.75</v>
      </c>
      <c r="E221">
        <v>265692496.68000001</v>
      </c>
    </row>
    <row r="222" spans="4:5">
      <c r="D222">
        <v>250849706.13</v>
      </c>
      <c r="E222">
        <v>261746323.50999999</v>
      </c>
    </row>
    <row r="223" spans="4:5">
      <c r="D223">
        <v>222747993.19999999</v>
      </c>
      <c r="E223">
        <v>274660031.64999998</v>
      </c>
    </row>
    <row r="224" spans="4:5">
      <c r="D224">
        <v>233959041.34999999</v>
      </c>
      <c r="E224">
        <v>269461641.86000001</v>
      </c>
    </row>
    <row r="225" spans="4:5">
      <c r="D225">
        <v>242348813.58000001</v>
      </c>
      <c r="E225">
        <v>258705630.19</v>
      </c>
    </row>
    <row r="226" spans="4:5">
      <c r="D226">
        <v>244487397.63999999</v>
      </c>
      <c r="E226">
        <v>263858682.97</v>
      </c>
    </row>
    <row r="227" spans="4:5">
      <c r="D227">
        <v>243095253.96000001</v>
      </c>
      <c r="E227">
        <v>242355458.63</v>
      </c>
    </row>
    <row r="228" spans="4:5">
      <c r="D228">
        <v>231190170.24000001</v>
      </c>
      <c r="E228">
        <v>259191542.09999999</v>
      </c>
    </row>
    <row r="229" spans="4:5">
      <c r="D229">
        <v>211241804.52000001</v>
      </c>
      <c r="E229">
        <v>276748849.97000003</v>
      </c>
    </row>
    <row r="230" spans="4:5">
      <c r="D230">
        <v>225947106.22</v>
      </c>
      <c r="E230">
        <v>279620459.76999998</v>
      </c>
    </row>
    <row r="231" spans="4:5">
      <c r="D231">
        <v>239543953.16999999</v>
      </c>
      <c r="E231">
        <v>271100305.61000001</v>
      </c>
    </row>
    <row r="232" spans="4:5">
      <c r="D232">
        <v>249264755.81999999</v>
      </c>
      <c r="E232">
        <v>273198949.63999999</v>
      </c>
    </row>
    <row r="233" spans="4:5">
      <c r="D233">
        <v>247808298.55000001</v>
      </c>
      <c r="E233">
        <v>266417735.65000001</v>
      </c>
    </row>
    <row r="234" spans="4:5">
      <c r="D234">
        <v>239020053.18000001</v>
      </c>
      <c r="E234">
        <v>247593647.56</v>
      </c>
    </row>
    <row r="235" spans="4:5">
      <c r="D235">
        <v>240494301.99000001</v>
      </c>
      <c r="E235">
        <v>278981198.81999999</v>
      </c>
    </row>
    <row r="236" spans="4:5">
      <c r="D236">
        <v>227140247.22999999</v>
      </c>
      <c r="E236">
        <v>269677771.41000003</v>
      </c>
    </row>
    <row r="237" spans="4:5">
      <c r="D237">
        <v>242524036.58000001</v>
      </c>
      <c r="E237">
        <v>270522589.56</v>
      </c>
    </row>
    <row r="238" spans="4:5">
      <c r="D238">
        <v>254643138.86000001</v>
      </c>
      <c r="E238">
        <v>275890449.23000002</v>
      </c>
    </row>
    <row r="239" spans="4:5">
      <c r="D239">
        <v>267146504.09</v>
      </c>
      <c r="E239">
        <v>281071196.72000003</v>
      </c>
    </row>
    <row r="240" spans="4:5">
      <c r="D240">
        <v>241878617.13999999</v>
      </c>
      <c r="E240">
        <v>275339532.45999998</v>
      </c>
    </row>
    <row r="241" spans="4:5">
      <c r="D241">
        <v>249770687.62</v>
      </c>
      <c r="E241">
        <v>260257801.99000001</v>
      </c>
    </row>
    <row r="242" spans="4:5">
      <c r="D242">
        <v>261422978.5</v>
      </c>
      <c r="E242">
        <v>277071333.38</v>
      </c>
    </row>
    <row r="243" spans="4:5">
      <c r="D243">
        <v>251179081.81</v>
      </c>
      <c r="E243">
        <v>286130003.77999997</v>
      </c>
    </row>
    <row r="244" spans="4:5">
      <c r="D244">
        <v>264996935.81999999</v>
      </c>
      <c r="E244">
        <v>278831556.97000003</v>
      </c>
    </row>
    <row r="245" spans="4:5">
      <c r="D245">
        <v>267716393.06</v>
      </c>
      <c r="E245">
        <v>275813534.33999997</v>
      </c>
    </row>
    <row r="246" spans="4:5">
      <c r="D246">
        <v>251486136.53</v>
      </c>
      <c r="E246">
        <v>276060945.25999999</v>
      </c>
    </row>
    <row r="247" spans="4:5">
      <c r="D247">
        <v>250147236.94999999</v>
      </c>
      <c r="E247">
        <v>281590311.88</v>
      </c>
    </row>
    <row r="248" spans="4:5">
      <c r="D248">
        <v>258044067.5</v>
      </c>
      <c r="E248">
        <v>266766733.77000001</v>
      </c>
    </row>
    <row r="249" spans="4:5">
      <c r="D249">
        <v>249772834.43000001</v>
      </c>
      <c r="E249">
        <v>277680706.88</v>
      </c>
    </row>
    <row r="250" spans="4:5">
      <c r="D250">
        <v>232716035.13</v>
      </c>
      <c r="E250">
        <v>285595453.14999998</v>
      </c>
    </row>
    <row r="251" spans="4:5">
      <c r="D251">
        <v>247717139.28999999</v>
      </c>
      <c r="E251">
        <v>281154825.50999999</v>
      </c>
    </row>
    <row r="252" spans="4:5">
      <c r="D252">
        <v>260985091.25999999</v>
      </c>
      <c r="E252">
        <v>266095599.19</v>
      </c>
    </row>
    <row r="253" spans="4:5">
      <c r="D253">
        <v>258037061.47</v>
      </c>
      <c r="E253">
        <v>275399973.37</v>
      </c>
    </row>
    <row r="254" spans="4:5">
      <c r="D254">
        <v>257307012.09999999</v>
      </c>
      <c r="E254">
        <v>273778980.23000002</v>
      </c>
    </row>
    <row r="255" spans="4:5">
      <c r="D255">
        <v>253903581.78999999</v>
      </c>
      <c r="E255">
        <v>247930616.62</v>
      </c>
    </row>
    <row r="256" spans="4:5">
      <c r="D256">
        <v>251356079.16</v>
      </c>
      <c r="E256">
        <v>258032896.34</v>
      </c>
    </row>
    <row r="257" spans="4:5">
      <c r="D257">
        <v>233396791.31999999</v>
      </c>
      <c r="E257">
        <v>259979614.21000001</v>
      </c>
    </row>
    <row r="258" spans="4:5">
      <c r="D258">
        <v>256437561.31999999</v>
      </c>
      <c r="E258">
        <v>261762949.69</v>
      </c>
    </row>
    <row r="259" spans="4:5">
      <c r="D259">
        <v>266771870.72</v>
      </c>
      <c r="E259">
        <v>260390584.44</v>
      </c>
    </row>
    <row r="260" spans="4:5">
      <c r="D260">
        <v>252623448.80000001</v>
      </c>
      <c r="E260">
        <v>263675445.44999999</v>
      </c>
    </row>
    <row r="261" spans="4:5">
      <c r="D261">
        <v>241840689.41999999</v>
      </c>
      <c r="E261">
        <v>273304292.37</v>
      </c>
    </row>
    <row r="262" spans="4:5">
      <c r="D262">
        <v>237014727.11000001</v>
      </c>
      <c r="E262">
        <v>264513809.94999999</v>
      </c>
    </row>
    <row r="263" spans="4:5">
      <c r="D263">
        <v>232152725.16999999</v>
      </c>
      <c r="E263">
        <v>275520483.50999999</v>
      </c>
    </row>
    <row r="264" spans="4:5">
      <c r="D264">
        <v>212630307.74000001</v>
      </c>
      <c r="E264">
        <v>280786289.67000002</v>
      </c>
    </row>
    <row r="265" spans="4:5">
      <c r="D265">
        <v>222759933.34999999</v>
      </c>
      <c r="E265">
        <v>276366008.51999998</v>
      </c>
    </row>
    <row r="266" spans="4:5">
      <c r="D266">
        <v>230533471.91</v>
      </c>
      <c r="E266">
        <v>266588995.72999999</v>
      </c>
    </row>
    <row r="267" spans="4:5">
      <c r="D267">
        <v>242844843.21000001</v>
      </c>
      <c r="E267">
        <v>261447181</v>
      </c>
    </row>
    <row r="268" spans="4:5">
      <c r="D268">
        <v>253640962.74000001</v>
      </c>
      <c r="E268">
        <v>273126252.17000002</v>
      </c>
    </row>
    <row r="269" spans="4:5">
      <c r="D269">
        <v>262937445.59</v>
      </c>
      <c r="E269">
        <v>258856853.72</v>
      </c>
    </row>
    <row r="270" spans="4:5">
      <c r="D270">
        <v>254824530.38999999</v>
      </c>
      <c r="E270">
        <v>276079499.45999998</v>
      </c>
    </row>
    <row r="271" spans="4:5">
      <c r="D271">
        <v>231592055.50999999</v>
      </c>
      <c r="E271">
        <v>263206855.91999999</v>
      </c>
    </row>
    <row r="272" spans="4:5">
      <c r="D272">
        <v>243138582.63</v>
      </c>
      <c r="E272">
        <v>254879900.06999999</v>
      </c>
    </row>
    <row r="273" spans="4:5">
      <c r="D273">
        <v>258507696.28999999</v>
      </c>
      <c r="E273">
        <v>260348991.15000001</v>
      </c>
    </row>
    <row r="274" spans="4:5">
      <c r="D274">
        <v>254310859.93000001</v>
      </c>
      <c r="E274">
        <v>267469807.50999999</v>
      </c>
    </row>
    <row r="275" spans="4:5">
      <c r="D275">
        <v>246599821.47</v>
      </c>
      <c r="E275">
        <v>275098727.76999998</v>
      </c>
    </row>
    <row r="276" spans="4:5">
      <c r="D276">
        <v>244452753.90000001</v>
      </c>
      <c r="E276">
        <v>255629124.16999999</v>
      </c>
    </row>
    <row r="277" spans="4:5">
      <c r="D277">
        <v>251401036.31999999</v>
      </c>
      <c r="E277">
        <v>273623270.12</v>
      </c>
    </row>
    <row r="278" spans="4:5">
      <c r="D278">
        <v>246411709.80000001</v>
      </c>
      <c r="E278">
        <v>286196525.04000002</v>
      </c>
    </row>
    <row r="279" spans="4:5">
      <c r="D279">
        <v>255157286.44999999</v>
      </c>
      <c r="E279">
        <v>290078997.83999997</v>
      </c>
    </row>
    <row r="280" spans="4:5">
      <c r="D280">
        <v>269579665.31999999</v>
      </c>
      <c r="E280">
        <v>291633316.26999998</v>
      </c>
    </row>
    <row r="281" spans="4:5">
      <c r="D281">
        <v>264809738.74000001</v>
      </c>
      <c r="E281">
        <v>288277313.57999998</v>
      </c>
    </row>
    <row r="282" spans="4:5">
      <c r="D282">
        <v>266343278.18000001</v>
      </c>
      <c r="E282">
        <v>287717397.22000003</v>
      </c>
    </row>
    <row r="283" spans="4:5">
      <c r="D283">
        <v>266254266.59999999</v>
      </c>
      <c r="E283">
        <v>265532690.13</v>
      </c>
    </row>
    <row r="284" spans="4:5">
      <c r="D284">
        <v>265897492.53999999</v>
      </c>
      <c r="E284">
        <v>264131442.94</v>
      </c>
    </row>
    <row r="285" spans="4:5">
      <c r="D285">
        <v>250109224.47</v>
      </c>
      <c r="E285">
        <v>268163223.88</v>
      </c>
    </row>
    <row r="286" spans="4:5">
      <c r="D286">
        <v>257010437.87</v>
      </c>
      <c r="E286">
        <v>247080906.34999999</v>
      </c>
    </row>
    <row r="287" spans="4:5">
      <c r="D287">
        <v>257273366.33000001</v>
      </c>
      <c r="E287">
        <v>229440500.49000001</v>
      </c>
    </row>
    <row r="288" spans="4:5">
      <c r="D288">
        <v>261665490.75</v>
      </c>
      <c r="E288">
        <v>223844719.68000001</v>
      </c>
    </row>
    <row r="289" spans="4:5">
      <c r="D289">
        <v>263322464.81</v>
      </c>
      <c r="E289">
        <v>246139822.84999999</v>
      </c>
    </row>
    <row r="290" spans="4:5">
      <c r="D290">
        <v>254112443.00999999</v>
      </c>
      <c r="E290">
        <v>218855948.13999999</v>
      </c>
    </row>
    <row r="291" spans="4:5">
      <c r="D291">
        <v>219075355.80000001</v>
      </c>
      <c r="E291">
        <v>217084973.72999999</v>
      </c>
    </row>
    <row r="292" spans="4:5">
      <c r="D292">
        <v>171337492.72999999</v>
      </c>
      <c r="E292">
        <v>230414822.63</v>
      </c>
    </row>
    <row r="293" spans="4:5">
      <c r="D293">
        <v>180995581.72999999</v>
      </c>
      <c r="E293">
        <v>234274688.31</v>
      </c>
    </row>
    <row r="294" spans="4:5">
      <c r="D294">
        <v>210715337.93000001</v>
      </c>
      <c r="E294">
        <v>245821213.05000001</v>
      </c>
    </row>
    <row r="295" spans="4:5">
      <c r="D295">
        <v>213193029.31</v>
      </c>
      <c r="E295">
        <v>238864908.34999999</v>
      </c>
    </row>
    <row r="296" spans="4:5">
      <c r="D296">
        <v>222425127.30000001</v>
      </c>
      <c r="E296">
        <v>243991152.88999999</v>
      </c>
    </row>
    <row r="297" spans="4:5">
      <c r="D297">
        <v>227884426.09999999</v>
      </c>
      <c r="E297">
        <v>222656935.02000001</v>
      </c>
    </row>
    <row r="298" spans="4:5">
      <c r="D298">
        <v>236924076.44</v>
      </c>
      <c r="E298">
        <v>224129838.52000001</v>
      </c>
    </row>
    <row r="299" spans="4:5">
      <c r="D299">
        <v>219097101.62</v>
      </c>
      <c r="E299">
        <v>220307268.68000001</v>
      </c>
    </row>
    <row r="300" spans="4:5">
      <c r="D300">
        <v>219583126.44</v>
      </c>
      <c r="E300">
        <v>212516363.08000001</v>
      </c>
    </row>
    <row r="301" spans="4:5">
      <c r="D301">
        <v>225084381.69999999</v>
      </c>
      <c r="E301">
        <v>206751715.53</v>
      </c>
    </row>
    <row r="302" spans="4:5">
      <c r="D302">
        <v>228589646.5</v>
      </c>
      <c r="E302">
        <v>208777606.22</v>
      </c>
    </row>
    <row r="303" spans="4:5">
      <c r="D303">
        <v>228358661.37</v>
      </c>
      <c r="E303">
        <v>205885226.63999999</v>
      </c>
    </row>
    <row r="304" spans="4:5">
      <c r="D304">
        <v>212014347.18000001</v>
      </c>
      <c r="E304">
        <v>180388093.81999999</v>
      </c>
    </row>
    <row r="305" spans="4:5">
      <c r="D305">
        <v>195292671.16</v>
      </c>
      <c r="E305">
        <v>187894281.75</v>
      </c>
    </row>
    <row r="306" spans="4:5">
      <c r="D306">
        <v>161106433.06</v>
      </c>
      <c r="E306">
        <v>194409868.09</v>
      </c>
    </row>
    <row r="307" spans="4:5">
      <c r="D307">
        <v>169237019.88999999</v>
      </c>
      <c r="E307">
        <v>196276376.33000001</v>
      </c>
    </row>
    <row r="308" spans="4:5">
      <c r="D308">
        <v>187534985.63999999</v>
      </c>
      <c r="E308">
        <v>202396451.30000001</v>
      </c>
    </row>
    <row r="309" spans="4:5">
      <c r="D309">
        <v>193452631.86000001</v>
      </c>
      <c r="E309">
        <v>205229265.56</v>
      </c>
    </row>
    <row r="310" spans="4:5">
      <c r="D310">
        <v>196841489.34</v>
      </c>
      <c r="E310">
        <v>205392178.25</v>
      </c>
    </row>
    <row r="311" spans="4:5">
      <c r="D311">
        <v>194107602.56</v>
      </c>
      <c r="E311">
        <v>187688122.12</v>
      </c>
    </row>
    <row r="312" spans="4:5">
      <c r="D312">
        <v>195642555.49000001</v>
      </c>
      <c r="E312">
        <v>186464594.68000001</v>
      </c>
    </row>
    <row r="313" spans="4:5">
      <c r="D313">
        <v>176896418.13999999</v>
      </c>
      <c r="E313">
        <v>188022052.25</v>
      </c>
    </row>
    <row r="314" spans="4:5">
      <c r="D314">
        <v>186584530.91</v>
      </c>
      <c r="E314">
        <v>189149866.94</v>
      </c>
    </row>
    <row r="315" spans="4:5">
      <c r="D315">
        <v>192147760.93000001</v>
      </c>
      <c r="E315">
        <v>189269007.55000001</v>
      </c>
    </row>
    <row r="316" spans="4:5">
      <c r="D316">
        <v>191334190.27000001</v>
      </c>
      <c r="E316">
        <v>190392148.84999999</v>
      </c>
    </row>
    <row r="317" spans="4:5">
      <c r="D317">
        <v>189800165.38999999</v>
      </c>
      <c r="E317">
        <v>192454874.27000001</v>
      </c>
    </row>
    <row r="318" spans="4:5">
      <c r="D318">
        <v>182759421.37</v>
      </c>
      <c r="E318">
        <v>171374179.84999999</v>
      </c>
    </row>
    <row r="319" spans="4:5">
      <c r="D319">
        <v>182835650.74000001</v>
      </c>
      <c r="E319">
        <v>183456364.53999999</v>
      </c>
    </row>
    <row r="320" spans="4:5">
      <c r="D320">
        <v>182460057.63999999</v>
      </c>
      <c r="E320">
        <v>190830928.88999999</v>
      </c>
    </row>
    <row r="321" spans="4:5">
      <c r="D321">
        <v>177145931.65000001</v>
      </c>
      <c r="E321">
        <v>194235894.53999999</v>
      </c>
    </row>
    <row r="322" spans="4:5">
      <c r="D322">
        <v>175560273.22</v>
      </c>
      <c r="E322">
        <v>197202443.69999999</v>
      </c>
    </row>
    <row r="323" spans="4:5">
      <c r="D323">
        <v>169017396.80000001</v>
      </c>
      <c r="E323">
        <v>194886123.12</v>
      </c>
    </row>
    <row r="324" spans="4:5">
      <c r="D324">
        <v>169520407.58000001</v>
      </c>
      <c r="E324">
        <v>191589441.28</v>
      </c>
    </row>
    <row r="325" spans="4:5">
      <c r="D325">
        <v>170705061.88999999</v>
      </c>
      <c r="E325">
        <v>168361215.75</v>
      </c>
    </row>
    <row r="326" spans="4:5">
      <c r="D326">
        <v>166239711.91999999</v>
      </c>
      <c r="E326">
        <v>177915302.03999999</v>
      </c>
    </row>
    <row r="327" spans="4:5">
      <c r="D327">
        <v>151993441.74000001</v>
      </c>
      <c r="E327">
        <v>182591042.16999999</v>
      </c>
    </row>
    <row r="328" spans="4:5">
      <c r="D328">
        <v>160263326.65000001</v>
      </c>
      <c r="E328">
        <v>185512921.24000001</v>
      </c>
    </row>
    <row r="329" spans="4:5">
      <c r="D329">
        <v>168694727.77000001</v>
      </c>
      <c r="E329">
        <v>187600922.53999999</v>
      </c>
    </row>
    <row r="330" spans="4:5">
      <c r="D330">
        <v>173822710.09999999</v>
      </c>
      <c r="E330">
        <v>189203361.94999999</v>
      </c>
    </row>
    <row r="331" spans="4:5">
      <c r="D331">
        <v>172405198.81999999</v>
      </c>
      <c r="E331">
        <v>190909256.25999999</v>
      </c>
    </row>
    <row r="332" spans="4:5">
      <c r="D332">
        <v>171502857.87</v>
      </c>
      <c r="E332">
        <v>168019474.94</v>
      </c>
    </row>
    <row r="333" spans="4:5">
      <c r="D333">
        <v>172875580.91999999</v>
      </c>
      <c r="E333">
        <v>178046182.77000001</v>
      </c>
    </row>
    <row r="334" spans="4:5">
      <c r="D334">
        <v>155123324.47</v>
      </c>
      <c r="E334">
        <v>183365495.81</v>
      </c>
    </row>
    <row r="335" spans="4:5">
      <c r="D335">
        <v>165237764.83000001</v>
      </c>
      <c r="E335">
        <v>172014361.38999999</v>
      </c>
    </row>
    <row r="336" spans="4:5">
      <c r="D336">
        <v>171856108.78999999</v>
      </c>
      <c r="E336">
        <v>181505453.41999999</v>
      </c>
    </row>
    <row r="337" spans="4:5">
      <c r="D337">
        <v>172580601.59</v>
      </c>
      <c r="E337">
        <v>187025013.66999999</v>
      </c>
    </row>
    <row r="338" spans="4:5">
      <c r="D338">
        <v>194530220.38</v>
      </c>
      <c r="E338">
        <v>188188299.94999999</v>
      </c>
    </row>
    <row r="339" spans="4:5">
      <c r="D339">
        <v>187382261.15000001</v>
      </c>
      <c r="E339">
        <v>167913713.31999999</v>
      </c>
    </row>
    <row r="340" spans="4:5">
      <c r="D340">
        <v>188699551.59</v>
      </c>
      <c r="E340">
        <v>175851372.97999999</v>
      </c>
    </row>
    <row r="341" spans="4:5">
      <c r="D341">
        <v>155291435.24000001</v>
      </c>
      <c r="E341">
        <v>182529510.66999999</v>
      </c>
    </row>
    <row r="342" spans="4:5">
      <c r="D342">
        <v>164365665.53</v>
      </c>
      <c r="E342">
        <v>182012802.72999999</v>
      </c>
    </row>
    <row r="343" spans="4:5">
      <c r="D343">
        <v>169226840.63</v>
      </c>
      <c r="E343">
        <v>180470088.96000001</v>
      </c>
    </row>
    <row r="344" spans="4:5">
      <c r="D344">
        <v>170471791.33000001</v>
      </c>
      <c r="E344">
        <v>182739589.08000001</v>
      </c>
    </row>
    <row r="345" spans="4:5">
      <c r="D345">
        <v>171172632.13999999</v>
      </c>
      <c r="E345">
        <v>161292912.06</v>
      </c>
    </row>
    <row r="346" spans="4:5">
      <c r="D346">
        <v>152545382.84</v>
      </c>
      <c r="E346">
        <v>154662876.52000001</v>
      </c>
    </row>
    <row r="347" spans="4:5">
      <c r="D347">
        <v>160719083.75</v>
      </c>
      <c r="E347">
        <v>169803402.21000001</v>
      </c>
    </row>
    <row r="348" spans="4:5">
      <c r="D348">
        <v>154354669.38999999</v>
      </c>
      <c r="E348">
        <v>177675488.63</v>
      </c>
    </row>
    <row r="349" spans="4:5">
      <c r="D349">
        <v>155314141.31</v>
      </c>
      <c r="E349">
        <v>179112116.84999999</v>
      </c>
    </row>
    <row r="350" spans="4:5">
      <c r="D350">
        <v>168453851.68000001</v>
      </c>
      <c r="E350">
        <v>182676905.63</v>
      </c>
    </row>
    <row r="351" spans="4:5">
      <c r="D351">
        <v>168080172.47999999</v>
      </c>
      <c r="E351">
        <v>183844420.94</v>
      </c>
    </row>
    <row r="352" spans="4:5">
      <c r="D352">
        <v>160947567.40000001</v>
      </c>
      <c r="E352">
        <v>183036408.75999999</v>
      </c>
    </row>
    <row r="353" spans="4:5">
      <c r="D353">
        <v>169154277.77000001</v>
      </c>
      <c r="E353">
        <v>163949419.55000001</v>
      </c>
    </row>
    <row r="354" spans="4:5">
      <c r="D354">
        <v>169872773.31</v>
      </c>
      <c r="E354">
        <v>175781695.94</v>
      </c>
    </row>
    <row r="355" spans="4:5">
      <c r="D355">
        <v>162322753.33000001</v>
      </c>
      <c r="E355">
        <v>179586919.41</v>
      </c>
    </row>
    <row r="356" spans="4:5">
      <c r="D356">
        <v>160000450.69</v>
      </c>
      <c r="E356">
        <v>185052839.16999999</v>
      </c>
    </row>
    <row r="357" spans="4:5">
      <c r="D357">
        <v>169682987.50999999</v>
      </c>
      <c r="E357">
        <v>185493470.94999999</v>
      </c>
    </row>
    <row r="358" spans="4:5">
      <c r="D358">
        <v>170219336.61000001</v>
      </c>
      <c r="E358">
        <v>185881370.80000001</v>
      </c>
    </row>
    <row r="359" spans="4:5">
      <c r="D359">
        <v>172042521.16999999</v>
      </c>
      <c r="E359">
        <v>184628304.66</v>
      </c>
    </row>
    <row r="360" spans="4:5">
      <c r="D360">
        <v>171942943.25999999</v>
      </c>
      <c r="E360">
        <v>165318688.66</v>
      </c>
    </row>
    <row r="361" spans="4:5">
      <c r="D361">
        <v>171678283.50999999</v>
      </c>
      <c r="E361">
        <v>182676905.63</v>
      </c>
    </row>
    <row r="362" spans="4:5">
      <c r="D362">
        <v>168080172.47999999</v>
      </c>
      <c r="E362">
        <v>183844420.94</v>
      </c>
    </row>
    <row r="363" spans="4:5">
      <c r="D363">
        <v>160947567.40000001</v>
      </c>
      <c r="E363">
        <v>183036408.75999999</v>
      </c>
    </row>
    <row r="364" spans="4:5">
      <c r="D364">
        <v>169154277.77000001</v>
      </c>
      <c r="E364">
        <v>163949419.55000001</v>
      </c>
    </row>
    <row r="365" spans="4:5">
      <c r="D365">
        <v>169872773.31</v>
      </c>
      <c r="E365">
        <v>175781695.94</v>
      </c>
    </row>
    <row r="366" spans="4:5">
      <c r="D366">
        <v>162322753.33000001</v>
      </c>
      <c r="E366">
        <v>179586919.41</v>
      </c>
    </row>
    <row r="367" spans="4:5">
      <c r="D367">
        <v>160000450.69</v>
      </c>
      <c r="E367">
        <v>185052839.16999999</v>
      </c>
    </row>
    <row r="368" spans="4:5">
      <c r="D368">
        <v>169682987.50999999</v>
      </c>
      <c r="E368">
        <v>185493470.94999999</v>
      </c>
    </row>
    <row r="369" spans="4:5">
      <c r="D369">
        <v>170219336.61000001</v>
      </c>
      <c r="E369">
        <v>185881370.80000001</v>
      </c>
    </row>
    <row r="370" spans="4:5">
      <c r="D370">
        <v>172042521.16999999</v>
      </c>
      <c r="E370">
        <v>184628304.66</v>
      </c>
    </row>
    <row r="371" spans="4:5">
      <c r="D371">
        <v>171942943.25999999</v>
      </c>
      <c r="E371">
        <v>165318688.66</v>
      </c>
    </row>
    <row r="372" spans="4:5">
      <c r="D372">
        <v>171678283.50999999</v>
      </c>
    </row>
  </sheetData>
  <customSheetViews>
    <customSheetView guid="{751D391F-C74F-4B53-B5B5-25E01AC12EA4}" showPageBreaks="1" printArea="1" topLeftCell="A7">
      <selection activeCell="H4" sqref="H4"/>
      <pageMargins left="0.85" right="0.4" top="0.75" bottom="0.75" header="0.3" footer="0.3"/>
      <pageSetup scale="63" orientation="portrait" horizontalDpi="4294967295" verticalDpi="4294967295" r:id="rId1"/>
    </customSheetView>
    <customSheetView guid="{5A803268-F6C5-4035-B3E1-A94CB9AA8994}" showPageBreaks="1">
      <selection activeCell="A23" sqref="A23:XFD23"/>
      <pageMargins left="0.7" right="0.7" top="0.75" bottom="0.75" header="0.3" footer="0.3"/>
      <pageSetup orientation="portrait" horizontalDpi="0" verticalDpi="0" r:id="rId2"/>
    </customSheetView>
    <customSheetView guid="{917057C8-5E5F-4164-B84C-85103677A2E5}">
      <selection activeCell="A23" sqref="A23:XFD23"/>
      <pageMargins left="0.7" right="0.7" top="0.75" bottom="0.75" header="0.3" footer="0.3"/>
      <pageSetup orientation="portrait" verticalDpi="0" r:id="rId3"/>
    </customSheetView>
    <customSheetView guid="{23F4DC00-BC97-4745-AA5C-F05D469CB1EF}" showPageBreaks="1" printArea="1">
      <selection activeCell="F6" sqref="F6"/>
      <pageMargins left="0.95" right="0.27" top="0.75" bottom="0.75" header="0.3" footer="0.3"/>
      <pageSetup orientation="portrait" r:id="rId4"/>
    </customSheetView>
    <customSheetView guid="{B91C2E87-5EDA-40AE-AC27-0E2C17E803CE}" showPageBreaks="1" printArea="1" topLeftCell="A4">
      <selection activeCell="F6" sqref="F6"/>
      <pageMargins left="0.95" right="0.27" top="0.75" bottom="0.75" header="0.3" footer="0.3"/>
      <pageSetup scale="96" orientation="portrait" r:id="rId5"/>
    </customSheetView>
    <customSheetView guid="{7C71EF2A-5ADA-494C-8F58-DDA71753DD90}" showPageBreaks="1" printArea="1">
      <selection activeCell="N15" sqref="N15"/>
      <pageMargins left="0.85" right="0.4" top="0.75" bottom="0.75" header="0.3" footer="0.3"/>
      <pageSetup scale="87" orientation="portrait" verticalDpi="4294967295" r:id="rId6"/>
    </customSheetView>
    <customSheetView guid="{4DB6C640-CE65-4513-9E5A-F6CDD1F4B8AF}" showPageBreaks="1" topLeftCell="F1">
      <selection activeCell="A37" sqref="A37:XFD37"/>
      <pageMargins left="0.85" right="0.4" top="0.75" bottom="0.75" header="0.3" footer="0.3"/>
      <pageSetup scale="63" orientation="portrait" horizontalDpi="4294967295" verticalDpi="4294967295" r:id="rId7"/>
    </customSheetView>
    <customSheetView guid="{D1D1E152-95AB-45D3-AC07-4EC0834D3E0C}">
      <selection activeCell="A37" sqref="A37:XFD37"/>
      <pageMargins left="0.85" right="0.4" top="0.75" bottom="0.75" header="0.3" footer="0.3"/>
      <pageSetup scale="63" orientation="portrait" horizontalDpi="4294967295" verticalDpi="4294967295" r:id="rId8"/>
    </customSheetView>
    <customSheetView guid="{C3348F62-02F2-4500-9BF2-19F2DEA57A8D}" showPageBreaks="1" printArea="1">
      <selection activeCell="U14" sqref="U14"/>
      <pageMargins left="0.85" right="0.4" top="0.75" bottom="0.75" header="0.3" footer="0.3"/>
      <pageSetup scale="63" orientation="portrait" horizontalDpi="4294967295" verticalDpi="4294967295" r:id="rId9"/>
    </customSheetView>
  </customSheetViews>
  <pageMargins left="0.85" right="0.4" top="0.75" bottom="0.75" header="0.3" footer="0.3"/>
  <pageSetup scale="63" orientation="portrait" horizontalDpi="4294967295" verticalDpi="4294967295" r:id="rId10"/>
  <drawing r:id="rId11"/>
  <legacyDrawing r:id="rId12"/>
  <controls>
    <mc:AlternateContent xmlns:mc="http://schemas.openxmlformats.org/markup-compatibility/2006">
      <mc:Choice Requires="x14">
        <control shapeId="7171" r:id="rId13" name="Cmd_Btn_Update_Energy">
          <controlPr defaultSize="0" autoLine="0" r:id="rId14">
            <anchor moveWithCells="1">
              <from>
                <xdr:col>8</xdr:col>
                <xdr:colOff>47625</xdr:colOff>
                <xdr:row>5</xdr:row>
                <xdr:rowOff>66675</xdr:rowOff>
              </from>
              <to>
                <xdr:col>10</xdr:col>
                <xdr:colOff>285750</xdr:colOff>
                <xdr:row>5</xdr:row>
                <xdr:rowOff>466725</xdr:rowOff>
              </to>
            </anchor>
          </controlPr>
        </control>
      </mc:Choice>
      <mc:Fallback>
        <control shapeId="7171" r:id="rId13" name="Cmd_Btn_Update_Energy"/>
      </mc:Fallback>
    </mc:AlternateContent>
    <mc:AlternateContent xmlns:mc="http://schemas.openxmlformats.org/markup-compatibility/2006">
      <mc:Choice Requires="x14">
        <control shapeId="7170" r:id="rId15" name="Cmd_Btn_Create_Energy_Report">
          <controlPr defaultSize="0" autoLine="0" autoPict="0" r:id="rId16">
            <anchor moveWithCells="1">
              <from>
                <xdr:col>12</xdr:col>
                <xdr:colOff>400050</xdr:colOff>
                <xdr:row>5</xdr:row>
                <xdr:rowOff>66675</xdr:rowOff>
              </from>
              <to>
                <xdr:col>15</xdr:col>
                <xdr:colOff>790575</xdr:colOff>
                <xdr:row>5</xdr:row>
                <xdr:rowOff>466725</xdr:rowOff>
              </to>
            </anchor>
          </controlPr>
        </control>
      </mc:Choice>
      <mc:Fallback>
        <control shapeId="7170" r:id="rId15" name="Cmd_Btn_Create_Energy_Report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B1:H100"/>
  <sheetViews>
    <sheetView topLeftCell="A7" workbookViewId="0">
      <selection activeCell="H7" sqref="H7"/>
    </sheetView>
  </sheetViews>
  <sheetFormatPr defaultRowHeight="15"/>
  <cols>
    <col min="2" max="2" width="12.5703125" bestFit="1" customWidth="1"/>
    <col min="3" max="3" width="54.85546875" bestFit="1" customWidth="1"/>
    <col min="4" max="4" width="14.7109375" customWidth="1"/>
    <col min="5" max="5" width="14.42578125" customWidth="1"/>
    <col min="7" max="7" width="11.42578125" customWidth="1"/>
    <col min="8" max="8" width="20" customWidth="1"/>
  </cols>
  <sheetData>
    <row r="1" spans="2:8" ht="21">
      <c r="B1" s="3232"/>
      <c r="C1" s="3233"/>
      <c r="D1" s="3232"/>
      <c r="E1" s="3232"/>
      <c r="G1" s="3234"/>
      <c r="H1" s="3238" t="s">
        <v>1468</v>
      </c>
    </row>
    <row r="2" spans="2:8" ht="21">
      <c r="B2" s="3232"/>
      <c r="C2" s="3233"/>
      <c r="D2" s="3232"/>
      <c r="E2" s="3232"/>
      <c r="G2" s="3239" t="s">
        <v>1429</v>
      </c>
      <c r="H2" s="3240">
        <v>43208.458333333336</v>
      </c>
    </row>
    <row r="3" spans="2:8" ht="21">
      <c r="B3" s="3232"/>
      <c r="C3" s="3233"/>
      <c r="D3" s="3232"/>
      <c r="E3" s="3232"/>
    </row>
    <row r="4" spans="2:8" ht="21">
      <c r="B4" s="3232"/>
      <c r="C4" s="3233"/>
      <c r="D4" s="3232"/>
      <c r="E4" s="3232"/>
    </row>
    <row r="5" spans="2:8" ht="21">
      <c r="B5" s="3241" t="s">
        <v>1430</v>
      </c>
      <c r="C5" s="3241" t="s">
        <v>266</v>
      </c>
      <c r="D5" s="3241" t="s">
        <v>36</v>
      </c>
      <c r="E5" s="3241" t="s">
        <v>1431</v>
      </c>
    </row>
    <row r="6" spans="2:8" ht="21">
      <c r="B6" s="3468">
        <v>1</v>
      </c>
      <c r="C6" s="3469" t="s">
        <v>1732</v>
      </c>
      <c r="D6" s="3468">
        <v>108</v>
      </c>
      <c r="E6" s="3468">
        <v>69</v>
      </c>
    </row>
    <row r="7" spans="2:8" ht="21">
      <c r="B7" s="3468">
        <v>2</v>
      </c>
      <c r="C7" s="3469" t="s">
        <v>1733</v>
      </c>
      <c r="D7" s="3468">
        <v>260</v>
      </c>
      <c r="E7" s="3468">
        <v>162</v>
      </c>
    </row>
    <row r="8" spans="2:8" ht="21">
      <c r="B8" s="3468">
        <v>3</v>
      </c>
      <c r="C8" s="3469" t="s">
        <v>1591</v>
      </c>
      <c r="D8" s="3468">
        <v>191</v>
      </c>
      <c r="E8" s="3468">
        <v>62</v>
      </c>
    </row>
    <row r="9" spans="2:8" ht="21">
      <c r="B9" s="3468">
        <v>4</v>
      </c>
      <c r="C9" s="3469" t="s">
        <v>1734</v>
      </c>
      <c r="D9" s="3468">
        <v>51</v>
      </c>
      <c r="E9" s="3468">
        <v>31</v>
      </c>
    </row>
    <row r="10" spans="2:8" ht="21">
      <c r="B10" s="3468">
        <v>5</v>
      </c>
      <c r="C10" s="3469" t="s">
        <v>1432</v>
      </c>
      <c r="D10" s="3468">
        <v>102</v>
      </c>
      <c r="E10" s="3468">
        <v>76</v>
      </c>
    </row>
    <row r="11" spans="2:8" ht="21">
      <c r="B11" s="3468">
        <v>6</v>
      </c>
      <c r="C11" s="3469" t="s">
        <v>1735</v>
      </c>
      <c r="D11" s="3468">
        <v>51</v>
      </c>
      <c r="E11" s="3468">
        <v>32</v>
      </c>
    </row>
    <row r="12" spans="2:8" ht="21">
      <c r="B12" s="3468">
        <v>7</v>
      </c>
      <c r="C12" s="3469" t="s">
        <v>1763</v>
      </c>
      <c r="D12" s="3468">
        <v>335</v>
      </c>
      <c r="E12" s="3468">
        <v>165</v>
      </c>
    </row>
    <row r="13" spans="2:8" ht="21">
      <c r="B13" s="3468">
        <v>8</v>
      </c>
      <c r="C13" s="3469" t="s">
        <v>1764</v>
      </c>
      <c r="D13" s="3468">
        <v>25</v>
      </c>
      <c r="E13" s="3468">
        <v>18</v>
      </c>
    </row>
    <row r="14" spans="2:8" ht="21">
      <c r="B14" s="3468">
        <v>9</v>
      </c>
      <c r="C14" s="3469" t="s">
        <v>1516</v>
      </c>
      <c r="D14" s="3468">
        <v>54</v>
      </c>
      <c r="E14" s="3468">
        <v>34</v>
      </c>
    </row>
    <row r="15" spans="2:8" ht="21">
      <c r="B15" s="3468">
        <v>10</v>
      </c>
      <c r="C15" s="3469" t="s">
        <v>1736</v>
      </c>
      <c r="D15" s="3468">
        <v>51</v>
      </c>
      <c r="E15" s="3468">
        <v>34</v>
      </c>
    </row>
    <row r="16" spans="2:8" ht="21">
      <c r="B16" s="3468">
        <v>11</v>
      </c>
      <c r="C16" s="3469" t="s">
        <v>1209</v>
      </c>
      <c r="D16" s="3468">
        <v>36</v>
      </c>
      <c r="E16" s="3468">
        <v>23</v>
      </c>
    </row>
    <row r="17" spans="2:5" ht="21">
      <c r="B17" s="3468">
        <v>12</v>
      </c>
      <c r="C17" s="3469" t="s">
        <v>1737</v>
      </c>
      <c r="D17" s="3468">
        <v>255</v>
      </c>
      <c r="E17" s="3468">
        <v>145</v>
      </c>
    </row>
    <row r="18" spans="2:5" ht="21">
      <c r="B18" s="3468">
        <v>13</v>
      </c>
      <c r="C18" s="3469" t="s">
        <v>835</v>
      </c>
      <c r="D18" s="3468">
        <v>924</v>
      </c>
      <c r="E18" s="3468">
        <v>301</v>
      </c>
    </row>
    <row r="19" spans="2:5" ht="21">
      <c r="B19" s="3468">
        <v>14</v>
      </c>
      <c r="C19" s="3469" t="s">
        <v>1738</v>
      </c>
      <c r="D19" s="3468">
        <v>20</v>
      </c>
      <c r="E19" s="3468">
        <v>12</v>
      </c>
    </row>
    <row r="20" spans="2:5" ht="21">
      <c r="B20" s="3468">
        <v>15</v>
      </c>
      <c r="C20" s="3469" t="s">
        <v>1585</v>
      </c>
      <c r="D20" s="3468">
        <v>113</v>
      </c>
      <c r="E20" s="3468">
        <v>69</v>
      </c>
    </row>
    <row r="21" spans="2:5" ht="21">
      <c r="B21" s="3468">
        <v>16</v>
      </c>
      <c r="C21" s="3469" t="s">
        <v>1433</v>
      </c>
      <c r="D21" s="3468">
        <v>113</v>
      </c>
      <c r="E21" s="3468">
        <v>68</v>
      </c>
    </row>
    <row r="22" spans="2:5" ht="21">
      <c r="B22" s="3468">
        <v>17</v>
      </c>
      <c r="C22" s="3469" t="s">
        <v>1765</v>
      </c>
      <c r="D22" s="3468">
        <v>154</v>
      </c>
      <c r="E22" s="3468">
        <v>77</v>
      </c>
    </row>
    <row r="23" spans="2:5" ht="21">
      <c r="B23" s="3468">
        <v>18</v>
      </c>
      <c r="C23" s="3469" t="s">
        <v>1739</v>
      </c>
      <c r="D23" s="3468">
        <v>39</v>
      </c>
      <c r="E23" s="3468">
        <v>17</v>
      </c>
    </row>
    <row r="24" spans="2:5" ht="21">
      <c r="B24" s="3468">
        <v>19</v>
      </c>
      <c r="C24" s="3469" t="s">
        <v>1586</v>
      </c>
      <c r="D24" s="3468">
        <v>103</v>
      </c>
      <c r="E24" s="3468">
        <v>64</v>
      </c>
    </row>
    <row r="25" spans="2:5" ht="21">
      <c r="B25" s="3468">
        <v>20</v>
      </c>
      <c r="C25" s="3469" t="s">
        <v>1766</v>
      </c>
      <c r="D25" s="3468">
        <v>20</v>
      </c>
      <c r="E25" s="3468">
        <v>15</v>
      </c>
    </row>
    <row r="26" spans="2:5" ht="21">
      <c r="B26" s="3468">
        <v>21</v>
      </c>
      <c r="C26" s="3469" t="s">
        <v>1341</v>
      </c>
      <c r="D26" s="3468">
        <v>92</v>
      </c>
      <c r="E26" s="3468">
        <v>57</v>
      </c>
    </row>
    <row r="27" spans="2:5" ht="21">
      <c r="B27" s="3468">
        <v>22</v>
      </c>
      <c r="C27" s="3469" t="s">
        <v>1740</v>
      </c>
      <c r="D27" s="3468">
        <v>13</v>
      </c>
      <c r="E27" s="3468">
        <v>6</v>
      </c>
    </row>
    <row r="28" spans="2:5" ht="21">
      <c r="B28" s="3468">
        <v>23</v>
      </c>
      <c r="C28" s="3469" t="s">
        <v>1767</v>
      </c>
      <c r="D28" s="3468">
        <v>5</v>
      </c>
      <c r="E28" s="3468">
        <v>2</v>
      </c>
    </row>
    <row r="29" spans="2:5" ht="21">
      <c r="B29" s="3468">
        <v>24</v>
      </c>
      <c r="C29" s="3469" t="s">
        <v>1768</v>
      </c>
      <c r="D29" s="3468">
        <v>21</v>
      </c>
      <c r="E29" s="3468">
        <v>13</v>
      </c>
    </row>
    <row r="30" spans="2:5" ht="21">
      <c r="B30" s="3468">
        <v>25</v>
      </c>
      <c r="C30" s="3469" t="s">
        <v>1105</v>
      </c>
      <c r="D30" s="3468">
        <v>62</v>
      </c>
      <c r="E30" s="3468">
        <v>34</v>
      </c>
    </row>
    <row r="31" spans="2:5" ht="21">
      <c r="B31" s="3468">
        <v>26</v>
      </c>
      <c r="C31" s="3469" t="s">
        <v>1769</v>
      </c>
      <c r="D31" s="3468">
        <v>8</v>
      </c>
      <c r="E31" s="3468">
        <v>5</v>
      </c>
    </row>
    <row r="32" spans="2:5" ht="21">
      <c r="B32" s="3468">
        <v>27</v>
      </c>
      <c r="C32" s="3469" t="s">
        <v>1584</v>
      </c>
      <c r="D32" s="3468">
        <v>76</v>
      </c>
      <c r="E32" s="3468">
        <v>39</v>
      </c>
    </row>
    <row r="33" spans="2:5" ht="21">
      <c r="B33" s="3468">
        <v>28</v>
      </c>
      <c r="C33" s="3469" t="s">
        <v>1587</v>
      </c>
      <c r="D33" s="3468">
        <v>49</v>
      </c>
      <c r="E33" s="3468">
        <v>37</v>
      </c>
    </row>
    <row r="34" spans="2:5" ht="21">
      <c r="B34" s="3468">
        <v>29</v>
      </c>
      <c r="C34" s="3469" t="s">
        <v>1770</v>
      </c>
      <c r="D34" s="3468">
        <v>105</v>
      </c>
      <c r="E34" s="3468">
        <v>60</v>
      </c>
    </row>
    <row r="35" spans="2:5" ht="21">
      <c r="B35" s="3468">
        <v>30</v>
      </c>
      <c r="C35" s="3469" t="s">
        <v>1771</v>
      </c>
      <c r="D35" s="3468">
        <v>233</v>
      </c>
      <c r="E35" s="3468">
        <v>124</v>
      </c>
    </row>
    <row r="36" spans="2:5" ht="21">
      <c r="B36" s="3468">
        <v>31</v>
      </c>
      <c r="C36" s="3469" t="s">
        <v>1772</v>
      </c>
      <c r="D36" s="3468">
        <v>275</v>
      </c>
      <c r="E36" s="3468">
        <v>112</v>
      </c>
    </row>
    <row r="37" spans="2:5" ht="21">
      <c r="B37" s="3468">
        <v>32</v>
      </c>
      <c r="C37" s="3469" t="s">
        <v>112</v>
      </c>
      <c r="D37" s="3468">
        <v>94</v>
      </c>
      <c r="E37" s="3468">
        <v>46</v>
      </c>
    </row>
    <row r="38" spans="2:5" ht="21">
      <c r="B38" s="3468">
        <v>33</v>
      </c>
      <c r="C38" s="3469" t="s">
        <v>1773</v>
      </c>
      <c r="D38" s="3468">
        <v>399</v>
      </c>
      <c r="E38" s="3468">
        <v>142</v>
      </c>
    </row>
    <row r="39" spans="2:5" ht="21">
      <c r="B39" s="3468">
        <v>34</v>
      </c>
      <c r="C39" s="3469" t="s">
        <v>257</v>
      </c>
      <c r="D39" s="3468">
        <v>253</v>
      </c>
      <c r="E39" s="3468">
        <v>118</v>
      </c>
    </row>
    <row r="40" spans="2:5" ht="21">
      <c r="B40" s="3468">
        <v>35</v>
      </c>
      <c r="C40" s="3469" t="s">
        <v>1434</v>
      </c>
      <c r="D40" s="3468">
        <v>77</v>
      </c>
      <c r="E40" s="3468">
        <v>50</v>
      </c>
    </row>
    <row r="41" spans="2:5" ht="21">
      <c r="B41" s="3468">
        <v>36</v>
      </c>
      <c r="C41" s="3469" t="s">
        <v>1741</v>
      </c>
      <c r="D41" s="3468">
        <v>100</v>
      </c>
      <c r="E41" s="3468">
        <v>52</v>
      </c>
    </row>
    <row r="42" spans="2:5" ht="21">
      <c r="B42" s="3468">
        <v>37</v>
      </c>
      <c r="C42" s="3469" t="s">
        <v>1774</v>
      </c>
      <c r="D42" s="3468">
        <v>76</v>
      </c>
      <c r="E42" s="3468">
        <v>48</v>
      </c>
    </row>
    <row r="43" spans="2:5" ht="21">
      <c r="B43" s="3468">
        <v>38</v>
      </c>
      <c r="C43" s="3469" t="s">
        <v>1329</v>
      </c>
      <c r="D43" s="3468">
        <v>55</v>
      </c>
      <c r="E43" s="3468">
        <v>33</v>
      </c>
    </row>
    <row r="44" spans="2:5" ht="21">
      <c r="B44" s="3468">
        <v>39</v>
      </c>
      <c r="C44" s="3469" t="s">
        <v>1775</v>
      </c>
      <c r="D44" s="3468">
        <v>93</v>
      </c>
      <c r="E44" s="3468">
        <v>40</v>
      </c>
    </row>
    <row r="45" spans="2:5" ht="21">
      <c r="B45" s="3468">
        <v>40</v>
      </c>
      <c r="C45" s="3469" t="s">
        <v>1594</v>
      </c>
      <c r="D45" s="3468">
        <v>16</v>
      </c>
      <c r="E45" s="3468">
        <v>6</v>
      </c>
    </row>
    <row r="46" spans="2:5" ht="21">
      <c r="B46" s="3468">
        <v>41</v>
      </c>
      <c r="C46" s="3469" t="s">
        <v>1595</v>
      </c>
      <c r="D46" s="3468">
        <v>120</v>
      </c>
      <c r="E46" s="3468">
        <v>120</v>
      </c>
    </row>
    <row r="47" spans="2:5" ht="21">
      <c r="B47" s="3468">
        <v>42</v>
      </c>
      <c r="C47" s="3469" t="s">
        <v>1742</v>
      </c>
      <c r="D47" s="3468">
        <v>16</v>
      </c>
      <c r="E47" s="3468">
        <v>11</v>
      </c>
    </row>
    <row r="48" spans="2:5" ht="21">
      <c r="B48" s="3468">
        <v>43</v>
      </c>
      <c r="C48" s="3469" t="s">
        <v>1776</v>
      </c>
      <c r="D48" s="3468">
        <v>115</v>
      </c>
      <c r="E48" s="3468">
        <v>55</v>
      </c>
    </row>
    <row r="49" spans="2:5" ht="21">
      <c r="B49" s="3468">
        <v>44</v>
      </c>
      <c r="C49" s="3469" t="s">
        <v>1743</v>
      </c>
      <c r="D49" s="3468">
        <v>163</v>
      </c>
      <c r="E49" s="3468">
        <v>90</v>
      </c>
    </row>
    <row r="50" spans="2:5" ht="21">
      <c r="B50" s="3468">
        <v>45</v>
      </c>
      <c r="C50" s="3469" t="s">
        <v>1518</v>
      </c>
      <c r="D50" s="3468">
        <v>70</v>
      </c>
      <c r="E50" s="3468">
        <v>40</v>
      </c>
    </row>
    <row r="51" spans="2:5" ht="21">
      <c r="B51" s="3468">
        <v>46</v>
      </c>
      <c r="C51" s="3469" t="s">
        <v>1777</v>
      </c>
      <c r="D51" s="3468">
        <v>34</v>
      </c>
      <c r="E51" s="3468">
        <v>14</v>
      </c>
    </row>
    <row r="52" spans="2:5" ht="21">
      <c r="B52" s="3468">
        <v>47</v>
      </c>
      <c r="C52" s="3469" t="s">
        <v>262</v>
      </c>
      <c r="D52" s="3468">
        <v>79</v>
      </c>
      <c r="E52" s="3468">
        <v>52</v>
      </c>
    </row>
    <row r="53" spans="2:5" ht="21">
      <c r="B53" s="3468">
        <v>48</v>
      </c>
      <c r="C53" s="3469" t="s">
        <v>1778</v>
      </c>
      <c r="D53" s="3468">
        <v>55</v>
      </c>
      <c r="E53" s="3468">
        <v>34</v>
      </c>
    </row>
    <row r="54" spans="2:5" ht="21">
      <c r="B54" s="3468">
        <v>49</v>
      </c>
      <c r="C54" s="3469" t="s">
        <v>1744</v>
      </c>
      <c r="D54" s="3468">
        <v>26</v>
      </c>
      <c r="E54" s="3468">
        <v>18</v>
      </c>
    </row>
    <row r="55" spans="2:5" ht="21">
      <c r="B55" s="3468">
        <v>50</v>
      </c>
      <c r="C55" s="3469" t="s">
        <v>1779</v>
      </c>
      <c r="D55" s="3468">
        <v>89</v>
      </c>
      <c r="E55" s="3468">
        <v>49</v>
      </c>
    </row>
    <row r="56" spans="2:5" ht="21">
      <c r="B56" s="3468">
        <v>51</v>
      </c>
      <c r="C56" s="3469" t="s">
        <v>1517</v>
      </c>
      <c r="D56" s="3468">
        <v>2</v>
      </c>
      <c r="E56" s="3468">
        <v>2</v>
      </c>
    </row>
    <row r="57" spans="2:5" ht="21">
      <c r="B57" s="3468">
        <v>52</v>
      </c>
      <c r="C57" s="3469" t="s">
        <v>1780</v>
      </c>
      <c r="D57" s="3468">
        <v>54</v>
      </c>
      <c r="E57" s="3468">
        <v>34</v>
      </c>
    </row>
    <row r="58" spans="2:5" ht="21">
      <c r="B58" s="3468">
        <v>53</v>
      </c>
      <c r="C58" s="3469" t="s">
        <v>1781</v>
      </c>
      <c r="D58" s="3468">
        <v>17</v>
      </c>
      <c r="E58" s="3468">
        <v>6</v>
      </c>
    </row>
    <row r="59" spans="2:5" ht="21">
      <c r="B59" s="3468">
        <v>54</v>
      </c>
      <c r="C59" s="3469" t="s">
        <v>113</v>
      </c>
      <c r="D59" s="3468">
        <v>93</v>
      </c>
      <c r="E59" s="3468">
        <v>49</v>
      </c>
    </row>
    <row r="60" spans="2:5" ht="21">
      <c r="B60" s="3468">
        <v>55</v>
      </c>
      <c r="C60" s="3469" t="s">
        <v>1592</v>
      </c>
      <c r="D60" s="3468">
        <v>140</v>
      </c>
      <c r="E60" s="3468">
        <v>115</v>
      </c>
    </row>
    <row r="61" spans="2:5" ht="21">
      <c r="B61" s="3468">
        <v>56</v>
      </c>
      <c r="C61" s="3469" t="s">
        <v>1782</v>
      </c>
      <c r="D61" s="3468">
        <v>125</v>
      </c>
      <c r="E61" s="3468">
        <v>75</v>
      </c>
    </row>
    <row r="62" spans="2:5" ht="21">
      <c r="B62" s="3468">
        <v>57</v>
      </c>
      <c r="C62" s="3469" t="s">
        <v>1435</v>
      </c>
      <c r="D62" s="3468">
        <v>103</v>
      </c>
      <c r="E62" s="3468">
        <v>133</v>
      </c>
    </row>
    <row r="63" spans="2:5" ht="21">
      <c r="B63" s="3468">
        <v>58</v>
      </c>
      <c r="C63" s="3469" t="s">
        <v>1436</v>
      </c>
      <c r="D63" s="3468">
        <v>36</v>
      </c>
      <c r="E63" s="3468">
        <v>22</v>
      </c>
    </row>
    <row r="64" spans="2:5" ht="21">
      <c r="B64" s="3468">
        <v>59</v>
      </c>
      <c r="C64" s="3469" t="s">
        <v>1441</v>
      </c>
      <c r="D64" s="3468">
        <v>29</v>
      </c>
      <c r="E64" s="3468">
        <v>13</v>
      </c>
    </row>
    <row r="65" spans="2:5" ht="21">
      <c r="B65" s="3468">
        <v>60</v>
      </c>
      <c r="C65" s="3469" t="s">
        <v>1745</v>
      </c>
      <c r="D65" s="3468">
        <v>8</v>
      </c>
      <c r="E65" s="3468">
        <v>5</v>
      </c>
    </row>
    <row r="66" spans="2:5" ht="21">
      <c r="B66" s="3468">
        <v>61</v>
      </c>
      <c r="C66" s="3469" t="s">
        <v>1783</v>
      </c>
      <c r="D66" s="3468">
        <v>35</v>
      </c>
      <c r="E66" s="3468">
        <v>22</v>
      </c>
    </row>
    <row r="67" spans="2:5" ht="21">
      <c r="B67" s="3468">
        <v>62</v>
      </c>
      <c r="C67" s="3469" t="s">
        <v>1583</v>
      </c>
      <c r="D67" s="3468">
        <v>31</v>
      </c>
      <c r="E67" s="3468">
        <v>16</v>
      </c>
    </row>
    <row r="68" spans="2:5" ht="21">
      <c r="B68" s="3468">
        <v>63</v>
      </c>
      <c r="C68" s="3469" t="s">
        <v>1437</v>
      </c>
      <c r="D68" s="3468">
        <v>34</v>
      </c>
      <c r="E68" s="3468">
        <v>20</v>
      </c>
    </row>
    <row r="69" spans="2:5" ht="21">
      <c r="B69" s="3468">
        <v>64</v>
      </c>
      <c r="C69" s="3469" t="s">
        <v>1784</v>
      </c>
      <c r="D69" s="3468">
        <v>11</v>
      </c>
      <c r="E69" s="3468">
        <v>8</v>
      </c>
    </row>
    <row r="70" spans="2:5" ht="21">
      <c r="B70" s="3468">
        <v>65</v>
      </c>
      <c r="C70" s="3469" t="s">
        <v>1746</v>
      </c>
      <c r="D70" s="3468">
        <v>0</v>
      </c>
      <c r="E70" s="3468">
        <v>1</v>
      </c>
    </row>
    <row r="71" spans="2:5" ht="21">
      <c r="B71" s="3468">
        <v>66</v>
      </c>
      <c r="C71" s="3469" t="s">
        <v>1438</v>
      </c>
      <c r="D71" s="3468">
        <v>14</v>
      </c>
      <c r="E71" s="3468">
        <v>9</v>
      </c>
    </row>
    <row r="72" spans="2:5" ht="21">
      <c r="B72" s="3468">
        <v>67</v>
      </c>
      <c r="C72" s="3469" t="s">
        <v>1747</v>
      </c>
      <c r="D72" s="3468">
        <v>75</v>
      </c>
      <c r="E72" s="3468">
        <v>47</v>
      </c>
    </row>
    <row r="73" spans="2:5" ht="21">
      <c r="B73" s="3468">
        <v>68</v>
      </c>
      <c r="C73" s="3469" t="s">
        <v>1748</v>
      </c>
      <c r="D73" s="3468">
        <v>42</v>
      </c>
      <c r="E73" s="3468">
        <v>21</v>
      </c>
    </row>
    <row r="74" spans="2:5" ht="21">
      <c r="B74" s="3468">
        <v>69</v>
      </c>
      <c r="C74" s="3469" t="s">
        <v>1785</v>
      </c>
      <c r="D74" s="3468">
        <v>301</v>
      </c>
      <c r="E74" s="3468">
        <v>119</v>
      </c>
    </row>
    <row r="75" spans="2:5" ht="21">
      <c r="B75" s="3468">
        <v>70</v>
      </c>
      <c r="C75" s="3469" t="s">
        <v>1786</v>
      </c>
      <c r="D75" s="3468">
        <v>2</v>
      </c>
      <c r="E75" s="3468">
        <v>1</v>
      </c>
    </row>
    <row r="76" spans="2:5" ht="21">
      <c r="B76" s="3468">
        <v>71</v>
      </c>
      <c r="C76" s="3469" t="s">
        <v>1561</v>
      </c>
      <c r="D76" s="3468">
        <v>104</v>
      </c>
      <c r="E76" s="3468">
        <v>60</v>
      </c>
    </row>
    <row r="77" spans="2:5" ht="21">
      <c r="B77" s="3468">
        <v>72</v>
      </c>
      <c r="C77" s="3469" t="s">
        <v>1749</v>
      </c>
      <c r="D77" s="3468">
        <v>48</v>
      </c>
      <c r="E77" s="3468">
        <v>30</v>
      </c>
    </row>
    <row r="78" spans="2:5" ht="21">
      <c r="B78" s="3468">
        <v>73</v>
      </c>
      <c r="C78" s="3469" t="s">
        <v>1588</v>
      </c>
      <c r="D78" s="3468">
        <v>305</v>
      </c>
      <c r="E78" s="3468">
        <v>140</v>
      </c>
    </row>
    <row r="79" spans="2:5" ht="21">
      <c r="B79" s="3468">
        <v>74</v>
      </c>
      <c r="C79" s="3469" t="s">
        <v>1589</v>
      </c>
      <c r="D79" s="3468">
        <v>107</v>
      </c>
      <c r="E79" s="3468">
        <v>69</v>
      </c>
    </row>
    <row r="80" spans="2:5" ht="21">
      <c r="B80" s="3468">
        <v>75</v>
      </c>
      <c r="C80" s="3469" t="s">
        <v>1750</v>
      </c>
      <c r="D80" s="3468">
        <v>213</v>
      </c>
      <c r="E80" s="3468">
        <v>145</v>
      </c>
    </row>
    <row r="81" spans="2:5" ht="21">
      <c r="B81" s="3468">
        <v>76</v>
      </c>
      <c r="C81" s="3469" t="s">
        <v>1562</v>
      </c>
      <c r="D81" s="3468">
        <v>10</v>
      </c>
      <c r="E81" s="3468">
        <v>6</v>
      </c>
    </row>
    <row r="82" spans="2:5" ht="21">
      <c r="B82" s="3468">
        <v>77</v>
      </c>
      <c r="C82" s="3469" t="s">
        <v>1787</v>
      </c>
      <c r="D82" s="3468">
        <v>15</v>
      </c>
      <c r="E82" s="3468">
        <v>6</v>
      </c>
    </row>
    <row r="83" spans="2:5" ht="21">
      <c r="B83" s="3468">
        <v>78</v>
      </c>
      <c r="C83" s="3469" t="s">
        <v>1751</v>
      </c>
      <c r="D83" s="3468">
        <v>17</v>
      </c>
      <c r="E83" s="3468">
        <v>10</v>
      </c>
    </row>
    <row r="84" spans="2:5" ht="21">
      <c r="B84" s="3468">
        <v>79</v>
      </c>
      <c r="C84" s="3469" t="s">
        <v>1439</v>
      </c>
      <c r="D84" s="3468">
        <v>22</v>
      </c>
      <c r="E84" s="3468">
        <v>12</v>
      </c>
    </row>
    <row r="85" spans="2:5" ht="21">
      <c r="B85" s="3468">
        <v>80</v>
      </c>
      <c r="C85" s="3469" t="s">
        <v>1440</v>
      </c>
      <c r="D85" s="3468">
        <v>8</v>
      </c>
      <c r="E85" s="3468">
        <v>5.0999999999999996</v>
      </c>
    </row>
    <row r="86" spans="2:5" ht="21">
      <c r="B86" s="3468">
        <v>81</v>
      </c>
      <c r="C86" s="3469" t="s">
        <v>1752</v>
      </c>
      <c r="D86" s="3468">
        <v>54</v>
      </c>
      <c r="E86" s="3468">
        <v>32</v>
      </c>
    </row>
    <row r="87" spans="2:5" ht="21">
      <c r="B87" s="3467"/>
      <c r="C87" s="3466"/>
      <c r="D87" s="3467"/>
      <c r="E87" s="3467"/>
    </row>
    <row r="88" spans="2:5" ht="21">
      <c r="B88" s="3467"/>
      <c r="C88" s="3466"/>
      <c r="D88" s="3467"/>
      <c r="E88" s="3467"/>
    </row>
    <row r="89" spans="2:5" ht="21">
      <c r="B89" s="3467"/>
      <c r="C89" s="3466"/>
      <c r="D89" s="3467"/>
      <c r="E89" s="3467"/>
    </row>
    <row r="90" spans="2:5" ht="21">
      <c r="B90" s="3467"/>
      <c r="C90" s="3466"/>
      <c r="D90" s="3467"/>
      <c r="E90" s="3467"/>
    </row>
    <row r="91" spans="2:5" ht="21">
      <c r="B91" s="3467"/>
      <c r="C91" s="3466"/>
      <c r="D91" s="3467"/>
      <c r="E91" s="3467"/>
    </row>
    <row r="92" spans="2:5" ht="21">
      <c r="B92" s="3467"/>
      <c r="C92" s="3466"/>
      <c r="D92" s="3467"/>
      <c r="E92" s="3467"/>
    </row>
    <row r="93" spans="2:5" ht="21">
      <c r="B93" s="3467"/>
      <c r="C93" s="3466"/>
      <c r="D93" s="3467"/>
      <c r="E93" s="3467"/>
    </row>
    <row r="94" spans="2:5" ht="21">
      <c r="B94" s="3467"/>
      <c r="C94" s="3466"/>
      <c r="D94" s="3467"/>
      <c r="E94" s="3467"/>
    </row>
    <row r="95" spans="2:5" ht="21">
      <c r="B95" s="3467"/>
      <c r="C95" s="3466"/>
      <c r="D95" s="3467"/>
      <c r="E95" s="3467"/>
    </row>
    <row r="96" spans="2:5" ht="21">
      <c r="B96" s="3467"/>
      <c r="C96" s="3466"/>
      <c r="D96" s="3467"/>
      <c r="E96" s="3467"/>
    </row>
    <row r="97" spans="2:5" ht="21">
      <c r="B97" s="3467"/>
      <c r="C97" s="3466"/>
      <c r="D97" s="3467"/>
      <c r="E97" s="3467"/>
    </row>
    <row r="98" spans="2:5" ht="21">
      <c r="B98" s="3467"/>
      <c r="C98" s="3466"/>
      <c r="D98" s="3467"/>
      <c r="E98" s="3467"/>
    </row>
    <row r="99" spans="2:5" ht="21">
      <c r="B99" s="3467"/>
      <c r="C99" s="3466"/>
      <c r="D99" s="3467"/>
      <c r="E99" s="3467"/>
    </row>
    <row r="100" spans="2:5" ht="21">
      <c r="B100" s="3467"/>
      <c r="C100" s="3466"/>
      <c r="D100" s="3467"/>
      <c r="E100" s="3467"/>
    </row>
  </sheetData>
  <customSheetViews>
    <customSheetView guid="{751D391F-C74F-4B53-B5B5-25E01AC12EA4}" showPageBreaks="1">
      <selection activeCell="M22" sqref="M22"/>
      <pageMargins left="0.7" right="0.7" top="0.75" bottom="0.75" header="0.3" footer="0.3"/>
      <pageSetup paperSize="9" orientation="portrait" r:id="rId1"/>
    </customSheetView>
    <customSheetView guid="{4DB6C640-CE65-4513-9E5A-F6CDD1F4B8AF}" showPageBreaks="1">
      <selection activeCell="M22" sqref="M22"/>
      <pageMargins left="0.7" right="0.7" top="0.75" bottom="0.75" header="0.3" footer="0.3"/>
      <pageSetup orientation="portrait" horizontalDpi="0" verticalDpi="0" r:id="rId2"/>
    </customSheetView>
    <customSheetView guid="{D1D1E152-95AB-45D3-AC07-4EC0834D3E0C}" topLeftCell="A31">
      <selection activeCell="L7" sqref="L7"/>
      <pageMargins left="0.7" right="0.7" top="0.75" bottom="0.75" header="0.3" footer="0.3"/>
      <pageSetup paperSize="9" scale="48" orientation="portrait" r:id="rId3"/>
    </customSheetView>
    <customSheetView guid="{C3348F62-02F2-4500-9BF2-19F2DEA57A8D}" showPageBreaks="1" topLeftCell="A7">
      <selection activeCell="H7" sqref="H7"/>
      <pageMargins left="0.7" right="0.7" top="0.75" bottom="0.75" header="0.3" footer="0.3"/>
      <pageSetup paperSize="9" scale="49" orientation="portrait" r:id="rId4"/>
    </customSheetView>
  </customSheetViews>
  <pageMargins left="0.7" right="0.7" top="0.75" bottom="0.75" header="0.3" footer="0.3"/>
  <pageSetup paperSize="9" scale="49" orientation="portrait" r:id="rId5"/>
  <drawing r:id="rId6"/>
  <legacyDrawing r:id="rId7"/>
  <controls>
    <mc:AlternateContent xmlns:mc="http://schemas.openxmlformats.org/markup-compatibility/2006">
      <mc:Choice Requires="x14">
        <control shapeId="9217" r:id="rId8" name="Cmd_Btn_VAR_Check">
          <controlPr defaultSize="0" autoLine="0" r:id="rId9">
            <anchor moveWithCells="1">
              <from>
                <xdr:col>5</xdr:col>
                <xdr:colOff>600075</xdr:colOff>
                <xdr:row>3</xdr:row>
                <xdr:rowOff>0</xdr:rowOff>
              </from>
              <to>
                <xdr:col>8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9217" r:id="rId8" name="Cmd_Btn_VAR_Check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"/>
  <sheetViews>
    <sheetView workbookViewId="0"/>
  </sheetViews>
  <sheetFormatPr defaultRowHeight="15"/>
  <sheetData/>
  <customSheetViews>
    <customSheetView guid="{751D391F-C74F-4B53-B5B5-25E01AC12EA4}">
      <pageMargins left="0.7" right="0.7" top="0.75" bottom="0.75" header="0.3" footer="0.3"/>
    </customSheetView>
    <customSheetView guid="{4DB6C640-CE65-4513-9E5A-F6CDD1F4B8AF}">
      <pageMargins left="0.7" right="0.7" top="0.75" bottom="0.75" header="0.3" footer="0.3"/>
    </customSheetView>
    <customSheetView guid="{D1D1E152-95AB-45D3-AC07-4EC0834D3E0C}">
      <pageMargins left="0.7" right="0.7" top="0.75" bottom="0.75" header="0.3" footer="0.3"/>
    </customSheetView>
    <customSheetView guid="{C3348F62-02F2-4500-9BF2-19F2DEA57A8D}" showPageBreaks="1"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32</vt:i4>
      </vt:variant>
    </vt:vector>
  </HeadingPairs>
  <TitlesOfParts>
    <vt:vector size="61" baseType="lpstr">
      <vt:lpstr>GEntry</vt:lpstr>
      <vt:lpstr>FWise</vt:lpstr>
      <vt:lpstr>MVAR-Yesterday</vt:lpstr>
      <vt:lpstr>Forecast</vt:lpstr>
      <vt:lpstr>P2</vt:lpstr>
      <vt:lpstr>Ch</vt:lpstr>
      <vt:lpstr>PM</vt:lpstr>
      <vt:lpstr>Generation</vt:lpstr>
      <vt:lpstr>EvReport</vt:lpstr>
      <vt:lpstr>EvBangla</vt:lpstr>
      <vt:lpstr>DGFI</vt:lpstr>
      <vt:lpstr>EWIC</vt:lpstr>
      <vt:lpstr>P1</vt:lpstr>
      <vt:lpstr>P3</vt:lpstr>
      <vt:lpstr>Volt</vt:lpstr>
      <vt:lpstr>YesterdayGen</vt:lpstr>
      <vt:lpstr>L-Curve</vt:lpstr>
      <vt:lpstr>En-Curve</vt:lpstr>
      <vt:lpstr>SMS</vt:lpstr>
      <vt:lpstr>NSI Reading</vt:lpstr>
      <vt:lpstr>P-Sum</vt:lpstr>
      <vt:lpstr>Demand</vt:lpstr>
      <vt:lpstr>YesterdayFWise</vt:lpstr>
      <vt:lpstr>Master</vt:lpstr>
      <vt:lpstr>Zone Wise Gen</vt:lpstr>
      <vt:lpstr>solar</vt:lpstr>
      <vt:lpstr>EnReport</vt:lpstr>
      <vt:lpstr>VAR</vt:lpstr>
      <vt:lpstr>Sheet2</vt:lpstr>
      <vt:lpstr>Volt!A</vt:lpstr>
      <vt:lpstr>DeleteB2</vt:lpstr>
      <vt:lpstr>DeleteC1</vt:lpstr>
      <vt:lpstr>DeleteC2</vt:lpstr>
      <vt:lpstr>Eastern</vt:lpstr>
      <vt:lpstr>Evening</vt:lpstr>
      <vt:lpstr>HVDC</vt:lpstr>
      <vt:lpstr>Kaptai</vt:lpstr>
      <vt:lpstr>Morning</vt:lpstr>
      <vt:lpstr>Night</vt:lpstr>
      <vt:lpstr>Ch!Print_Area</vt:lpstr>
      <vt:lpstr>DGFI!Print_Area</vt:lpstr>
      <vt:lpstr>'En-Curve'!Print_Area</vt:lpstr>
      <vt:lpstr>EnReport!Print_Area</vt:lpstr>
      <vt:lpstr>EvBangla!Print_Area</vt:lpstr>
      <vt:lpstr>EvReport!Print_Area</vt:lpstr>
      <vt:lpstr>Forecast!Print_Area</vt:lpstr>
      <vt:lpstr>FWise!Print_Area</vt:lpstr>
      <vt:lpstr>Generation!Print_Area</vt:lpstr>
      <vt:lpstr>'L-Curve'!Print_Area</vt:lpstr>
      <vt:lpstr>'P1'!Print_Area</vt:lpstr>
      <vt:lpstr>'P2'!Print_Area</vt:lpstr>
      <vt:lpstr>'P3'!Print_Area</vt:lpstr>
      <vt:lpstr>PM!Print_Area</vt:lpstr>
      <vt:lpstr>Volt!Print_Area</vt:lpstr>
      <vt:lpstr>YesterdayFWise!Print_Area</vt:lpstr>
      <vt:lpstr>'Zone Wise Gen'!Print_Area</vt:lpstr>
      <vt:lpstr>EvReport!Print_Titles</vt:lpstr>
      <vt:lpstr>Forecast!Print_Titles</vt:lpstr>
      <vt:lpstr>'P2'!Print_Titles</vt:lpstr>
      <vt:lpstr>Volt!Print_Titles</vt:lpstr>
      <vt:lpstr>Water_Level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KzamaN</dc:creator>
  <cp:lastModifiedBy>hE</cp:lastModifiedBy>
  <cp:lastPrinted>2022-08-08T05:47:39Z</cp:lastPrinted>
  <dcterms:created xsi:type="dcterms:W3CDTF">2006-09-16T00:00:00Z</dcterms:created>
  <dcterms:modified xsi:type="dcterms:W3CDTF">2022-08-13T06:39:27Z</dcterms:modified>
</cp:coreProperties>
</file>