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7655" windowHeight="6150" tabRatio="989" activeTab="2"/>
  </bookViews>
  <sheets>
    <sheet name="IR CALCULE" sheetId="2" r:id="rId1"/>
    <sheet name="Barème" sheetId="22" r:id="rId2"/>
    <sheet name="IR ANNUEL" sheetId="4" r:id="rId3"/>
    <sheet name="BULLTEIN DE PAIE MOIS 01" sheetId="10" r:id="rId4"/>
    <sheet name="BULLTEIN DE PAIE MOIS 02" sheetId="12" r:id="rId5"/>
    <sheet name="BULLTEIN DE PAIE MOIS 03" sheetId="14" r:id="rId6"/>
    <sheet name="BULLTEIN DE PAIE MOIS 04" sheetId="15" r:id="rId7"/>
    <sheet name="BULLTEIN DE PAIE MOIS 05" sheetId="16" r:id="rId8"/>
    <sheet name="BULLTEIN DE PAIE MOIS 06" sheetId="17" r:id="rId9"/>
    <sheet name="BULLTEIN DE PAIE MOIS 07" sheetId="18" r:id="rId10"/>
    <sheet name="BULLTEIN DE PAIE MOIS 08" sheetId="20" r:id="rId11"/>
    <sheet name="BULLTEIN DE PAIE MOIS 09" sheetId="21" r:id="rId12"/>
    <sheet name="BULLTEIN DE PAIE MOIS 10" sheetId="6" r:id="rId13"/>
    <sheet name="BULLTEIN DE PAIE MOIS 11" sheetId="8" r:id="rId14"/>
    <sheet name="BULLTEIN DE PAIE MOIS 12" sheetId="9" r:id="rId15"/>
  </sheets>
  <externalReferences>
    <externalReference r:id="rId16"/>
  </externalReferences>
  <calcPr calcId="125725"/>
</workbook>
</file>

<file path=xl/calcChain.xml><?xml version="1.0" encoding="utf-8"?>
<calcChain xmlns="http://schemas.openxmlformats.org/spreadsheetml/2006/main">
  <c r="L5" i="4"/>
  <c r="L6"/>
  <c r="L7"/>
  <c r="L8"/>
  <c r="L9"/>
  <c r="L10"/>
  <c r="L11"/>
  <c r="I19" i="22"/>
  <c r="I18"/>
  <c r="I17"/>
  <c r="I16"/>
  <c r="I15"/>
  <c r="I14"/>
  <c r="I53" i="21"/>
  <c r="H409"/>
  <c r="J409" s="1"/>
  <c r="I406"/>
  <c r="K402"/>
  <c r="K401"/>
  <c r="K400"/>
  <c r="H400"/>
  <c r="K394"/>
  <c r="H394"/>
  <c r="I388"/>
  <c r="G386"/>
  <c r="H386" s="1"/>
  <c r="I384"/>
  <c r="I383"/>
  <c r="I382"/>
  <c r="I380"/>
  <c r="I379"/>
  <c r="J378"/>
  <c r="J377"/>
  <c r="I376"/>
  <c r="I375"/>
  <c r="I374" s="1"/>
  <c r="I353"/>
  <c r="J349"/>
  <c r="H349"/>
  <c r="I346"/>
  <c r="K342"/>
  <c r="K341"/>
  <c r="K340"/>
  <c r="H340"/>
  <c r="K334"/>
  <c r="H334"/>
  <c r="I328"/>
  <c r="G326"/>
  <c r="H326" s="1"/>
  <c r="I324"/>
  <c r="I323"/>
  <c r="I322"/>
  <c r="I320"/>
  <c r="I319"/>
  <c r="J318"/>
  <c r="J317"/>
  <c r="I316"/>
  <c r="I315"/>
  <c r="I314" s="1"/>
  <c r="H289"/>
  <c r="J289" s="1"/>
  <c r="I286"/>
  <c r="K282"/>
  <c r="K281"/>
  <c r="K280"/>
  <c r="H280"/>
  <c r="K274"/>
  <c r="H274"/>
  <c r="I268"/>
  <c r="G266"/>
  <c r="H266" s="1"/>
  <c r="I264"/>
  <c r="I263"/>
  <c r="I262"/>
  <c r="I260"/>
  <c r="I259"/>
  <c r="J258"/>
  <c r="J257"/>
  <c r="I256"/>
  <c r="I255"/>
  <c r="I254" s="1"/>
  <c r="I233"/>
  <c r="H229"/>
  <c r="J229" s="1"/>
  <c r="I226"/>
  <c r="K222"/>
  <c r="K221"/>
  <c r="K220"/>
  <c r="H220"/>
  <c r="K214"/>
  <c r="H214"/>
  <c r="I208"/>
  <c r="G206"/>
  <c r="H206" s="1"/>
  <c r="I204"/>
  <c r="I203"/>
  <c r="I202"/>
  <c r="I200"/>
  <c r="I199"/>
  <c r="J198"/>
  <c r="J197"/>
  <c r="I196"/>
  <c r="I195"/>
  <c r="I173"/>
  <c r="H169"/>
  <c r="J169" s="1"/>
  <c r="I166"/>
  <c r="K162"/>
  <c r="K161"/>
  <c r="K160"/>
  <c r="H160"/>
  <c r="K154"/>
  <c r="H154"/>
  <c r="I148"/>
  <c r="G146"/>
  <c r="I144"/>
  <c r="I143"/>
  <c r="I142"/>
  <c r="I140"/>
  <c r="I139"/>
  <c r="J138"/>
  <c r="J137"/>
  <c r="I136"/>
  <c r="I135"/>
  <c r="I113"/>
  <c r="H109"/>
  <c r="J109" s="1"/>
  <c r="J110" s="1"/>
  <c r="D116" s="1"/>
  <c r="I106"/>
  <c r="K102"/>
  <c r="K101"/>
  <c r="K100"/>
  <c r="H100"/>
  <c r="K94"/>
  <c r="H94"/>
  <c r="I88"/>
  <c r="G86"/>
  <c r="I84"/>
  <c r="I83"/>
  <c r="I82"/>
  <c r="I80"/>
  <c r="I79"/>
  <c r="J78"/>
  <c r="J77"/>
  <c r="I76"/>
  <c r="I74" s="1"/>
  <c r="I75"/>
  <c r="H49"/>
  <c r="J49" s="1"/>
  <c r="I46"/>
  <c r="K42"/>
  <c r="K41"/>
  <c r="K40"/>
  <c r="H40"/>
  <c r="K34"/>
  <c r="H34"/>
  <c r="I28"/>
  <c r="G26"/>
  <c r="H26" s="1"/>
  <c r="I24"/>
  <c r="I23"/>
  <c r="I22"/>
  <c r="I20"/>
  <c r="I19"/>
  <c r="J18"/>
  <c r="J17"/>
  <c r="I16"/>
  <c r="I15"/>
  <c r="I53" i="20"/>
  <c r="H409"/>
  <c r="J409" s="1"/>
  <c r="I406"/>
  <c r="K402"/>
  <c r="K401"/>
  <c r="K400"/>
  <c r="H400"/>
  <c r="K394"/>
  <c r="H394"/>
  <c r="I388"/>
  <c r="G386"/>
  <c r="H386" s="1"/>
  <c r="I384"/>
  <c r="I383"/>
  <c r="I382"/>
  <c r="I380"/>
  <c r="I379"/>
  <c r="J378"/>
  <c r="J377"/>
  <c r="I376"/>
  <c r="I375"/>
  <c r="I353"/>
  <c r="J349"/>
  <c r="H349"/>
  <c r="I346"/>
  <c r="K342"/>
  <c r="K341"/>
  <c r="K340"/>
  <c r="H340"/>
  <c r="K334"/>
  <c r="H334"/>
  <c r="I328"/>
  <c r="G326"/>
  <c r="H326" s="1"/>
  <c r="I324"/>
  <c r="I323"/>
  <c r="I322"/>
  <c r="I320"/>
  <c r="I319"/>
  <c r="J318"/>
  <c r="J317"/>
  <c r="I316"/>
  <c r="I315"/>
  <c r="I314" s="1"/>
  <c r="H289"/>
  <c r="J289" s="1"/>
  <c r="I286"/>
  <c r="K282"/>
  <c r="K281"/>
  <c r="K280"/>
  <c r="H280"/>
  <c r="K274"/>
  <c r="H274"/>
  <c r="I268"/>
  <c r="G266"/>
  <c r="H266" s="1"/>
  <c r="I264"/>
  <c r="I263"/>
  <c r="I262"/>
  <c r="I260"/>
  <c r="I259"/>
  <c r="J258"/>
  <c r="J257"/>
  <c r="I256"/>
  <c r="I254" s="1"/>
  <c r="I255"/>
  <c r="I233"/>
  <c r="H229"/>
  <c r="J229" s="1"/>
  <c r="I226"/>
  <c r="K222"/>
  <c r="K221"/>
  <c r="K220"/>
  <c r="H220"/>
  <c r="K214"/>
  <c r="H214"/>
  <c r="I208"/>
  <c r="G206"/>
  <c r="H206" s="1"/>
  <c r="I204"/>
  <c r="I203"/>
  <c r="I202"/>
  <c r="I200"/>
  <c r="I199"/>
  <c r="J198"/>
  <c r="J197"/>
  <c r="I196"/>
  <c r="I195"/>
  <c r="I173"/>
  <c r="H169"/>
  <c r="J169" s="1"/>
  <c r="I166"/>
  <c r="K162"/>
  <c r="K161"/>
  <c r="K160"/>
  <c r="H160"/>
  <c r="K154"/>
  <c r="H154"/>
  <c r="I148"/>
  <c r="G146"/>
  <c r="I144"/>
  <c r="I143"/>
  <c r="I142"/>
  <c r="I140"/>
  <c r="I139"/>
  <c r="J138"/>
  <c r="J137"/>
  <c r="I136"/>
  <c r="I135"/>
  <c r="I113"/>
  <c r="H109"/>
  <c r="J109" s="1"/>
  <c r="J110" s="1"/>
  <c r="D116" s="1"/>
  <c r="I106"/>
  <c r="K102"/>
  <c r="K101"/>
  <c r="K100"/>
  <c r="H100"/>
  <c r="K94"/>
  <c r="H94"/>
  <c r="I88"/>
  <c r="G86"/>
  <c r="I84"/>
  <c r="I83"/>
  <c r="I82"/>
  <c r="I80"/>
  <c r="I79"/>
  <c r="J78"/>
  <c r="J77"/>
  <c r="I74" s="1"/>
  <c r="I76"/>
  <c r="I75"/>
  <c r="H49"/>
  <c r="J49" s="1"/>
  <c r="I46"/>
  <c r="K42"/>
  <c r="K41"/>
  <c r="K40"/>
  <c r="H40"/>
  <c r="K34"/>
  <c r="H34"/>
  <c r="I28"/>
  <c r="G26"/>
  <c r="H26" s="1"/>
  <c r="I24"/>
  <c r="I23"/>
  <c r="I22"/>
  <c r="I20"/>
  <c r="I19"/>
  <c r="J18"/>
  <c r="J17"/>
  <c r="I16"/>
  <c r="I15"/>
  <c r="I53" i="17"/>
  <c r="J409" i="18"/>
  <c r="H409"/>
  <c r="I406"/>
  <c r="K402"/>
  <c r="K401"/>
  <c r="K400"/>
  <c r="H400"/>
  <c r="K394"/>
  <c r="H394"/>
  <c r="I388"/>
  <c r="G386"/>
  <c r="H386" s="1"/>
  <c r="I384"/>
  <c r="I383"/>
  <c r="I382"/>
  <c r="I380"/>
  <c r="I379"/>
  <c r="J378"/>
  <c r="J377"/>
  <c r="I376"/>
  <c r="I375"/>
  <c r="I353"/>
  <c r="J349"/>
  <c r="H349"/>
  <c r="I346"/>
  <c r="K342"/>
  <c r="K341"/>
  <c r="K340"/>
  <c r="H340"/>
  <c r="K334"/>
  <c r="H334"/>
  <c r="I328"/>
  <c r="G326"/>
  <c r="H326" s="1"/>
  <c r="I324"/>
  <c r="I323"/>
  <c r="I322"/>
  <c r="I320"/>
  <c r="I319"/>
  <c r="J318"/>
  <c r="J317"/>
  <c r="I316"/>
  <c r="I315"/>
  <c r="I314" s="1"/>
  <c r="H289"/>
  <c r="J289" s="1"/>
  <c r="I286"/>
  <c r="K282"/>
  <c r="K281"/>
  <c r="K280"/>
  <c r="H280"/>
  <c r="K274"/>
  <c r="H274"/>
  <c r="I268"/>
  <c r="G266"/>
  <c r="H266" s="1"/>
  <c r="I264"/>
  <c r="I263"/>
  <c r="I262"/>
  <c r="I260"/>
  <c r="I259"/>
  <c r="J258"/>
  <c r="J257"/>
  <c r="I256"/>
  <c r="I255"/>
  <c r="I233"/>
  <c r="H229"/>
  <c r="J229" s="1"/>
  <c r="I226"/>
  <c r="K222"/>
  <c r="K221"/>
  <c r="K220"/>
  <c r="H220"/>
  <c r="K214"/>
  <c r="H214"/>
  <c r="I208"/>
  <c r="H206"/>
  <c r="G206"/>
  <c r="I204"/>
  <c r="I203"/>
  <c r="I202"/>
  <c r="I200"/>
  <c r="I199"/>
  <c r="J198"/>
  <c r="J197"/>
  <c r="I196"/>
  <c r="I195"/>
  <c r="I173"/>
  <c r="H169"/>
  <c r="J169" s="1"/>
  <c r="I166"/>
  <c r="K162"/>
  <c r="K161"/>
  <c r="K160"/>
  <c r="H160"/>
  <c r="K154"/>
  <c r="H154"/>
  <c r="I148"/>
  <c r="G146"/>
  <c r="I144"/>
  <c r="I143"/>
  <c r="I142"/>
  <c r="I140"/>
  <c r="I139"/>
  <c r="J138"/>
  <c r="J137"/>
  <c r="I136"/>
  <c r="I135"/>
  <c r="I113"/>
  <c r="H109"/>
  <c r="J109" s="1"/>
  <c r="J110" s="1"/>
  <c r="D116" s="1"/>
  <c r="I106"/>
  <c r="K102"/>
  <c r="K101"/>
  <c r="K100"/>
  <c r="H100"/>
  <c r="K94"/>
  <c r="H94"/>
  <c r="I88"/>
  <c r="G86"/>
  <c r="I84"/>
  <c r="I83"/>
  <c r="I82"/>
  <c r="I80"/>
  <c r="I79"/>
  <c r="J78"/>
  <c r="J77"/>
  <c r="I76"/>
  <c r="I75"/>
  <c r="I74"/>
  <c r="I53"/>
  <c r="H49"/>
  <c r="J49" s="1"/>
  <c r="I46"/>
  <c r="K42"/>
  <c r="K41"/>
  <c r="K40"/>
  <c r="H40"/>
  <c r="K34"/>
  <c r="H34"/>
  <c r="I28"/>
  <c r="G26"/>
  <c r="H26" s="1"/>
  <c r="I24"/>
  <c r="I23"/>
  <c r="I22"/>
  <c r="I20"/>
  <c r="I19"/>
  <c r="J18"/>
  <c r="J17"/>
  <c r="I16"/>
  <c r="I15"/>
  <c r="I233" i="17"/>
  <c r="I173"/>
  <c r="I113"/>
  <c r="H409"/>
  <c r="J409" s="1"/>
  <c r="I406"/>
  <c r="K402"/>
  <c r="K401"/>
  <c r="K400"/>
  <c r="H400"/>
  <c r="K394"/>
  <c r="H394"/>
  <c r="I388"/>
  <c r="G386"/>
  <c r="H386" s="1"/>
  <c r="I384"/>
  <c r="I383"/>
  <c r="I382"/>
  <c r="I380"/>
  <c r="I379"/>
  <c r="J378"/>
  <c r="J377"/>
  <c r="I376"/>
  <c r="I375"/>
  <c r="I353"/>
  <c r="H349"/>
  <c r="J349" s="1"/>
  <c r="I346"/>
  <c r="K342"/>
  <c r="K341"/>
  <c r="K340"/>
  <c r="H340"/>
  <c r="K334"/>
  <c r="H334"/>
  <c r="I328"/>
  <c r="G326"/>
  <c r="H326" s="1"/>
  <c r="I324"/>
  <c r="I323"/>
  <c r="I322"/>
  <c r="I320"/>
  <c r="I319"/>
  <c r="J318"/>
  <c r="J317"/>
  <c r="I314" s="1"/>
  <c r="I316"/>
  <c r="I315"/>
  <c r="H289"/>
  <c r="J289" s="1"/>
  <c r="I286"/>
  <c r="K282"/>
  <c r="K281"/>
  <c r="K280"/>
  <c r="H280"/>
  <c r="K274"/>
  <c r="H274"/>
  <c r="I268"/>
  <c r="G266"/>
  <c r="H266" s="1"/>
  <c r="I264"/>
  <c r="I263"/>
  <c r="I262"/>
  <c r="I260"/>
  <c r="I259"/>
  <c r="J258"/>
  <c r="J257"/>
  <c r="I254" s="1"/>
  <c r="I256"/>
  <c r="I255"/>
  <c r="J229"/>
  <c r="H229"/>
  <c r="I226"/>
  <c r="K222"/>
  <c r="K221"/>
  <c r="K220"/>
  <c r="H220"/>
  <c r="K214"/>
  <c r="H214"/>
  <c r="I208"/>
  <c r="G206"/>
  <c r="H206" s="1"/>
  <c r="I204"/>
  <c r="I203"/>
  <c r="I202"/>
  <c r="I200"/>
  <c r="I199"/>
  <c r="J198"/>
  <c r="J197"/>
  <c r="I196"/>
  <c r="I195"/>
  <c r="H169"/>
  <c r="J169" s="1"/>
  <c r="I166"/>
  <c r="K162"/>
  <c r="K161"/>
  <c r="K160"/>
  <c r="H160"/>
  <c r="K154"/>
  <c r="H154"/>
  <c r="I148"/>
  <c r="G146"/>
  <c r="I144"/>
  <c r="I143"/>
  <c r="I142"/>
  <c r="I140"/>
  <c r="I139"/>
  <c r="J138"/>
  <c r="J137"/>
  <c r="I136"/>
  <c r="I135"/>
  <c r="H109"/>
  <c r="J109" s="1"/>
  <c r="J110" s="1"/>
  <c r="D116" s="1"/>
  <c r="I106"/>
  <c r="K102"/>
  <c r="K101"/>
  <c r="K100"/>
  <c r="H100"/>
  <c r="K94"/>
  <c r="H94"/>
  <c r="I88"/>
  <c r="G86"/>
  <c r="I84"/>
  <c r="I83"/>
  <c r="I82"/>
  <c r="I80"/>
  <c r="I79"/>
  <c r="J78"/>
  <c r="J77"/>
  <c r="I76"/>
  <c r="I75"/>
  <c r="H49"/>
  <c r="J49" s="1"/>
  <c r="I46"/>
  <c r="K42"/>
  <c r="K41"/>
  <c r="K40"/>
  <c r="H40"/>
  <c r="K34"/>
  <c r="H34"/>
  <c r="I28"/>
  <c r="G26"/>
  <c r="H26" s="1"/>
  <c r="I24"/>
  <c r="I23"/>
  <c r="I22"/>
  <c r="I20"/>
  <c r="I19"/>
  <c r="J18"/>
  <c r="J17"/>
  <c r="I16"/>
  <c r="I15"/>
  <c r="I173" i="16"/>
  <c r="I173" i="15"/>
  <c r="I113"/>
  <c r="I113" i="16"/>
  <c r="I53"/>
  <c r="H409"/>
  <c r="J409" s="1"/>
  <c r="I406"/>
  <c r="K402"/>
  <c r="K401"/>
  <c r="K400"/>
  <c r="H400"/>
  <c r="K394"/>
  <c r="H394"/>
  <c r="I388"/>
  <c r="G386"/>
  <c r="H386" s="1"/>
  <c r="I384"/>
  <c r="I383"/>
  <c r="I382"/>
  <c r="I380"/>
  <c r="I379"/>
  <c r="J378"/>
  <c r="J377"/>
  <c r="I376"/>
  <c r="I375"/>
  <c r="I374" s="1"/>
  <c r="I353"/>
  <c r="H349"/>
  <c r="J349" s="1"/>
  <c r="I346"/>
  <c r="K342"/>
  <c r="K341"/>
  <c r="K340"/>
  <c r="H340"/>
  <c r="K334"/>
  <c r="H334"/>
  <c r="I328"/>
  <c r="H326"/>
  <c r="G326"/>
  <c r="I324"/>
  <c r="I323"/>
  <c r="I322"/>
  <c r="I320"/>
  <c r="I319"/>
  <c r="J318"/>
  <c r="J317"/>
  <c r="I316"/>
  <c r="I315"/>
  <c r="H289"/>
  <c r="J289" s="1"/>
  <c r="I286"/>
  <c r="K282"/>
  <c r="K281"/>
  <c r="K280"/>
  <c r="H280"/>
  <c r="K274"/>
  <c r="H274"/>
  <c r="I268"/>
  <c r="H266"/>
  <c r="G266"/>
  <c r="I264"/>
  <c r="I263"/>
  <c r="I262"/>
  <c r="I260"/>
  <c r="I259"/>
  <c r="J258"/>
  <c r="J257"/>
  <c r="I256"/>
  <c r="I255"/>
  <c r="I233"/>
  <c r="H229"/>
  <c r="J229" s="1"/>
  <c r="I226"/>
  <c r="K222"/>
  <c r="K221"/>
  <c r="K220"/>
  <c r="H220"/>
  <c r="K214"/>
  <c r="H214"/>
  <c r="I208"/>
  <c r="G206"/>
  <c r="H206" s="1"/>
  <c r="I204"/>
  <c r="I203"/>
  <c r="I202"/>
  <c r="I200"/>
  <c r="I199"/>
  <c r="J198"/>
  <c r="J197"/>
  <c r="I196"/>
  <c r="I195"/>
  <c r="J169"/>
  <c r="H169"/>
  <c r="I166"/>
  <c r="K162"/>
  <c r="K161"/>
  <c r="K160"/>
  <c r="H160"/>
  <c r="K154"/>
  <c r="H154"/>
  <c r="I148"/>
  <c r="G146"/>
  <c r="I144"/>
  <c r="I143"/>
  <c r="I142"/>
  <c r="I140"/>
  <c r="I139"/>
  <c r="J138"/>
  <c r="J137"/>
  <c r="I136"/>
  <c r="I135"/>
  <c r="J109"/>
  <c r="H109"/>
  <c r="I106"/>
  <c r="K102"/>
  <c r="K101"/>
  <c r="K100"/>
  <c r="H100"/>
  <c r="K94"/>
  <c r="H94"/>
  <c r="I88"/>
  <c r="G86"/>
  <c r="I84"/>
  <c r="I83"/>
  <c r="I82"/>
  <c r="I80"/>
  <c r="I79"/>
  <c r="J78"/>
  <c r="J77"/>
  <c r="I76"/>
  <c r="I75"/>
  <c r="J49"/>
  <c r="H49"/>
  <c r="I46"/>
  <c r="K42"/>
  <c r="K41"/>
  <c r="K40"/>
  <c r="H40"/>
  <c r="K34"/>
  <c r="H34"/>
  <c r="I28"/>
  <c r="G26"/>
  <c r="H26" s="1"/>
  <c r="I24"/>
  <c r="I23"/>
  <c r="I22"/>
  <c r="I20"/>
  <c r="I19"/>
  <c r="J18"/>
  <c r="J17"/>
  <c r="I16"/>
  <c r="I15"/>
  <c r="J409" i="15"/>
  <c r="H409"/>
  <c r="I406"/>
  <c r="K402"/>
  <c r="K401"/>
  <c r="K400"/>
  <c r="H400"/>
  <c r="K394"/>
  <c r="H394"/>
  <c r="I388"/>
  <c r="G386"/>
  <c r="H386" s="1"/>
  <c r="I384"/>
  <c r="I383"/>
  <c r="I382"/>
  <c r="I380"/>
  <c r="I379"/>
  <c r="J378"/>
  <c r="J377"/>
  <c r="I376"/>
  <c r="I375"/>
  <c r="I353"/>
  <c r="H349"/>
  <c r="J349" s="1"/>
  <c r="I346"/>
  <c r="K342"/>
  <c r="K341"/>
  <c r="K340"/>
  <c r="H340"/>
  <c r="K334"/>
  <c r="H334"/>
  <c r="I328"/>
  <c r="G326"/>
  <c r="H326" s="1"/>
  <c r="I324"/>
  <c r="I323"/>
  <c r="I322"/>
  <c r="I320"/>
  <c r="I319"/>
  <c r="J318"/>
  <c r="J317"/>
  <c r="I316"/>
  <c r="I315"/>
  <c r="I314" s="1"/>
  <c r="H289"/>
  <c r="J289" s="1"/>
  <c r="I286"/>
  <c r="K282"/>
  <c r="K281"/>
  <c r="K280"/>
  <c r="H280"/>
  <c r="K274"/>
  <c r="H274"/>
  <c r="I268"/>
  <c r="G266"/>
  <c r="H266" s="1"/>
  <c r="I264"/>
  <c r="I263"/>
  <c r="I262"/>
  <c r="I260"/>
  <c r="I259"/>
  <c r="J258"/>
  <c r="J257"/>
  <c r="I256"/>
  <c r="I255"/>
  <c r="I254" s="1"/>
  <c r="I233"/>
  <c r="H229"/>
  <c r="J229" s="1"/>
  <c r="I226"/>
  <c r="K222"/>
  <c r="K221"/>
  <c r="K220"/>
  <c r="H220"/>
  <c r="K214"/>
  <c r="H214"/>
  <c r="I208"/>
  <c r="G206"/>
  <c r="H206" s="1"/>
  <c r="I204"/>
  <c r="I203"/>
  <c r="I202"/>
  <c r="I200"/>
  <c r="I199"/>
  <c r="J198"/>
  <c r="J197"/>
  <c r="I196"/>
  <c r="I195"/>
  <c r="H169"/>
  <c r="J169" s="1"/>
  <c r="I166"/>
  <c r="K162"/>
  <c r="K161"/>
  <c r="K160"/>
  <c r="H160"/>
  <c r="K154"/>
  <c r="H154"/>
  <c r="I148"/>
  <c r="G146"/>
  <c r="I144"/>
  <c r="I143"/>
  <c r="I142"/>
  <c r="I140"/>
  <c r="I139"/>
  <c r="J138"/>
  <c r="J137"/>
  <c r="I136"/>
  <c r="I134" s="1"/>
  <c r="I135"/>
  <c r="H109"/>
  <c r="J109" s="1"/>
  <c r="I106"/>
  <c r="K102"/>
  <c r="K101"/>
  <c r="K100"/>
  <c r="H100"/>
  <c r="K94"/>
  <c r="H94"/>
  <c r="I88"/>
  <c r="G86"/>
  <c r="I84"/>
  <c r="I83"/>
  <c r="I82"/>
  <c r="I80"/>
  <c r="I79"/>
  <c r="J78"/>
  <c r="J77"/>
  <c r="I76"/>
  <c r="I75"/>
  <c r="I53"/>
  <c r="H49"/>
  <c r="J49" s="1"/>
  <c r="I46"/>
  <c r="K42"/>
  <c r="K41"/>
  <c r="K40"/>
  <c r="H40"/>
  <c r="K34"/>
  <c r="H34"/>
  <c r="I28"/>
  <c r="G26"/>
  <c r="H26" s="1"/>
  <c r="I24"/>
  <c r="I23"/>
  <c r="I22"/>
  <c r="I20"/>
  <c r="I19"/>
  <c r="J18"/>
  <c r="J17"/>
  <c r="I16"/>
  <c r="I15"/>
  <c r="I14" s="1"/>
  <c r="H409" i="14"/>
  <c r="J409" s="1"/>
  <c r="I406"/>
  <c r="K402"/>
  <c r="K401"/>
  <c r="K400"/>
  <c r="H400"/>
  <c r="K394"/>
  <c r="H394"/>
  <c r="I388"/>
  <c r="G386"/>
  <c r="H386" s="1"/>
  <c r="I384"/>
  <c r="I383"/>
  <c r="I382"/>
  <c r="I380"/>
  <c r="I379"/>
  <c r="J378"/>
  <c r="J377"/>
  <c r="I376"/>
  <c r="I375"/>
  <c r="I353"/>
  <c r="H349"/>
  <c r="J349" s="1"/>
  <c r="I346"/>
  <c r="K342"/>
  <c r="K341"/>
  <c r="K340"/>
  <c r="H340"/>
  <c r="K334"/>
  <c r="H334"/>
  <c r="I328"/>
  <c r="G326"/>
  <c r="H326" s="1"/>
  <c r="I324"/>
  <c r="I323"/>
  <c r="I322"/>
  <c r="I320"/>
  <c r="I319"/>
  <c r="J318"/>
  <c r="J317"/>
  <c r="I314" s="1"/>
  <c r="I316"/>
  <c r="I315"/>
  <c r="H289"/>
  <c r="J289" s="1"/>
  <c r="I286"/>
  <c r="K282"/>
  <c r="K281"/>
  <c r="K280"/>
  <c r="H280"/>
  <c r="K274"/>
  <c r="H274"/>
  <c r="I268"/>
  <c r="G266"/>
  <c r="H266" s="1"/>
  <c r="I264"/>
  <c r="I263"/>
  <c r="I262"/>
  <c r="I260"/>
  <c r="I259"/>
  <c r="J258"/>
  <c r="J257"/>
  <c r="I254" s="1"/>
  <c r="I256"/>
  <c r="I255"/>
  <c r="I233"/>
  <c r="J229"/>
  <c r="H229"/>
  <c r="I226"/>
  <c r="K222"/>
  <c r="K221"/>
  <c r="K220"/>
  <c r="H220"/>
  <c r="K214"/>
  <c r="H214"/>
  <c r="I208"/>
  <c r="G206"/>
  <c r="H206" s="1"/>
  <c r="I204"/>
  <c r="I203"/>
  <c r="I202"/>
  <c r="I200"/>
  <c r="I199"/>
  <c r="J198"/>
  <c r="J197"/>
  <c r="I196"/>
  <c r="I195"/>
  <c r="I194" s="1"/>
  <c r="I173"/>
  <c r="H169"/>
  <c r="J169" s="1"/>
  <c r="I166"/>
  <c r="K162"/>
  <c r="K161"/>
  <c r="K160"/>
  <c r="H160"/>
  <c r="K154"/>
  <c r="H154"/>
  <c r="I148"/>
  <c r="G146"/>
  <c r="H146" s="1"/>
  <c r="I144"/>
  <c r="I143"/>
  <c r="I142"/>
  <c r="I140"/>
  <c r="I139"/>
  <c r="J138"/>
  <c r="J137"/>
  <c r="I136"/>
  <c r="I134" s="1"/>
  <c r="I135"/>
  <c r="I113"/>
  <c r="H109"/>
  <c r="J109" s="1"/>
  <c r="I106"/>
  <c r="K102"/>
  <c r="K101"/>
  <c r="K100"/>
  <c r="H100"/>
  <c r="K94"/>
  <c r="H94"/>
  <c r="I88"/>
  <c r="G86"/>
  <c r="H86" s="1"/>
  <c r="I84"/>
  <c r="I83"/>
  <c r="I82"/>
  <c r="I80"/>
  <c r="I79"/>
  <c r="J78"/>
  <c r="J77"/>
  <c r="I76"/>
  <c r="I75"/>
  <c r="I53"/>
  <c r="H49"/>
  <c r="J49" s="1"/>
  <c r="I46"/>
  <c r="K42"/>
  <c r="K41"/>
  <c r="K40"/>
  <c r="H40"/>
  <c r="K34"/>
  <c r="H34"/>
  <c r="I28"/>
  <c r="G26"/>
  <c r="H26" s="1"/>
  <c r="I24"/>
  <c r="I23"/>
  <c r="I22"/>
  <c r="I20"/>
  <c r="I19"/>
  <c r="J18"/>
  <c r="J17"/>
  <c r="I14" s="1"/>
  <c r="I16"/>
  <c r="I15"/>
  <c r="I233" i="12"/>
  <c r="I173"/>
  <c r="I113"/>
  <c r="H409"/>
  <c r="J409" s="1"/>
  <c r="I406"/>
  <c r="K402"/>
  <c r="K401"/>
  <c r="K400"/>
  <c r="H400"/>
  <c r="K394"/>
  <c r="H394"/>
  <c r="I388"/>
  <c r="G386"/>
  <c r="H386" s="1"/>
  <c r="I384"/>
  <c r="I383"/>
  <c r="I382"/>
  <c r="I380"/>
  <c r="I379"/>
  <c r="J378"/>
  <c r="J377"/>
  <c r="I376"/>
  <c r="I375"/>
  <c r="I374" s="1"/>
  <c r="I353"/>
  <c r="J349"/>
  <c r="H349"/>
  <c r="I346"/>
  <c r="K342"/>
  <c r="K341"/>
  <c r="K340"/>
  <c r="H340"/>
  <c r="K334"/>
  <c r="H334"/>
  <c r="I328"/>
  <c r="G326"/>
  <c r="H326" s="1"/>
  <c r="I324"/>
  <c r="I323"/>
  <c r="I322"/>
  <c r="I320"/>
  <c r="I319"/>
  <c r="J318"/>
  <c r="J317"/>
  <c r="I316"/>
  <c r="I315"/>
  <c r="J289"/>
  <c r="H289"/>
  <c r="I286"/>
  <c r="K282"/>
  <c r="K281"/>
  <c r="K280"/>
  <c r="H280"/>
  <c r="K274"/>
  <c r="H274"/>
  <c r="I268"/>
  <c r="G266"/>
  <c r="H266" s="1"/>
  <c r="I264"/>
  <c r="I263"/>
  <c r="I262"/>
  <c r="I260"/>
  <c r="I259"/>
  <c r="J258"/>
  <c r="J257"/>
  <c r="I256"/>
  <c r="I255"/>
  <c r="H229"/>
  <c r="J229" s="1"/>
  <c r="I226"/>
  <c r="K222"/>
  <c r="K221"/>
  <c r="K220"/>
  <c r="H220"/>
  <c r="K214"/>
  <c r="H214"/>
  <c r="I208"/>
  <c r="H206"/>
  <c r="G206"/>
  <c r="I204"/>
  <c r="I203"/>
  <c r="I202"/>
  <c r="I200"/>
  <c r="I199"/>
  <c r="J198"/>
  <c r="J197"/>
  <c r="I196"/>
  <c r="I195"/>
  <c r="J169"/>
  <c r="H169"/>
  <c r="I166"/>
  <c r="K162"/>
  <c r="K161"/>
  <c r="K160"/>
  <c r="H160"/>
  <c r="K154"/>
  <c r="H154"/>
  <c r="I148"/>
  <c r="G146"/>
  <c r="H146" s="1"/>
  <c r="I144"/>
  <c r="I143"/>
  <c r="I142"/>
  <c r="I140"/>
  <c r="I139"/>
  <c r="J138"/>
  <c r="J137"/>
  <c r="I136"/>
  <c r="I135"/>
  <c r="H109"/>
  <c r="J109" s="1"/>
  <c r="I106"/>
  <c r="K102"/>
  <c r="K101"/>
  <c r="K100"/>
  <c r="H100"/>
  <c r="K94"/>
  <c r="H94"/>
  <c r="I88"/>
  <c r="G86"/>
  <c r="H86" s="1"/>
  <c r="I84"/>
  <c r="I83"/>
  <c r="I82"/>
  <c r="I80"/>
  <c r="I79"/>
  <c r="J78"/>
  <c r="J77"/>
  <c r="I74" s="1"/>
  <c r="I76"/>
  <c r="I75"/>
  <c r="I53"/>
  <c r="J49"/>
  <c r="H49"/>
  <c r="I46"/>
  <c r="K42"/>
  <c r="K41"/>
  <c r="K40"/>
  <c r="H40"/>
  <c r="K34"/>
  <c r="H34"/>
  <c r="I28"/>
  <c r="G26"/>
  <c r="H26" s="1"/>
  <c r="I24"/>
  <c r="I23"/>
  <c r="I22"/>
  <c r="I20"/>
  <c r="I19"/>
  <c r="J18"/>
  <c r="J17"/>
  <c r="I16"/>
  <c r="I15"/>
  <c r="I14" s="1"/>
  <c r="H409" i="10"/>
  <c r="J409" s="1"/>
  <c r="I406"/>
  <c r="J11" i="4" s="1"/>
  <c r="K402" i="10"/>
  <c r="K401"/>
  <c r="K400"/>
  <c r="H400"/>
  <c r="K394"/>
  <c r="H394"/>
  <c r="I388"/>
  <c r="G386"/>
  <c r="H386" s="1"/>
  <c r="I384"/>
  <c r="I383"/>
  <c r="I382"/>
  <c r="I380"/>
  <c r="I379"/>
  <c r="J378"/>
  <c r="J377"/>
  <c r="I376"/>
  <c r="I375"/>
  <c r="I374" s="1"/>
  <c r="I353"/>
  <c r="H349"/>
  <c r="J349" s="1"/>
  <c r="N10" i="4" s="1"/>
  <c r="I346" i="10"/>
  <c r="J10" i="4" s="1"/>
  <c r="K342" i="10"/>
  <c r="K341"/>
  <c r="K340"/>
  <c r="H340"/>
  <c r="K334"/>
  <c r="H334"/>
  <c r="I328"/>
  <c r="G326"/>
  <c r="H326" s="1"/>
  <c r="I324"/>
  <c r="I323"/>
  <c r="I322"/>
  <c r="I320"/>
  <c r="I319"/>
  <c r="J318"/>
  <c r="J317"/>
  <c r="I316"/>
  <c r="I315"/>
  <c r="H289"/>
  <c r="J289" s="1"/>
  <c r="I286"/>
  <c r="J9" i="4" s="1"/>
  <c r="K282" i="10"/>
  <c r="K281"/>
  <c r="K280"/>
  <c r="H280"/>
  <c r="K274"/>
  <c r="H274"/>
  <c r="I268"/>
  <c r="G266"/>
  <c r="H266" s="1"/>
  <c r="I264"/>
  <c r="I263"/>
  <c r="I262"/>
  <c r="I260"/>
  <c r="I259"/>
  <c r="J258"/>
  <c r="J257"/>
  <c r="I256"/>
  <c r="I255"/>
  <c r="I233"/>
  <c r="H229"/>
  <c r="J229" s="1"/>
  <c r="I226"/>
  <c r="J8" i="4" s="1"/>
  <c r="K222" i="10"/>
  <c r="K221"/>
  <c r="K220"/>
  <c r="H220"/>
  <c r="K214"/>
  <c r="H214"/>
  <c r="I208"/>
  <c r="H206"/>
  <c r="G206"/>
  <c r="I204"/>
  <c r="I203"/>
  <c r="I202"/>
  <c r="I200"/>
  <c r="I199"/>
  <c r="J198"/>
  <c r="J197"/>
  <c r="I196"/>
  <c r="I195"/>
  <c r="I194"/>
  <c r="I173"/>
  <c r="H169"/>
  <c r="J169" s="1"/>
  <c r="N7" i="4" s="1"/>
  <c r="I166" i="10"/>
  <c r="J7" i="4" s="1"/>
  <c r="K162" i="10"/>
  <c r="K161"/>
  <c r="K160"/>
  <c r="H160"/>
  <c r="K154"/>
  <c r="H154"/>
  <c r="I148"/>
  <c r="G146"/>
  <c r="H146" s="1"/>
  <c r="I144"/>
  <c r="I143"/>
  <c r="I142"/>
  <c r="I140"/>
  <c r="I139"/>
  <c r="J138"/>
  <c r="J137"/>
  <c r="I136"/>
  <c r="I135"/>
  <c r="I113"/>
  <c r="H109"/>
  <c r="J109" s="1"/>
  <c r="J6" i="4" s="1"/>
  <c r="I106" i="10"/>
  <c r="K102"/>
  <c r="K101"/>
  <c r="K100"/>
  <c r="H100"/>
  <c r="K94"/>
  <c r="H94"/>
  <c r="I88"/>
  <c r="G86"/>
  <c r="H86" s="1"/>
  <c r="I84"/>
  <c r="I83"/>
  <c r="I82"/>
  <c r="I80"/>
  <c r="I79"/>
  <c r="J78"/>
  <c r="J77"/>
  <c r="I76"/>
  <c r="I74" s="1"/>
  <c r="I75"/>
  <c r="I53"/>
  <c r="H49"/>
  <c r="J49" s="1"/>
  <c r="I46"/>
  <c r="J5" i="4" s="1"/>
  <c r="K42" i="10"/>
  <c r="K41"/>
  <c r="K40"/>
  <c r="H40"/>
  <c r="K34"/>
  <c r="H34"/>
  <c r="I28"/>
  <c r="G26"/>
  <c r="H26" s="1"/>
  <c r="I24"/>
  <c r="I23"/>
  <c r="I22"/>
  <c r="I20"/>
  <c r="I19"/>
  <c r="J18"/>
  <c r="J17"/>
  <c r="I16"/>
  <c r="I15"/>
  <c r="H409" i="9"/>
  <c r="J409" s="1"/>
  <c r="I406"/>
  <c r="K402"/>
  <c r="K401"/>
  <c r="K400"/>
  <c r="H400"/>
  <c r="K394"/>
  <c r="H394"/>
  <c r="I388"/>
  <c r="G386"/>
  <c r="H386" s="1"/>
  <c r="I384"/>
  <c r="I383"/>
  <c r="I382"/>
  <c r="I380"/>
  <c r="I379"/>
  <c r="J378"/>
  <c r="J377"/>
  <c r="I376"/>
  <c r="I375"/>
  <c r="I353"/>
  <c r="H349"/>
  <c r="J349" s="1"/>
  <c r="I346"/>
  <c r="K342"/>
  <c r="K341"/>
  <c r="K340"/>
  <c r="H340"/>
  <c r="K334"/>
  <c r="H334"/>
  <c r="I328"/>
  <c r="H326"/>
  <c r="G326"/>
  <c r="I324"/>
  <c r="I323"/>
  <c r="I322"/>
  <c r="I320"/>
  <c r="I319"/>
  <c r="J318"/>
  <c r="J317"/>
  <c r="I316"/>
  <c r="I315"/>
  <c r="I314"/>
  <c r="H289"/>
  <c r="J289" s="1"/>
  <c r="I286"/>
  <c r="K282"/>
  <c r="K281"/>
  <c r="K280"/>
  <c r="H280"/>
  <c r="K274"/>
  <c r="H274"/>
  <c r="I268"/>
  <c r="G266"/>
  <c r="H266" s="1"/>
  <c r="I264"/>
  <c r="I263"/>
  <c r="I262"/>
  <c r="I260"/>
  <c r="I259"/>
  <c r="J258"/>
  <c r="J257"/>
  <c r="I256"/>
  <c r="I255"/>
  <c r="I254" s="1"/>
  <c r="I233"/>
  <c r="H229"/>
  <c r="J229" s="1"/>
  <c r="I226"/>
  <c r="K222"/>
  <c r="K221"/>
  <c r="K220"/>
  <c r="H220"/>
  <c r="K214"/>
  <c r="H214"/>
  <c r="I208"/>
  <c r="G206"/>
  <c r="H206" s="1"/>
  <c r="I204"/>
  <c r="I203"/>
  <c r="I202"/>
  <c r="I200"/>
  <c r="I199"/>
  <c r="J198"/>
  <c r="J197"/>
  <c r="I196"/>
  <c r="I195"/>
  <c r="I173"/>
  <c r="H169"/>
  <c r="J169" s="1"/>
  <c r="I166"/>
  <c r="K162"/>
  <c r="K161"/>
  <c r="K160"/>
  <c r="H160"/>
  <c r="K154"/>
  <c r="H154"/>
  <c r="I148"/>
  <c r="H146"/>
  <c r="G146"/>
  <c r="I144"/>
  <c r="I143"/>
  <c r="I142"/>
  <c r="I140"/>
  <c r="I139"/>
  <c r="J138"/>
  <c r="J137"/>
  <c r="I136"/>
  <c r="I135"/>
  <c r="I113"/>
  <c r="J109"/>
  <c r="H109"/>
  <c r="I106"/>
  <c r="K102"/>
  <c r="K101"/>
  <c r="K100"/>
  <c r="H100"/>
  <c r="K94"/>
  <c r="H94"/>
  <c r="I88"/>
  <c r="G86"/>
  <c r="H86" s="1"/>
  <c r="I84"/>
  <c r="I83"/>
  <c r="I82"/>
  <c r="I80"/>
  <c r="I79"/>
  <c r="J78"/>
  <c r="J77"/>
  <c r="I76"/>
  <c r="I75"/>
  <c r="I74" s="1"/>
  <c r="I53"/>
  <c r="H49"/>
  <c r="J49" s="1"/>
  <c r="I46"/>
  <c r="K42"/>
  <c r="K41"/>
  <c r="K40"/>
  <c r="H40"/>
  <c r="K34"/>
  <c r="H34"/>
  <c r="I28"/>
  <c r="G26"/>
  <c r="H26" s="1"/>
  <c r="I24"/>
  <c r="I23"/>
  <c r="I22"/>
  <c r="I20"/>
  <c r="I19"/>
  <c r="J18"/>
  <c r="J17"/>
  <c r="I16"/>
  <c r="I15"/>
  <c r="I14" s="1"/>
  <c r="H409" i="8"/>
  <c r="J409" s="1"/>
  <c r="I406"/>
  <c r="K402"/>
  <c r="K401"/>
  <c r="K400"/>
  <c r="H400"/>
  <c r="K394"/>
  <c r="H394"/>
  <c r="I388"/>
  <c r="G386"/>
  <c r="H386" s="1"/>
  <c r="I384"/>
  <c r="I383"/>
  <c r="I382"/>
  <c r="I380"/>
  <c r="I379"/>
  <c r="J378"/>
  <c r="J377"/>
  <c r="I376"/>
  <c r="I375"/>
  <c r="I353"/>
  <c r="J349"/>
  <c r="H349"/>
  <c r="I346"/>
  <c r="K342"/>
  <c r="K341"/>
  <c r="K340"/>
  <c r="H340"/>
  <c r="K334"/>
  <c r="H334"/>
  <c r="I328"/>
  <c r="G326"/>
  <c r="H326" s="1"/>
  <c r="I324"/>
  <c r="I323"/>
  <c r="I322"/>
  <c r="I320"/>
  <c r="I319"/>
  <c r="J318"/>
  <c r="J317"/>
  <c r="I316"/>
  <c r="I315"/>
  <c r="I314" s="1"/>
  <c r="H289"/>
  <c r="J289" s="1"/>
  <c r="I286"/>
  <c r="K282"/>
  <c r="K281"/>
  <c r="K280"/>
  <c r="H280"/>
  <c r="K274"/>
  <c r="H274"/>
  <c r="I268"/>
  <c r="G266"/>
  <c r="H266" s="1"/>
  <c r="I264"/>
  <c r="I263"/>
  <c r="I262"/>
  <c r="I260"/>
  <c r="I259"/>
  <c r="J258"/>
  <c r="J257"/>
  <c r="I256"/>
  <c r="I255"/>
  <c r="I254" s="1"/>
  <c r="I233"/>
  <c r="H229"/>
  <c r="J229" s="1"/>
  <c r="I226"/>
  <c r="K222"/>
  <c r="K221"/>
  <c r="K220"/>
  <c r="H220"/>
  <c r="K214"/>
  <c r="H214"/>
  <c r="I208"/>
  <c r="H206"/>
  <c r="G206"/>
  <c r="I204"/>
  <c r="I203"/>
  <c r="I202"/>
  <c r="I200"/>
  <c r="I199"/>
  <c r="J198"/>
  <c r="J197"/>
  <c r="I196"/>
  <c r="I195"/>
  <c r="I173"/>
  <c r="H169"/>
  <c r="J169" s="1"/>
  <c r="I166"/>
  <c r="K162"/>
  <c r="K161"/>
  <c r="K160"/>
  <c r="H160"/>
  <c r="K154"/>
  <c r="H154"/>
  <c r="I148"/>
  <c r="G146"/>
  <c r="H146" s="1"/>
  <c r="I144"/>
  <c r="I143"/>
  <c r="I142"/>
  <c r="I140"/>
  <c r="I139"/>
  <c r="J138"/>
  <c r="J137"/>
  <c r="I136"/>
  <c r="I135"/>
  <c r="I113"/>
  <c r="J109"/>
  <c r="H109"/>
  <c r="I106"/>
  <c r="K102"/>
  <c r="K101"/>
  <c r="K100"/>
  <c r="H100"/>
  <c r="K94"/>
  <c r="H94"/>
  <c r="I88"/>
  <c r="G86"/>
  <c r="H86" s="1"/>
  <c r="I84"/>
  <c r="I83"/>
  <c r="I82"/>
  <c r="I80"/>
  <c r="I79"/>
  <c r="J78"/>
  <c r="J77"/>
  <c r="I76"/>
  <c r="I75"/>
  <c r="I74" s="1"/>
  <c r="I53"/>
  <c r="H49"/>
  <c r="J49" s="1"/>
  <c r="I46"/>
  <c r="K42"/>
  <c r="K41"/>
  <c r="K40"/>
  <c r="H40"/>
  <c r="K34"/>
  <c r="H34"/>
  <c r="I28"/>
  <c r="H26"/>
  <c r="G26"/>
  <c r="I24"/>
  <c r="I23"/>
  <c r="I22"/>
  <c r="I20"/>
  <c r="I19"/>
  <c r="J18"/>
  <c r="J17"/>
  <c r="I14" s="1"/>
  <c r="I16"/>
  <c r="I15"/>
  <c r="J409" i="6"/>
  <c r="H409"/>
  <c r="I406"/>
  <c r="K402"/>
  <c r="K401"/>
  <c r="K400"/>
  <c r="H400"/>
  <c r="K394"/>
  <c r="H394"/>
  <c r="I388"/>
  <c r="G386"/>
  <c r="H386" s="1"/>
  <c r="I384"/>
  <c r="I383"/>
  <c r="I382"/>
  <c r="I380"/>
  <c r="I379"/>
  <c r="J378"/>
  <c r="J377"/>
  <c r="I376"/>
  <c r="I375"/>
  <c r="I353"/>
  <c r="H349"/>
  <c r="J349" s="1"/>
  <c r="I346"/>
  <c r="K342"/>
  <c r="K341"/>
  <c r="K340"/>
  <c r="H340"/>
  <c r="K334"/>
  <c r="H334"/>
  <c r="I328"/>
  <c r="G326"/>
  <c r="H326" s="1"/>
  <c r="I324"/>
  <c r="I323"/>
  <c r="I322"/>
  <c r="I320"/>
  <c r="I319"/>
  <c r="J318"/>
  <c r="J317"/>
  <c r="I316"/>
  <c r="I315"/>
  <c r="H289"/>
  <c r="J289" s="1"/>
  <c r="I286"/>
  <c r="K282"/>
  <c r="K281"/>
  <c r="K280"/>
  <c r="H280"/>
  <c r="K274"/>
  <c r="H274"/>
  <c r="I268"/>
  <c r="G266"/>
  <c r="H266" s="1"/>
  <c r="I264"/>
  <c r="I263"/>
  <c r="I262"/>
  <c r="I260"/>
  <c r="I259"/>
  <c r="J258"/>
  <c r="J257"/>
  <c r="I256"/>
  <c r="I255"/>
  <c r="I233"/>
  <c r="H229"/>
  <c r="J229" s="1"/>
  <c r="I226"/>
  <c r="K222"/>
  <c r="K221"/>
  <c r="K220"/>
  <c r="H220"/>
  <c r="K214"/>
  <c r="H214"/>
  <c r="I208"/>
  <c r="G206"/>
  <c r="H206" s="1"/>
  <c r="I204"/>
  <c r="I203"/>
  <c r="I202"/>
  <c r="I200"/>
  <c r="I199"/>
  <c r="J198"/>
  <c r="J197"/>
  <c r="I194" s="1"/>
  <c r="I196"/>
  <c r="I195"/>
  <c r="I173"/>
  <c r="H169"/>
  <c r="J169" s="1"/>
  <c r="I166"/>
  <c r="K162"/>
  <c r="K161"/>
  <c r="K160"/>
  <c r="H160"/>
  <c r="K154"/>
  <c r="H154"/>
  <c r="I148"/>
  <c r="G146"/>
  <c r="H146" s="1"/>
  <c r="I144"/>
  <c r="I143"/>
  <c r="I142"/>
  <c r="I140"/>
  <c r="I139"/>
  <c r="J138"/>
  <c r="J137"/>
  <c r="I136"/>
  <c r="I135"/>
  <c r="I113"/>
  <c r="H109"/>
  <c r="J109" s="1"/>
  <c r="I106"/>
  <c r="K102"/>
  <c r="K101"/>
  <c r="K100"/>
  <c r="H100"/>
  <c r="K94"/>
  <c r="H94"/>
  <c r="I88"/>
  <c r="G86"/>
  <c r="H86" s="1"/>
  <c r="I84"/>
  <c r="I83"/>
  <c r="I82"/>
  <c r="I80"/>
  <c r="I79"/>
  <c r="J78"/>
  <c r="J77"/>
  <c r="I76"/>
  <c r="I75"/>
  <c r="I53"/>
  <c r="H49"/>
  <c r="J49" s="1"/>
  <c r="I46"/>
  <c r="K42"/>
  <c r="K41"/>
  <c r="K40"/>
  <c r="H40"/>
  <c r="K34"/>
  <c r="H34"/>
  <c r="I28"/>
  <c r="G26"/>
  <c r="H26" s="1"/>
  <c r="I24"/>
  <c r="I23"/>
  <c r="I22"/>
  <c r="I20"/>
  <c r="I19"/>
  <c r="J18"/>
  <c r="J17"/>
  <c r="I16"/>
  <c r="I15"/>
  <c r="N5" i="4" l="1"/>
  <c r="I326" i="8"/>
  <c r="I325" s="1"/>
  <c r="I386" i="10"/>
  <c r="I385" s="1"/>
  <c r="I266" i="9"/>
  <c r="I265" s="1"/>
  <c r="N8" i="4"/>
  <c r="N9"/>
  <c r="G6" i="2"/>
  <c r="I134" i="10"/>
  <c r="I74" i="15"/>
  <c r="I74" i="17"/>
  <c r="I14" i="18"/>
  <c r="I14" i="21"/>
  <c r="I134"/>
  <c r="I194"/>
  <c r="J6" i="2"/>
  <c r="N6" i="4"/>
  <c r="I314" i="6"/>
  <c r="I374" i="8"/>
  <c r="I134" i="9"/>
  <c r="I194"/>
  <c r="I374"/>
  <c r="I14" i="10"/>
  <c r="I26" s="1"/>
  <c r="I25" s="1"/>
  <c r="I32" s="1"/>
  <c r="I314"/>
  <c r="I194" i="12"/>
  <c r="I74" i="14"/>
  <c r="I374"/>
  <c r="I194" i="15"/>
  <c r="I134" i="17"/>
  <c r="I374"/>
  <c r="I14" i="20"/>
  <c r="I134"/>
  <c r="I194"/>
  <c r="I374"/>
  <c r="I6" i="2"/>
  <c r="I134" i="6"/>
  <c r="I134" i="8"/>
  <c r="I194"/>
  <c r="I134" i="12"/>
  <c r="I314"/>
  <c r="I374" i="15"/>
  <c r="I14" i="16"/>
  <c r="I74"/>
  <c r="I134"/>
  <c r="I194"/>
  <c r="I254"/>
  <c r="I314"/>
  <c r="I194" i="17"/>
  <c r="I134" i="18"/>
  <c r="I194"/>
  <c r="I374"/>
  <c r="H6" i="2"/>
  <c r="I266" i="20"/>
  <c r="I265" s="1"/>
  <c r="I326" i="6"/>
  <c r="I325" s="1"/>
  <c r="I326" i="21"/>
  <c r="I325" s="1"/>
  <c r="I332" s="1"/>
  <c r="I266"/>
  <c r="I265" s="1"/>
  <c r="I272" s="1"/>
  <c r="I146"/>
  <c r="I145" s="1"/>
  <c r="I152" s="1"/>
  <c r="I206"/>
  <c r="I205" s="1"/>
  <c r="I212" s="1"/>
  <c r="I26"/>
  <c r="I25" s="1"/>
  <c r="I32" s="1"/>
  <c r="I386"/>
  <c r="I385" s="1"/>
  <c r="I392" s="1"/>
  <c r="I86"/>
  <c r="I85" s="1"/>
  <c r="I92" s="1"/>
  <c r="I326" i="20"/>
  <c r="I325" s="1"/>
  <c r="I332" s="1"/>
  <c r="I146"/>
  <c r="I145" s="1"/>
  <c r="I152" s="1"/>
  <c r="I206"/>
  <c r="I205" s="1"/>
  <c r="I212" s="1"/>
  <c r="I26"/>
  <c r="I25" s="1"/>
  <c r="I32" s="1"/>
  <c r="I386"/>
  <c r="I385" s="1"/>
  <c r="I392" s="1"/>
  <c r="I86"/>
  <c r="I85" s="1"/>
  <c r="I92" s="1"/>
  <c r="I272"/>
  <c r="I254" i="18"/>
  <c r="I326"/>
  <c r="I325" s="1"/>
  <c r="I332" s="1"/>
  <c r="I266"/>
  <c r="I265" s="1"/>
  <c r="I272" s="1"/>
  <c r="I26"/>
  <c r="I25" s="1"/>
  <c r="I32" s="1"/>
  <c r="I146"/>
  <c r="I145" s="1"/>
  <c r="I152" s="1"/>
  <c r="I206"/>
  <c r="I205" s="1"/>
  <c r="I212" s="1"/>
  <c r="I386"/>
  <c r="I385" s="1"/>
  <c r="I392" s="1"/>
  <c r="I86"/>
  <c r="I85" s="1"/>
  <c r="I92" s="1"/>
  <c r="I14" i="17"/>
  <c r="I26" s="1"/>
  <c r="I25" s="1"/>
  <c r="I32" s="1"/>
  <c r="I326"/>
  <c r="I325" s="1"/>
  <c r="I332" s="1"/>
  <c r="I266"/>
  <c r="I265" s="1"/>
  <c r="I272" s="1"/>
  <c r="I86"/>
  <c r="I85" s="1"/>
  <c r="I92" s="1"/>
  <c r="I146"/>
  <c r="I145" s="1"/>
  <c r="I152" s="1"/>
  <c r="I206"/>
  <c r="I205" s="1"/>
  <c r="I212" s="1"/>
  <c r="I386"/>
  <c r="I385" s="1"/>
  <c r="I392" s="1"/>
  <c r="I386" i="16"/>
  <c r="I385" s="1"/>
  <c r="I392" s="1"/>
  <c r="I266"/>
  <c r="I265" s="1"/>
  <c r="I272" s="1"/>
  <c r="I86"/>
  <c r="I85" s="1"/>
  <c r="I92" s="1"/>
  <c r="I26"/>
  <c r="I25" s="1"/>
  <c r="I32" s="1"/>
  <c r="I206"/>
  <c r="I205" s="1"/>
  <c r="I212" s="1"/>
  <c r="I326"/>
  <c r="I325" s="1"/>
  <c r="I332" s="1"/>
  <c r="I146"/>
  <c r="I145" s="1"/>
  <c r="I152" s="1"/>
  <c r="I326" i="15"/>
  <c r="I325" s="1"/>
  <c r="I332" s="1"/>
  <c r="I266"/>
  <c r="I265" s="1"/>
  <c r="I272" s="1"/>
  <c r="I26"/>
  <c r="I25" s="1"/>
  <c r="I32" s="1"/>
  <c r="I86"/>
  <c r="I85" s="1"/>
  <c r="I92" s="1"/>
  <c r="I146"/>
  <c r="I145" s="1"/>
  <c r="I152" s="1"/>
  <c r="I206"/>
  <c r="I205" s="1"/>
  <c r="I212" s="1"/>
  <c r="I386"/>
  <c r="I385" s="1"/>
  <c r="I392" s="1"/>
  <c r="I326" i="14"/>
  <c r="I325" s="1"/>
  <c r="I332" s="1"/>
  <c r="I266"/>
  <c r="I265" s="1"/>
  <c r="I272" s="1"/>
  <c r="I26"/>
  <c r="I25" s="1"/>
  <c r="I32" s="1"/>
  <c r="I326" i="9"/>
  <c r="I325" s="1"/>
  <c r="I332" s="1"/>
  <c r="I26"/>
  <c r="I25" s="1"/>
  <c r="I32" s="1"/>
  <c r="I266" i="8"/>
  <c r="I265" s="1"/>
  <c r="I272" s="1"/>
  <c r="I26"/>
  <c r="I25" s="1"/>
  <c r="I32" s="1"/>
  <c r="I206" i="6"/>
  <c r="I205" s="1"/>
  <c r="I212" s="1"/>
  <c r="I254"/>
  <c r="I374"/>
  <c r="I386" s="1"/>
  <c r="I385" s="1"/>
  <c r="I392" s="1"/>
  <c r="I386" i="12"/>
  <c r="I385" s="1"/>
  <c r="I392" s="1"/>
  <c r="I86"/>
  <c r="I85" s="1"/>
  <c r="I92" s="1"/>
  <c r="I86" i="14"/>
  <c r="I85" s="1"/>
  <c r="I92" s="1"/>
  <c r="I146"/>
  <c r="I145" s="1"/>
  <c r="I152" s="1"/>
  <c r="I206"/>
  <c r="I205" s="1"/>
  <c r="I212" s="1"/>
  <c r="I386"/>
  <c r="I385" s="1"/>
  <c r="I392" s="1"/>
  <c r="I254" i="12"/>
  <c r="I266" s="1"/>
  <c r="I265" s="1"/>
  <c r="I272" s="1"/>
  <c r="I254" i="10"/>
  <c r="I206" i="12"/>
  <c r="I205" s="1"/>
  <c r="I212" s="1"/>
  <c r="I326"/>
  <c r="I325" s="1"/>
  <c r="I332" s="1"/>
  <c r="I26"/>
  <c r="I25" s="1"/>
  <c r="I32" s="1"/>
  <c r="I146"/>
  <c r="I145" s="1"/>
  <c r="I152" s="1"/>
  <c r="I86" i="10"/>
  <c r="I85" s="1"/>
  <c r="I92" s="1"/>
  <c r="I146"/>
  <c r="I145" s="1"/>
  <c r="I152" s="1"/>
  <c r="I266"/>
  <c r="I265" s="1"/>
  <c r="I272" s="1"/>
  <c r="I326"/>
  <c r="I325" s="1"/>
  <c r="I332" s="1"/>
  <c r="I206"/>
  <c r="I205" s="1"/>
  <c r="I212" s="1"/>
  <c r="I392"/>
  <c r="I86" i="9"/>
  <c r="I85" s="1"/>
  <c r="I92" s="1"/>
  <c r="I146"/>
  <c r="I145" s="1"/>
  <c r="I152" s="1"/>
  <c r="I206"/>
  <c r="I205" s="1"/>
  <c r="I212" s="1"/>
  <c r="I386"/>
  <c r="I385" s="1"/>
  <c r="I392" s="1"/>
  <c r="I272"/>
  <c r="I86" i="8"/>
  <c r="I85" s="1"/>
  <c r="I92" s="1"/>
  <c r="I146"/>
  <c r="I145" s="1"/>
  <c r="I152" s="1"/>
  <c r="I206"/>
  <c r="I205" s="1"/>
  <c r="I212" s="1"/>
  <c r="I386"/>
  <c r="I385" s="1"/>
  <c r="I392" s="1"/>
  <c r="I332"/>
  <c r="I332" i="6"/>
  <c r="I266"/>
  <c r="I265" s="1"/>
  <c r="I272" s="1"/>
  <c r="I14"/>
  <c r="I26" s="1"/>
  <c r="I25" s="1"/>
  <c r="I32" s="1"/>
  <c r="I146"/>
  <c r="I145" s="1"/>
  <c r="I152" s="1"/>
  <c r="I74"/>
  <c r="I86" s="1"/>
  <c r="I85" s="1"/>
  <c r="I92" s="1"/>
  <c r="A416" i="21" l="1"/>
  <c r="I393"/>
  <c r="I415"/>
  <c r="A116"/>
  <c r="I93"/>
  <c r="I115"/>
  <c r="A176"/>
  <c r="I175"/>
  <c r="I153"/>
  <c r="I55"/>
  <c r="I33"/>
  <c r="A56"/>
  <c r="A356"/>
  <c r="I333"/>
  <c r="I355"/>
  <c r="I295"/>
  <c r="A296"/>
  <c r="I273"/>
  <c r="I235"/>
  <c r="I213"/>
  <c r="A236"/>
  <c r="I55" i="20"/>
  <c r="I33"/>
  <c r="A56"/>
  <c r="A416"/>
  <c r="I393"/>
  <c r="I415"/>
  <c r="I93"/>
  <c r="A116"/>
  <c r="I115"/>
  <c r="I175"/>
  <c r="I153"/>
  <c r="A176"/>
  <c r="I295"/>
  <c r="A296"/>
  <c r="I273"/>
  <c r="A356"/>
  <c r="I333"/>
  <c r="I355"/>
  <c r="I235"/>
  <c r="A236"/>
  <c r="I213"/>
  <c r="I115" i="18"/>
  <c r="A116"/>
  <c r="I93"/>
  <c r="I153"/>
  <c r="A176"/>
  <c r="I175"/>
  <c r="I235"/>
  <c r="A236"/>
  <c r="I213"/>
  <c r="I55"/>
  <c r="A56"/>
  <c r="I33"/>
  <c r="I295"/>
  <c r="A296"/>
  <c r="I273"/>
  <c r="A356"/>
  <c r="I355"/>
  <c r="I333"/>
  <c r="A416"/>
  <c r="I393"/>
  <c r="I415"/>
  <c r="I235" i="17"/>
  <c r="I213"/>
  <c r="A236"/>
  <c r="A416"/>
  <c r="I393"/>
  <c r="I415"/>
  <c r="I295"/>
  <c r="A296"/>
  <c r="I273"/>
  <c r="A116"/>
  <c r="I115"/>
  <c r="I93"/>
  <c r="J96" s="1"/>
  <c r="A356"/>
  <c r="I355"/>
  <c r="I333"/>
  <c r="A56"/>
  <c r="I55"/>
  <c r="I33"/>
  <c r="I153"/>
  <c r="A176"/>
  <c r="I175"/>
  <c r="A296" i="16"/>
  <c r="I295"/>
  <c r="I273"/>
  <c r="A236"/>
  <c r="I213"/>
  <c r="I235"/>
  <c r="I153"/>
  <c r="A176"/>
  <c r="I175"/>
  <c r="I93"/>
  <c r="A116"/>
  <c r="I115"/>
  <c r="I415"/>
  <c r="I393"/>
  <c r="A416"/>
  <c r="I355"/>
  <c r="I333"/>
  <c r="A356"/>
  <c r="I33"/>
  <c r="A56"/>
  <c r="I55"/>
  <c r="I93" i="15"/>
  <c r="A116"/>
  <c r="I115"/>
  <c r="A416"/>
  <c r="I393"/>
  <c r="I415"/>
  <c r="A356"/>
  <c r="I355"/>
  <c r="I333"/>
  <c r="J344" s="1"/>
  <c r="I153"/>
  <c r="A176"/>
  <c r="I175"/>
  <c r="A56"/>
  <c r="I55"/>
  <c r="I33"/>
  <c r="I235"/>
  <c r="I213"/>
  <c r="A236"/>
  <c r="I295"/>
  <c r="A296"/>
  <c r="I273"/>
  <c r="I93" i="14"/>
  <c r="A116"/>
  <c r="I115"/>
  <c r="A416"/>
  <c r="I393"/>
  <c r="I415"/>
  <c r="A356"/>
  <c r="I355"/>
  <c r="I333"/>
  <c r="I153"/>
  <c r="A176"/>
  <c r="I175"/>
  <c r="A56"/>
  <c r="I55"/>
  <c r="I33"/>
  <c r="I235"/>
  <c r="I213"/>
  <c r="A236"/>
  <c r="I295"/>
  <c r="A296"/>
  <c r="I273"/>
  <c r="I153" i="12"/>
  <c r="A176"/>
  <c r="I175"/>
  <c r="A116"/>
  <c r="I115"/>
  <c r="I93"/>
  <c r="I55"/>
  <c r="I33"/>
  <c r="A56"/>
  <c r="A296"/>
  <c r="I273"/>
  <c r="I295"/>
  <c r="I415"/>
  <c r="A416"/>
  <c r="I393"/>
  <c r="I355"/>
  <c r="I333"/>
  <c r="A356"/>
  <c r="I213"/>
  <c r="A236"/>
  <c r="I235"/>
  <c r="I213" i="10"/>
  <c r="A236"/>
  <c r="I235"/>
  <c r="A116"/>
  <c r="I115"/>
  <c r="I93"/>
  <c r="I355"/>
  <c r="I333"/>
  <c r="A356"/>
  <c r="I415"/>
  <c r="A416"/>
  <c r="I393"/>
  <c r="I55"/>
  <c r="I33"/>
  <c r="A56"/>
  <c r="A296"/>
  <c r="I273"/>
  <c r="I295"/>
  <c r="I153"/>
  <c r="A176"/>
  <c r="I175"/>
  <c r="I93" i="9"/>
  <c r="A116"/>
  <c r="I115"/>
  <c r="A416"/>
  <c r="I393"/>
  <c r="I415"/>
  <c r="A356"/>
  <c r="I355"/>
  <c r="I333"/>
  <c r="I153"/>
  <c r="A176"/>
  <c r="I175"/>
  <c r="A56"/>
  <c r="I55"/>
  <c r="I33"/>
  <c r="I235"/>
  <c r="I213"/>
  <c r="A236"/>
  <c r="I295"/>
  <c r="A296"/>
  <c r="I273"/>
  <c r="I235" i="8"/>
  <c r="I213"/>
  <c r="A236"/>
  <c r="A356"/>
  <c r="I333"/>
  <c r="I355"/>
  <c r="A416"/>
  <c r="I393"/>
  <c r="I415"/>
  <c r="A176"/>
  <c r="I175"/>
  <c r="I153"/>
  <c r="A56"/>
  <c r="I33"/>
  <c r="I55"/>
  <c r="I93"/>
  <c r="I115"/>
  <c r="A116"/>
  <c r="I295"/>
  <c r="A296"/>
  <c r="I273"/>
  <c r="A416" i="6"/>
  <c r="I393"/>
  <c r="I415"/>
  <c r="A356"/>
  <c r="I355"/>
  <c r="I333"/>
  <c r="A296"/>
  <c r="I273"/>
  <c r="I295"/>
  <c r="A236"/>
  <c r="I235"/>
  <c r="I213"/>
  <c r="A176"/>
  <c r="I153"/>
  <c r="I175"/>
  <c r="I93"/>
  <c r="A116"/>
  <c r="I115"/>
  <c r="I55"/>
  <c r="I33"/>
  <c r="A56"/>
  <c r="B11" i="4" l="1"/>
  <c r="B10"/>
  <c r="B9"/>
  <c r="B8"/>
  <c r="J100" i="16"/>
  <c r="J96"/>
  <c r="B6" i="4"/>
  <c r="B7"/>
  <c r="B5"/>
  <c r="J158" i="21"/>
  <c r="J156"/>
  <c r="J164"/>
  <c r="J159"/>
  <c r="J157"/>
  <c r="J155"/>
  <c r="B176"/>
  <c r="L162"/>
  <c r="L159"/>
  <c r="L155"/>
  <c r="J154"/>
  <c r="L161"/>
  <c r="J160"/>
  <c r="L158"/>
  <c r="L156"/>
  <c r="L154"/>
  <c r="L160"/>
  <c r="L157"/>
  <c r="L102"/>
  <c r="L100"/>
  <c r="L99"/>
  <c r="L97"/>
  <c r="L95"/>
  <c r="J94"/>
  <c r="J100"/>
  <c r="L98"/>
  <c r="L96"/>
  <c r="L94"/>
  <c r="J99"/>
  <c r="J97"/>
  <c r="J98"/>
  <c r="J96"/>
  <c r="L101"/>
  <c r="B116"/>
  <c r="J104"/>
  <c r="J95"/>
  <c r="B296"/>
  <c r="J284"/>
  <c r="J279"/>
  <c r="J277"/>
  <c r="J275"/>
  <c r="L281"/>
  <c r="L278"/>
  <c r="L274"/>
  <c r="L282"/>
  <c r="L280"/>
  <c r="L279"/>
  <c r="L277"/>
  <c r="L275"/>
  <c r="J274"/>
  <c r="J278"/>
  <c r="J276"/>
  <c r="J280"/>
  <c r="L276"/>
  <c r="J344"/>
  <c r="J339"/>
  <c r="J337"/>
  <c r="J335"/>
  <c r="J338"/>
  <c r="J336"/>
  <c r="J340"/>
  <c r="L336"/>
  <c r="B356"/>
  <c r="L342"/>
  <c r="L340"/>
  <c r="L339"/>
  <c r="L337"/>
  <c r="L335"/>
  <c r="J334"/>
  <c r="L341"/>
  <c r="L338"/>
  <c r="L334"/>
  <c r="G56"/>
  <c r="G116"/>
  <c r="L401"/>
  <c r="J400"/>
  <c r="L398"/>
  <c r="L396"/>
  <c r="L394"/>
  <c r="L395"/>
  <c r="J398"/>
  <c r="B416"/>
  <c r="J404"/>
  <c r="J399"/>
  <c r="J397"/>
  <c r="J395"/>
  <c r="L402"/>
  <c r="L400"/>
  <c r="L399"/>
  <c r="L397"/>
  <c r="J394"/>
  <c r="J396"/>
  <c r="G236"/>
  <c r="G356"/>
  <c r="B56"/>
  <c r="L42"/>
  <c r="L40"/>
  <c r="L39"/>
  <c r="L37"/>
  <c r="L35"/>
  <c r="J34"/>
  <c r="L38"/>
  <c r="L34"/>
  <c r="J37"/>
  <c r="J38"/>
  <c r="J36"/>
  <c r="L41"/>
  <c r="J40"/>
  <c r="L36"/>
  <c r="J44"/>
  <c r="J39"/>
  <c r="J35"/>
  <c r="G416"/>
  <c r="B236"/>
  <c r="L222"/>
  <c r="L220"/>
  <c r="L219"/>
  <c r="L217"/>
  <c r="L215"/>
  <c r="J214"/>
  <c r="L221"/>
  <c r="L218"/>
  <c r="L216"/>
  <c r="J215"/>
  <c r="J218"/>
  <c r="J216"/>
  <c r="J220"/>
  <c r="L214"/>
  <c r="J224"/>
  <c r="J219"/>
  <c r="J217"/>
  <c r="G296"/>
  <c r="G176"/>
  <c r="B236" i="20"/>
  <c r="L222"/>
  <c r="L220"/>
  <c r="L219"/>
  <c r="L217"/>
  <c r="L215"/>
  <c r="J214"/>
  <c r="J220"/>
  <c r="L216"/>
  <c r="L214"/>
  <c r="J215"/>
  <c r="J218"/>
  <c r="J216"/>
  <c r="L221"/>
  <c r="L218"/>
  <c r="J224"/>
  <c r="J219"/>
  <c r="J217"/>
  <c r="J344"/>
  <c r="J339"/>
  <c r="J337"/>
  <c r="J335"/>
  <c r="J340"/>
  <c r="L336"/>
  <c r="B356"/>
  <c r="L342"/>
  <c r="L340"/>
  <c r="L339"/>
  <c r="L337"/>
  <c r="L335"/>
  <c r="J334"/>
  <c r="J338"/>
  <c r="J336"/>
  <c r="L341"/>
  <c r="L338"/>
  <c r="L334"/>
  <c r="G296"/>
  <c r="G116"/>
  <c r="L401"/>
  <c r="J400"/>
  <c r="L398"/>
  <c r="L396"/>
  <c r="L394"/>
  <c r="L400"/>
  <c r="L397"/>
  <c r="J394"/>
  <c r="J396"/>
  <c r="B416"/>
  <c r="J404"/>
  <c r="J399"/>
  <c r="J397"/>
  <c r="J395"/>
  <c r="L402"/>
  <c r="L399"/>
  <c r="L395"/>
  <c r="J398"/>
  <c r="G56"/>
  <c r="G356"/>
  <c r="G176"/>
  <c r="G416"/>
  <c r="B56"/>
  <c r="L42"/>
  <c r="L40"/>
  <c r="L39"/>
  <c r="L37"/>
  <c r="L35"/>
  <c r="J34"/>
  <c r="L41"/>
  <c r="J40"/>
  <c r="L36"/>
  <c r="J44"/>
  <c r="J39"/>
  <c r="J35"/>
  <c r="J38"/>
  <c r="J36"/>
  <c r="L38"/>
  <c r="L34"/>
  <c r="J37"/>
  <c r="G236"/>
  <c r="B296"/>
  <c r="J284"/>
  <c r="J279"/>
  <c r="J277"/>
  <c r="J275"/>
  <c r="J278"/>
  <c r="J276"/>
  <c r="L281"/>
  <c r="L278"/>
  <c r="L274"/>
  <c r="L282"/>
  <c r="L280"/>
  <c r="L279"/>
  <c r="L277"/>
  <c r="L275"/>
  <c r="J274"/>
  <c r="J280"/>
  <c r="L276"/>
  <c r="J158"/>
  <c r="J156"/>
  <c r="L160"/>
  <c r="L157"/>
  <c r="J154"/>
  <c r="L161"/>
  <c r="J160"/>
  <c r="L158"/>
  <c r="L156"/>
  <c r="L154"/>
  <c r="J164"/>
  <c r="J159"/>
  <c r="J157"/>
  <c r="J155"/>
  <c r="B176"/>
  <c r="L162"/>
  <c r="L159"/>
  <c r="L155"/>
  <c r="L102"/>
  <c r="L100"/>
  <c r="L99"/>
  <c r="L97"/>
  <c r="L95"/>
  <c r="J94"/>
  <c r="B116"/>
  <c r="J99"/>
  <c r="J97"/>
  <c r="J98"/>
  <c r="J96"/>
  <c r="L101"/>
  <c r="J100"/>
  <c r="L98"/>
  <c r="L96"/>
  <c r="L94"/>
  <c r="J104"/>
  <c r="J95"/>
  <c r="B296" i="18"/>
  <c r="J284"/>
  <c r="J279"/>
  <c r="J277"/>
  <c r="J275"/>
  <c r="L281"/>
  <c r="J280"/>
  <c r="L278"/>
  <c r="L276"/>
  <c r="L274"/>
  <c r="L282"/>
  <c r="L280"/>
  <c r="L279"/>
  <c r="L277"/>
  <c r="L275"/>
  <c r="J274"/>
  <c r="J278"/>
  <c r="J276"/>
  <c r="G236"/>
  <c r="L102"/>
  <c r="L100"/>
  <c r="L99"/>
  <c r="L97"/>
  <c r="L95"/>
  <c r="J94"/>
  <c r="J104"/>
  <c r="J99"/>
  <c r="J95"/>
  <c r="J98"/>
  <c r="J96"/>
  <c r="L101"/>
  <c r="J100"/>
  <c r="L98"/>
  <c r="L96"/>
  <c r="L94"/>
  <c r="B116"/>
  <c r="J97"/>
  <c r="G416"/>
  <c r="G356"/>
  <c r="G296"/>
  <c r="B236"/>
  <c r="L222"/>
  <c r="L220"/>
  <c r="L219"/>
  <c r="L217"/>
  <c r="L215"/>
  <c r="J214"/>
  <c r="L218"/>
  <c r="L214"/>
  <c r="J224"/>
  <c r="J219"/>
  <c r="J215"/>
  <c r="J218"/>
  <c r="J216"/>
  <c r="L221"/>
  <c r="J220"/>
  <c r="L216"/>
  <c r="J217"/>
  <c r="G116"/>
  <c r="J344"/>
  <c r="J339"/>
  <c r="J337"/>
  <c r="J335"/>
  <c r="J338"/>
  <c r="J336"/>
  <c r="J340"/>
  <c r="L334"/>
  <c r="B356"/>
  <c r="L342"/>
  <c r="L340"/>
  <c r="L339"/>
  <c r="L337"/>
  <c r="L335"/>
  <c r="J334"/>
  <c r="L341"/>
  <c r="L338"/>
  <c r="L336"/>
  <c r="G56"/>
  <c r="G176"/>
  <c r="L401"/>
  <c r="J400"/>
  <c r="L398"/>
  <c r="L396"/>
  <c r="L394"/>
  <c r="B416"/>
  <c r="J404"/>
  <c r="J399"/>
  <c r="J397"/>
  <c r="J395"/>
  <c r="L402"/>
  <c r="L400"/>
  <c r="L399"/>
  <c r="L397"/>
  <c r="L395"/>
  <c r="J394"/>
  <c r="J398"/>
  <c r="J396"/>
  <c r="B56"/>
  <c r="L42"/>
  <c r="L40"/>
  <c r="L39"/>
  <c r="L37"/>
  <c r="L35"/>
  <c r="J34"/>
  <c r="J44"/>
  <c r="J39"/>
  <c r="J35"/>
  <c r="J38"/>
  <c r="J36"/>
  <c r="L41"/>
  <c r="J40"/>
  <c r="L38"/>
  <c r="L36"/>
  <c r="L34"/>
  <c r="J37"/>
  <c r="J158"/>
  <c r="J156"/>
  <c r="B176"/>
  <c r="L162"/>
  <c r="L160"/>
  <c r="L157"/>
  <c r="J154"/>
  <c r="L161"/>
  <c r="J160"/>
  <c r="L158"/>
  <c r="L156"/>
  <c r="L154"/>
  <c r="J164"/>
  <c r="J159"/>
  <c r="J157"/>
  <c r="J155"/>
  <c r="L159"/>
  <c r="L155"/>
  <c r="J158" i="17"/>
  <c r="J156"/>
  <c r="L161"/>
  <c r="J160"/>
  <c r="L158"/>
  <c r="L156"/>
  <c r="L154"/>
  <c r="J164"/>
  <c r="J159"/>
  <c r="J157"/>
  <c r="J155"/>
  <c r="B176"/>
  <c r="L162"/>
  <c r="L160"/>
  <c r="L159"/>
  <c r="L157"/>
  <c r="L155"/>
  <c r="J154"/>
  <c r="J344"/>
  <c r="J339"/>
  <c r="J337"/>
  <c r="J335"/>
  <c r="B356"/>
  <c r="L342"/>
  <c r="L340"/>
  <c r="L339"/>
  <c r="L337"/>
  <c r="L335"/>
  <c r="J334"/>
  <c r="J338"/>
  <c r="J336"/>
  <c r="L341"/>
  <c r="J340"/>
  <c r="L338"/>
  <c r="L336"/>
  <c r="L334"/>
  <c r="G116"/>
  <c r="G296"/>
  <c r="L102"/>
  <c r="L100"/>
  <c r="L99"/>
  <c r="L97"/>
  <c r="J95"/>
  <c r="J98"/>
  <c r="L95"/>
  <c r="J94"/>
  <c r="L101"/>
  <c r="L98"/>
  <c r="L96"/>
  <c r="B116"/>
  <c r="J104"/>
  <c r="J99"/>
  <c r="J97"/>
  <c r="L94"/>
  <c r="J100"/>
  <c r="G176"/>
  <c r="G56"/>
  <c r="B296"/>
  <c r="J284"/>
  <c r="J279"/>
  <c r="J277"/>
  <c r="J275"/>
  <c r="L282"/>
  <c r="L280"/>
  <c r="L279"/>
  <c r="L277"/>
  <c r="L275"/>
  <c r="J274"/>
  <c r="J278"/>
  <c r="J276"/>
  <c r="L281"/>
  <c r="J280"/>
  <c r="L278"/>
  <c r="L276"/>
  <c r="L274"/>
  <c r="L401"/>
  <c r="J400"/>
  <c r="L398"/>
  <c r="L396"/>
  <c r="L394"/>
  <c r="B416"/>
  <c r="J404"/>
  <c r="J399"/>
  <c r="J397"/>
  <c r="J395"/>
  <c r="L402"/>
  <c r="L400"/>
  <c r="L399"/>
  <c r="L397"/>
  <c r="L395"/>
  <c r="J394"/>
  <c r="J398"/>
  <c r="J396"/>
  <c r="G236"/>
  <c r="J44"/>
  <c r="J39"/>
  <c r="J37"/>
  <c r="J35"/>
  <c r="B56"/>
  <c r="L42"/>
  <c r="L40"/>
  <c r="L39"/>
  <c r="L37"/>
  <c r="L35"/>
  <c r="J34"/>
  <c r="J38"/>
  <c r="J36"/>
  <c r="L41"/>
  <c r="J40"/>
  <c r="L38"/>
  <c r="L36"/>
  <c r="L34"/>
  <c r="G356"/>
  <c r="G416"/>
  <c r="B236"/>
  <c r="L222"/>
  <c r="L220"/>
  <c r="L219"/>
  <c r="L217"/>
  <c r="L215"/>
  <c r="J214"/>
  <c r="J218"/>
  <c r="J216"/>
  <c r="L221"/>
  <c r="J220"/>
  <c r="L218"/>
  <c r="L216"/>
  <c r="L214"/>
  <c r="J224"/>
  <c r="J219"/>
  <c r="J217"/>
  <c r="J215"/>
  <c r="G56" i="16"/>
  <c r="B356"/>
  <c r="L342"/>
  <c r="L340"/>
  <c r="L339"/>
  <c r="L337"/>
  <c r="L335"/>
  <c r="J334"/>
  <c r="L341"/>
  <c r="L338"/>
  <c r="L334"/>
  <c r="J339"/>
  <c r="J338"/>
  <c r="J336"/>
  <c r="J340"/>
  <c r="L336"/>
  <c r="J344"/>
  <c r="J337"/>
  <c r="J335"/>
  <c r="G416"/>
  <c r="G176"/>
  <c r="J218"/>
  <c r="J216"/>
  <c r="J224"/>
  <c r="J219"/>
  <c r="J215"/>
  <c r="B236"/>
  <c r="L220"/>
  <c r="L217"/>
  <c r="J214"/>
  <c r="L221"/>
  <c r="J220"/>
  <c r="L218"/>
  <c r="L216"/>
  <c r="L214"/>
  <c r="J217"/>
  <c r="L222"/>
  <c r="L219"/>
  <c r="L215"/>
  <c r="B416"/>
  <c r="J404"/>
  <c r="J399"/>
  <c r="J397"/>
  <c r="J395"/>
  <c r="J398"/>
  <c r="J396"/>
  <c r="L401"/>
  <c r="J400"/>
  <c r="L396"/>
  <c r="L402"/>
  <c r="L400"/>
  <c r="L399"/>
  <c r="L397"/>
  <c r="L395"/>
  <c r="J394"/>
  <c r="L398"/>
  <c r="L394"/>
  <c r="L101"/>
  <c r="L98"/>
  <c r="L96"/>
  <c r="L94"/>
  <c r="L100"/>
  <c r="L95"/>
  <c r="J98"/>
  <c r="J104"/>
  <c r="J99"/>
  <c r="J97"/>
  <c r="J95"/>
  <c r="B116"/>
  <c r="L102"/>
  <c r="L99"/>
  <c r="L97"/>
  <c r="J94"/>
  <c r="G236"/>
  <c r="G296"/>
  <c r="L41"/>
  <c r="J40"/>
  <c r="L38"/>
  <c r="L36"/>
  <c r="L34"/>
  <c r="B56"/>
  <c r="L40"/>
  <c r="L37"/>
  <c r="J34"/>
  <c r="J36"/>
  <c r="J44"/>
  <c r="J39"/>
  <c r="J37"/>
  <c r="J35"/>
  <c r="L42"/>
  <c r="L39"/>
  <c r="L35"/>
  <c r="J38"/>
  <c r="L161"/>
  <c r="J160"/>
  <c r="L158"/>
  <c r="L156"/>
  <c r="L154"/>
  <c r="L162"/>
  <c r="L159"/>
  <c r="L155"/>
  <c r="J158"/>
  <c r="J156"/>
  <c r="J164"/>
  <c r="J159"/>
  <c r="J157"/>
  <c r="J155"/>
  <c r="B176"/>
  <c r="L160"/>
  <c r="L157"/>
  <c r="J154"/>
  <c r="L282"/>
  <c r="L280"/>
  <c r="L279"/>
  <c r="L277"/>
  <c r="L275"/>
  <c r="J274"/>
  <c r="L281"/>
  <c r="L278"/>
  <c r="L274"/>
  <c r="J284"/>
  <c r="J275"/>
  <c r="J278"/>
  <c r="J276"/>
  <c r="J280"/>
  <c r="L276"/>
  <c r="B296"/>
  <c r="J279"/>
  <c r="J277"/>
  <c r="G356"/>
  <c r="G116"/>
  <c r="G296" i="15"/>
  <c r="J44"/>
  <c r="J39"/>
  <c r="J37"/>
  <c r="J35"/>
  <c r="B56"/>
  <c r="L42"/>
  <c r="L40"/>
  <c r="L39"/>
  <c r="L37"/>
  <c r="L35"/>
  <c r="J34"/>
  <c r="J38"/>
  <c r="J36"/>
  <c r="L41"/>
  <c r="J40"/>
  <c r="L38"/>
  <c r="L36"/>
  <c r="L34"/>
  <c r="G116"/>
  <c r="B296"/>
  <c r="J284"/>
  <c r="J279"/>
  <c r="J277"/>
  <c r="J275"/>
  <c r="L282"/>
  <c r="L280"/>
  <c r="L279"/>
  <c r="L277"/>
  <c r="L275"/>
  <c r="J274"/>
  <c r="J278"/>
  <c r="J276"/>
  <c r="L281"/>
  <c r="J280"/>
  <c r="L278"/>
  <c r="L276"/>
  <c r="L274"/>
  <c r="B236"/>
  <c r="L222"/>
  <c r="L220"/>
  <c r="L219"/>
  <c r="L217"/>
  <c r="L215"/>
  <c r="J214"/>
  <c r="J218"/>
  <c r="J216"/>
  <c r="L221"/>
  <c r="J220"/>
  <c r="L218"/>
  <c r="L216"/>
  <c r="L214"/>
  <c r="J224"/>
  <c r="J219"/>
  <c r="J217"/>
  <c r="J215"/>
  <c r="J339"/>
  <c r="J337"/>
  <c r="J335"/>
  <c r="B356"/>
  <c r="L342"/>
  <c r="L340"/>
  <c r="L339"/>
  <c r="L337"/>
  <c r="L335"/>
  <c r="J334"/>
  <c r="J338"/>
  <c r="J336"/>
  <c r="L341"/>
  <c r="J340"/>
  <c r="L338"/>
  <c r="L336"/>
  <c r="L334"/>
  <c r="L401"/>
  <c r="J400"/>
  <c r="L398"/>
  <c r="L396"/>
  <c r="L394"/>
  <c r="B416"/>
  <c r="J404"/>
  <c r="J399"/>
  <c r="J397"/>
  <c r="J395"/>
  <c r="L402"/>
  <c r="L400"/>
  <c r="L399"/>
  <c r="L397"/>
  <c r="L395"/>
  <c r="J394"/>
  <c r="J398"/>
  <c r="J396"/>
  <c r="L101"/>
  <c r="J100"/>
  <c r="L98"/>
  <c r="L96"/>
  <c r="L94"/>
  <c r="J104"/>
  <c r="J99"/>
  <c r="J97"/>
  <c r="J95"/>
  <c r="B116"/>
  <c r="L102"/>
  <c r="L100"/>
  <c r="L99"/>
  <c r="L97"/>
  <c r="L95"/>
  <c r="J94"/>
  <c r="J98"/>
  <c r="J96"/>
  <c r="G56"/>
  <c r="J158"/>
  <c r="J156"/>
  <c r="L161"/>
  <c r="J160"/>
  <c r="L158"/>
  <c r="L156"/>
  <c r="L154"/>
  <c r="J164"/>
  <c r="J159"/>
  <c r="J157"/>
  <c r="J155"/>
  <c r="B176"/>
  <c r="L162"/>
  <c r="L160"/>
  <c r="L159"/>
  <c r="L157"/>
  <c r="L155"/>
  <c r="J154"/>
  <c r="G416"/>
  <c r="G236"/>
  <c r="G176"/>
  <c r="G356"/>
  <c r="G296" i="14"/>
  <c r="J44"/>
  <c r="J39"/>
  <c r="J37"/>
  <c r="J35"/>
  <c r="B56"/>
  <c r="L42"/>
  <c r="L40"/>
  <c r="L39"/>
  <c r="L37"/>
  <c r="L35"/>
  <c r="J34"/>
  <c r="J38"/>
  <c r="J36"/>
  <c r="L41"/>
  <c r="J40"/>
  <c r="L38"/>
  <c r="L36"/>
  <c r="L34"/>
  <c r="G116"/>
  <c r="G236"/>
  <c r="G356"/>
  <c r="B296"/>
  <c r="J284"/>
  <c r="J279"/>
  <c r="J277"/>
  <c r="J275"/>
  <c r="L282"/>
  <c r="L280"/>
  <c r="L279"/>
  <c r="L277"/>
  <c r="L275"/>
  <c r="J274"/>
  <c r="J278"/>
  <c r="J276"/>
  <c r="L281"/>
  <c r="J280"/>
  <c r="L278"/>
  <c r="L276"/>
  <c r="L274"/>
  <c r="B236"/>
  <c r="L222"/>
  <c r="L220"/>
  <c r="L219"/>
  <c r="L217"/>
  <c r="L215"/>
  <c r="J214"/>
  <c r="J218"/>
  <c r="J216"/>
  <c r="L221"/>
  <c r="J220"/>
  <c r="L218"/>
  <c r="L216"/>
  <c r="L214"/>
  <c r="J224"/>
  <c r="J219"/>
  <c r="J217"/>
  <c r="J215"/>
  <c r="J344"/>
  <c r="J339"/>
  <c r="J337"/>
  <c r="J335"/>
  <c r="B356"/>
  <c r="L342"/>
  <c r="L340"/>
  <c r="L339"/>
  <c r="L337"/>
  <c r="L335"/>
  <c r="J334"/>
  <c r="J338"/>
  <c r="J336"/>
  <c r="L341"/>
  <c r="J340"/>
  <c r="L338"/>
  <c r="L336"/>
  <c r="L334"/>
  <c r="L401"/>
  <c r="J400"/>
  <c r="L398"/>
  <c r="L396"/>
  <c r="L394"/>
  <c r="B416"/>
  <c r="J404"/>
  <c r="J399"/>
  <c r="J397"/>
  <c r="J395"/>
  <c r="L402"/>
  <c r="L400"/>
  <c r="L399"/>
  <c r="L397"/>
  <c r="L395"/>
  <c r="J394"/>
  <c r="J398"/>
  <c r="J396"/>
  <c r="L101"/>
  <c r="J100"/>
  <c r="L98"/>
  <c r="L96"/>
  <c r="L94"/>
  <c r="J104"/>
  <c r="J99"/>
  <c r="J97"/>
  <c r="J95"/>
  <c r="B116"/>
  <c r="L102"/>
  <c r="L100"/>
  <c r="L99"/>
  <c r="L97"/>
  <c r="L95"/>
  <c r="J94"/>
  <c r="J98"/>
  <c r="J96"/>
  <c r="G56"/>
  <c r="J158"/>
  <c r="J156"/>
  <c r="L161"/>
  <c r="J160"/>
  <c r="L158"/>
  <c r="L156"/>
  <c r="L154"/>
  <c r="J164"/>
  <c r="J159"/>
  <c r="J157"/>
  <c r="J155"/>
  <c r="B176"/>
  <c r="L162"/>
  <c r="L160"/>
  <c r="L159"/>
  <c r="L157"/>
  <c r="L155"/>
  <c r="J154"/>
  <c r="G416"/>
  <c r="G176"/>
  <c r="J218" i="12"/>
  <c r="J216"/>
  <c r="L221"/>
  <c r="J220"/>
  <c r="L218"/>
  <c r="L216"/>
  <c r="L214"/>
  <c r="J224"/>
  <c r="J219"/>
  <c r="J217"/>
  <c r="J215"/>
  <c r="B236"/>
  <c r="L222"/>
  <c r="L220"/>
  <c r="L219"/>
  <c r="L217"/>
  <c r="L215"/>
  <c r="J214"/>
  <c r="B416"/>
  <c r="J404"/>
  <c r="J399"/>
  <c r="J397"/>
  <c r="J395"/>
  <c r="L402"/>
  <c r="L400"/>
  <c r="L399"/>
  <c r="L397"/>
  <c r="L395"/>
  <c r="J394"/>
  <c r="J398"/>
  <c r="J396"/>
  <c r="L401"/>
  <c r="J400"/>
  <c r="L398"/>
  <c r="L396"/>
  <c r="L394"/>
  <c r="L282"/>
  <c r="L280"/>
  <c r="L279"/>
  <c r="L277"/>
  <c r="L275"/>
  <c r="J274"/>
  <c r="J278"/>
  <c r="J276"/>
  <c r="L281"/>
  <c r="J280"/>
  <c r="L278"/>
  <c r="L276"/>
  <c r="L274"/>
  <c r="B296"/>
  <c r="J284"/>
  <c r="J279"/>
  <c r="J277"/>
  <c r="J275"/>
  <c r="G56"/>
  <c r="G176"/>
  <c r="G356"/>
  <c r="G296"/>
  <c r="B56"/>
  <c r="L42"/>
  <c r="L40"/>
  <c r="L39"/>
  <c r="L37"/>
  <c r="L35"/>
  <c r="J34"/>
  <c r="J38"/>
  <c r="J36"/>
  <c r="L41"/>
  <c r="J40"/>
  <c r="L38"/>
  <c r="L36"/>
  <c r="L34"/>
  <c r="J44"/>
  <c r="J39"/>
  <c r="J37"/>
  <c r="J35"/>
  <c r="G236"/>
  <c r="B356"/>
  <c r="L342"/>
  <c r="L340"/>
  <c r="L339"/>
  <c r="L337"/>
  <c r="L335"/>
  <c r="J334"/>
  <c r="J338"/>
  <c r="J336"/>
  <c r="L341"/>
  <c r="J340"/>
  <c r="L338"/>
  <c r="L336"/>
  <c r="L334"/>
  <c r="J344"/>
  <c r="J339"/>
  <c r="J337"/>
  <c r="J335"/>
  <c r="G416"/>
  <c r="G116"/>
  <c r="L161"/>
  <c r="J160"/>
  <c r="L158"/>
  <c r="L156"/>
  <c r="L154"/>
  <c r="J164"/>
  <c r="J159"/>
  <c r="J157"/>
  <c r="J155"/>
  <c r="B176"/>
  <c r="L162"/>
  <c r="L160"/>
  <c r="L159"/>
  <c r="L157"/>
  <c r="L155"/>
  <c r="J154"/>
  <c r="J158"/>
  <c r="J156"/>
  <c r="J104"/>
  <c r="J99"/>
  <c r="J97"/>
  <c r="J95"/>
  <c r="B116"/>
  <c r="L102"/>
  <c r="L100"/>
  <c r="L99"/>
  <c r="L97"/>
  <c r="L95"/>
  <c r="J94"/>
  <c r="J98"/>
  <c r="J96"/>
  <c r="L101"/>
  <c r="J100"/>
  <c r="L98"/>
  <c r="L96"/>
  <c r="L94"/>
  <c r="L161" i="10"/>
  <c r="J160"/>
  <c r="L158"/>
  <c r="L156"/>
  <c r="L154"/>
  <c r="J164"/>
  <c r="J159"/>
  <c r="J157"/>
  <c r="J155"/>
  <c r="B176"/>
  <c r="L162"/>
  <c r="L160"/>
  <c r="L159"/>
  <c r="L157"/>
  <c r="L155"/>
  <c r="J154"/>
  <c r="J158"/>
  <c r="J156"/>
  <c r="G356"/>
  <c r="G236"/>
  <c r="B416"/>
  <c r="J404"/>
  <c r="J399"/>
  <c r="J397"/>
  <c r="J395"/>
  <c r="L402"/>
  <c r="L400"/>
  <c r="L399"/>
  <c r="L397"/>
  <c r="L395"/>
  <c r="J394"/>
  <c r="J398"/>
  <c r="J396"/>
  <c r="L401"/>
  <c r="J400"/>
  <c r="L398"/>
  <c r="L396"/>
  <c r="L394"/>
  <c r="B356"/>
  <c r="L342"/>
  <c r="L340"/>
  <c r="L339"/>
  <c r="L337"/>
  <c r="L335"/>
  <c r="J334"/>
  <c r="J338"/>
  <c r="J336"/>
  <c r="L341"/>
  <c r="J340"/>
  <c r="L338"/>
  <c r="L336"/>
  <c r="L334"/>
  <c r="J344"/>
  <c r="J339"/>
  <c r="J337"/>
  <c r="J335"/>
  <c r="G176"/>
  <c r="L282"/>
  <c r="L280"/>
  <c r="L279"/>
  <c r="L277"/>
  <c r="L275"/>
  <c r="J274"/>
  <c r="J278"/>
  <c r="J276"/>
  <c r="L281"/>
  <c r="J280"/>
  <c r="L278"/>
  <c r="L276"/>
  <c r="L274"/>
  <c r="B296"/>
  <c r="J284"/>
  <c r="J279"/>
  <c r="J277"/>
  <c r="J275"/>
  <c r="G56"/>
  <c r="G116"/>
  <c r="J218"/>
  <c r="J216"/>
  <c r="L221"/>
  <c r="J220"/>
  <c r="L218"/>
  <c r="L216"/>
  <c r="L214"/>
  <c r="J224"/>
  <c r="J219"/>
  <c r="J217"/>
  <c r="J215"/>
  <c r="B236"/>
  <c r="L222"/>
  <c r="L220"/>
  <c r="L219"/>
  <c r="L217"/>
  <c r="L215"/>
  <c r="J214"/>
  <c r="G296"/>
  <c r="B56"/>
  <c r="L42"/>
  <c r="L40"/>
  <c r="L39"/>
  <c r="L37"/>
  <c r="L35"/>
  <c r="J34"/>
  <c r="J38"/>
  <c r="J36"/>
  <c r="L41"/>
  <c r="J40"/>
  <c r="L38"/>
  <c r="L36"/>
  <c r="L34"/>
  <c r="J44"/>
  <c r="J39"/>
  <c r="J37"/>
  <c r="J35"/>
  <c r="G416"/>
  <c r="J104"/>
  <c r="J99"/>
  <c r="J97"/>
  <c r="J95"/>
  <c r="B116"/>
  <c r="L102"/>
  <c r="L100"/>
  <c r="L99"/>
  <c r="L97"/>
  <c r="L95"/>
  <c r="J94"/>
  <c r="J98"/>
  <c r="J96"/>
  <c r="L101"/>
  <c r="J100"/>
  <c r="L98"/>
  <c r="L96"/>
  <c r="L94"/>
  <c r="G296" i="9"/>
  <c r="J44"/>
  <c r="J39"/>
  <c r="J37"/>
  <c r="J35"/>
  <c r="B56"/>
  <c r="L42"/>
  <c r="L40"/>
  <c r="L39"/>
  <c r="L37"/>
  <c r="L35"/>
  <c r="J34"/>
  <c r="L38"/>
  <c r="J38"/>
  <c r="J36"/>
  <c r="L41"/>
  <c r="J40"/>
  <c r="L36"/>
  <c r="L34"/>
  <c r="G116"/>
  <c r="G236"/>
  <c r="G176"/>
  <c r="G356"/>
  <c r="B296"/>
  <c r="J284"/>
  <c r="J279"/>
  <c r="J277"/>
  <c r="J275"/>
  <c r="L282"/>
  <c r="L280"/>
  <c r="L279"/>
  <c r="L277"/>
  <c r="L275"/>
  <c r="J274"/>
  <c r="J278"/>
  <c r="J276"/>
  <c r="L281"/>
  <c r="J280"/>
  <c r="L278"/>
  <c r="L276"/>
  <c r="L274"/>
  <c r="B236"/>
  <c r="L222"/>
  <c r="L220"/>
  <c r="L219"/>
  <c r="L217"/>
  <c r="L215"/>
  <c r="J214"/>
  <c r="J218"/>
  <c r="J216"/>
  <c r="L221"/>
  <c r="J220"/>
  <c r="L218"/>
  <c r="L216"/>
  <c r="L214"/>
  <c r="J224"/>
  <c r="J219"/>
  <c r="J217"/>
  <c r="J215"/>
  <c r="J344"/>
  <c r="J339"/>
  <c r="J337"/>
  <c r="J335"/>
  <c r="B356"/>
  <c r="L342"/>
  <c r="L340"/>
  <c r="L339"/>
  <c r="L337"/>
  <c r="L335"/>
  <c r="J334"/>
  <c r="J338"/>
  <c r="J336"/>
  <c r="L341"/>
  <c r="J340"/>
  <c r="L338"/>
  <c r="L336"/>
  <c r="L334"/>
  <c r="L401"/>
  <c r="J400"/>
  <c r="L398"/>
  <c r="L396"/>
  <c r="L394"/>
  <c r="B416"/>
  <c r="J404"/>
  <c r="J399"/>
  <c r="J397"/>
  <c r="J395"/>
  <c r="L402"/>
  <c r="L400"/>
  <c r="L399"/>
  <c r="L397"/>
  <c r="L395"/>
  <c r="J394"/>
  <c r="J398"/>
  <c r="J396"/>
  <c r="L101"/>
  <c r="J100"/>
  <c r="L98"/>
  <c r="L96"/>
  <c r="L94"/>
  <c r="J104"/>
  <c r="J99"/>
  <c r="J97"/>
  <c r="J95"/>
  <c r="B116"/>
  <c r="L102"/>
  <c r="L100"/>
  <c r="L99"/>
  <c r="L97"/>
  <c r="L95"/>
  <c r="J94"/>
  <c r="J98"/>
  <c r="J96"/>
  <c r="G56"/>
  <c r="J158"/>
  <c r="J156"/>
  <c r="L161"/>
  <c r="J160"/>
  <c r="L158"/>
  <c r="L156"/>
  <c r="L154"/>
  <c r="J164"/>
  <c r="J159"/>
  <c r="J157"/>
  <c r="J155"/>
  <c r="B176"/>
  <c r="L162"/>
  <c r="L160"/>
  <c r="L159"/>
  <c r="L157"/>
  <c r="L155"/>
  <c r="J154"/>
  <c r="G416"/>
  <c r="G296" i="8"/>
  <c r="G56"/>
  <c r="G176"/>
  <c r="L101"/>
  <c r="J100"/>
  <c r="L98"/>
  <c r="L96"/>
  <c r="L94"/>
  <c r="B116"/>
  <c r="L102"/>
  <c r="L100"/>
  <c r="L99"/>
  <c r="L97"/>
  <c r="L95"/>
  <c r="J94"/>
  <c r="J98"/>
  <c r="J96"/>
  <c r="J104"/>
  <c r="J99"/>
  <c r="J97"/>
  <c r="J95"/>
  <c r="J158"/>
  <c r="J156"/>
  <c r="J164"/>
  <c r="J159"/>
  <c r="J157"/>
  <c r="J155"/>
  <c r="B176"/>
  <c r="L162"/>
  <c r="L160"/>
  <c r="L159"/>
  <c r="L157"/>
  <c r="L155"/>
  <c r="J154"/>
  <c r="L161"/>
  <c r="J160"/>
  <c r="L158"/>
  <c r="L156"/>
  <c r="L154"/>
  <c r="L401"/>
  <c r="J400"/>
  <c r="L398"/>
  <c r="L396"/>
  <c r="L394"/>
  <c r="J398"/>
  <c r="J396"/>
  <c r="B416"/>
  <c r="J404"/>
  <c r="J399"/>
  <c r="J397"/>
  <c r="J395"/>
  <c r="L402"/>
  <c r="L400"/>
  <c r="L399"/>
  <c r="L397"/>
  <c r="L395"/>
  <c r="J394"/>
  <c r="B296"/>
  <c r="J284"/>
  <c r="J279"/>
  <c r="J277"/>
  <c r="J275"/>
  <c r="J278"/>
  <c r="J276"/>
  <c r="L281"/>
  <c r="J280"/>
  <c r="L278"/>
  <c r="L276"/>
  <c r="L274"/>
  <c r="L282"/>
  <c r="L280"/>
  <c r="L279"/>
  <c r="L277"/>
  <c r="L275"/>
  <c r="J274"/>
  <c r="G116"/>
  <c r="G416"/>
  <c r="J344"/>
  <c r="J339"/>
  <c r="J337"/>
  <c r="J335"/>
  <c r="J338"/>
  <c r="J336"/>
  <c r="L341"/>
  <c r="J340"/>
  <c r="L338"/>
  <c r="L336"/>
  <c r="L334"/>
  <c r="B356"/>
  <c r="L342"/>
  <c r="L340"/>
  <c r="L339"/>
  <c r="L337"/>
  <c r="L335"/>
  <c r="J334"/>
  <c r="G236"/>
  <c r="J44"/>
  <c r="J39"/>
  <c r="J37"/>
  <c r="J35"/>
  <c r="J38"/>
  <c r="J36"/>
  <c r="L41"/>
  <c r="J40"/>
  <c r="L38"/>
  <c r="L36"/>
  <c r="L34"/>
  <c r="B56"/>
  <c r="L42"/>
  <c r="L40"/>
  <c r="L39"/>
  <c r="L37"/>
  <c r="L35"/>
  <c r="J34"/>
  <c r="G356"/>
  <c r="B236"/>
  <c r="L222"/>
  <c r="L220"/>
  <c r="L219"/>
  <c r="L217"/>
  <c r="L215"/>
  <c r="J214"/>
  <c r="L221"/>
  <c r="J220"/>
  <c r="L218"/>
  <c r="L216"/>
  <c r="L214"/>
  <c r="J224"/>
  <c r="J219"/>
  <c r="J217"/>
  <c r="J215"/>
  <c r="J218"/>
  <c r="J216"/>
  <c r="L401" i="6"/>
  <c r="J400"/>
  <c r="L398"/>
  <c r="L396"/>
  <c r="L394"/>
  <c r="B416"/>
  <c r="J404"/>
  <c r="J399"/>
  <c r="J397"/>
  <c r="J395"/>
  <c r="L402"/>
  <c r="L400"/>
  <c r="L399"/>
  <c r="L397"/>
  <c r="L395"/>
  <c r="J394"/>
  <c r="J398"/>
  <c r="J396"/>
  <c r="G416"/>
  <c r="G356"/>
  <c r="J344"/>
  <c r="J339"/>
  <c r="J337"/>
  <c r="J335"/>
  <c r="L341"/>
  <c r="L338"/>
  <c r="L334"/>
  <c r="B356"/>
  <c r="L342"/>
  <c r="L340"/>
  <c r="L339"/>
  <c r="L337"/>
  <c r="L335"/>
  <c r="J334"/>
  <c r="J338"/>
  <c r="J336"/>
  <c r="J340"/>
  <c r="L336"/>
  <c r="L281"/>
  <c r="J280"/>
  <c r="L278"/>
  <c r="L276"/>
  <c r="L274"/>
  <c r="L280"/>
  <c r="L275"/>
  <c r="B296"/>
  <c r="J284"/>
  <c r="J279"/>
  <c r="J277"/>
  <c r="J275"/>
  <c r="L282"/>
  <c r="L279"/>
  <c r="L277"/>
  <c r="J274"/>
  <c r="J278"/>
  <c r="J276"/>
  <c r="G296"/>
  <c r="G236"/>
  <c r="J224"/>
  <c r="J219"/>
  <c r="J217"/>
  <c r="J215"/>
  <c r="B236"/>
  <c r="L222"/>
  <c r="L220"/>
  <c r="L219"/>
  <c r="L217"/>
  <c r="L215"/>
  <c r="J214"/>
  <c r="J218"/>
  <c r="J216"/>
  <c r="L221"/>
  <c r="J220"/>
  <c r="L218"/>
  <c r="L216"/>
  <c r="L214"/>
  <c r="J164"/>
  <c r="J159"/>
  <c r="J157"/>
  <c r="J155"/>
  <c r="J160"/>
  <c r="L158"/>
  <c r="L156"/>
  <c r="L154"/>
  <c r="B176"/>
  <c r="L162"/>
  <c r="L160"/>
  <c r="L159"/>
  <c r="L157"/>
  <c r="L155"/>
  <c r="J154"/>
  <c r="J158"/>
  <c r="J156"/>
  <c r="L161"/>
  <c r="G176"/>
  <c r="G116"/>
  <c r="L101"/>
  <c r="J100"/>
  <c r="L98"/>
  <c r="L96"/>
  <c r="L94"/>
  <c r="J104"/>
  <c r="J99"/>
  <c r="J97"/>
  <c r="J95"/>
  <c r="B116"/>
  <c r="L102"/>
  <c r="L100"/>
  <c r="L99"/>
  <c r="L97"/>
  <c r="L95"/>
  <c r="J94"/>
  <c r="J98"/>
  <c r="J96"/>
  <c r="G56"/>
  <c r="B56"/>
  <c r="L42"/>
  <c r="L40"/>
  <c r="L39"/>
  <c r="L37"/>
  <c r="L35"/>
  <c r="J34"/>
  <c r="J38"/>
  <c r="L38"/>
  <c r="L34"/>
  <c r="J36"/>
  <c r="L41"/>
  <c r="J40"/>
  <c r="L36"/>
  <c r="J44"/>
  <c r="J39"/>
  <c r="J37"/>
  <c r="J35"/>
  <c r="C6" i="4" l="1"/>
  <c r="C8"/>
  <c r="E8"/>
  <c r="D9"/>
  <c r="F9"/>
  <c r="C9"/>
  <c r="E10"/>
  <c r="F11"/>
  <c r="C11"/>
  <c r="E6"/>
  <c r="H6"/>
  <c r="D8"/>
  <c r="H9"/>
  <c r="D10"/>
  <c r="C7"/>
  <c r="H8"/>
  <c r="F8"/>
  <c r="E9"/>
  <c r="H10"/>
  <c r="F10"/>
  <c r="C10"/>
  <c r="E11"/>
  <c r="D11"/>
  <c r="D7"/>
  <c r="F6"/>
  <c r="D6"/>
  <c r="H11"/>
  <c r="E7"/>
  <c r="H7"/>
  <c r="F7"/>
  <c r="E5"/>
  <c r="D5"/>
  <c r="H5"/>
  <c r="F5"/>
  <c r="C5"/>
  <c r="L103" i="20"/>
  <c r="L115" s="1"/>
  <c r="L116" s="1"/>
  <c r="L163" i="21"/>
  <c r="L175" s="1"/>
  <c r="L176" s="1"/>
  <c r="C296"/>
  <c r="J283"/>
  <c r="C416"/>
  <c r="J403"/>
  <c r="C56"/>
  <c r="J43"/>
  <c r="L403"/>
  <c r="L415" s="1"/>
  <c r="L416" s="1"/>
  <c r="L103"/>
  <c r="L115" s="1"/>
  <c r="L116" s="1"/>
  <c r="J343"/>
  <c r="C356"/>
  <c r="C116"/>
  <c r="J103"/>
  <c r="C236"/>
  <c r="J223"/>
  <c r="C176"/>
  <c r="J163"/>
  <c r="L43"/>
  <c r="L55" s="1"/>
  <c r="L56" s="1"/>
  <c r="L283"/>
  <c r="L295" s="1"/>
  <c r="L296" s="1"/>
  <c r="L223"/>
  <c r="L235" s="1"/>
  <c r="L236" s="1"/>
  <c r="L343"/>
  <c r="L355" s="1"/>
  <c r="L356" s="1"/>
  <c r="C116" i="20"/>
  <c r="J103"/>
  <c r="C176"/>
  <c r="J163"/>
  <c r="J283"/>
  <c r="C296"/>
  <c r="C416"/>
  <c r="J403"/>
  <c r="L43"/>
  <c r="L55" s="1"/>
  <c r="L56" s="1"/>
  <c r="L403"/>
  <c r="L415" s="1"/>
  <c r="L416" s="1"/>
  <c r="L223"/>
  <c r="L235" s="1"/>
  <c r="L236" s="1"/>
  <c r="C56"/>
  <c r="J43"/>
  <c r="C356"/>
  <c r="J343"/>
  <c r="C236"/>
  <c r="J223"/>
  <c r="L343"/>
  <c r="L355" s="1"/>
  <c r="L356" s="1"/>
  <c r="L163"/>
  <c r="L175" s="1"/>
  <c r="L176" s="1"/>
  <c r="L283"/>
  <c r="L295" s="1"/>
  <c r="L296" s="1"/>
  <c r="L43" i="18"/>
  <c r="L55" s="1"/>
  <c r="L56" s="1"/>
  <c r="C56"/>
  <c r="J43"/>
  <c r="J283"/>
  <c r="C296"/>
  <c r="C236"/>
  <c r="J223"/>
  <c r="L103"/>
  <c r="L115" s="1"/>
  <c r="L116" s="1"/>
  <c r="L283"/>
  <c r="L295" s="1"/>
  <c r="L296" s="1"/>
  <c r="C176"/>
  <c r="J163"/>
  <c r="C416"/>
  <c r="J403"/>
  <c r="C356"/>
  <c r="J343"/>
  <c r="C116"/>
  <c r="J103"/>
  <c r="L403"/>
  <c r="L415" s="1"/>
  <c r="L416" s="1"/>
  <c r="L343"/>
  <c r="L355" s="1"/>
  <c r="L356" s="1"/>
  <c r="L163"/>
  <c r="L175" s="1"/>
  <c r="L176" s="1"/>
  <c r="L223"/>
  <c r="L235" s="1"/>
  <c r="L236" s="1"/>
  <c r="L103" i="17"/>
  <c r="L115" s="1"/>
  <c r="L116" s="1"/>
  <c r="L43" i="15"/>
  <c r="L55" s="1"/>
  <c r="L56" s="1"/>
  <c r="L43" i="14"/>
  <c r="L55" s="1"/>
  <c r="L56" s="1"/>
  <c r="L283" i="17"/>
  <c r="L295" s="1"/>
  <c r="L296" s="1"/>
  <c r="L43"/>
  <c r="L55" s="1"/>
  <c r="L56" s="1"/>
  <c r="L223"/>
  <c r="L235" s="1"/>
  <c r="L236" s="1"/>
  <c r="L343"/>
  <c r="L355" s="1"/>
  <c r="L356" s="1"/>
  <c r="C236"/>
  <c r="J223"/>
  <c r="C116"/>
  <c r="J103"/>
  <c r="C356"/>
  <c r="J343"/>
  <c r="C176"/>
  <c r="J163"/>
  <c r="C56"/>
  <c r="J43"/>
  <c r="C416"/>
  <c r="J403"/>
  <c r="C296"/>
  <c r="J283"/>
  <c r="L163"/>
  <c r="L175" s="1"/>
  <c r="L176" s="1"/>
  <c r="L403"/>
  <c r="L415" s="1"/>
  <c r="L416" s="1"/>
  <c r="L343" i="16"/>
  <c r="L355" s="1"/>
  <c r="L356" s="1"/>
  <c r="C416"/>
  <c r="J403"/>
  <c r="J103"/>
  <c r="C116"/>
  <c r="C236"/>
  <c r="J223"/>
  <c r="C356"/>
  <c r="J343"/>
  <c r="L283"/>
  <c r="L295" s="1"/>
  <c r="L296" s="1"/>
  <c r="L163"/>
  <c r="L175" s="1"/>
  <c r="L176" s="1"/>
  <c r="C296"/>
  <c r="J283"/>
  <c r="J43"/>
  <c r="C56"/>
  <c r="C176"/>
  <c r="J163"/>
  <c r="L43"/>
  <c r="L55" s="1"/>
  <c r="L56" s="1"/>
  <c r="L403"/>
  <c r="L415" s="1"/>
  <c r="L416" s="1"/>
  <c r="L223"/>
  <c r="L235" s="1"/>
  <c r="L236" s="1"/>
  <c r="L103"/>
  <c r="L115" s="1"/>
  <c r="L116" s="1"/>
  <c r="L223" i="15"/>
  <c r="L235" s="1"/>
  <c r="L236" s="1"/>
  <c r="C416"/>
  <c r="J403"/>
  <c r="C356"/>
  <c r="J343"/>
  <c r="C176"/>
  <c r="J163"/>
  <c r="C296"/>
  <c r="J283"/>
  <c r="L163"/>
  <c r="L175" s="1"/>
  <c r="L176" s="1"/>
  <c r="C236"/>
  <c r="J223"/>
  <c r="C56"/>
  <c r="J43"/>
  <c r="C116"/>
  <c r="J103"/>
  <c r="L403"/>
  <c r="L415" s="1"/>
  <c r="L416" s="1"/>
  <c r="L283"/>
  <c r="L295" s="1"/>
  <c r="L296" s="1"/>
  <c r="L103"/>
  <c r="L115" s="1"/>
  <c r="L116" s="1"/>
  <c r="L343"/>
  <c r="L355" s="1"/>
  <c r="L356" s="1"/>
  <c r="L223" i="14"/>
  <c r="L235" s="1"/>
  <c r="L236" s="1"/>
  <c r="L283" i="8"/>
  <c r="L295" s="1"/>
  <c r="L296" s="1"/>
  <c r="L343" i="12"/>
  <c r="L355" s="1"/>
  <c r="L356" s="1"/>
  <c r="C356" i="14"/>
  <c r="J343"/>
  <c r="C236"/>
  <c r="J223"/>
  <c r="C176"/>
  <c r="J163"/>
  <c r="C296"/>
  <c r="J283"/>
  <c r="L283"/>
  <c r="L295" s="1"/>
  <c r="L296" s="1"/>
  <c r="L163"/>
  <c r="L175" s="1"/>
  <c r="L176" s="1"/>
  <c r="C416"/>
  <c r="J403"/>
  <c r="C56"/>
  <c r="J43"/>
  <c r="C116"/>
  <c r="J103"/>
  <c r="L403"/>
  <c r="L415" s="1"/>
  <c r="L416" s="1"/>
  <c r="L103"/>
  <c r="L115" s="1"/>
  <c r="L116" s="1"/>
  <c r="L343"/>
  <c r="L355" s="1"/>
  <c r="L356" s="1"/>
  <c r="C56" i="12"/>
  <c r="J43"/>
  <c r="C296"/>
  <c r="J283"/>
  <c r="C416"/>
  <c r="J403"/>
  <c r="C236"/>
  <c r="J223"/>
  <c r="L163"/>
  <c r="L175" s="1"/>
  <c r="L176" s="1"/>
  <c r="L403"/>
  <c r="L415" s="1"/>
  <c r="L416" s="1"/>
  <c r="L103"/>
  <c r="L115" s="1"/>
  <c r="L116" s="1"/>
  <c r="L223"/>
  <c r="L235" s="1"/>
  <c r="L236" s="1"/>
  <c r="C176"/>
  <c r="J163"/>
  <c r="C356"/>
  <c r="J343"/>
  <c r="C116"/>
  <c r="J103"/>
  <c r="L43"/>
  <c r="L55" s="1"/>
  <c r="L56" s="1"/>
  <c r="L283"/>
  <c r="L295" s="1"/>
  <c r="L296" s="1"/>
  <c r="L103" i="10"/>
  <c r="L115" s="1"/>
  <c r="L116" s="1"/>
  <c r="C236"/>
  <c r="J223"/>
  <c r="C176"/>
  <c r="J163"/>
  <c r="C296"/>
  <c r="J283"/>
  <c r="C356"/>
  <c r="J343"/>
  <c r="L223"/>
  <c r="L235" s="1"/>
  <c r="L236" s="1"/>
  <c r="L283"/>
  <c r="L295" s="1"/>
  <c r="L296" s="1"/>
  <c r="L343"/>
  <c r="L355" s="1"/>
  <c r="L356" s="1"/>
  <c r="L163"/>
  <c r="L175" s="1"/>
  <c r="L176" s="1"/>
  <c r="L43"/>
  <c r="L55" s="1"/>
  <c r="L56" s="1"/>
  <c r="L403"/>
  <c r="L415" s="1"/>
  <c r="L416" s="1"/>
  <c r="C56"/>
  <c r="J43"/>
  <c r="C416"/>
  <c r="J403"/>
  <c r="C116"/>
  <c r="J103"/>
  <c r="C176" i="9"/>
  <c r="J163"/>
  <c r="C296"/>
  <c r="J283"/>
  <c r="C116"/>
  <c r="J103"/>
  <c r="C56"/>
  <c r="J43"/>
  <c r="L403"/>
  <c r="L415" s="1"/>
  <c r="L416" s="1"/>
  <c r="L223"/>
  <c r="L235" s="1"/>
  <c r="L236" s="1"/>
  <c r="L163"/>
  <c r="L175" s="1"/>
  <c r="L176" s="1"/>
  <c r="L43"/>
  <c r="L55" s="1"/>
  <c r="L56" s="1"/>
  <c r="L103"/>
  <c r="L115" s="1"/>
  <c r="L116" s="1"/>
  <c r="L343"/>
  <c r="L355" s="1"/>
  <c r="L356" s="1"/>
  <c r="C416"/>
  <c r="J403"/>
  <c r="C356"/>
  <c r="J343"/>
  <c r="C236"/>
  <c r="J223"/>
  <c r="L283"/>
  <c r="L295" s="1"/>
  <c r="L296" s="1"/>
  <c r="C416" i="8"/>
  <c r="J403"/>
  <c r="C176"/>
  <c r="J163"/>
  <c r="C356"/>
  <c r="J343"/>
  <c r="C56"/>
  <c r="J43"/>
  <c r="J283"/>
  <c r="C296"/>
  <c r="L103"/>
  <c r="L115" s="1"/>
  <c r="L116" s="1"/>
  <c r="L223"/>
  <c r="L235" s="1"/>
  <c r="L236" s="1"/>
  <c r="L343"/>
  <c r="L355" s="1"/>
  <c r="L356" s="1"/>
  <c r="L403"/>
  <c r="L415" s="1"/>
  <c r="L416" s="1"/>
  <c r="L43"/>
  <c r="L55" s="1"/>
  <c r="L56" s="1"/>
  <c r="C116"/>
  <c r="J103"/>
  <c r="C236"/>
  <c r="J223"/>
  <c r="L163"/>
  <c r="L175" s="1"/>
  <c r="L176" s="1"/>
  <c r="L403" i="6"/>
  <c r="L415" s="1"/>
  <c r="L416" s="1"/>
  <c r="C416"/>
  <c r="J403"/>
  <c r="C356"/>
  <c r="J343"/>
  <c r="L343"/>
  <c r="L355" s="1"/>
  <c r="L356" s="1"/>
  <c r="C296"/>
  <c r="J283"/>
  <c r="L283"/>
  <c r="L295" s="1"/>
  <c r="L296" s="1"/>
  <c r="C236"/>
  <c r="J223"/>
  <c r="L223"/>
  <c r="L235" s="1"/>
  <c r="L236" s="1"/>
  <c r="C176"/>
  <c r="J163"/>
  <c r="L163"/>
  <c r="L175" s="1"/>
  <c r="L176" s="1"/>
  <c r="C116"/>
  <c r="J103"/>
  <c r="L103"/>
  <c r="L115" s="1"/>
  <c r="L116" s="1"/>
  <c r="C56"/>
  <c r="J43"/>
  <c r="L43"/>
  <c r="L55" s="1"/>
  <c r="L56" s="1"/>
  <c r="I11" i="4" l="1"/>
  <c r="K11" s="1"/>
  <c r="I9"/>
  <c r="K9" s="1"/>
  <c r="M9" s="1"/>
  <c r="I6"/>
  <c r="K6" s="1"/>
  <c r="I10"/>
  <c r="K10" s="1"/>
  <c r="I7"/>
  <c r="K7" s="1"/>
  <c r="I8"/>
  <c r="K8" s="1"/>
  <c r="I5"/>
  <c r="K5" s="1"/>
  <c r="M5" s="1"/>
  <c r="I345" i="21"/>
  <c r="I347" s="1"/>
  <c r="J348" s="1"/>
  <c r="J350" s="1"/>
  <c r="J355" s="1"/>
  <c r="J356" s="1"/>
  <c r="L357" s="1"/>
  <c r="I45"/>
  <c r="I47" s="1"/>
  <c r="J48" s="1"/>
  <c r="J50" s="1"/>
  <c r="I225"/>
  <c r="I227" s="1"/>
  <c r="J228" s="1"/>
  <c r="J230" s="1"/>
  <c r="I285"/>
  <c r="I287" s="1"/>
  <c r="J288" s="1"/>
  <c r="J290" s="1"/>
  <c r="I165"/>
  <c r="I167" s="1"/>
  <c r="J168" s="1"/>
  <c r="J170" s="1"/>
  <c r="J175" s="1"/>
  <c r="J176" s="1"/>
  <c r="L177" s="1"/>
  <c r="J115"/>
  <c r="J116" s="1"/>
  <c r="L117" s="1"/>
  <c r="I105"/>
  <c r="I107" s="1"/>
  <c r="I405"/>
  <c r="I407" s="1"/>
  <c r="J408" s="1"/>
  <c r="J410" s="1"/>
  <c r="I225" i="20"/>
  <c r="I227" s="1"/>
  <c r="J228" s="1"/>
  <c r="J230" s="1"/>
  <c r="J235" s="1"/>
  <c r="J236" s="1"/>
  <c r="L237" s="1"/>
  <c r="I45"/>
  <c r="I47" s="1"/>
  <c r="J48" s="1"/>
  <c r="J50" s="1"/>
  <c r="I285"/>
  <c r="I287" s="1"/>
  <c r="J288" s="1"/>
  <c r="J290" s="1"/>
  <c r="J115"/>
  <c r="J116" s="1"/>
  <c r="L117" s="1"/>
  <c r="I105"/>
  <c r="I107" s="1"/>
  <c r="I345"/>
  <c r="I347" s="1"/>
  <c r="J348" s="1"/>
  <c r="J350" s="1"/>
  <c r="I405"/>
  <c r="I407" s="1"/>
  <c r="J408" s="1"/>
  <c r="J410" s="1"/>
  <c r="I165"/>
  <c r="I167" s="1"/>
  <c r="J168" s="1"/>
  <c r="J170" s="1"/>
  <c r="J175" s="1"/>
  <c r="J176" s="1"/>
  <c r="L177" s="1"/>
  <c r="I285" i="18"/>
  <c r="I287" s="1"/>
  <c r="J288" s="1"/>
  <c r="J290" s="1"/>
  <c r="J295" s="1"/>
  <c r="J296" s="1"/>
  <c r="L297" s="1"/>
  <c r="I345"/>
  <c r="I347" s="1"/>
  <c r="J348" s="1"/>
  <c r="J350" s="1"/>
  <c r="I165"/>
  <c r="I167" s="1"/>
  <c r="J168" s="1"/>
  <c r="J170" s="1"/>
  <c r="I225"/>
  <c r="I227" s="1"/>
  <c r="J228" s="1"/>
  <c r="J230" s="1"/>
  <c r="J235" s="1"/>
  <c r="J236" s="1"/>
  <c r="L237" s="1"/>
  <c r="I45"/>
  <c r="I47" s="1"/>
  <c r="J48" s="1"/>
  <c r="J50" s="1"/>
  <c r="J115"/>
  <c r="J116" s="1"/>
  <c r="L117" s="1"/>
  <c r="I105"/>
  <c r="I107" s="1"/>
  <c r="I405"/>
  <c r="I407" s="1"/>
  <c r="J408" s="1"/>
  <c r="J410" s="1"/>
  <c r="I405" i="17"/>
  <c r="I407" s="1"/>
  <c r="J408" s="1"/>
  <c r="J410" s="1"/>
  <c r="I165"/>
  <c r="I167" s="1"/>
  <c r="J168" s="1"/>
  <c r="J170" s="1"/>
  <c r="J115"/>
  <c r="J116" s="1"/>
  <c r="L117" s="1"/>
  <c r="I105"/>
  <c r="I107" s="1"/>
  <c r="I285"/>
  <c r="I287" s="1"/>
  <c r="J288" s="1"/>
  <c r="J290" s="1"/>
  <c r="I45"/>
  <c r="I47" s="1"/>
  <c r="J48" s="1"/>
  <c r="J50" s="1"/>
  <c r="I345"/>
  <c r="I347" s="1"/>
  <c r="J348" s="1"/>
  <c r="J350" s="1"/>
  <c r="I225"/>
  <c r="I227" s="1"/>
  <c r="J228" s="1"/>
  <c r="J230" s="1"/>
  <c r="I105" i="16"/>
  <c r="I107" s="1"/>
  <c r="J110" s="1"/>
  <c r="I165"/>
  <c r="I167" s="1"/>
  <c r="J168" s="1"/>
  <c r="J170" s="1"/>
  <c r="I285"/>
  <c r="I287" s="1"/>
  <c r="J288" s="1"/>
  <c r="J290" s="1"/>
  <c r="I345"/>
  <c r="I347" s="1"/>
  <c r="J348" s="1"/>
  <c r="J350" s="1"/>
  <c r="I45"/>
  <c r="I47" s="1"/>
  <c r="J48" s="1"/>
  <c r="J50" s="1"/>
  <c r="I225"/>
  <c r="I227" s="1"/>
  <c r="J228" s="1"/>
  <c r="J230" s="1"/>
  <c r="I405"/>
  <c r="I407" s="1"/>
  <c r="J408" s="1"/>
  <c r="J410" s="1"/>
  <c r="I345" i="15"/>
  <c r="I347" s="1"/>
  <c r="J348" s="1"/>
  <c r="J350" s="1"/>
  <c r="I45"/>
  <c r="I47" s="1"/>
  <c r="J48" s="1"/>
  <c r="J50" s="1"/>
  <c r="I165"/>
  <c r="I167" s="1"/>
  <c r="J168" s="1"/>
  <c r="J170" s="1"/>
  <c r="I405"/>
  <c r="I407" s="1"/>
  <c r="J408" s="1"/>
  <c r="J410" s="1"/>
  <c r="I105"/>
  <c r="I107" s="1"/>
  <c r="J108" s="1"/>
  <c r="J110" s="1"/>
  <c r="I225"/>
  <c r="I227" s="1"/>
  <c r="J228" s="1"/>
  <c r="J230" s="1"/>
  <c r="I285"/>
  <c r="I287" s="1"/>
  <c r="J288" s="1"/>
  <c r="J290" s="1"/>
  <c r="I45" i="14"/>
  <c r="I47" s="1"/>
  <c r="J48" s="1"/>
  <c r="J50" s="1"/>
  <c r="I165"/>
  <c r="I167" s="1"/>
  <c r="J168" s="1"/>
  <c r="J170" s="1"/>
  <c r="I345"/>
  <c r="I347" s="1"/>
  <c r="J348" s="1"/>
  <c r="J350" s="1"/>
  <c r="I105"/>
  <c r="I107" s="1"/>
  <c r="J108" s="1"/>
  <c r="J110" s="1"/>
  <c r="I405"/>
  <c r="I407" s="1"/>
  <c r="J408" s="1"/>
  <c r="J410" s="1"/>
  <c r="J415" s="1"/>
  <c r="J416" s="1"/>
  <c r="L417" s="1"/>
  <c r="I285"/>
  <c r="I287" s="1"/>
  <c r="J288" s="1"/>
  <c r="J290" s="1"/>
  <c r="J295" s="1"/>
  <c r="J296" s="1"/>
  <c r="L297" s="1"/>
  <c r="I225"/>
  <c r="I227" s="1"/>
  <c r="J228" s="1"/>
  <c r="J230" s="1"/>
  <c r="J235" s="1"/>
  <c r="J236" s="1"/>
  <c r="L237" s="1"/>
  <c r="I345" i="12"/>
  <c r="I347" s="1"/>
  <c r="J348" s="1"/>
  <c r="J350" s="1"/>
  <c r="J355" s="1"/>
  <c r="J356" s="1"/>
  <c r="L357" s="1"/>
  <c r="I105"/>
  <c r="I107" s="1"/>
  <c r="J108" s="1"/>
  <c r="I165"/>
  <c r="I167" s="1"/>
  <c r="J168" s="1"/>
  <c r="I405"/>
  <c r="I407" s="1"/>
  <c r="J408" s="1"/>
  <c r="J410" s="1"/>
  <c r="I45"/>
  <c r="I47" s="1"/>
  <c r="J48" s="1"/>
  <c r="I225"/>
  <c r="I227" s="1"/>
  <c r="J228" s="1"/>
  <c r="J230" s="1"/>
  <c r="I285"/>
  <c r="I287" s="1"/>
  <c r="J288" s="1"/>
  <c r="J290" s="1"/>
  <c r="J295" s="1"/>
  <c r="J296" s="1"/>
  <c r="L297" s="1"/>
  <c r="I105" i="10"/>
  <c r="I107" s="1"/>
  <c r="J108" s="1"/>
  <c r="J110" s="1"/>
  <c r="I45"/>
  <c r="I47" s="1"/>
  <c r="J48" s="1"/>
  <c r="J50" s="1"/>
  <c r="I345"/>
  <c r="I347" s="1"/>
  <c r="J348" s="1"/>
  <c r="I405"/>
  <c r="I407" s="1"/>
  <c r="J408" s="1"/>
  <c r="I285"/>
  <c r="I287" s="1"/>
  <c r="J288" s="1"/>
  <c r="I225"/>
  <c r="I227" s="1"/>
  <c r="J228" s="1"/>
  <c r="J230" s="1"/>
  <c r="I165"/>
  <c r="I167" s="1"/>
  <c r="J168" s="1"/>
  <c r="J170" s="1"/>
  <c r="I225" i="9"/>
  <c r="I227" s="1"/>
  <c r="J228" s="1"/>
  <c r="J230" s="1"/>
  <c r="I405"/>
  <c r="I407" s="1"/>
  <c r="J408" s="1"/>
  <c r="J410" s="1"/>
  <c r="I45"/>
  <c r="I47" s="1"/>
  <c r="J48" s="1"/>
  <c r="J50" s="1"/>
  <c r="I285"/>
  <c r="I287" s="1"/>
  <c r="J288" s="1"/>
  <c r="J290" s="1"/>
  <c r="I345"/>
  <c r="I347" s="1"/>
  <c r="J348" s="1"/>
  <c r="J350" s="1"/>
  <c r="I105"/>
  <c r="I107" s="1"/>
  <c r="J108" s="1"/>
  <c r="J110" s="1"/>
  <c r="I165"/>
  <c r="I167" s="1"/>
  <c r="J168" s="1"/>
  <c r="J170" s="1"/>
  <c r="I225" i="8"/>
  <c r="I227" s="1"/>
  <c r="J228" s="1"/>
  <c r="J230" s="1"/>
  <c r="J235" s="1"/>
  <c r="J236" s="1"/>
  <c r="L237" s="1"/>
  <c r="I45"/>
  <c r="I47" s="1"/>
  <c r="J48" s="1"/>
  <c r="J50" s="1"/>
  <c r="I165"/>
  <c r="I167" s="1"/>
  <c r="J168" s="1"/>
  <c r="J170" s="1"/>
  <c r="I105"/>
  <c r="I107" s="1"/>
  <c r="J108" s="1"/>
  <c r="J110" s="1"/>
  <c r="I285"/>
  <c r="I287" s="1"/>
  <c r="J288" s="1"/>
  <c r="J290" s="1"/>
  <c r="I345"/>
  <c r="I347" s="1"/>
  <c r="J348" s="1"/>
  <c r="J350" s="1"/>
  <c r="I405"/>
  <c r="I407" s="1"/>
  <c r="J408" s="1"/>
  <c r="J410" s="1"/>
  <c r="J415" s="1"/>
  <c r="J416" s="1"/>
  <c r="L417" s="1"/>
  <c r="I405" i="6"/>
  <c r="I407" s="1"/>
  <c r="J408" s="1"/>
  <c r="I345"/>
  <c r="I347" s="1"/>
  <c r="J348" s="1"/>
  <c r="I285"/>
  <c r="I287" s="1"/>
  <c r="J288" s="1"/>
  <c r="I225"/>
  <c r="I227" s="1"/>
  <c r="J228" s="1"/>
  <c r="I165"/>
  <c r="I167" s="1"/>
  <c r="J168" s="1"/>
  <c r="I105"/>
  <c r="I107" s="1"/>
  <c r="J108" s="1"/>
  <c r="I45"/>
  <c r="I47" s="1"/>
  <c r="J48" s="1"/>
  <c r="M7" i="4" l="1"/>
  <c r="O7" s="1"/>
  <c r="M11"/>
  <c r="O11" s="1"/>
  <c r="M8"/>
  <c r="O8" s="1"/>
  <c r="M6"/>
  <c r="O6" s="1"/>
  <c r="M10"/>
  <c r="O10" s="1"/>
  <c r="D116" i="16"/>
  <c r="F6" i="2"/>
  <c r="J115" i="16"/>
  <c r="J116" s="1"/>
  <c r="L117" s="1"/>
  <c r="O5" i="4"/>
  <c r="D296" i="8"/>
  <c r="L9" i="2"/>
  <c r="D116" i="9"/>
  <c r="M6" i="2"/>
  <c r="D56" i="10"/>
  <c r="B5" i="2"/>
  <c r="J110" i="12"/>
  <c r="D116" s="1"/>
  <c r="C6" i="2"/>
  <c r="D56" i="14"/>
  <c r="D5" i="2"/>
  <c r="D356" i="16"/>
  <c r="F10" i="2"/>
  <c r="D56" i="18"/>
  <c r="H5" i="2"/>
  <c r="D56" i="20"/>
  <c r="I5" i="2"/>
  <c r="D176" i="8"/>
  <c r="L7" i="2"/>
  <c r="D236" i="10"/>
  <c r="B8" i="2"/>
  <c r="D236" i="14"/>
  <c r="D8" i="2"/>
  <c r="D176" i="14"/>
  <c r="D7" i="2"/>
  <c r="D56" i="15"/>
  <c r="E5" i="2"/>
  <c r="D56" i="17"/>
  <c r="G5" i="2"/>
  <c r="D416" i="20"/>
  <c r="I11" i="2"/>
  <c r="D416" i="21"/>
  <c r="J11" i="2"/>
  <c r="D356" i="21"/>
  <c r="J10" i="2"/>
  <c r="D116" i="8"/>
  <c r="L6" i="2"/>
  <c r="D296" i="9"/>
  <c r="M9" i="2"/>
  <c r="D176" i="10"/>
  <c r="B7" i="2"/>
  <c r="J350" i="10"/>
  <c r="B10" i="2"/>
  <c r="D296" i="12"/>
  <c r="C9" i="2"/>
  <c r="D416" i="12"/>
  <c r="C11" i="2"/>
  <c r="D356" i="14"/>
  <c r="D10" i="2"/>
  <c r="D296" i="15"/>
  <c r="E9" i="2"/>
  <c r="D176" i="15"/>
  <c r="E7" i="2"/>
  <c r="D236" i="16"/>
  <c r="F8" i="2"/>
  <c r="D176" i="16"/>
  <c r="F7" i="2"/>
  <c r="D356" i="17"/>
  <c r="G10" i="2"/>
  <c r="D236" i="18"/>
  <c r="H8" i="2"/>
  <c r="D356" i="18"/>
  <c r="H10" i="2"/>
  <c r="D176" i="21"/>
  <c r="J7" i="2"/>
  <c r="D56" i="21"/>
  <c r="J5" i="2"/>
  <c r="D56" i="8"/>
  <c r="L5" i="2"/>
  <c r="D416" i="9"/>
  <c r="M11" i="2"/>
  <c r="J290" i="10"/>
  <c r="D296" s="1"/>
  <c r="B9" i="2"/>
  <c r="D236" i="12"/>
  <c r="C8" i="2"/>
  <c r="D116" i="15"/>
  <c r="E6" i="2"/>
  <c r="D356" i="15"/>
  <c r="E10" i="2"/>
  <c r="D296" i="17"/>
  <c r="G9" i="2"/>
  <c r="D416" i="17"/>
  <c r="G11" i="2"/>
  <c r="D176" i="18"/>
  <c r="H7" i="2"/>
  <c r="D356" i="20"/>
  <c r="I10" i="2"/>
  <c r="D296" i="21"/>
  <c r="J9" i="2"/>
  <c r="D356" i="8"/>
  <c r="L10" i="2"/>
  <c r="D176" i="9"/>
  <c r="M7" i="2"/>
  <c r="D56" i="9"/>
  <c r="M5" i="2"/>
  <c r="J170" i="12"/>
  <c r="D176" s="1"/>
  <c r="C7" i="2"/>
  <c r="D416" i="14"/>
  <c r="D11" i="2"/>
  <c r="D236" i="15"/>
  <c r="E8" i="2"/>
  <c r="D56" i="16"/>
  <c r="F5" i="2"/>
  <c r="D176" i="17"/>
  <c r="G7" i="2"/>
  <c r="D296" i="18"/>
  <c r="H9" i="2"/>
  <c r="D296" i="20"/>
  <c r="I9" i="2"/>
  <c r="D416" i="8"/>
  <c r="L11" i="2"/>
  <c r="D236" i="8"/>
  <c r="L8" i="2"/>
  <c r="D356" i="9"/>
  <c r="M10" i="2"/>
  <c r="D236" i="9"/>
  <c r="M8" i="2"/>
  <c r="J410" i="10"/>
  <c r="D416" s="1"/>
  <c r="B11" i="2"/>
  <c r="D116" i="10"/>
  <c r="B6" i="2"/>
  <c r="J50" i="12"/>
  <c r="D56" s="1"/>
  <c r="C5" i="2"/>
  <c r="D356" i="12"/>
  <c r="C10" i="2"/>
  <c r="D296" i="14"/>
  <c r="D9" i="2"/>
  <c r="D116" i="14"/>
  <c r="D6" i="2"/>
  <c r="D416" i="15"/>
  <c r="E11" i="2"/>
  <c r="D416" i="16"/>
  <c r="F11" i="2"/>
  <c r="D296" i="16"/>
  <c r="F9" i="2"/>
  <c r="D236" i="17"/>
  <c r="G8" i="2"/>
  <c r="D416" i="18"/>
  <c r="H11" i="2"/>
  <c r="D176" i="20"/>
  <c r="I7" i="2"/>
  <c r="D236" i="20"/>
  <c r="I8" i="2"/>
  <c r="D236" i="21"/>
  <c r="J8" i="2"/>
  <c r="J295" i="8"/>
  <c r="J296" s="1"/>
  <c r="L297" s="1"/>
  <c r="J55" i="14"/>
  <c r="J56" s="1"/>
  <c r="L57" s="1"/>
  <c r="J55" i="18"/>
  <c r="J56" s="1"/>
  <c r="L57" s="1"/>
  <c r="J175"/>
  <c r="J176" s="1"/>
  <c r="L177" s="1"/>
  <c r="J415" i="21"/>
  <c r="J416" s="1"/>
  <c r="L417" s="1"/>
  <c r="J235"/>
  <c r="J236" s="1"/>
  <c r="L237" s="1"/>
  <c r="J295"/>
  <c r="J296" s="1"/>
  <c r="L297" s="1"/>
  <c r="J55"/>
  <c r="J56" s="1"/>
  <c r="L57" s="1"/>
  <c r="J355" i="20"/>
  <c r="J356" s="1"/>
  <c r="L357" s="1"/>
  <c r="J295"/>
  <c r="J296" s="1"/>
  <c r="L297" s="1"/>
  <c r="J415"/>
  <c r="J416" s="1"/>
  <c r="L417" s="1"/>
  <c r="J55"/>
  <c r="J56" s="1"/>
  <c r="L57" s="1"/>
  <c r="J415" i="18"/>
  <c r="J416" s="1"/>
  <c r="L417" s="1"/>
  <c r="J355"/>
  <c r="J356" s="1"/>
  <c r="L357" s="1"/>
  <c r="J235" i="17"/>
  <c r="J236" s="1"/>
  <c r="L237" s="1"/>
  <c r="J175"/>
  <c r="J176" s="1"/>
  <c r="L177" s="1"/>
  <c r="J170" i="6"/>
  <c r="D176" s="1"/>
  <c r="K7" i="2"/>
  <c r="J110" i="6"/>
  <c r="D116" s="1"/>
  <c r="K6" i="2"/>
  <c r="J50" i="6"/>
  <c r="D56" s="1"/>
  <c r="K5" i="2"/>
  <c r="J290" i="6"/>
  <c r="K9" i="2"/>
  <c r="J175" i="9"/>
  <c r="J176" s="1"/>
  <c r="L177" s="1"/>
  <c r="J295" i="16"/>
  <c r="J296" s="1"/>
  <c r="L297" s="1"/>
  <c r="J55" i="17"/>
  <c r="J56" s="1"/>
  <c r="L57" s="1"/>
  <c r="J350" i="6"/>
  <c r="D356" s="1"/>
  <c r="K10" i="2"/>
  <c r="J230" i="6"/>
  <c r="J235" s="1"/>
  <c r="J236" s="1"/>
  <c r="L237" s="1"/>
  <c r="J410"/>
  <c r="K11" i="2"/>
  <c r="J295" i="15"/>
  <c r="J296" s="1"/>
  <c r="L297" s="1"/>
  <c r="J415" i="16"/>
  <c r="J416" s="1"/>
  <c r="L417" s="1"/>
  <c r="J415" i="17"/>
  <c r="J416" s="1"/>
  <c r="L417" s="1"/>
  <c r="J355"/>
  <c r="J356" s="1"/>
  <c r="L357" s="1"/>
  <c r="J295"/>
  <c r="J296" s="1"/>
  <c r="L297" s="1"/>
  <c r="J355" i="15"/>
  <c r="J356" s="1"/>
  <c r="L357" s="1"/>
  <c r="J175" i="16"/>
  <c r="J176" s="1"/>
  <c r="L177" s="1"/>
  <c r="J55"/>
  <c r="J56" s="1"/>
  <c r="L57" s="1"/>
  <c r="J355"/>
  <c r="J356" s="1"/>
  <c r="L357" s="1"/>
  <c r="J235"/>
  <c r="J236" s="1"/>
  <c r="L237" s="1"/>
  <c r="J175" i="15"/>
  <c r="J176" s="1"/>
  <c r="L177" s="1"/>
  <c r="J115"/>
  <c r="J116" s="1"/>
  <c r="L117" s="1"/>
  <c r="J235"/>
  <c r="J236" s="1"/>
  <c r="L237" s="1"/>
  <c r="J415"/>
  <c r="J416" s="1"/>
  <c r="L417" s="1"/>
  <c r="J55"/>
  <c r="J56" s="1"/>
  <c r="L57" s="1"/>
  <c r="J355" i="14"/>
  <c r="J356" s="1"/>
  <c r="L357" s="1"/>
  <c r="J175"/>
  <c r="J176" s="1"/>
  <c r="L177" s="1"/>
  <c r="J115"/>
  <c r="J116" s="1"/>
  <c r="L117" s="1"/>
  <c r="J415" i="9"/>
  <c r="J416" s="1"/>
  <c r="L417" s="1"/>
  <c r="J355"/>
  <c r="J356" s="1"/>
  <c r="L357" s="1"/>
  <c r="J295"/>
  <c r="J296" s="1"/>
  <c r="L297" s="1"/>
  <c r="J235"/>
  <c r="J236" s="1"/>
  <c r="L237" s="1"/>
  <c r="J115"/>
  <c r="J116" s="1"/>
  <c r="L117" s="1"/>
  <c r="J55"/>
  <c r="J56" s="1"/>
  <c r="L57" s="1"/>
  <c r="J175" i="8"/>
  <c r="J176" s="1"/>
  <c r="L177" s="1"/>
  <c r="J415" i="12"/>
  <c r="J416" s="1"/>
  <c r="L417" s="1"/>
  <c r="J235"/>
  <c r="J236" s="1"/>
  <c r="L237" s="1"/>
  <c r="J175" i="10"/>
  <c r="J176" s="1"/>
  <c r="L177" s="1"/>
  <c r="J115"/>
  <c r="J116" s="1"/>
  <c r="L117" s="1"/>
  <c r="J55"/>
  <c r="J56" s="1"/>
  <c r="L57" s="1"/>
  <c r="J235"/>
  <c r="J236" s="1"/>
  <c r="L237" s="1"/>
  <c r="J355" i="8"/>
  <c r="J356" s="1"/>
  <c r="L357" s="1"/>
  <c r="J115"/>
  <c r="J116" s="1"/>
  <c r="L117" s="1"/>
  <c r="J55"/>
  <c r="J56" s="1"/>
  <c r="L57" s="1"/>
  <c r="J175" i="6" l="1"/>
  <c r="J176" s="1"/>
  <c r="L177" s="1"/>
  <c r="J295" i="10"/>
  <c r="J296" s="1"/>
  <c r="L297" s="1"/>
  <c r="J115" i="6"/>
  <c r="J116" s="1"/>
  <c r="L117" s="1"/>
  <c r="J115" i="12"/>
  <c r="J116" s="1"/>
  <c r="L117" s="1"/>
  <c r="J55"/>
  <c r="J56" s="1"/>
  <c r="L57" s="1"/>
  <c r="J415" i="10"/>
  <c r="J416" s="1"/>
  <c r="L417" s="1"/>
  <c r="N5" i="2"/>
  <c r="P5" i="4" s="1"/>
  <c r="Q5" s="1"/>
  <c r="D236" i="6"/>
  <c r="K8" i="2"/>
  <c r="N8" s="1"/>
  <c r="P8" i="4" s="1"/>
  <c r="Q8" s="1"/>
  <c r="J355" i="6"/>
  <c r="J356" s="1"/>
  <c r="L357" s="1"/>
  <c r="N9" i="2"/>
  <c r="P9" i="4" s="1"/>
  <c r="N10" i="2"/>
  <c r="P10" i="4" s="1"/>
  <c r="Q10" s="1"/>
  <c r="N6" i="2"/>
  <c r="P6" i="4" s="1"/>
  <c r="Q6" s="1"/>
  <c r="D356" i="10"/>
  <c r="J355"/>
  <c r="J356" s="1"/>
  <c r="L357" s="1"/>
  <c r="N11" i="2"/>
  <c r="P11" i="4" s="1"/>
  <c r="Q11" s="1"/>
  <c r="J175" i="12"/>
  <c r="J176" s="1"/>
  <c r="L177" s="1"/>
  <c r="N7" i="2"/>
  <c r="P7" i="4" s="1"/>
  <c r="Q7" s="1"/>
  <c r="D416" i="6"/>
  <c r="J415"/>
  <c r="J416" s="1"/>
  <c r="L417" s="1"/>
  <c r="D296"/>
  <c r="J295"/>
  <c r="J296" s="1"/>
  <c r="L297" s="1"/>
  <c r="J55"/>
  <c r="J56" s="1"/>
  <c r="L57" s="1"/>
  <c r="O9" i="4"/>
  <c r="Q9" s="1"/>
</calcChain>
</file>

<file path=xl/sharedStrings.xml><?xml version="1.0" encoding="utf-8"?>
<sst xmlns="http://schemas.openxmlformats.org/spreadsheetml/2006/main" count="6765" uniqueCount="200">
  <si>
    <t>AMMOR Sabir</t>
  </si>
  <si>
    <t>AALMI Loubna</t>
  </si>
  <si>
    <t>BENCHEKROUN Nabil</t>
  </si>
  <si>
    <t>MOIS 1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</si>
  <si>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</si>
  <si>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</si>
  <si>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</si>
  <si>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</si>
  <si>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</si>
  <si>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</si>
  <si>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</si>
  <si>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</si>
  <si>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</si>
  <si>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</si>
  <si>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</si>
  <si>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>IR calculé chaque mois</t>
  </si>
  <si>
    <t>TOTAL</t>
  </si>
  <si>
    <t>Raja AL AISSAOUI</t>
  </si>
  <si>
    <t>HAMRI Hassania</t>
  </si>
  <si>
    <t xml:space="preserve"> BENKHADDA Fatima</t>
  </si>
  <si>
    <t>EZZAIM Abdelaziz</t>
  </si>
  <si>
    <t>SBI</t>
  </si>
  <si>
    <t>CNSS</t>
  </si>
  <si>
    <t xml:space="preserve">CIMR </t>
  </si>
  <si>
    <t>AMO</t>
  </si>
  <si>
    <t>AUTRES</t>
  </si>
  <si>
    <t xml:space="preserve">ZALASSUR 2016 </t>
  </si>
  <si>
    <t>Affiliation CNSS 8531536</t>
  </si>
  <si>
    <t>6, Rue El Kadi Iass 1er étage -Maarif- Casablanca, Maroc</t>
  </si>
  <si>
    <t xml:space="preserve">BULLETIN DE PAIE </t>
  </si>
  <si>
    <t xml:space="preserve">MATRICULE </t>
  </si>
  <si>
    <t>Nom et Prénom</t>
  </si>
  <si>
    <t>Période de paie</t>
  </si>
  <si>
    <t>AMMOR SABIR</t>
  </si>
  <si>
    <t>Date emb.</t>
  </si>
  <si>
    <t>N° CIN</t>
  </si>
  <si>
    <t>Date de naissance</t>
  </si>
  <si>
    <t>SF</t>
  </si>
  <si>
    <t>NE</t>
  </si>
  <si>
    <t>ND</t>
  </si>
  <si>
    <t>Adresse du salarié</t>
  </si>
  <si>
    <t>M</t>
  </si>
  <si>
    <t>N° CNSS</t>
  </si>
  <si>
    <t>N° CIMR</t>
  </si>
  <si>
    <t>Service</t>
  </si>
  <si>
    <t xml:space="preserve">Mode de paiement </t>
  </si>
  <si>
    <t xml:space="preserve">Fonction </t>
  </si>
  <si>
    <t>VIREMENT</t>
  </si>
  <si>
    <t>RESPONSABLE AUTO</t>
  </si>
  <si>
    <t>Rubrique</t>
  </si>
  <si>
    <t>Base</t>
  </si>
  <si>
    <t>Nbr. Ou Taux</t>
  </si>
  <si>
    <t>Part salariale</t>
  </si>
  <si>
    <t>Part patronale</t>
  </si>
  <si>
    <t>Gains</t>
  </si>
  <si>
    <t>Retenus</t>
  </si>
  <si>
    <t xml:space="preserve">Taux </t>
  </si>
  <si>
    <t>Montant</t>
  </si>
  <si>
    <t>Salaire de base</t>
  </si>
  <si>
    <t xml:space="preserve">Salaire de base retraité </t>
  </si>
  <si>
    <t>Jours travaillés</t>
  </si>
  <si>
    <t>Congés consommés</t>
  </si>
  <si>
    <t>Reprises absence ( Jours )</t>
  </si>
  <si>
    <t>Reprise absence ( Heures )</t>
  </si>
  <si>
    <t>Rappel ( Jours )</t>
  </si>
  <si>
    <t>Rappel ( Heures )</t>
  </si>
  <si>
    <t>Heures supplémentaires</t>
  </si>
  <si>
    <t>Primes Imposables</t>
  </si>
  <si>
    <t xml:space="preserve">+ Prime d'ancienneté </t>
  </si>
  <si>
    <t>+Autres primes imposables</t>
  </si>
  <si>
    <t>Primes non imposables</t>
  </si>
  <si>
    <t>Indemnité de déplacement</t>
  </si>
  <si>
    <t>Indemnité de représentation</t>
  </si>
  <si>
    <t>+ Autres indemnités exonérées</t>
  </si>
  <si>
    <t>Salaire brut</t>
  </si>
  <si>
    <t>Brut soumis à la CNSS</t>
  </si>
  <si>
    <t>Cotisations à la CNSS</t>
  </si>
  <si>
    <t>CIMR</t>
  </si>
  <si>
    <t>Retraite spéciale épargne</t>
  </si>
  <si>
    <t>Retraite complémentaire</t>
  </si>
  <si>
    <t>Mutuelle</t>
  </si>
  <si>
    <t>Mutuelle complémentaire</t>
  </si>
  <si>
    <t xml:space="preserve">Prestations d'allocations familiales </t>
  </si>
  <si>
    <t xml:space="preserve">Taxe formation professionnelle </t>
  </si>
  <si>
    <t>Total Cotisations</t>
  </si>
  <si>
    <t>Frais professionnels</t>
  </si>
  <si>
    <t xml:space="preserve">Salaire brut Imposable </t>
  </si>
  <si>
    <t xml:space="preserve">Déduction personnes à charge </t>
  </si>
  <si>
    <t xml:space="preserve">Salaire Net Imposable </t>
  </si>
  <si>
    <t>IRB</t>
  </si>
  <si>
    <t>Déductions</t>
  </si>
  <si>
    <t>IR Net</t>
  </si>
  <si>
    <t>Retenue Ticket repas</t>
  </si>
  <si>
    <t>Retenue prêt</t>
  </si>
  <si>
    <t>Arrondi</t>
  </si>
  <si>
    <t>Cumul Brut</t>
  </si>
  <si>
    <t>Cumul imposable</t>
  </si>
  <si>
    <t>Cumul CNSS</t>
  </si>
  <si>
    <t>Cumul IR</t>
  </si>
  <si>
    <t>Cumul Net</t>
  </si>
  <si>
    <t>TOTAL PP</t>
  </si>
  <si>
    <t xml:space="preserve">Net à payer </t>
  </si>
  <si>
    <t>Cumul PP</t>
  </si>
  <si>
    <t>Coût salarié</t>
  </si>
  <si>
    <t>EL AISSAOUI RAJA</t>
  </si>
  <si>
    <t>GERANTE</t>
  </si>
  <si>
    <t>ALAMI LOUBNA</t>
  </si>
  <si>
    <t>-</t>
  </si>
  <si>
    <t>EZZAIM ABDELAZIZ</t>
  </si>
  <si>
    <t>RESPONSABLE</t>
  </si>
  <si>
    <t>BENKHADDA FATIMA</t>
  </si>
  <si>
    <t>C</t>
  </si>
  <si>
    <t>HAMRI HASSANIA</t>
  </si>
  <si>
    <t>BENCHEKROUN NABIL</t>
  </si>
  <si>
    <t>TECHNICIEN</t>
  </si>
  <si>
    <t>Salaire net imposable</t>
  </si>
  <si>
    <t xml:space="preserve">  </t>
  </si>
  <si>
    <t>Cotisations</t>
  </si>
  <si>
    <t>SB soumis à la CNSS</t>
  </si>
  <si>
    <t>FP</t>
  </si>
  <si>
    <t>SNI</t>
  </si>
  <si>
    <t>Brarème IR</t>
  </si>
  <si>
    <t>IR Brut</t>
  </si>
  <si>
    <t>Ret,Spéc,Ep</t>
  </si>
  <si>
    <t>Taux de cotisations CNSS</t>
  </si>
  <si>
    <t>Catégorie de prestation</t>
  </si>
  <si>
    <t>Base de calcul</t>
  </si>
  <si>
    <t>Taux Charge patronale</t>
  </si>
  <si>
    <t>Taux Charge Salariale</t>
  </si>
  <si>
    <t>Taux Global</t>
  </si>
  <si>
    <t>1- Prestations Familiales</t>
  </si>
  <si>
    <t>Le total des salaires réels de la période (mois/trimestre)</t>
  </si>
  <si>
    <t>6,40%</t>
  </si>
  <si>
    <t>--</t>
  </si>
  <si>
    <t>2- Prestations sociales à court terme*</t>
  </si>
  <si>
    <t>Le total des salaires plafonnés (chacun plafonné à 6000 dhs)</t>
  </si>
  <si>
    <t>1,05%</t>
  </si>
  <si>
    <t>0,52%</t>
  </si>
  <si>
    <t>1,57%</t>
  </si>
  <si>
    <t>3- Prestations sociales à long terme</t>
  </si>
  <si>
    <t>7,93%</t>
  </si>
  <si>
    <t>3,96%</t>
  </si>
  <si>
    <t>11,89%</t>
  </si>
  <si>
    <t>4- Assurance Maladie Obligatoire</t>
  </si>
  <si>
    <t>4,11%</t>
  </si>
  <si>
    <t>2,26%</t>
  </si>
  <si>
    <t>6,37%</t>
  </si>
  <si>
    <t>5- Taxe de formation professionnelle</t>
  </si>
  <si>
    <t>1,6 %</t>
  </si>
  <si>
    <t>* Dont 0,57% relatif à l'Indemnité pour perte d'emploi réparti comme suit : la charge patronale est de 0,38% et la charge salariale est de 0,19%.</t>
  </si>
  <si>
    <t>Calcul de IR</t>
  </si>
  <si>
    <t>Barème IR</t>
  </si>
  <si>
    <t>Tranche annuelle</t>
  </si>
  <si>
    <t>Taux</t>
  </si>
  <si>
    <t>Tranche revenu mensuel</t>
  </si>
  <si>
    <t>Déductions/An</t>
  </si>
  <si>
    <t>Déductions/Mois</t>
  </si>
  <si>
    <t>[0 ;30 000[</t>
  </si>
  <si>
    <t>[0 ;2 500[</t>
  </si>
  <si>
    <t>[30 000 ;50 000[</t>
  </si>
  <si>
    <t>[2 500 ;4 166,67[</t>
  </si>
  <si>
    <t>[50 000 ;60 000[</t>
  </si>
  <si>
    <t>[4 166,67;5 000[</t>
  </si>
  <si>
    <t>[60 000 ;80 000[</t>
  </si>
  <si>
    <t>[5 000;6 666,67[</t>
  </si>
  <si>
    <t>[80 000 ;180 000[</t>
  </si>
  <si>
    <t>[6 666,67;15 000[</t>
  </si>
  <si>
    <t>&gt;180 000</t>
  </si>
  <si>
    <t>&gt;15 000</t>
  </si>
  <si>
    <t>Taux Cotisations CIMR ( Facultatifs )</t>
  </si>
  <si>
    <t>3%</t>
  </si>
  <si>
    <t>3.90%</t>
  </si>
  <si>
    <t>3.75%</t>
  </si>
  <si>
    <t>4.88%</t>
  </si>
  <si>
    <t>4.50%</t>
  </si>
  <si>
    <t>5.85%</t>
  </si>
  <si>
    <t>5.25%</t>
  </si>
  <si>
    <t>6.83%</t>
  </si>
  <si>
    <t>6%</t>
  </si>
  <si>
    <t>7.80%</t>
  </si>
  <si>
    <t>Taux de prime d'ancienneté</t>
  </si>
  <si>
    <t>Durée</t>
  </si>
  <si>
    <t>Après 2 ans de travail</t>
  </si>
  <si>
    <t>Après 5 ans de travail</t>
  </si>
  <si>
    <t>Après 12 ans de travail</t>
  </si>
  <si>
    <t>Après 20 ans de travail</t>
  </si>
  <si>
    <t>Après 25 ans de travail</t>
  </si>
  <si>
    <t>Selon Article 350 du Code de Travail</t>
  </si>
  <si>
    <t>Indémnité de représentation</t>
  </si>
  <si>
    <t>Plafond</t>
  </si>
  <si>
    <t>Conditions</t>
  </si>
  <si>
    <t>10% du Salaire de base</t>
  </si>
  <si>
    <t>Président Directeur Général, Directeur Général</t>
  </si>
  <si>
    <t xml:space="preserve">Directeur d’un département (Directeur Commercial, Directeur Financier, Directeur Administratif, Directeur Technique, Directeur des Ressources Humaines, Directeur d’une succursale) </t>
  </si>
  <si>
    <t>et Agent commercial</t>
  </si>
  <si>
    <t>Agent commercial</t>
  </si>
  <si>
    <t>Il est entendu par Directeur, le premier responsable des structures susmentionnées.</t>
  </si>
  <si>
    <t>NOTE CIRCULAIRE RELATIVE A L’ASSIETTE DE COTISATIONS A LA CNSS VERSION DE JANVIER 2005</t>
  </si>
  <si>
    <t>Total IR mensuel</t>
  </si>
  <si>
    <t>Ecart</t>
  </si>
</sst>
</file>

<file path=xl/styles.xml><?xml version="1.0" encoding="utf-8"?>
<styleSheet xmlns="http://schemas.openxmlformats.org/spreadsheetml/2006/main">
  <numFmts count="1">
    <numFmt numFmtId="164" formatCode="dd/mm/yy"/>
  </numFmts>
  <fonts count="18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u/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8"/>
      <color indexed="53"/>
      <name val="Arial"/>
      <family val="2"/>
    </font>
    <font>
      <sz val="8"/>
      <color indexed="8"/>
      <name val="Arial"/>
      <family val="2"/>
    </font>
    <font>
      <b/>
      <u/>
      <sz val="10"/>
      <color indexed="3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162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0" xfId="0" applyFont="1"/>
    <xf numFmtId="0" fontId="7" fillId="0" borderId="0" xfId="0" applyFont="1"/>
    <xf numFmtId="0" fontId="10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0" fillId="2" borderId="11" xfId="0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vertical="center"/>
    </xf>
    <xf numFmtId="4" fontId="11" fillId="3" borderId="11" xfId="0" applyNumberFormat="1" applyFont="1" applyFill="1" applyBorder="1" applyAlignment="1">
      <alignment horizontal="right" vertical="center"/>
    </xf>
    <xf numFmtId="4" fontId="11" fillId="0" borderId="12" xfId="0" applyNumberFormat="1" applyFont="1" applyBorder="1" applyAlignment="1">
      <alignment vertical="center"/>
    </xf>
    <xf numFmtId="0" fontId="11" fillId="0" borderId="12" xfId="0" applyNumberFormat="1" applyFont="1" applyBorder="1" applyAlignment="1">
      <alignment horizontal="right" vertical="center"/>
    </xf>
    <xf numFmtId="4" fontId="11" fillId="2" borderId="13" xfId="0" applyNumberFormat="1" applyFont="1" applyFill="1" applyBorder="1" applyAlignment="1">
      <alignment vertical="center"/>
    </xf>
    <xf numFmtId="4" fontId="11" fillId="2" borderId="12" xfId="0" applyNumberFormat="1" applyFont="1" applyFill="1" applyBorder="1" applyAlignment="1">
      <alignment vertical="center"/>
    </xf>
    <xf numFmtId="4" fontId="11" fillId="0" borderId="14" xfId="0" applyNumberFormat="1" applyFont="1" applyBorder="1" applyAlignment="1">
      <alignment vertical="center"/>
    </xf>
    <xf numFmtId="4" fontId="11" fillId="0" borderId="15" xfId="0" applyNumberFormat="1" applyFont="1" applyBorder="1" applyAlignment="1">
      <alignment vertical="center"/>
    </xf>
    <xf numFmtId="4" fontId="11" fillId="2" borderId="16" xfId="0" applyNumberFormat="1" applyFont="1" applyFill="1" applyBorder="1" applyAlignment="1">
      <alignment vertical="center"/>
    </xf>
    <xf numFmtId="4" fontId="11" fillId="2" borderId="17" xfId="0" applyNumberFormat="1" applyFont="1" applyFill="1" applyBorder="1" applyAlignment="1">
      <alignment vertical="center"/>
    </xf>
    <xf numFmtId="9" fontId="11" fillId="0" borderId="12" xfId="0" applyNumberFormat="1" applyFont="1" applyBorder="1" applyAlignment="1">
      <alignment horizontal="right" vertical="center"/>
    </xf>
    <xf numFmtId="4" fontId="9" fillId="4" borderId="11" xfId="0" applyNumberFormat="1" applyFont="1" applyFill="1" applyBorder="1" applyAlignment="1">
      <alignment vertical="center"/>
    </xf>
    <xf numFmtId="4" fontId="9" fillId="4" borderId="11" xfId="0" applyNumberFormat="1" applyFont="1" applyFill="1" applyBorder="1" applyAlignment="1">
      <alignment horizontal="right" vertical="center"/>
    </xf>
    <xf numFmtId="10" fontId="11" fillId="0" borderId="12" xfId="0" applyNumberFormat="1" applyFont="1" applyBorder="1" applyAlignment="1">
      <alignment horizontal="right" vertical="center"/>
    </xf>
    <xf numFmtId="10" fontId="11" fillId="0" borderId="12" xfId="0" applyNumberFormat="1" applyFont="1" applyBorder="1" applyAlignment="1">
      <alignment vertical="center"/>
    </xf>
    <xf numFmtId="10" fontId="13" fillId="0" borderId="12" xfId="0" applyNumberFormat="1" applyFont="1" applyBorder="1" applyAlignment="1">
      <alignment vertical="center"/>
    </xf>
    <xf numFmtId="4" fontId="11" fillId="2" borderId="18" xfId="0" applyNumberFormat="1" applyFont="1" applyFill="1" applyBorder="1" applyAlignment="1">
      <alignment vertical="center"/>
    </xf>
    <xf numFmtId="4" fontId="11" fillId="2" borderId="19" xfId="0" applyNumberFormat="1" applyFont="1" applyFill="1" applyBorder="1" applyAlignment="1">
      <alignment horizontal="right" vertical="center"/>
    </xf>
    <xf numFmtId="4" fontId="11" fillId="2" borderId="19" xfId="0" applyNumberFormat="1" applyFont="1" applyFill="1" applyBorder="1" applyAlignment="1">
      <alignment vertical="center"/>
    </xf>
    <xf numFmtId="4" fontId="11" fillId="2" borderId="20" xfId="0" applyNumberFormat="1" applyFont="1" applyFill="1" applyBorder="1" applyAlignment="1">
      <alignment vertical="center"/>
    </xf>
    <xf numFmtId="4" fontId="11" fillId="2" borderId="21" xfId="0" applyNumberFormat="1" applyFont="1" applyFill="1" applyBorder="1" applyAlignment="1">
      <alignment vertical="center"/>
    </xf>
    <xf numFmtId="4" fontId="11" fillId="2" borderId="22" xfId="0" applyNumberFormat="1" applyFont="1" applyFill="1" applyBorder="1" applyAlignment="1">
      <alignment horizontal="right" vertical="center"/>
    </xf>
    <xf numFmtId="4" fontId="11" fillId="2" borderId="22" xfId="0" applyNumberFormat="1" applyFont="1" applyFill="1" applyBorder="1" applyAlignment="1">
      <alignment vertical="center"/>
    </xf>
    <xf numFmtId="4" fontId="11" fillId="2" borderId="23" xfId="0" applyNumberFormat="1" applyFont="1" applyFill="1" applyBorder="1" applyAlignment="1">
      <alignment vertical="center"/>
    </xf>
    <xf numFmtId="10" fontId="14" fillId="0" borderId="12" xfId="0" applyNumberFormat="1" applyFont="1" applyBorder="1" applyAlignment="1">
      <alignment horizontal="right" vertical="center"/>
    </xf>
    <xf numFmtId="4" fontId="11" fillId="2" borderId="0" xfId="0" applyNumberFormat="1" applyFont="1" applyFill="1" applyBorder="1" applyAlignment="1">
      <alignment vertical="center"/>
    </xf>
    <xf numFmtId="4" fontId="11" fillId="2" borderId="24" xfId="0" applyNumberFormat="1" applyFont="1" applyFill="1" applyBorder="1" applyAlignment="1">
      <alignment vertical="center"/>
    </xf>
    <xf numFmtId="4" fontId="11" fillId="2" borderId="0" xfId="0" applyNumberFormat="1" applyFont="1" applyFill="1" applyBorder="1" applyAlignment="1">
      <alignment horizontal="right" vertical="center"/>
    </xf>
    <xf numFmtId="4" fontId="11" fillId="0" borderId="14" xfId="0" applyNumberFormat="1" applyFont="1" applyBorder="1" applyAlignment="1">
      <alignment horizontal="right" vertical="center"/>
    </xf>
    <xf numFmtId="4" fontId="11" fillId="2" borderId="11" xfId="0" applyNumberFormat="1" applyFont="1" applyFill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4" fontId="11" fillId="5" borderId="1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 vertical="center"/>
    </xf>
    <xf numFmtId="2" fontId="0" fillId="0" borderId="0" xfId="0" applyNumberFormat="1"/>
    <xf numFmtId="4" fontId="3" fillId="0" borderId="9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4" fontId="3" fillId="0" borderId="10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2" borderId="11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center" vertical="center" wrapText="1"/>
    </xf>
    <xf numFmtId="49" fontId="17" fillId="0" borderId="1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9" fontId="7" fillId="0" borderId="11" xfId="0" applyNumberFormat="1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 wrapText="1"/>
    </xf>
    <xf numFmtId="4" fontId="3" fillId="0" borderId="8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4" fontId="3" fillId="7" borderId="10" xfId="0" applyNumberFormat="1" applyFont="1" applyFill="1" applyBorder="1" applyAlignment="1">
      <alignment horizontal="center" vertical="center"/>
    </xf>
    <xf numFmtId="4" fontId="3" fillId="7" borderId="2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6" borderId="0" xfId="0" applyFill="1"/>
    <xf numFmtId="2" fontId="3" fillId="6" borderId="3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3" xfId="0" applyNumberFormat="1" applyFont="1" applyBorder="1"/>
    <xf numFmtId="2" fontId="1" fillId="0" borderId="5" xfId="0" applyNumberFormat="1" applyFont="1" applyBorder="1"/>
    <xf numFmtId="0" fontId="4" fillId="0" borderId="0" xfId="0" applyFont="1" applyAlignment="1">
      <alignment horizontal="center"/>
    </xf>
    <xf numFmtId="0" fontId="17" fillId="0" borderId="0" xfId="0" applyFont="1" applyBorder="1" applyAlignment="1">
      <alignment vertical="center" wrapText="1"/>
    </xf>
    <xf numFmtId="0" fontId="6" fillId="2" borderId="11" xfId="0" applyFont="1" applyFill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4" fontId="7" fillId="8" borderId="14" xfId="0" applyNumberFormat="1" applyFont="1" applyFill="1" applyBorder="1" applyAlignment="1">
      <alignment horizontal="left" vertical="center"/>
    </xf>
    <xf numFmtId="4" fontId="7" fillId="8" borderId="12" xfId="0" applyNumberFormat="1" applyFont="1" applyFill="1" applyBorder="1" applyAlignment="1">
      <alignment horizontal="left" vertical="center"/>
    </xf>
    <xf numFmtId="4" fontId="7" fillId="8" borderId="15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9" fontId="11" fillId="0" borderId="12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9" fillId="4" borderId="16" xfId="0" applyFont="1" applyFill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4" fontId="11" fillId="0" borderId="11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64" fontId="9" fillId="0" borderId="17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vertical="center"/>
    </xf>
    <xf numFmtId="0" fontId="9" fillId="3" borderId="17" xfId="0" applyFont="1" applyFill="1" applyBorder="1" applyAlignment="1">
      <alignment vertical="center"/>
    </xf>
    <xf numFmtId="0" fontId="9" fillId="3" borderId="25" xfId="0" applyFont="1" applyFill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9" fontId="11" fillId="0" borderId="13" xfId="0" applyNumberFormat="1" applyFont="1" applyBorder="1" applyAlignment="1">
      <alignment vertical="center"/>
    </xf>
    <xf numFmtId="9" fontId="11" fillId="0" borderId="0" xfId="0" applyNumberFormat="1" applyFont="1" applyBorder="1" applyAlignment="1">
      <alignment vertical="center"/>
    </xf>
    <xf numFmtId="9" fontId="11" fillId="0" borderId="24" xfId="0" applyNumberFormat="1" applyFont="1" applyBorder="1" applyAlignment="1">
      <alignment vertical="center"/>
    </xf>
    <xf numFmtId="9" fontId="11" fillId="0" borderId="21" xfId="0" applyNumberFormat="1" applyFont="1" applyBorder="1" applyAlignment="1">
      <alignment vertical="center"/>
    </xf>
    <xf numFmtId="9" fontId="11" fillId="0" borderId="22" xfId="0" applyNumberFormat="1" applyFont="1" applyBorder="1" applyAlignment="1">
      <alignment vertical="center"/>
    </xf>
    <xf numFmtId="9" fontId="11" fillId="0" borderId="23" xfId="0" applyNumberFormat="1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11" fillId="0" borderId="16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" fontId="11" fillId="0" borderId="16" xfId="0" applyNumberFormat="1" applyFont="1" applyBorder="1" applyAlignment="1">
      <alignment horizontal="center" vertical="center"/>
    </xf>
    <xf numFmtId="4" fontId="11" fillId="0" borderId="17" xfId="0" applyNumberFormat="1" applyFont="1" applyBorder="1" applyAlignment="1">
      <alignment horizontal="center" vertical="center"/>
    </xf>
    <xf numFmtId="4" fontId="11" fillId="0" borderId="25" xfId="0" applyNumberFormat="1" applyFont="1" applyBorder="1" applyAlignment="1">
      <alignment horizontal="center" vertical="center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/Downloads/2Paie%20Octobre%202016/ZALASSUR_PAIE_Octobre%20201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ux"/>
      <sheetName val="Bulletin de paie vierge"/>
      <sheetName val="AMMOR SABIR"/>
      <sheetName val="EL AISSAOUI RAJA"/>
      <sheetName val="ALAMI LOUBNA"/>
      <sheetName val="EZZAIM ABDELAZIZ"/>
      <sheetName val="BENKHADDA FATIMA"/>
      <sheetName val="HAMRI HASSANIA"/>
      <sheetName val="BENCHEKROUN NABIL"/>
      <sheetName val="Journal de paie "/>
      <sheetName val="CNSS et AMO"/>
      <sheetName val="IR à verser"/>
      <sheetName val="Recap Net"/>
    </sheetNames>
    <sheetDataSet>
      <sheetData sheetId="0">
        <row r="4">
          <cell r="C4" t="str">
            <v>6,40%</v>
          </cell>
        </row>
        <row r="5">
          <cell r="C5" t="str">
            <v>1,05%</v>
          </cell>
          <cell r="D5" t="str">
            <v>0,52%</v>
          </cell>
        </row>
        <row r="6">
          <cell r="C6" t="str">
            <v>7,93%</v>
          </cell>
          <cell r="D6" t="str">
            <v>3,96%</v>
          </cell>
        </row>
        <row r="7">
          <cell r="C7" t="str">
            <v>4,11%</v>
          </cell>
          <cell r="D7" t="str">
            <v>2,26%</v>
          </cell>
        </row>
        <row r="8">
          <cell r="C8" t="str">
            <v>1,6 %</v>
          </cell>
        </row>
        <row r="15">
          <cell r="C15">
            <v>0</v>
          </cell>
          <cell r="I15">
            <v>0</v>
          </cell>
        </row>
        <row r="16">
          <cell r="C16">
            <v>0.1</v>
          </cell>
          <cell r="I16">
            <v>250</v>
          </cell>
        </row>
        <row r="17">
          <cell r="C17">
            <v>0.2</v>
          </cell>
          <cell r="I17">
            <v>666.66666666666663</v>
          </cell>
        </row>
        <row r="18">
          <cell r="C18">
            <v>0.30000000000000004</v>
          </cell>
          <cell r="I18">
            <v>1166.6666666666667</v>
          </cell>
        </row>
        <row r="19">
          <cell r="C19">
            <v>0.34</v>
          </cell>
          <cell r="I19">
            <v>1433.3333333333333</v>
          </cell>
        </row>
        <row r="20">
          <cell r="C20">
            <v>0.38</v>
          </cell>
          <cell r="I20">
            <v>2033.3333333333333</v>
          </cell>
        </row>
        <row r="33">
          <cell r="A33">
            <v>0.05</v>
          </cell>
        </row>
        <row r="34">
          <cell r="A34">
            <v>0.1</v>
          </cell>
        </row>
        <row r="35">
          <cell r="A35">
            <v>0.15</v>
          </cell>
        </row>
        <row r="36">
          <cell r="A36">
            <v>0.2</v>
          </cell>
        </row>
        <row r="37">
          <cell r="A37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B12" sqref="B12"/>
    </sheetView>
  </sheetViews>
  <sheetFormatPr baseColWidth="10" defaultRowHeight="15"/>
  <cols>
    <col min="1" max="1" width="24.140625" bestFit="1" customWidth="1"/>
    <col min="2" max="2" width="13.140625" bestFit="1" customWidth="1"/>
    <col min="4" max="4" width="13.5703125" bestFit="1" customWidth="1"/>
    <col min="8" max="8" width="13.7109375" customWidth="1"/>
    <col min="14" max="14" width="11.42578125" customWidth="1"/>
  </cols>
  <sheetData>
    <row r="1" spans="1:14" ht="20.25">
      <c r="D1" s="91" t="s">
        <v>15</v>
      </c>
      <c r="E1" s="91"/>
      <c r="F1" s="91"/>
    </row>
    <row r="3" spans="1:14" ht="15.75" thickBot="1"/>
    <row r="4" spans="1:14" ht="22.5" customHeight="1" thickBot="1">
      <c r="A4" s="1"/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3" t="s">
        <v>14</v>
      </c>
      <c r="N4" s="84" t="s">
        <v>16</v>
      </c>
    </row>
    <row r="5" spans="1:14" ht="15.75" thickBot="1">
      <c r="A5" s="2" t="s">
        <v>0</v>
      </c>
      <c r="B5" s="4">
        <f>+'BULLTEIN DE PAIE MOIS 01'!J50</f>
        <v>1770.4973719406673</v>
      </c>
      <c r="C5" s="5">
        <f>+'BULLTEIN DE PAIE MOIS 02'!J48</f>
        <v>1770.4973719406673</v>
      </c>
      <c r="D5" s="5">
        <f>+'BULLTEIN DE PAIE MOIS 03'!J50</f>
        <v>1770.4973719406673</v>
      </c>
      <c r="E5" s="5">
        <f>+'BULLTEIN DE PAIE MOIS 04'!J50</f>
        <v>1770.4973719406673</v>
      </c>
      <c r="F5" s="86">
        <f>+'BULLTEIN DE PAIE MOIS 05'!J50</f>
        <v>1493.8740235349749</v>
      </c>
      <c r="G5" s="86">
        <f>+'BULLTEIN DE PAIE MOIS 06'!J50</f>
        <v>1770.4973719406673</v>
      </c>
      <c r="H5" s="86">
        <f>+'BULLTEIN DE PAIE MOIS 07'!J50</f>
        <v>1770.4973719406673</v>
      </c>
      <c r="I5" s="86">
        <f>+'BULLTEIN DE PAIE MOIS 08'!J50</f>
        <v>1493.8740235349749</v>
      </c>
      <c r="J5" s="86">
        <f>+'BULLTEIN DE PAIE MOIS 09'!J50</f>
        <v>1368.0990503321284</v>
      </c>
      <c r="K5" s="86">
        <f>'BULLTEIN DE PAIE MOIS 10'!J48</f>
        <v>1770.4973719406673</v>
      </c>
      <c r="L5" s="6">
        <f>+'BULLTEIN DE PAIE MOIS 11'!J50</f>
        <v>1770.4973719406673</v>
      </c>
      <c r="M5" s="6">
        <f>'BULLTEIN DE PAIE MOIS 12'!J50</f>
        <v>1770.4973719406673</v>
      </c>
      <c r="N5" s="88">
        <f t="shared" ref="N5:N11" si="0">SUM(B5:M5)</f>
        <v>20290.323444868081</v>
      </c>
    </row>
    <row r="6" spans="1:14" ht="15.75" thickBot="1">
      <c r="A6" s="2" t="s">
        <v>17</v>
      </c>
      <c r="B6" s="7">
        <f>+'BULLTEIN DE PAIE MOIS 01'!J110</f>
        <v>24555.722666666668</v>
      </c>
      <c r="C6" s="5">
        <f>+'BULLTEIN DE PAIE MOIS 02'!J108</f>
        <v>24555.722666666668</v>
      </c>
      <c r="D6" s="5">
        <f>+'BULLTEIN DE PAIE MOIS 03'!J110</f>
        <v>24555.722666666668</v>
      </c>
      <c r="E6" s="5">
        <f>+'BULLTEIN DE PAIE MOIS 04'!J110</f>
        <v>24555.722666666668</v>
      </c>
      <c r="F6" s="87">
        <f>+'BULLTEIN DE PAIE MOIS 05'!J110</f>
        <v>24555.72</v>
      </c>
      <c r="G6" s="87">
        <f>+'BULLTEIN DE PAIE MOIS 06'!J110</f>
        <v>25937.78</v>
      </c>
      <c r="H6" s="87">
        <f>+'BULLTEIN DE PAIE MOIS 07'!J110</f>
        <v>25937.78</v>
      </c>
      <c r="I6" s="87">
        <f>+'BULLTEIN DE PAIE MOIS 08'!J110</f>
        <v>25937.78</v>
      </c>
      <c r="J6" s="87">
        <f>+'BULLTEIN DE PAIE MOIS 09'!J110</f>
        <v>25937.78</v>
      </c>
      <c r="K6" s="87">
        <f>'BULLTEIN DE PAIE MOIS 10'!J108</f>
        <v>25937.782666666666</v>
      </c>
      <c r="L6" s="5">
        <f>+'BULLTEIN DE PAIE MOIS 11'!J110</f>
        <v>25937.782666666666</v>
      </c>
      <c r="M6" s="5">
        <f>'BULLTEIN DE PAIE MOIS 12'!J110</f>
        <v>25937.782666666666</v>
      </c>
      <c r="N6" s="89">
        <f t="shared" si="0"/>
        <v>304343.07866666664</v>
      </c>
    </row>
    <row r="7" spans="1:14" ht="15.75" thickBot="1">
      <c r="A7" s="2" t="s">
        <v>1</v>
      </c>
      <c r="B7" s="4">
        <f>+'BULLTEIN DE PAIE MOIS 01'!J170</f>
        <v>13241.602666666666</v>
      </c>
      <c r="C7" s="5">
        <f>+'BULLTEIN DE PAIE MOIS 02'!J168</f>
        <v>13241.602666666666</v>
      </c>
      <c r="D7" s="5">
        <f>+'BULLTEIN DE PAIE MOIS 03'!J170</f>
        <v>13241.602666666666</v>
      </c>
      <c r="E7" s="5">
        <f>+'BULLTEIN DE PAIE MOIS 04'!J170</f>
        <v>13241.602666666666</v>
      </c>
      <c r="F7" s="86">
        <f>+'BULLTEIN DE PAIE MOIS 05'!J170</f>
        <v>13241.602666666666</v>
      </c>
      <c r="G7" s="86">
        <f>+'BULLTEIN DE PAIE MOIS 06'!J170</f>
        <v>14057.956666666667</v>
      </c>
      <c r="H7" s="86">
        <f>+'BULLTEIN DE PAIE MOIS 07'!J170</f>
        <v>14057.956666666667</v>
      </c>
      <c r="I7" s="86">
        <f>+'BULLTEIN DE PAIE MOIS 08'!J170</f>
        <v>14057.956666666667</v>
      </c>
      <c r="J7" s="86">
        <f>+'BULLTEIN DE PAIE MOIS 09'!J170</f>
        <v>14057.956666666667</v>
      </c>
      <c r="K7" s="86">
        <f>'BULLTEIN DE PAIE MOIS 10'!J168</f>
        <v>14057.956666666667</v>
      </c>
      <c r="L7" s="6">
        <f>+'BULLTEIN DE PAIE MOIS 11'!J170</f>
        <v>14057.956666666667</v>
      </c>
      <c r="M7" s="6">
        <f>'BULLTEIN DE PAIE MOIS 12'!J170</f>
        <v>14057.956666666667</v>
      </c>
      <c r="N7" s="88">
        <f t="shared" si="0"/>
        <v>164613.71</v>
      </c>
    </row>
    <row r="8" spans="1:14" ht="15.75" thickBot="1">
      <c r="A8" s="2" t="s">
        <v>20</v>
      </c>
      <c r="B8" s="7">
        <f>+'BULLTEIN DE PAIE MOIS 01'!J230</f>
        <v>1590.256826786667</v>
      </c>
      <c r="C8" s="6">
        <f>+'BULLTEIN DE PAIE MOIS 02'!J230</f>
        <v>1590.256826786667</v>
      </c>
      <c r="D8" s="6">
        <f>+'BULLTEIN DE PAIE MOIS 03'!J230</f>
        <v>1590.256826786667</v>
      </c>
      <c r="E8" s="6">
        <f>+'BULLTEIN DE PAIE MOIS 04'!J230</f>
        <v>1590.256826786667</v>
      </c>
      <c r="F8" s="87">
        <f>+'BULLTEIN DE PAIE MOIS 05'!J230</f>
        <v>1590.256826786667</v>
      </c>
      <c r="G8" s="87">
        <f>+'BULLTEIN DE PAIE MOIS 06'!J230</f>
        <v>1766.2716327926667</v>
      </c>
      <c r="H8" s="87">
        <f>+'BULLTEIN DE PAIE MOIS 07'!J230</f>
        <v>1766.2716327926667</v>
      </c>
      <c r="I8" s="87">
        <f>+'BULLTEIN DE PAIE MOIS 08'!J230</f>
        <v>1766.2716327926667</v>
      </c>
      <c r="J8" s="87">
        <f>+'BULLTEIN DE PAIE MOIS 09'!J230</f>
        <v>1766.2716327926667</v>
      </c>
      <c r="K8" s="87">
        <f>'BULLTEIN DE PAIE MOIS 10'!J230</f>
        <v>1766.2716327926667</v>
      </c>
      <c r="L8" s="5">
        <f>+'BULLTEIN DE PAIE MOIS 11'!J230</f>
        <v>1766.2716327926667</v>
      </c>
      <c r="M8" s="5">
        <f>'BULLTEIN DE PAIE MOIS 12'!J230</f>
        <v>1766.2716327926667</v>
      </c>
      <c r="N8" s="89">
        <f t="shared" si="0"/>
        <v>20315.185563482006</v>
      </c>
    </row>
    <row r="9" spans="1:14" ht="15.75" thickBot="1">
      <c r="A9" s="2" t="s">
        <v>19</v>
      </c>
      <c r="B9" s="4">
        <f>+'BULLTEIN DE PAIE MOIS 01'!J288</f>
        <v>0</v>
      </c>
      <c r="C9" s="5">
        <f>+'BULLTEIN DE PAIE MOIS 02'!J290</f>
        <v>0</v>
      </c>
      <c r="D9" s="5">
        <f>+'BULLTEIN DE PAIE MOIS 03'!J290</f>
        <v>0</v>
      </c>
      <c r="E9" s="5">
        <f>+'BULLTEIN DE PAIE MOIS 04'!J290</f>
        <v>0</v>
      </c>
      <c r="F9" s="87">
        <f>+'BULLTEIN DE PAIE MOIS 05'!J290</f>
        <v>0</v>
      </c>
      <c r="G9" s="87">
        <f>+'BULLTEIN DE PAIE MOIS 06'!J290</f>
        <v>0</v>
      </c>
      <c r="H9" s="87">
        <f>+'BULLTEIN DE PAIE MOIS 07'!J290</f>
        <v>44.117398190000074</v>
      </c>
      <c r="I9" s="87">
        <f>+'BULLTEIN DE PAIE MOIS 08'!J290</f>
        <v>44.117398190000074</v>
      </c>
      <c r="J9" s="87">
        <f>+'BULLTEIN DE PAIE MOIS 09'!J290</f>
        <v>44.117398190000074</v>
      </c>
      <c r="K9" s="87">
        <f>'BULLTEIN DE PAIE MOIS 10'!J288</f>
        <v>44.117398190000074</v>
      </c>
      <c r="L9" s="5">
        <f>+'BULLTEIN DE PAIE MOIS 11'!J290</f>
        <v>44.117398190000074</v>
      </c>
      <c r="M9" s="5">
        <f>'BULLTEIN DE PAIE MOIS 12'!J290</f>
        <v>44.117398190000074</v>
      </c>
      <c r="N9" s="88">
        <f t="shared" si="0"/>
        <v>264.70438914000044</v>
      </c>
    </row>
    <row r="10" spans="1:14" ht="15.75" thickBot="1">
      <c r="A10" s="2" t="s">
        <v>18</v>
      </c>
      <c r="B10" s="7">
        <f>+'BULLTEIN DE PAIE MOIS 01'!J348</f>
        <v>0</v>
      </c>
      <c r="C10" s="6">
        <f>+'BULLTEIN DE PAIE MOIS 02'!J350</f>
        <v>0</v>
      </c>
      <c r="D10" s="6">
        <f>+'BULLTEIN DE PAIE MOIS 03'!J350</f>
        <v>0</v>
      </c>
      <c r="E10" s="6">
        <f>+'BULLTEIN DE PAIE MOIS 04'!J350</f>
        <v>0</v>
      </c>
      <c r="F10" s="86">
        <f>+'BULLTEIN DE PAIE MOIS 05'!J350</f>
        <v>0</v>
      </c>
      <c r="G10" s="86">
        <f>+'BULLTEIN DE PAIE MOIS 06'!J350</f>
        <v>0</v>
      </c>
      <c r="H10" s="86">
        <f>+'BULLTEIN DE PAIE MOIS 07'!J350</f>
        <v>0</v>
      </c>
      <c r="I10" s="86">
        <f>+'BULLTEIN DE PAIE MOIS 08'!J350</f>
        <v>0</v>
      </c>
      <c r="J10" s="86">
        <f>+'BULLTEIN DE PAIE MOIS 09'!J350</f>
        <v>0</v>
      </c>
      <c r="K10" s="86">
        <f>'BULLTEIN DE PAIE MOIS 10'!J348</f>
        <v>0</v>
      </c>
      <c r="L10" s="6">
        <f>+'BULLTEIN DE PAIE MOIS 11'!J350</f>
        <v>0</v>
      </c>
      <c r="M10" s="6">
        <f>'BULLTEIN DE PAIE MOIS 12'!J350</f>
        <v>0</v>
      </c>
      <c r="N10" s="88">
        <f t="shared" si="0"/>
        <v>0</v>
      </c>
    </row>
    <row r="11" spans="1:14" ht="15.75" thickBot="1">
      <c r="A11" s="2" t="s">
        <v>2</v>
      </c>
      <c r="B11" s="4">
        <f>+'BULLTEIN DE PAIE MOIS 01'!J408</f>
        <v>18.541855999999996</v>
      </c>
      <c r="C11" s="5">
        <f>+'BULLTEIN DE PAIE MOIS 02'!J410</f>
        <v>18.541855999999996</v>
      </c>
      <c r="D11" s="5">
        <f>+'BULLTEIN DE PAIE MOIS 03'!J410</f>
        <v>18.541855999999996</v>
      </c>
      <c r="E11" s="5">
        <f>+'BULLTEIN DE PAIE MOIS 04'!J410</f>
        <v>18.541855999999996</v>
      </c>
      <c r="F11" s="87">
        <f>+'BULLTEIN DE PAIE MOIS 05'!J410</f>
        <v>18.541855999999996</v>
      </c>
      <c r="G11" s="87">
        <f>+'BULLTEIN DE PAIE MOIS 06'!J410</f>
        <v>18.541855999999996</v>
      </c>
      <c r="H11" s="87">
        <f>+'BULLTEIN DE PAIE MOIS 07'!J410</f>
        <v>18.541855999999996</v>
      </c>
      <c r="I11" s="87">
        <f>+'BULLTEIN DE PAIE MOIS 08'!J410</f>
        <v>18.541855999999996</v>
      </c>
      <c r="J11" s="87">
        <f>+'BULLTEIN DE PAIE MOIS 09'!J410</f>
        <v>18.541855999999996</v>
      </c>
      <c r="K11" s="87">
        <f>'BULLTEIN DE PAIE MOIS 10'!J408</f>
        <v>18.541855999999996</v>
      </c>
      <c r="L11" s="5">
        <f>'BULLTEIN DE PAIE MOIS 11'!J410</f>
        <v>18.541855999999996</v>
      </c>
      <c r="M11" s="5">
        <f>'BULLTEIN DE PAIE MOIS 12'!J410</f>
        <v>18.541855999999996</v>
      </c>
      <c r="N11" s="90">
        <f t="shared" si="0"/>
        <v>222.50227199999995</v>
      </c>
    </row>
    <row r="14" spans="1:14">
      <c r="B14" s="63"/>
      <c r="F14" s="85"/>
      <c r="G14" s="85"/>
      <c r="H14" s="85"/>
    </row>
    <row r="15" spans="1:14">
      <c r="F15" s="85"/>
      <c r="G15" s="85"/>
      <c r="H15" s="85"/>
    </row>
  </sheetData>
  <mergeCells count="1">
    <mergeCell ref="D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17"/>
  <sheetViews>
    <sheetView zoomScale="98" zoomScaleNormal="98" workbookViewId="0">
      <selection activeCell="J290" sqref="J290"/>
    </sheetView>
  </sheetViews>
  <sheetFormatPr baseColWidth="10" defaultRowHeight="15"/>
  <sheetData>
    <row r="1" spans="1:12">
      <c r="A1" s="105" t="s">
        <v>26</v>
      </c>
      <c r="B1" s="105"/>
      <c r="C1" s="105" t="s">
        <v>27</v>
      </c>
      <c r="D1" s="105"/>
      <c r="E1" s="105"/>
      <c r="F1" s="105"/>
      <c r="G1" s="105" t="s">
        <v>28</v>
      </c>
      <c r="H1" s="105"/>
      <c r="I1" s="105"/>
      <c r="J1" s="105" t="s">
        <v>29</v>
      </c>
      <c r="K1" s="105"/>
      <c r="L1" s="105"/>
    </row>
    <row r="2" spans="1:12">
      <c r="A2" s="58" t="s">
        <v>30</v>
      </c>
      <c r="B2" s="104" t="s">
        <v>31</v>
      </c>
      <c r="C2" s="104"/>
      <c r="D2" s="104"/>
      <c r="E2" s="104"/>
      <c r="F2" s="104"/>
      <c r="G2" s="104" t="s">
        <v>32</v>
      </c>
      <c r="H2" s="104"/>
      <c r="I2" s="104"/>
      <c r="J2" s="104"/>
      <c r="K2" s="104"/>
      <c r="L2" s="104"/>
    </row>
    <row r="3" spans="1:12">
      <c r="A3" s="59">
        <v>1</v>
      </c>
      <c r="B3" s="102" t="s">
        <v>33</v>
      </c>
      <c r="C3" s="102"/>
      <c r="D3" s="102"/>
      <c r="E3" s="102"/>
      <c r="F3" s="102"/>
      <c r="G3" s="103">
        <v>42552</v>
      </c>
      <c r="H3" s="103"/>
      <c r="I3" s="103"/>
      <c r="J3" s="103">
        <v>42582</v>
      </c>
      <c r="K3" s="103"/>
      <c r="L3" s="103"/>
    </row>
    <row r="4" spans="1:12">
      <c r="A4" s="58" t="s">
        <v>34</v>
      </c>
      <c r="B4" s="58" t="s">
        <v>35</v>
      </c>
      <c r="C4" s="58" t="s">
        <v>36</v>
      </c>
      <c r="D4" s="58" t="s">
        <v>37</v>
      </c>
      <c r="E4" s="58" t="s">
        <v>38</v>
      </c>
      <c r="F4" s="58" t="s">
        <v>39</v>
      </c>
      <c r="G4" s="104" t="s">
        <v>40</v>
      </c>
      <c r="H4" s="104"/>
      <c r="I4" s="104"/>
      <c r="J4" s="104"/>
      <c r="K4" s="104"/>
      <c r="L4" s="104"/>
    </row>
    <row r="5" spans="1:12">
      <c r="A5" s="17">
        <v>41501</v>
      </c>
      <c r="B5" s="59"/>
      <c r="C5" s="17">
        <v>24624</v>
      </c>
      <c r="D5" s="59" t="s">
        <v>41</v>
      </c>
      <c r="E5" s="59">
        <v>0</v>
      </c>
      <c r="F5" s="59">
        <v>0</v>
      </c>
      <c r="G5" s="102"/>
      <c r="H5" s="102"/>
      <c r="I5" s="102"/>
      <c r="J5" s="102"/>
      <c r="K5" s="102"/>
      <c r="L5" s="102"/>
    </row>
    <row r="6" spans="1:12">
      <c r="A6" s="58" t="s">
        <v>42</v>
      </c>
      <c r="B6" s="58" t="s">
        <v>43</v>
      </c>
      <c r="C6" s="58" t="s">
        <v>44</v>
      </c>
      <c r="D6" s="104" t="s">
        <v>45</v>
      </c>
      <c r="E6" s="104"/>
      <c r="F6" s="104"/>
      <c r="G6" s="104" t="s">
        <v>46</v>
      </c>
      <c r="H6" s="104"/>
      <c r="I6" s="104"/>
      <c r="J6" s="104"/>
      <c r="K6" s="104"/>
      <c r="L6" s="104"/>
    </row>
    <row r="7" spans="1:12">
      <c r="A7" s="59">
        <v>189838836</v>
      </c>
      <c r="B7" s="59"/>
      <c r="C7" s="59"/>
      <c r="D7" s="102" t="s">
        <v>47</v>
      </c>
      <c r="E7" s="102"/>
      <c r="F7" s="102"/>
      <c r="G7" s="102" t="s">
        <v>48</v>
      </c>
      <c r="H7" s="102"/>
      <c r="I7" s="102"/>
      <c r="J7" s="102"/>
      <c r="K7" s="102"/>
      <c r="L7" s="102"/>
    </row>
    <row r="8" spans="1:1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108" t="s">
        <v>49</v>
      </c>
      <c r="B11" s="108"/>
      <c r="C11" s="108"/>
      <c r="D11" s="108"/>
      <c r="E11" s="108"/>
      <c r="F11" s="108"/>
      <c r="G11" s="108" t="s">
        <v>50</v>
      </c>
      <c r="H11" s="108" t="s">
        <v>51</v>
      </c>
      <c r="I11" s="108" t="s">
        <v>52</v>
      </c>
      <c r="J11" s="108"/>
      <c r="K11" s="108" t="s">
        <v>53</v>
      </c>
      <c r="L11" s="108"/>
    </row>
    <row r="12" spans="1:12">
      <c r="A12" s="108"/>
      <c r="B12" s="108"/>
      <c r="C12" s="108"/>
      <c r="D12" s="108"/>
      <c r="E12" s="108"/>
      <c r="F12" s="108"/>
      <c r="G12" s="108"/>
      <c r="H12" s="108"/>
      <c r="I12" s="60" t="s">
        <v>54</v>
      </c>
      <c r="J12" s="60" t="s">
        <v>55</v>
      </c>
      <c r="K12" s="60" t="s">
        <v>56</v>
      </c>
      <c r="L12" s="60" t="s">
        <v>57</v>
      </c>
    </row>
    <row r="13" spans="1:12">
      <c r="A13" s="106" t="s">
        <v>58</v>
      </c>
      <c r="B13" s="106"/>
      <c r="C13" s="106"/>
      <c r="D13" s="106"/>
      <c r="E13" s="106"/>
      <c r="F13" s="106"/>
      <c r="G13" s="21">
        <v>12255.93</v>
      </c>
      <c r="H13" s="22"/>
      <c r="I13" s="21"/>
      <c r="J13" s="21"/>
      <c r="K13" s="21"/>
      <c r="L13" s="21"/>
    </row>
    <row r="14" spans="1:12">
      <c r="A14" s="106" t="s">
        <v>59</v>
      </c>
      <c r="B14" s="106"/>
      <c r="C14" s="106"/>
      <c r="D14" s="106"/>
      <c r="E14" s="106"/>
      <c r="F14" s="106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>
      <c r="A15" s="107" t="s">
        <v>60</v>
      </c>
      <c r="B15" s="107"/>
      <c r="C15" s="107"/>
      <c r="D15" s="107"/>
      <c r="E15" s="107"/>
      <c r="F15" s="107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>
      <c r="A16" s="107" t="s">
        <v>61</v>
      </c>
      <c r="B16" s="107"/>
      <c r="C16" s="107"/>
      <c r="D16" s="107"/>
      <c r="E16" s="107"/>
      <c r="F16" s="107"/>
      <c r="G16" s="23"/>
      <c r="H16" s="24">
        <v>0</v>
      </c>
      <c r="I16" s="23">
        <f>G13/26*H16</f>
        <v>0</v>
      </c>
      <c r="J16" s="25"/>
      <c r="K16" s="26"/>
      <c r="L16" s="26"/>
    </row>
    <row r="17" spans="1:12">
      <c r="A17" s="107" t="s">
        <v>62</v>
      </c>
      <c r="B17" s="107"/>
      <c r="C17" s="107"/>
      <c r="D17" s="107"/>
      <c r="E17" s="107"/>
      <c r="F17" s="107"/>
      <c r="G17" s="23"/>
      <c r="H17" s="24">
        <v>0</v>
      </c>
      <c r="I17" s="23"/>
      <c r="J17" s="27">
        <f>G13/26*H17</f>
        <v>0</v>
      </c>
      <c r="K17" s="26"/>
      <c r="L17" s="26"/>
    </row>
    <row r="18" spans="1:12">
      <c r="A18" s="107" t="s">
        <v>63</v>
      </c>
      <c r="B18" s="107"/>
      <c r="C18" s="107"/>
      <c r="D18" s="107"/>
      <c r="E18" s="107"/>
      <c r="F18" s="107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>
      <c r="A19" s="107" t="s">
        <v>64</v>
      </c>
      <c r="B19" s="107"/>
      <c r="C19" s="107"/>
      <c r="D19" s="107"/>
      <c r="E19" s="107"/>
      <c r="F19" s="107"/>
      <c r="G19" s="23"/>
      <c r="H19" s="24">
        <v>0</v>
      </c>
      <c r="I19" s="23">
        <f>G13/26*H19</f>
        <v>0</v>
      </c>
      <c r="J19" s="25"/>
      <c r="K19" s="26"/>
      <c r="L19" s="26"/>
    </row>
    <row r="20" spans="1:12">
      <c r="A20" s="107" t="s">
        <v>65</v>
      </c>
      <c r="B20" s="107"/>
      <c r="C20" s="107"/>
      <c r="D20" s="107"/>
      <c r="E20" s="107"/>
      <c r="F20" s="107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>
      <c r="A21" s="107" t="s">
        <v>66</v>
      </c>
      <c r="B21" s="107"/>
      <c r="C21" s="107"/>
      <c r="D21" s="107"/>
      <c r="E21" s="107"/>
      <c r="F21" s="107"/>
      <c r="G21" s="29"/>
      <c r="H21" s="30"/>
      <c r="I21" s="30"/>
      <c r="J21" s="25"/>
      <c r="K21" s="26"/>
      <c r="L21" s="26"/>
    </row>
    <row r="22" spans="1:12">
      <c r="A22" s="109">
        <v>0.25</v>
      </c>
      <c r="B22" s="109"/>
      <c r="C22" s="109"/>
      <c r="D22" s="109"/>
      <c r="E22" s="109"/>
      <c r="F22" s="109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>
      <c r="A23" s="109">
        <v>0.5</v>
      </c>
      <c r="B23" s="109"/>
      <c r="C23" s="109"/>
      <c r="D23" s="109"/>
      <c r="E23" s="109"/>
      <c r="F23" s="109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>
      <c r="A24" s="109">
        <v>1</v>
      </c>
      <c r="B24" s="109"/>
      <c r="C24" s="109"/>
      <c r="D24" s="109"/>
      <c r="E24" s="109"/>
      <c r="F24" s="109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>
      <c r="A25" s="106" t="s">
        <v>67</v>
      </c>
      <c r="B25" s="106"/>
      <c r="C25" s="106"/>
      <c r="D25" s="106"/>
      <c r="E25" s="106"/>
      <c r="F25" s="106"/>
      <c r="G25" s="21"/>
      <c r="H25" s="22"/>
      <c r="I25" s="21">
        <f>SUM(I26:I27)</f>
        <v>612.79650000000004</v>
      </c>
      <c r="J25" s="21"/>
      <c r="K25" s="21"/>
      <c r="L25" s="21"/>
    </row>
    <row r="26" spans="1:12">
      <c r="A26" s="107" t="s">
        <v>68</v>
      </c>
      <c r="B26" s="107"/>
      <c r="C26" s="107"/>
      <c r="D26" s="107"/>
      <c r="E26" s="107"/>
      <c r="F26" s="107"/>
      <c r="G26" s="23">
        <f>(G3-A5)/360</f>
        <v>2.9194444444444443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>
      <c r="A27" s="107" t="s">
        <v>69</v>
      </c>
      <c r="B27" s="107"/>
      <c r="C27" s="107"/>
      <c r="D27" s="107"/>
      <c r="E27" s="107"/>
      <c r="F27" s="107"/>
      <c r="G27" s="23"/>
      <c r="H27" s="24"/>
      <c r="I27" s="23"/>
      <c r="J27" s="25"/>
      <c r="K27" s="26"/>
      <c r="L27" s="26"/>
    </row>
    <row r="28" spans="1:12">
      <c r="A28" s="106" t="s">
        <v>70</v>
      </c>
      <c r="B28" s="106"/>
      <c r="C28" s="106"/>
      <c r="D28" s="106"/>
      <c r="E28" s="106"/>
      <c r="F28" s="106"/>
      <c r="G28" s="21"/>
      <c r="H28" s="22"/>
      <c r="I28" s="21">
        <f>SUM(I29:I31)</f>
        <v>5000</v>
      </c>
      <c r="J28" s="21"/>
      <c r="K28" s="21"/>
      <c r="L28" s="21"/>
    </row>
    <row r="29" spans="1:12">
      <c r="A29" s="107" t="s">
        <v>71</v>
      </c>
      <c r="B29" s="107"/>
      <c r="C29" s="107"/>
      <c r="D29" s="107"/>
      <c r="E29" s="107"/>
      <c r="F29" s="107"/>
      <c r="G29" s="23"/>
      <c r="H29" s="24"/>
      <c r="I29" s="23">
        <v>2500</v>
      </c>
      <c r="J29" s="25"/>
      <c r="K29" s="26"/>
      <c r="L29" s="26"/>
    </row>
    <row r="30" spans="1:12">
      <c r="A30" s="107" t="s">
        <v>72</v>
      </c>
      <c r="B30" s="107"/>
      <c r="C30" s="107"/>
      <c r="D30" s="107"/>
      <c r="E30" s="107"/>
      <c r="F30" s="107"/>
      <c r="G30" s="23"/>
      <c r="H30" s="31">
        <v>0</v>
      </c>
      <c r="I30" s="23">
        <v>2500</v>
      </c>
      <c r="J30" s="25"/>
      <c r="K30" s="26"/>
      <c r="L30" s="26"/>
    </row>
    <row r="31" spans="1:12">
      <c r="A31" s="107" t="s">
        <v>73</v>
      </c>
      <c r="B31" s="107"/>
      <c r="C31" s="107"/>
      <c r="D31" s="107"/>
      <c r="E31" s="107"/>
      <c r="F31" s="107"/>
      <c r="G31" s="23"/>
      <c r="H31" s="24"/>
      <c r="I31" s="23"/>
      <c r="J31" s="25"/>
      <c r="K31" s="26"/>
      <c r="L31" s="26"/>
    </row>
    <row r="32" spans="1:12">
      <c r="A32" s="111" t="s">
        <v>74</v>
      </c>
      <c r="B32" s="111"/>
      <c r="C32" s="111"/>
      <c r="D32" s="111"/>
      <c r="E32" s="111"/>
      <c r="F32" s="111"/>
      <c r="G32" s="32"/>
      <c r="H32" s="33"/>
      <c r="I32" s="32">
        <f>I14+I25+I28</f>
        <v>17868.726500000001</v>
      </c>
      <c r="J32" s="33"/>
      <c r="K32" s="33"/>
      <c r="L32" s="33"/>
    </row>
    <row r="33" spans="1:12">
      <c r="A33" s="111" t="s">
        <v>75</v>
      </c>
      <c r="B33" s="111"/>
      <c r="C33" s="111"/>
      <c r="D33" s="111"/>
      <c r="E33" s="111"/>
      <c r="F33" s="111"/>
      <c r="G33" s="32"/>
      <c r="H33" s="33"/>
      <c r="I33" s="32">
        <f>I32-I28</f>
        <v>12868.726500000001</v>
      </c>
      <c r="J33" s="33"/>
      <c r="K33" s="33"/>
      <c r="L33" s="33"/>
    </row>
    <row r="34" spans="1:12">
      <c r="A34" s="107" t="s">
        <v>76</v>
      </c>
      <c r="B34" s="107"/>
      <c r="C34" s="107"/>
      <c r="D34" s="107"/>
      <c r="E34" s="107"/>
      <c r="F34" s="107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>
      <c r="A35" s="107" t="s">
        <v>77</v>
      </c>
      <c r="B35" s="107"/>
      <c r="C35" s="107"/>
      <c r="D35" s="107"/>
      <c r="E35" s="107"/>
      <c r="F35" s="107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>
      <c r="A36" s="107" t="s">
        <v>78</v>
      </c>
      <c r="B36" s="107"/>
      <c r="C36" s="107"/>
      <c r="D36" s="107"/>
      <c r="E36" s="107"/>
      <c r="F36" s="107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>
      <c r="A37" s="107" t="s">
        <v>79</v>
      </c>
      <c r="B37" s="107"/>
      <c r="C37" s="107"/>
      <c r="D37" s="107"/>
      <c r="E37" s="107"/>
      <c r="F37" s="107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>
      <c r="A38" s="107" t="s">
        <v>80</v>
      </c>
      <c r="B38" s="107"/>
      <c r="C38" s="107"/>
      <c r="D38" s="107"/>
      <c r="E38" s="107"/>
      <c r="F38" s="107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>
      <c r="A39" s="107" t="s">
        <v>81</v>
      </c>
      <c r="B39" s="107"/>
      <c r="C39" s="107"/>
      <c r="D39" s="107"/>
      <c r="E39" s="107"/>
      <c r="F39" s="107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>
      <c r="A40" s="107" t="s">
        <v>24</v>
      </c>
      <c r="B40" s="107"/>
      <c r="C40" s="107"/>
      <c r="D40" s="107"/>
      <c r="E40" s="107"/>
      <c r="F40" s="107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>
      <c r="A41" s="110" t="s">
        <v>82</v>
      </c>
      <c r="B41" s="110"/>
      <c r="C41" s="110"/>
      <c r="D41" s="110"/>
      <c r="E41" s="110"/>
      <c r="F41" s="110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>
      <c r="A42" s="110" t="s">
        <v>83</v>
      </c>
      <c r="B42" s="110"/>
      <c r="C42" s="110"/>
      <c r="D42" s="110"/>
      <c r="E42" s="110"/>
      <c r="F42" s="110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>
      <c r="A43" s="106" t="s">
        <v>84</v>
      </c>
      <c r="B43" s="106"/>
      <c r="C43" s="106"/>
      <c r="D43" s="106"/>
      <c r="E43" s="106"/>
      <c r="F43" s="106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>
      <c r="A44" s="107" t="s">
        <v>85</v>
      </c>
      <c r="B44" s="107"/>
      <c r="C44" s="107"/>
      <c r="D44" s="107"/>
      <c r="E44" s="107"/>
      <c r="F44" s="107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>
      <c r="A45" s="111" t="s">
        <v>86</v>
      </c>
      <c r="B45" s="111"/>
      <c r="C45" s="111"/>
      <c r="D45" s="111"/>
      <c r="E45" s="111"/>
      <c r="F45" s="111"/>
      <c r="G45" s="32"/>
      <c r="H45" s="33"/>
      <c r="I45" s="32">
        <f>I33-J43-J44</f>
        <v>9423.0314861000006</v>
      </c>
      <c r="J45" s="33"/>
      <c r="K45" s="33"/>
      <c r="L45" s="33"/>
    </row>
    <row r="46" spans="1:12">
      <c r="A46" s="107" t="s">
        <v>87</v>
      </c>
      <c r="B46" s="107"/>
      <c r="C46" s="107"/>
      <c r="D46" s="107"/>
      <c r="E46" s="107"/>
      <c r="F46" s="107"/>
      <c r="G46" s="23"/>
      <c r="H46" s="34"/>
      <c r="I46" s="23">
        <f>H46*180/360</f>
        <v>0</v>
      </c>
      <c r="J46" s="23"/>
      <c r="K46" s="46"/>
      <c r="L46" s="47"/>
    </row>
    <row r="47" spans="1:12">
      <c r="A47" s="111" t="s">
        <v>88</v>
      </c>
      <c r="B47" s="111"/>
      <c r="C47" s="111"/>
      <c r="D47" s="111"/>
      <c r="E47" s="111"/>
      <c r="F47" s="111"/>
      <c r="G47" s="32"/>
      <c r="H47" s="33"/>
      <c r="I47" s="32">
        <f>I45-I46</f>
        <v>9423.0314861000006</v>
      </c>
      <c r="J47" s="33"/>
      <c r="K47" s="33"/>
      <c r="L47" s="33"/>
    </row>
    <row r="48" spans="1:12">
      <c r="A48" s="107" t="s">
        <v>89</v>
      </c>
      <c r="B48" s="107"/>
      <c r="C48" s="107"/>
      <c r="D48" s="107"/>
      <c r="E48" s="107"/>
      <c r="F48" s="107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>
      <c r="A49" s="107" t="s">
        <v>90</v>
      </c>
      <c r="B49" s="107"/>
      <c r="C49" s="107"/>
      <c r="D49" s="107"/>
      <c r="E49" s="107"/>
      <c r="F49" s="107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>
      <c r="A50" s="106" t="s">
        <v>91</v>
      </c>
      <c r="B50" s="106"/>
      <c r="C50" s="106"/>
      <c r="D50" s="106"/>
      <c r="E50" s="106"/>
      <c r="F50" s="106"/>
      <c r="G50" s="21"/>
      <c r="H50" s="22"/>
      <c r="I50" s="21"/>
      <c r="J50" s="21">
        <f>J48-J49</f>
        <v>1770.4973719406673</v>
      </c>
      <c r="K50" s="21"/>
      <c r="L50" s="21"/>
    </row>
    <row r="51" spans="1:12">
      <c r="A51" s="112" t="s">
        <v>92</v>
      </c>
      <c r="B51" s="112"/>
      <c r="C51" s="112"/>
      <c r="D51" s="112"/>
      <c r="E51" s="112"/>
      <c r="F51" s="112"/>
      <c r="G51" s="25"/>
      <c r="H51" s="48"/>
      <c r="I51" s="47"/>
      <c r="J51" s="49">
        <v>0</v>
      </c>
      <c r="K51" s="46"/>
      <c r="L51" s="47"/>
    </row>
    <row r="52" spans="1:12">
      <c r="A52" s="107" t="s">
        <v>93</v>
      </c>
      <c r="B52" s="107"/>
      <c r="C52" s="107"/>
      <c r="D52" s="107"/>
      <c r="E52" s="107"/>
      <c r="F52" s="107"/>
      <c r="G52" s="25"/>
      <c r="H52" s="48"/>
      <c r="I52" s="44"/>
      <c r="J52" s="28">
        <v>0</v>
      </c>
      <c r="K52" s="46"/>
      <c r="L52" s="47"/>
    </row>
    <row r="53" spans="1:12">
      <c r="A53" s="113" t="s">
        <v>94</v>
      </c>
      <c r="B53" s="113"/>
      <c r="C53" s="113"/>
      <c r="D53" s="113"/>
      <c r="E53" s="113"/>
      <c r="F53" s="113"/>
      <c r="G53" s="41"/>
      <c r="H53" s="42"/>
      <c r="I53" s="28">
        <f>1-0.53</f>
        <v>0.47</v>
      </c>
      <c r="J53" s="41"/>
      <c r="K53" s="43"/>
      <c r="L53" s="44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58" t="s">
        <v>95</v>
      </c>
      <c r="B55" s="58" t="s">
        <v>96</v>
      </c>
      <c r="C55" s="58" t="s">
        <v>97</v>
      </c>
      <c r="D55" s="104" t="s">
        <v>98</v>
      </c>
      <c r="E55" s="104"/>
      <c r="F55" s="104"/>
      <c r="G55" s="58" t="s">
        <v>99</v>
      </c>
      <c r="H55" s="50"/>
      <c r="I55" s="57">
        <f>I32+I53</f>
        <v>17869.196500000002</v>
      </c>
      <c r="J55" s="57">
        <f>J43+J50+J51+J52</f>
        <v>2716.1923858406672</v>
      </c>
      <c r="K55" s="58" t="s">
        <v>100</v>
      </c>
      <c r="L55" s="57">
        <f>L43</f>
        <v>2354.57730915</v>
      </c>
    </row>
    <row r="56" spans="1:12">
      <c r="A56" s="57">
        <f>156411.11+I32</f>
        <v>174279.83649999998</v>
      </c>
      <c r="B56" s="57">
        <f>111411.11+I33</f>
        <v>124279.8365</v>
      </c>
      <c r="C56" s="57">
        <f>2419.2+J34</f>
        <v>2688</v>
      </c>
      <c r="D56" s="114">
        <f>14978.83+J50</f>
        <v>16749.327371940668</v>
      </c>
      <c r="E56" s="114"/>
      <c r="F56" s="114"/>
      <c r="G56" s="57">
        <f>133157+I55</f>
        <v>151026.19649999999</v>
      </c>
      <c r="H56" s="104" t="s">
        <v>101</v>
      </c>
      <c r="I56" s="104"/>
      <c r="J56" s="57">
        <f>I55-J55</f>
        <v>15153.004114159336</v>
      </c>
      <c r="K56" s="58" t="s">
        <v>102</v>
      </c>
      <c r="L56" s="57">
        <f>20499.47+L55</f>
        <v>22854.047309150003</v>
      </c>
    </row>
    <row r="57" spans="1:1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>
      <c r="A61" s="105" t="s">
        <v>26</v>
      </c>
      <c r="B61" s="105"/>
      <c r="C61" s="105" t="s">
        <v>27</v>
      </c>
      <c r="D61" s="105"/>
      <c r="E61" s="105"/>
      <c r="F61" s="105"/>
      <c r="G61" s="105" t="s">
        <v>28</v>
      </c>
      <c r="H61" s="105"/>
      <c r="I61" s="105"/>
      <c r="J61" s="105" t="s">
        <v>29</v>
      </c>
      <c r="K61" s="105"/>
      <c r="L61" s="105"/>
    </row>
    <row r="62" spans="1:12">
      <c r="A62" s="58" t="s">
        <v>30</v>
      </c>
      <c r="B62" s="104" t="s">
        <v>31</v>
      </c>
      <c r="C62" s="104"/>
      <c r="D62" s="104"/>
      <c r="E62" s="104"/>
      <c r="F62" s="104"/>
      <c r="G62" s="104" t="s">
        <v>32</v>
      </c>
      <c r="H62" s="104"/>
      <c r="I62" s="104"/>
      <c r="J62" s="104"/>
      <c r="K62" s="104"/>
      <c r="L62" s="104"/>
    </row>
    <row r="63" spans="1:12">
      <c r="A63" s="59">
        <v>3</v>
      </c>
      <c r="B63" s="102" t="s">
        <v>104</v>
      </c>
      <c r="C63" s="102"/>
      <c r="D63" s="102"/>
      <c r="E63" s="102"/>
      <c r="F63" s="102"/>
      <c r="G63" s="103">
        <v>42552</v>
      </c>
      <c r="H63" s="103"/>
      <c r="I63" s="103"/>
      <c r="J63" s="103">
        <v>42582</v>
      </c>
      <c r="K63" s="103"/>
      <c r="L63" s="103"/>
    </row>
    <row r="64" spans="1:12">
      <c r="A64" s="58" t="s">
        <v>34</v>
      </c>
      <c r="B64" s="58" t="s">
        <v>35</v>
      </c>
      <c r="C64" s="58" t="s">
        <v>36</v>
      </c>
      <c r="D64" s="58" t="s">
        <v>37</v>
      </c>
      <c r="E64" s="58" t="s">
        <v>38</v>
      </c>
      <c r="F64" s="58" t="s">
        <v>39</v>
      </c>
      <c r="G64" s="104" t="s">
        <v>40</v>
      </c>
      <c r="H64" s="104"/>
      <c r="I64" s="104"/>
      <c r="J64" s="104"/>
      <c r="K64" s="104"/>
      <c r="L64" s="104"/>
    </row>
    <row r="65" spans="1:12">
      <c r="A65" s="17">
        <v>41791</v>
      </c>
      <c r="B65" s="59"/>
      <c r="C65" s="17">
        <v>24557</v>
      </c>
      <c r="D65" s="59" t="s">
        <v>41</v>
      </c>
      <c r="E65" s="59">
        <v>0</v>
      </c>
      <c r="F65" s="59">
        <v>0</v>
      </c>
      <c r="G65" s="102"/>
      <c r="H65" s="102"/>
      <c r="I65" s="102"/>
      <c r="J65" s="102"/>
      <c r="K65" s="102"/>
      <c r="L65" s="102"/>
    </row>
    <row r="66" spans="1:12">
      <c r="A66" s="58" t="s">
        <v>42</v>
      </c>
      <c r="B66" s="58" t="s">
        <v>43</v>
      </c>
      <c r="C66" s="58" t="s">
        <v>44</v>
      </c>
      <c r="D66" s="104" t="s">
        <v>45</v>
      </c>
      <c r="E66" s="104"/>
      <c r="F66" s="104"/>
      <c r="G66" s="104" t="s">
        <v>46</v>
      </c>
      <c r="H66" s="104"/>
      <c r="I66" s="104"/>
      <c r="J66" s="104"/>
      <c r="K66" s="104"/>
      <c r="L66" s="104"/>
    </row>
    <row r="67" spans="1:12">
      <c r="A67" s="59">
        <v>141034737</v>
      </c>
      <c r="B67" s="59"/>
      <c r="C67" s="59"/>
      <c r="D67" s="102" t="s">
        <v>47</v>
      </c>
      <c r="E67" s="102"/>
      <c r="F67" s="102"/>
      <c r="G67" s="102" t="s">
        <v>105</v>
      </c>
      <c r="H67" s="102"/>
      <c r="I67" s="102"/>
      <c r="J67" s="102"/>
      <c r="K67" s="102"/>
      <c r="L67" s="102"/>
    </row>
    <row r="68" spans="1:1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>
      <c r="A71" s="108" t="s">
        <v>49</v>
      </c>
      <c r="B71" s="108"/>
      <c r="C71" s="108"/>
      <c r="D71" s="108"/>
      <c r="E71" s="108"/>
      <c r="F71" s="108"/>
      <c r="G71" s="108" t="s">
        <v>50</v>
      </c>
      <c r="H71" s="108" t="s">
        <v>51</v>
      </c>
      <c r="I71" s="108" t="s">
        <v>52</v>
      </c>
      <c r="J71" s="108"/>
      <c r="K71" s="108" t="s">
        <v>53</v>
      </c>
      <c r="L71" s="108"/>
    </row>
    <row r="72" spans="1:12">
      <c r="A72" s="108"/>
      <c r="B72" s="108"/>
      <c r="C72" s="108"/>
      <c r="D72" s="108"/>
      <c r="E72" s="108"/>
      <c r="F72" s="108"/>
      <c r="G72" s="108"/>
      <c r="H72" s="108"/>
      <c r="I72" s="60" t="s">
        <v>54</v>
      </c>
      <c r="J72" s="60" t="s">
        <v>55</v>
      </c>
      <c r="K72" s="60" t="s">
        <v>56</v>
      </c>
      <c r="L72" s="60" t="s">
        <v>57</v>
      </c>
    </row>
    <row r="73" spans="1:12">
      <c r="A73" s="106" t="s">
        <v>58</v>
      </c>
      <c r="B73" s="106"/>
      <c r="C73" s="106"/>
      <c r="D73" s="106"/>
      <c r="E73" s="106"/>
      <c r="F73" s="106"/>
      <c r="G73" s="21">
        <v>100000</v>
      </c>
      <c r="H73" s="22"/>
      <c r="I73" s="21"/>
      <c r="J73" s="21"/>
      <c r="K73" s="21"/>
      <c r="L73" s="21"/>
    </row>
    <row r="74" spans="1:12">
      <c r="A74" s="106" t="s">
        <v>59</v>
      </c>
      <c r="B74" s="106"/>
      <c r="C74" s="106"/>
      <c r="D74" s="106"/>
      <c r="E74" s="106"/>
      <c r="F74" s="106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>
      <c r="A75" s="107" t="s">
        <v>60</v>
      </c>
      <c r="B75" s="107"/>
      <c r="C75" s="107"/>
      <c r="D75" s="107"/>
      <c r="E75" s="107"/>
      <c r="F75" s="107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>
      <c r="A76" s="107" t="s">
        <v>61</v>
      </c>
      <c r="B76" s="107"/>
      <c r="C76" s="107"/>
      <c r="D76" s="107"/>
      <c r="E76" s="107"/>
      <c r="F76" s="107"/>
      <c r="G76" s="23"/>
      <c r="H76" s="24">
        <v>0</v>
      </c>
      <c r="I76" s="23">
        <f>G73/26*H76</f>
        <v>0</v>
      </c>
      <c r="J76" s="25"/>
      <c r="K76" s="26"/>
      <c r="L76" s="26"/>
    </row>
    <row r="77" spans="1:12">
      <c r="A77" s="107" t="s">
        <v>62</v>
      </c>
      <c r="B77" s="107"/>
      <c r="C77" s="107"/>
      <c r="D77" s="107"/>
      <c r="E77" s="107"/>
      <c r="F77" s="107"/>
      <c r="G77" s="23"/>
      <c r="H77" s="24">
        <v>0</v>
      </c>
      <c r="I77" s="23"/>
      <c r="J77" s="27">
        <f>G73/26*H77</f>
        <v>0</v>
      </c>
      <c r="K77" s="26"/>
      <c r="L77" s="26"/>
    </row>
    <row r="78" spans="1:12">
      <c r="A78" s="107" t="s">
        <v>63</v>
      </c>
      <c r="B78" s="107"/>
      <c r="C78" s="107"/>
      <c r="D78" s="107"/>
      <c r="E78" s="107"/>
      <c r="F78" s="107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>
      <c r="A79" s="107" t="s">
        <v>64</v>
      </c>
      <c r="B79" s="107"/>
      <c r="C79" s="107"/>
      <c r="D79" s="107"/>
      <c r="E79" s="107"/>
      <c r="F79" s="107"/>
      <c r="G79" s="23"/>
      <c r="H79" s="24">
        <v>0</v>
      </c>
      <c r="I79" s="23">
        <f>G73/26*H79</f>
        <v>0</v>
      </c>
      <c r="J79" s="25"/>
      <c r="K79" s="26"/>
      <c r="L79" s="26"/>
    </row>
    <row r="80" spans="1:12">
      <c r="A80" s="107" t="s">
        <v>65</v>
      </c>
      <c r="B80" s="107"/>
      <c r="C80" s="107"/>
      <c r="D80" s="107"/>
      <c r="E80" s="107"/>
      <c r="F80" s="107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>
      <c r="A81" s="107" t="s">
        <v>66</v>
      </c>
      <c r="B81" s="107"/>
      <c r="C81" s="107"/>
      <c r="D81" s="107"/>
      <c r="E81" s="107"/>
      <c r="F81" s="107"/>
      <c r="G81" s="29"/>
      <c r="H81" s="30"/>
      <c r="I81" s="30"/>
      <c r="J81" s="25"/>
      <c r="K81" s="26"/>
      <c r="L81" s="26"/>
    </row>
    <row r="82" spans="1:12">
      <c r="A82" s="109">
        <v>0.25</v>
      </c>
      <c r="B82" s="109"/>
      <c r="C82" s="109"/>
      <c r="D82" s="109"/>
      <c r="E82" s="109"/>
      <c r="F82" s="109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>
      <c r="A83" s="109">
        <v>0.5</v>
      </c>
      <c r="B83" s="109"/>
      <c r="C83" s="109"/>
      <c r="D83" s="109"/>
      <c r="E83" s="109"/>
      <c r="F83" s="109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>
      <c r="A84" s="109">
        <v>1</v>
      </c>
      <c r="B84" s="109"/>
      <c r="C84" s="109"/>
      <c r="D84" s="109"/>
      <c r="E84" s="109"/>
      <c r="F84" s="109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>
      <c r="A85" s="106" t="s">
        <v>67</v>
      </c>
      <c r="B85" s="106"/>
      <c r="C85" s="106"/>
      <c r="D85" s="106"/>
      <c r="E85" s="106"/>
      <c r="F85" s="106"/>
      <c r="G85" s="21"/>
      <c r="H85" s="22"/>
      <c r="I85" s="21">
        <f>SUM(I86:I87)</f>
        <v>5000</v>
      </c>
      <c r="J85" s="21"/>
      <c r="K85" s="21"/>
      <c r="L85" s="21"/>
    </row>
    <row r="86" spans="1:12">
      <c r="A86" s="107" t="s">
        <v>68</v>
      </c>
      <c r="B86" s="107"/>
      <c r="C86" s="107"/>
      <c r="D86" s="107"/>
      <c r="E86" s="107"/>
      <c r="F86" s="107"/>
      <c r="G86" s="23">
        <f>(G63-A65)/360</f>
        <v>2.1138888888888889</v>
      </c>
      <c r="H86" s="31">
        <v>0.05</v>
      </c>
      <c r="I86" s="23">
        <f>I74*H86</f>
        <v>5000</v>
      </c>
      <c r="J86" s="25"/>
      <c r="K86" s="26"/>
      <c r="L86" s="26"/>
    </row>
    <row r="87" spans="1:12">
      <c r="A87" s="107" t="s">
        <v>69</v>
      </c>
      <c r="B87" s="107"/>
      <c r="C87" s="107"/>
      <c r="D87" s="107"/>
      <c r="E87" s="107"/>
      <c r="F87" s="107"/>
      <c r="G87" s="23"/>
      <c r="H87" s="24"/>
      <c r="I87" s="23"/>
      <c r="J87" s="25"/>
      <c r="K87" s="26"/>
      <c r="L87" s="26"/>
    </row>
    <row r="88" spans="1:12">
      <c r="A88" s="106" t="s">
        <v>70</v>
      </c>
      <c r="B88" s="106"/>
      <c r="C88" s="106"/>
      <c r="D88" s="106"/>
      <c r="E88" s="106"/>
      <c r="F88" s="106"/>
      <c r="G88" s="21"/>
      <c r="H88" s="22"/>
      <c r="I88" s="21">
        <f>SUM(I89:I91)</f>
        <v>6000</v>
      </c>
      <c r="J88" s="21"/>
      <c r="K88" s="21"/>
      <c r="L88" s="21"/>
    </row>
    <row r="89" spans="1:12">
      <c r="A89" s="107" t="s">
        <v>71</v>
      </c>
      <c r="B89" s="107"/>
      <c r="C89" s="107"/>
      <c r="D89" s="107"/>
      <c r="E89" s="107"/>
      <c r="F89" s="107"/>
      <c r="G89" s="23"/>
      <c r="H89" s="24"/>
      <c r="I89" s="23">
        <v>3000</v>
      </c>
      <c r="J89" s="25"/>
      <c r="K89" s="26"/>
      <c r="L89" s="26"/>
    </row>
    <row r="90" spans="1:12">
      <c r="A90" s="107" t="s">
        <v>72</v>
      </c>
      <c r="B90" s="107"/>
      <c r="C90" s="107"/>
      <c r="D90" s="107"/>
      <c r="E90" s="107"/>
      <c r="F90" s="107"/>
      <c r="G90" s="23"/>
      <c r="H90" s="31"/>
      <c r="I90" s="23">
        <v>3000</v>
      </c>
      <c r="J90" s="25"/>
      <c r="K90" s="26"/>
      <c r="L90" s="26"/>
    </row>
    <row r="91" spans="1:12">
      <c r="A91" s="107" t="s">
        <v>73</v>
      </c>
      <c r="B91" s="107"/>
      <c r="C91" s="107"/>
      <c r="D91" s="107"/>
      <c r="E91" s="107"/>
      <c r="F91" s="107"/>
      <c r="G91" s="23"/>
      <c r="H91" s="24"/>
      <c r="I91" s="23"/>
      <c r="J91" s="25"/>
      <c r="K91" s="26"/>
      <c r="L91" s="26"/>
    </row>
    <row r="92" spans="1:12">
      <c r="A92" s="111" t="s">
        <v>74</v>
      </c>
      <c r="B92" s="111"/>
      <c r="C92" s="111"/>
      <c r="D92" s="111"/>
      <c r="E92" s="111"/>
      <c r="F92" s="111"/>
      <c r="G92" s="32"/>
      <c r="H92" s="33"/>
      <c r="I92" s="32">
        <f>I74+I85+I88</f>
        <v>111000</v>
      </c>
      <c r="J92" s="33"/>
      <c r="K92" s="33"/>
      <c r="L92" s="33"/>
    </row>
    <row r="93" spans="1:12">
      <c r="A93" s="111" t="s">
        <v>75</v>
      </c>
      <c r="B93" s="111"/>
      <c r="C93" s="111"/>
      <c r="D93" s="111"/>
      <c r="E93" s="111"/>
      <c r="F93" s="111"/>
      <c r="G93" s="32"/>
      <c r="H93" s="33"/>
      <c r="I93" s="32">
        <f>I92-I88</f>
        <v>105000</v>
      </c>
      <c r="J93" s="33"/>
      <c r="K93" s="33"/>
      <c r="L93" s="33"/>
    </row>
    <row r="94" spans="1:12">
      <c r="A94" s="107" t="s">
        <v>76</v>
      </c>
      <c r="B94" s="107"/>
      <c r="C94" s="107"/>
      <c r="D94" s="107"/>
      <c r="E94" s="107"/>
      <c r="F94" s="107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>
      <c r="A95" s="107" t="s">
        <v>77</v>
      </c>
      <c r="B95" s="107"/>
      <c r="C95" s="107"/>
      <c r="D95" s="107"/>
      <c r="E95" s="107"/>
      <c r="F95" s="107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>
      <c r="A96" s="107" t="s">
        <v>78</v>
      </c>
      <c r="B96" s="107"/>
      <c r="C96" s="107"/>
      <c r="D96" s="107"/>
      <c r="E96" s="107"/>
      <c r="F96" s="107"/>
      <c r="G96" s="23"/>
      <c r="H96" s="34">
        <v>0.25</v>
      </c>
      <c r="I96" s="23"/>
      <c r="J96" s="23">
        <f>H96*I93</f>
        <v>26250</v>
      </c>
      <c r="K96" s="35">
        <v>0.06</v>
      </c>
      <c r="L96" s="23">
        <f>I93*K96</f>
        <v>6300</v>
      </c>
    </row>
    <row r="97" spans="1:12">
      <c r="A97" s="107" t="s">
        <v>79</v>
      </c>
      <c r="B97" s="107"/>
      <c r="C97" s="107"/>
      <c r="D97" s="107"/>
      <c r="E97" s="107"/>
      <c r="F97" s="107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>
      <c r="A98" s="107" t="s">
        <v>80</v>
      </c>
      <c r="B98" s="107"/>
      <c r="C98" s="107"/>
      <c r="D98" s="107"/>
      <c r="E98" s="107"/>
      <c r="F98" s="107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>
      <c r="A99" s="107" t="s">
        <v>81</v>
      </c>
      <c r="B99" s="107"/>
      <c r="C99" s="107"/>
      <c r="D99" s="107"/>
      <c r="E99" s="107"/>
      <c r="F99" s="107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>
      <c r="A100" s="107" t="s">
        <v>24</v>
      </c>
      <c r="B100" s="107"/>
      <c r="C100" s="107"/>
      <c r="D100" s="107"/>
      <c r="E100" s="107"/>
      <c r="F100" s="107"/>
      <c r="G100" s="23"/>
      <c r="H100" s="34" t="str">
        <f>[1]Taux!D$7</f>
        <v>2,26%</v>
      </c>
      <c r="I100" s="23"/>
      <c r="J100" s="23">
        <f>H100*I93</f>
        <v>2373</v>
      </c>
      <c r="K100" s="34" t="str">
        <f>[1]Taux!C$7</f>
        <v>4,11%</v>
      </c>
      <c r="L100" s="23">
        <f>I93*K100</f>
        <v>4315.5</v>
      </c>
    </row>
    <row r="101" spans="1:12">
      <c r="A101" s="110" t="s">
        <v>82</v>
      </c>
      <c r="B101" s="110"/>
      <c r="C101" s="110"/>
      <c r="D101" s="110"/>
      <c r="E101" s="110"/>
      <c r="F101" s="110"/>
      <c r="G101" s="37"/>
      <c r="H101" s="38"/>
      <c r="I101" s="39"/>
      <c r="J101" s="40"/>
      <c r="K101" s="34" t="str">
        <f>[1]Taux!C$4</f>
        <v>6,40%</v>
      </c>
      <c r="L101" s="23">
        <f>I93*K101</f>
        <v>6720</v>
      </c>
    </row>
    <row r="102" spans="1:12">
      <c r="A102" s="110" t="s">
        <v>83</v>
      </c>
      <c r="B102" s="110"/>
      <c r="C102" s="110"/>
      <c r="D102" s="110"/>
      <c r="E102" s="110"/>
      <c r="F102" s="110"/>
      <c r="G102" s="41"/>
      <c r="H102" s="42"/>
      <c r="I102" s="43"/>
      <c r="J102" s="44"/>
      <c r="K102" s="34" t="str">
        <f>[1]Taux!C$8</f>
        <v>1,6 %</v>
      </c>
      <c r="L102" s="23">
        <f>I93*K102</f>
        <v>1680</v>
      </c>
    </row>
    <row r="103" spans="1:12">
      <c r="A103" s="106" t="s">
        <v>84</v>
      </c>
      <c r="B103" s="106"/>
      <c r="C103" s="106"/>
      <c r="D103" s="106"/>
      <c r="E103" s="106"/>
      <c r="F103" s="106"/>
      <c r="G103" s="21"/>
      <c r="H103" s="22"/>
      <c r="I103" s="22"/>
      <c r="J103" s="21">
        <f>SUM(J94:J100)</f>
        <v>28891.8</v>
      </c>
      <c r="K103" s="21"/>
      <c r="L103" s="21">
        <f>SUM(L94:L102)</f>
        <v>19554.3</v>
      </c>
    </row>
    <row r="104" spans="1:12">
      <c r="A104" s="107" t="s">
        <v>85</v>
      </c>
      <c r="B104" s="107"/>
      <c r="C104" s="107"/>
      <c r="D104" s="107"/>
      <c r="E104" s="107"/>
      <c r="F104" s="107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>
      <c r="A105" s="111" t="s">
        <v>86</v>
      </c>
      <c r="B105" s="111"/>
      <c r="C105" s="111"/>
      <c r="D105" s="111"/>
      <c r="E105" s="111"/>
      <c r="F105" s="111"/>
      <c r="G105" s="32"/>
      <c r="H105" s="33"/>
      <c r="I105" s="32">
        <f>I93-J103-J104</f>
        <v>73608.2</v>
      </c>
      <c r="J105" s="33"/>
      <c r="K105" s="33"/>
      <c r="L105" s="33"/>
    </row>
    <row r="106" spans="1:12">
      <c r="A106" s="107" t="s">
        <v>87</v>
      </c>
      <c r="B106" s="107"/>
      <c r="C106" s="107"/>
      <c r="D106" s="107"/>
      <c r="E106" s="107"/>
      <c r="F106" s="107"/>
      <c r="G106" s="23"/>
      <c r="H106" s="34"/>
      <c r="I106" s="23">
        <f>H106*180/360</f>
        <v>0</v>
      </c>
      <c r="J106" s="23"/>
      <c r="K106" s="46"/>
      <c r="L106" s="47"/>
    </row>
    <row r="107" spans="1:12">
      <c r="A107" s="111" t="s">
        <v>88</v>
      </c>
      <c r="B107" s="111"/>
      <c r="C107" s="111"/>
      <c r="D107" s="111"/>
      <c r="E107" s="111"/>
      <c r="F107" s="111"/>
      <c r="G107" s="32"/>
      <c r="H107" s="33"/>
      <c r="I107" s="32">
        <f>I105-I106</f>
        <v>73608.2</v>
      </c>
      <c r="J107" s="33"/>
      <c r="K107" s="33"/>
      <c r="L107" s="33"/>
    </row>
    <row r="108" spans="1:12">
      <c r="A108" s="107" t="s">
        <v>89</v>
      </c>
      <c r="B108" s="107"/>
      <c r="C108" s="107"/>
      <c r="D108" s="107"/>
      <c r="E108" s="107"/>
      <c r="F108" s="107"/>
      <c r="G108" s="25"/>
      <c r="H108" s="48"/>
      <c r="I108" s="40"/>
      <c r="J108" s="23">
        <v>25937.78</v>
      </c>
      <c r="K108" s="46"/>
      <c r="L108" s="47"/>
    </row>
    <row r="109" spans="1:12">
      <c r="A109" s="107" t="s">
        <v>90</v>
      </c>
      <c r="B109" s="107"/>
      <c r="C109" s="107"/>
      <c r="D109" s="107"/>
      <c r="E109" s="107"/>
      <c r="F109" s="107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>
      <c r="A110" s="106" t="s">
        <v>91</v>
      </c>
      <c r="B110" s="106"/>
      <c r="C110" s="106"/>
      <c r="D110" s="106"/>
      <c r="E110" s="106"/>
      <c r="F110" s="106"/>
      <c r="G110" s="21"/>
      <c r="H110" s="22"/>
      <c r="I110" s="21"/>
      <c r="J110" s="21">
        <f>J108-J109</f>
        <v>25937.78</v>
      </c>
      <c r="K110" s="21"/>
      <c r="L110" s="21"/>
    </row>
    <row r="111" spans="1:12">
      <c r="A111" s="112" t="s">
        <v>92</v>
      </c>
      <c r="B111" s="112"/>
      <c r="C111" s="112"/>
      <c r="D111" s="112"/>
      <c r="E111" s="112"/>
      <c r="F111" s="112"/>
      <c r="G111" s="25"/>
      <c r="H111" s="48"/>
      <c r="I111" s="47"/>
      <c r="J111" s="49">
        <v>0</v>
      </c>
      <c r="K111" s="46"/>
      <c r="L111" s="47"/>
    </row>
    <row r="112" spans="1:12">
      <c r="A112" s="107" t="s">
        <v>93</v>
      </c>
      <c r="B112" s="107"/>
      <c r="C112" s="107"/>
      <c r="D112" s="107"/>
      <c r="E112" s="107"/>
      <c r="F112" s="107"/>
      <c r="G112" s="25"/>
      <c r="H112" s="48"/>
      <c r="I112" s="44"/>
      <c r="J112" s="28">
        <v>0</v>
      </c>
      <c r="K112" s="46"/>
      <c r="L112" s="47"/>
    </row>
    <row r="113" spans="1:13">
      <c r="A113" s="113" t="s">
        <v>94</v>
      </c>
      <c r="B113" s="113"/>
      <c r="C113" s="113"/>
      <c r="D113" s="113"/>
      <c r="E113" s="113"/>
      <c r="F113" s="113"/>
      <c r="G113" s="41"/>
      <c r="H113" s="42"/>
      <c r="I113" s="28">
        <f>1-0.42</f>
        <v>0.58000000000000007</v>
      </c>
      <c r="J113" s="41"/>
      <c r="K113" s="43"/>
      <c r="L113" s="44"/>
    </row>
    <row r="114" spans="1:1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>
      <c r="A115" s="58" t="s">
        <v>95</v>
      </c>
      <c r="B115" s="58" t="s">
        <v>96</v>
      </c>
      <c r="C115" s="58" t="s">
        <v>97</v>
      </c>
      <c r="D115" s="104" t="s">
        <v>98</v>
      </c>
      <c r="E115" s="104"/>
      <c r="F115" s="104"/>
      <c r="G115" s="58" t="s">
        <v>99</v>
      </c>
      <c r="H115" s="50"/>
      <c r="I115" s="57">
        <f>I92+I113</f>
        <v>111000.58</v>
      </c>
      <c r="J115" s="57">
        <f>J103+J110+J111+J112</f>
        <v>54829.58</v>
      </c>
      <c r="K115" s="58" t="s">
        <v>100</v>
      </c>
      <c r="L115" s="57">
        <f>L103</f>
        <v>19554.3</v>
      </c>
    </row>
    <row r="116" spans="1:13">
      <c r="A116" s="57">
        <f>974000+I92</f>
        <v>1085000</v>
      </c>
      <c r="B116" s="57">
        <f>920000+I93</f>
        <v>1025000</v>
      </c>
      <c r="C116" s="57">
        <f>2419.2+J94</f>
        <v>2688</v>
      </c>
      <c r="D116" s="114">
        <f>226529.75+J110</f>
        <v>252467.53</v>
      </c>
      <c r="E116" s="114"/>
      <c r="F116" s="114"/>
      <c r="G116" s="57">
        <f>494263.97+I115</f>
        <v>605264.54999999993</v>
      </c>
      <c r="H116" s="104" t="s">
        <v>101</v>
      </c>
      <c r="I116" s="104"/>
      <c r="J116" s="57">
        <f>I115-J115</f>
        <v>56171</v>
      </c>
      <c r="K116" s="58" t="s">
        <v>102</v>
      </c>
      <c r="L116" s="57">
        <f>171461.2+L115</f>
        <v>191015.5</v>
      </c>
    </row>
    <row r="117" spans="1: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75725.3</v>
      </c>
    </row>
    <row r="118" spans="1: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>
      <c r="A121" s="105" t="s">
        <v>26</v>
      </c>
      <c r="B121" s="105"/>
      <c r="C121" s="105" t="s">
        <v>27</v>
      </c>
      <c r="D121" s="105"/>
      <c r="E121" s="105"/>
      <c r="F121" s="105"/>
      <c r="G121" s="105" t="s">
        <v>28</v>
      </c>
      <c r="H121" s="105"/>
      <c r="I121" s="105"/>
      <c r="J121" s="105" t="s">
        <v>29</v>
      </c>
      <c r="K121" s="105"/>
      <c r="L121" s="105"/>
    </row>
    <row r="122" spans="1:13">
      <c r="A122" s="58" t="s">
        <v>30</v>
      </c>
      <c r="B122" s="104" t="s">
        <v>31</v>
      </c>
      <c r="C122" s="104"/>
      <c r="D122" s="104"/>
      <c r="E122" s="104"/>
      <c r="F122" s="104"/>
      <c r="G122" s="104" t="s">
        <v>32</v>
      </c>
      <c r="H122" s="104"/>
      <c r="I122" s="104"/>
      <c r="J122" s="104"/>
      <c r="K122" s="104"/>
      <c r="L122" s="104"/>
    </row>
    <row r="123" spans="1:13">
      <c r="A123" s="59">
        <v>4</v>
      </c>
      <c r="B123" s="102" t="s">
        <v>106</v>
      </c>
      <c r="C123" s="102"/>
      <c r="D123" s="102"/>
      <c r="E123" s="102"/>
      <c r="F123" s="102"/>
      <c r="G123" s="103">
        <v>42552</v>
      </c>
      <c r="H123" s="103"/>
      <c r="I123" s="103"/>
      <c r="J123" s="103">
        <v>42582</v>
      </c>
      <c r="K123" s="103"/>
      <c r="L123" s="103"/>
    </row>
    <row r="124" spans="1:13">
      <c r="A124" s="58" t="s">
        <v>34</v>
      </c>
      <c r="B124" s="58" t="s">
        <v>35</v>
      </c>
      <c r="C124" s="58" t="s">
        <v>36</v>
      </c>
      <c r="D124" s="58" t="s">
        <v>37</v>
      </c>
      <c r="E124" s="58" t="s">
        <v>38</v>
      </c>
      <c r="F124" s="58" t="s">
        <v>39</v>
      </c>
      <c r="G124" s="104" t="s">
        <v>40</v>
      </c>
      <c r="H124" s="104"/>
      <c r="I124" s="104"/>
      <c r="J124" s="104"/>
      <c r="K124" s="104"/>
      <c r="L124" s="104"/>
    </row>
    <row r="125" spans="1:13">
      <c r="A125" s="17">
        <v>41791</v>
      </c>
      <c r="B125" s="59"/>
      <c r="C125" s="17">
        <v>28152</v>
      </c>
      <c r="D125" s="59" t="s">
        <v>41</v>
      </c>
      <c r="E125" s="59">
        <v>0</v>
      </c>
      <c r="F125" s="59">
        <v>0</v>
      </c>
      <c r="G125" s="102"/>
      <c r="H125" s="102"/>
      <c r="I125" s="102"/>
      <c r="J125" s="102"/>
      <c r="K125" s="102"/>
      <c r="L125" s="102"/>
    </row>
    <row r="126" spans="1:13">
      <c r="A126" s="58" t="s">
        <v>42</v>
      </c>
      <c r="B126" s="58" t="s">
        <v>43</v>
      </c>
      <c r="C126" s="58" t="s">
        <v>44</v>
      </c>
      <c r="D126" s="104" t="s">
        <v>45</v>
      </c>
      <c r="E126" s="104"/>
      <c r="F126" s="104"/>
      <c r="G126" s="104" t="s">
        <v>46</v>
      </c>
      <c r="H126" s="104"/>
      <c r="I126" s="104"/>
      <c r="J126" s="104"/>
      <c r="K126" s="104"/>
      <c r="L126" s="104"/>
    </row>
    <row r="127" spans="1:13">
      <c r="A127" s="59">
        <v>123952551</v>
      </c>
      <c r="B127" s="59"/>
      <c r="C127" s="59"/>
      <c r="D127" s="102" t="s">
        <v>47</v>
      </c>
      <c r="E127" s="102"/>
      <c r="F127" s="102"/>
      <c r="G127" s="102" t="s">
        <v>107</v>
      </c>
      <c r="H127" s="102"/>
      <c r="I127" s="102"/>
      <c r="J127" s="102"/>
      <c r="K127" s="102"/>
      <c r="L127" s="102"/>
    </row>
    <row r="128" spans="1: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>
      <c r="A131" s="108" t="s">
        <v>49</v>
      </c>
      <c r="B131" s="108"/>
      <c r="C131" s="108"/>
      <c r="D131" s="108"/>
      <c r="E131" s="108"/>
      <c r="F131" s="108"/>
      <c r="G131" s="108" t="s">
        <v>50</v>
      </c>
      <c r="H131" s="108" t="s">
        <v>51</v>
      </c>
      <c r="I131" s="108" t="s">
        <v>52</v>
      </c>
      <c r="J131" s="108"/>
      <c r="K131" s="108" t="s">
        <v>53</v>
      </c>
      <c r="L131" s="108"/>
    </row>
    <row r="132" spans="1:12">
      <c r="A132" s="108"/>
      <c r="B132" s="108"/>
      <c r="C132" s="108"/>
      <c r="D132" s="108"/>
      <c r="E132" s="108"/>
      <c r="F132" s="108"/>
      <c r="G132" s="108"/>
      <c r="H132" s="108"/>
      <c r="I132" s="60" t="s">
        <v>54</v>
      </c>
      <c r="J132" s="60" t="s">
        <v>55</v>
      </c>
      <c r="K132" s="60" t="s">
        <v>56</v>
      </c>
      <c r="L132" s="60" t="s">
        <v>57</v>
      </c>
    </row>
    <row r="133" spans="1:12">
      <c r="A133" s="106" t="s">
        <v>58</v>
      </c>
      <c r="B133" s="106"/>
      <c r="C133" s="106"/>
      <c r="D133" s="106"/>
      <c r="E133" s="106"/>
      <c r="F133" s="106"/>
      <c r="G133" s="21">
        <v>90000</v>
      </c>
      <c r="H133" s="22"/>
      <c r="I133" s="21"/>
      <c r="J133" s="21"/>
      <c r="K133" s="21"/>
      <c r="L133" s="21"/>
    </row>
    <row r="134" spans="1:12">
      <c r="A134" s="106" t="s">
        <v>59</v>
      </c>
      <c r="B134" s="106"/>
      <c r="C134" s="106"/>
      <c r="D134" s="106"/>
      <c r="E134" s="106"/>
      <c r="F134" s="106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>
      <c r="A135" s="107" t="s">
        <v>60</v>
      </c>
      <c r="B135" s="107"/>
      <c r="C135" s="107"/>
      <c r="D135" s="107"/>
      <c r="E135" s="107"/>
      <c r="F135" s="107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>
      <c r="A136" s="107" t="s">
        <v>61</v>
      </c>
      <c r="B136" s="107"/>
      <c r="C136" s="107"/>
      <c r="D136" s="107"/>
      <c r="E136" s="107"/>
      <c r="F136" s="107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>
      <c r="A137" s="107" t="s">
        <v>62</v>
      </c>
      <c r="B137" s="107"/>
      <c r="C137" s="107"/>
      <c r="D137" s="107"/>
      <c r="E137" s="107"/>
      <c r="F137" s="107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>
      <c r="A138" s="107" t="s">
        <v>63</v>
      </c>
      <c r="B138" s="107"/>
      <c r="C138" s="107"/>
      <c r="D138" s="107"/>
      <c r="E138" s="107"/>
      <c r="F138" s="107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>
      <c r="A139" s="107" t="s">
        <v>64</v>
      </c>
      <c r="B139" s="107"/>
      <c r="C139" s="107"/>
      <c r="D139" s="107"/>
      <c r="E139" s="107"/>
      <c r="F139" s="107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>
      <c r="A140" s="107" t="s">
        <v>65</v>
      </c>
      <c r="B140" s="107"/>
      <c r="C140" s="107"/>
      <c r="D140" s="107"/>
      <c r="E140" s="107"/>
      <c r="F140" s="107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>
      <c r="A141" s="107" t="s">
        <v>66</v>
      </c>
      <c r="B141" s="107"/>
      <c r="C141" s="107"/>
      <c r="D141" s="107"/>
      <c r="E141" s="107"/>
      <c r="F141" s="107"/>
      <c r="G141" s="29"/>
      <c r="H141" s="30"/>
      <c r="I141" s="30"/>
      <c r="J141" s="25"/>
      <c r="K141" s="26"/>
      <c r="L141" s="26"/>
    </row>
    <row r="142" spans="1:12">
      <c r="A142" s="109">
        <v>0.25</v>
      </c>
      <c r="B142" s="109"/>
      <c r="C142" s="109"/>
      <c r="D142" s="109"/>
      <c r="E142" s="109"/>
      <c r="F142" s="109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>
      <c r="A143" s="109">
        <v>0.5</v>
      </c>
      <c r="B143" s="109"/>
      <c r="C143" s="109"/>
      <c r="D143" s="109"/>
      <c r="E143" s="109"/>
      <c r="F143" s="109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>
      <c r="A144" s="109">
        <v>1</v>
      </c>
      <c r="B144" s="109"/>
      <c r="C144" s="109"/>
      <c r="D144" s="109"/>
      <c r="E144" s="109"/>
      <c r="F144" s="109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>
      <c r="A145" s="106" t="s">
        <v>67</v>
      </c>
      <c r="B145" s="106"/>
      <c r="C145" s="106"/>
      <c r="D145" s="106"/>
      <c r="E145" s="106"/>
      <c r="F145" s="106"/>
      <c r="G145" s="21"/>
      <c r="H145" s="22"/>
      <c r="I145" s="21">
        <f>SUM(I146:I147)</f>
        <v>4500</v>
      </c>
      <c r="J145" s="21"/>
      <c r="K145" s="21"/>
      <c r="L145" s="21"/>
    </row>
    <row r="146" spans="1:12">
      <c r="A146" s="107" t="s">
        <v>68</v>
      </c>
      <c r="B146" s="107"/>
      <c r="C146" s="107"/>
      <c r="D146" s="107"/>
      <c r="E146" s="107"/>
      <c r="F146" s="107"/>
      <c r="G146" s="23">
        <f>(G123-A125)/360</f>
        <v>2.1138888888888889</v>
      </c>
      <c r="H146" s="31">
        <v>0.05</v>
      </c>
      <c r="I146" s="23">
        <f>I134*H146</f>
        <v>4500</v>
      </c>
      <c r="J146" s="25"/>
      <c r="K146" s="26"/>
      <c r="L146" s="26"/>
    </row>
    <row r="147" spans="1:12">
      <c r="A147" s="107" t="s">
        <v>69</v>
      </c>
      <c r="B147" s="107"/>
      <c r="C147" s="107"/>
      <c r="D147" s="107"/>
      <c r="E147" s="107"/>
      <c r="F147" s="107"/>
      <c r="G147" s="23"/>
      <c r="H147" s="24"/>
      <c r="I147" s="23"/>
      <c r="J147" s="25"/>
      <c r="K147" s="26"/>
      <c r="L147" s="26"/>
    </row>
    <row r="148" spans="1:12">
      <c r="A148" s="106" t="s">
        <v>70</v>
      </c>
      <c r="B148" s="106"/>
      <c r="C148" s="106"/>
      <c r="D148" s="106"/>
      <c r="E148" s="106"/>
      <c r="F148" s="106"/>
      <c r="G148" s="21"/>
      <c r="H148" s="22"/>
      <c r="I148" s="21">
        <f>SUM(I149:I151)</f>
        <v>6000</v>
      </c>
      <c r="J148" s="21"/>
      <c r="K148" s="21"/>
      <c r="L148" s="21"/>
    </row>
    <row r="149" spans="1:12">
      <c r="A149" s="107" t="s">
        <v>71</v>
      </c>
      <c r="B149" s="107"/>
      <c r="C149" s="107"/>
      <c r="D149" s="107"/>
      <c r="E149" s="107"/>
      <c r="F149" s="107"/>
      <c r="G149" s="23"/>
      <c r="H149" s="24"/>
      <c r="I149" s="23">
        <v>3000</v>
      </c>
      <c r="J149" s="25"/>
      <c r="K149" s="26"/>
      <c r="L149" s="26"/>
    </row>
    <row r="150" spans="1:12">
      <c r="A150" s="107" t="s">
        <v>72</v>
      </c>
      <c r="B150" s="107"/>
      <c r="C150" s="107"/>
      <c r="D150" s="107"/>
      <c r="E150" s="107"/>
      <c r="F150" s="107"/>
      <c r="G150" s="23"/>
      <c r="H150" s="31"/>
      <c r="I150" s="23">
        <v>3000</v>
      </c>
      <c r="J150" s="25"/>
      <c r="K150" s="26"/>
      <c r="L150" s="26"/>
    </row>
    <row r="151" spans="1:12">
      <c r="A151" s="107" t="s">
        <v>73</v>
      </c>
      <c r="B151" s="107"/>
      <c r="C151" s="107"/>
      <c r="D151" s="107"/>
      <c r="E151" s="107"/>
      <c r="F151" s="107"/>
      <c r="G151" s="23"/>
      <c r="H151" s="24"/>
      <c r="I151" s="23"/>
      <c r="J151" s="25"/>
      <c r="K151" s="26"/>
      <c r="L151" s="26"/>
    </row>
    <row r="152" spans="1:12">
      <c r="A152" s="111" t="s">
        <v>74</v>
      </c>
      <c r="B152" s="111"/>
      <c r="C152" s="111"/>
      <c r="D152" s="111"/>
      <c r="E152" s="111"/>
      <c r="F152" s="111"/>
      <c r="G152" s="32"/>
      <c r="H152" s="33"/>
      <c r="I152" s="32">
        <f>I134+I145+I148</f>
        <v>100500</v>
      </c>
      <c r="J152" s="33"/>
      <c r="K152" s="33"/>
      <c r="L152" s="33"/>
    </row>
    <row r="153" spans="1:12">
      <c r="A153" s="111" t="s">
        <v>75</v>
      </c>
      <c r="B153" s="111"/>
      <c r="C153" s="111"/>
      <c r="D153" s="111"/>
      <c r="E153" s="111"/>
      <c r="F153" s="111"/>
      <c r="G153" s="32"/>
      <c r="H153" s="33"/>
      <c r="I153" s="32">
        <f>I152-I148</f>
        <v>94500</v>
      </c>
      <c r="J153" s="33"/>
      <c r="K153" s="33"/>
      <c r="L153" s="33"/>
    </row>
    <row r="154" spans="1:12">
      <c r="A154" s="107" t="s">
        <v>76</v>
      </c>
      <c r="B154" s="107"/>
      <c r="C154" s="107"/>
      <c r="D154" s="107"/>
      <c r="E154" s="107"/>
      <c r="F154" s="107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>
      <c r="A155" s="107" t="s">
        <v>77</v>
      </c>
      <c r="B155" s="107"/>
      <c r="C155" s="107"/>
      <c r="D155" s="107"/>
      <c r="E155" s="107"/>
      <c r="F155" s="107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>
      <c r="A156" s="107" t="s">
        <v>78</v>
      </c>
      <c r="B156" s="107"/>
      <c r="C156" s="107"/>
      <c r="D156" s="107"/>
      <c r="E156" s="107"/>
      <c r="F156" s="107"/>
      <c r="G156" s="23"/>
      <c r="H156" s="34">
        <v>0.5</v>
      </c>
      <c r="I156" s="23"/>
      <c r="J156" s="23">
        <f>I153*H156</f>
        <v>47250</v>
      </c>
      <c r="K156" s="35">
        <v>0.06</v>
      </c>
      <c r="L156" s="23">
        <f>I153*K156</f>
        <v>5670</v>
      </c>
    </row>
    <row r="157" spans="1:12">
      <c r="A157" s="107" t="s">
        <v>79</v>
      </c>
      <c r="B157" s="107"/>
      <c r="C157" s="107"/>
      <c r="D157" s="107"/>
      <c r="E157" s="107"/>
      <c r="F157" s="107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>
      <c r="A158" s="107" t="s">
        <v>80</v>
      </c>
      <c r="B158" s="107"/>
      <c r="C158" s="107"/>
      <c r="D158" s="107"/>
      <c r="E158" s="107"/>
      <c r="F158" s="107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>
      <c r="A159" s="107" t="s">
        <v>81</v>
      </c>
      <c r="B159" s="107"/>
      <c r="C159" s="107"/>
      <c r="D159" s="107"/>
      <c r="E159" s="107"/>
      <c r="F159" s="107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>
      <c r="A160" s="107" t="s">
        <v>24</v>
      </c>
      <c r="B160" s="107"/>
      <c r="C160" s="107"/>
      <c r="D160" s="107"/>
      <c r="E160" s="107"/>
      <c r="F160" s="107"/>
      <c r="G160" s="23"/>
      <c r="H160" s="34" t="str">
        <f>[1]Taux!D$7</f>
        <v>2,26%</v>
      </c>
      <c r="I160" s="23"/>
      <c r="J160" s="23">
        <f>I153*H160</f>
        <v>2135.6999999999998</v>
      </c>
      <c r="K160" s="34" t="str">
        <f>[1]Taux!C$7</f>
        <v>4,11%</v>
      </c>
      <c r="L160" s="23">
        <f>I153*K160</f>
        <v>3883.95</v>
      </c>
    </row>
    <row r="161" spans="1:12">
      <c r="A161" s="110" t="s">
        <v>82</v>
      </c>
      <c r="B161" s="110"/>
      <c r="C161" s="110"/>
      <c r="D161" s="110"/>
      <c r="E161" s="110"/>
      <c r="F161" s="110"/>
      <c r="G161" s="37"/>
      <c r="H161" s="38"/>
      <c r="I161" s="39"/>
      <c r="J161" s="40"/>
      <c r="K161" s="34" t="str">
        <f>[1]Taux!C$4</f>
        <v>6,40%</v>
      </c>
      <c r="L161" s="23">
        <f>I153*K161</f>
        <v>6048</v>
      </c>
    </row>
    <row r="162" spans="1:12">
      <c r="A162" s="110" t="s">
        <v>83</v>
      </c>
      <c r="B162" s="110"/>
      <c r="C162" s="110"/>
      <c r="D162" s="110"/>
      <c r="E162" s="110"/>
      <c r="F162" s="110"/>
      <c r="G162" s="41"/>
      <c r="H162" s="42"/>
      <c r="I162" s="43"/>
      <c r="J162" s="44"/>
      <c r="K162" s="34" t="str">
        <f>[1]Taux!C$8</f>
        <v>1,6 %</v>
      </c>
      <c r="L162" s="23">
        <f>I153*K162</f>
        <v>1512</v>
      </c>
    </row>
    <row r="163" spans="1:12">
      <c r="A163" s="106" t="s">
        <v>84</v>
      </c>
      <c r="B163" s="106"/>
      <c r="C163" s="106"/>
      <c r="D163" s="106"/>
      <c r="E163" s="106"/>
      <c r="F163" s="106"/>
      <c r="G163" s="21"/>
      <c r="H163" s="22"/>
      <c r="I163" s="22"/>
      <c r="J163" s="21">
        <f>SUM(J154:J160)</f>
        <v>49654.5</v>
      </c>
      <c r="K163" s="21"/>
      <c r="L163" s="21">
        <f>SUM(L154:L162)</f>
        <v>17652.75</v>
      </c>
    </row>
    <row r="164" spans="1:12">
      <c r="A164" s="107" t="s">
        <v>85</v>
      </c>
      <c r="B164" s="107"/>
      <c r="C164" s="107"/>
      <c r="D164" s="107"/>
      <c r="E164" s="107"/>
      <c r="F164" s="107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>
      <c r="A165" s="111" t="s">
        <v>86</v>
      </c>
      <c r="B165" s="111"/>
      <c r="C165" s="111"/>
      <c r="D165" s="111"/>
      <c r="E165" s="111"/>
      <c r="F165" s="111"/>
      <c r="G165" s="32"/>
      <c r="H165" s="33"/>
      <c r="I165" s="32">
        <f>I153-J163-J164</f>
        <v>42345.5</v>
      </c>
      <c r="J165" s="33"/>
      <c r="K165" s="33"/>
      <c r="L165" s="33"/>
    </row>
    <row r="166" spans="1:12">
      <c r="A166" s="107" t="s">
        <v>87</v>
      </c>
      <c r="B166" s="107"/>
      <c r="C166" s="107"/>
      <c r="D166" s="107"/>
      <c r="E166" s="107"/>
      <c r="F166" s="107"/>
      <c r="G166" s="23"/>
      <c r="H166" s="34"/>
      <c r="I166" s="23">
        <f>H166*180/360</f>
        <v>0</v>
      </c>
      <c r="J166" s="23"/>
      <c r="K166" s="46"/>
      <c r="L166" s="47"/>
    </row>
    <row r="167" spans="1:12">
      <c r="A167" s="111" t="s">
        <v>88</v>
      </c>
      <c r="B167" s="111"/>
      <c r="C167" s="111"/>
      <c r="D167" s="111"/>
      <c r="E167" s="111"/>
      <c r="F167" s="111"/>
      <c r="G167" s="32"/>
      <c r="H167" s="33"/>
      <c r="I167" s="32">
        <f>I165-I166</f>
        <v>42345.5</v>
      </c>
      <c r="J167" s="33"/>
      <c r="K167" s="33"/>
      <c r="L167" s="33"/>
    </row>
    <row r="168" spans="1:12">
      <c r="A168" s="107" t="s">
        <v>89</v>
      </c>
      <c r="B168" s="107"/>
      <c r="C168" s="107"/>
      <c r="D168" s="107"/>
      <c r="E168" s="107"/>
      <c r="F168" s="107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14057.956666666667</v>
      </c>
      <c r="K168" s="46"/>
      <c r="L168" s="47"/>
    </row>
    <row r="169" spans="1:12">
      <c r="A169" s="107" t="s">
        <v>90</v>
      </c>
      <c r="B169" s="107"/>
      <c r="C169" s="107"/>
      <c r="D169" s="107"/>
      <c r="E169" s="107"/>
      <c r="F169" s="107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>
      <c r="A170" s="106" t="s">
        <v>91</v>
      </c>
      <c r="B170" s="106"/>
      <c r="C170" s="106"/>
      <c r="D170" s="106"/>
      <c r="E170" s="106"/>
      <c r="F170" s="106"/>
      <c r="G170" s="21"/>
      <c r="H170" s="22"/>
      <c r="I170" s="21"/>
      <c r="J170" s="21">
        <f>J168-J169</f>
        <v>14057.956666666667</v>
      </c>
      <c r="K170" s="21"/>
      <c r="L170" s="21"/>
    </row>
    <row r="171" spans="1:12">
      <c r="A171" s="112" t="s">
        <v>92</v>
      </c>
      <c r="B171" s="112"/>
      <c r="C171" s="112"/>
      <c r="D171" s="112"/>
      <c r="E171" s="112"/>
      <c r="F171" s="112"/>
      <c r="G171" s="25"/>
      <c r="H171" s="48"/>
      <c r="I171" s="47"/>
      <c r="J171" s="49">
        <v>0</v>
      </c>
      <c r="K171" s="46"/>
      <c r="L171" s="47"/>
    </row>
    <row r="172" spans="1:12">
      <c r="A172" s="107" t="s">
        <v>93</v>
      </c>
      <c r="B172" s="107"/>
      <c r="C172" s="107"/>
      <c r="D172" s="107"/>
      <c r="E172" s="107"/>
      <c r="F172" s="107"/>
      <c r="G172" s="25"/>
      <c r="H172" s="48"/>
      <c r="I172" s="44"/>
      <c r="J172" s="28">
        <v>0</v>
      </c>
      <c r="K172" s="46"/>
      <c r="L172" s="47"/>
    </row>
    <row r="173" spans="1:12">
      <c r="A173" s="113" t="s">
        <v>94</v>
      </c>
      <c r="B173" s="113"/>
      <c r="C173" s="113"/>
      <c r="D173" s="113"/>
      <c r="E173" s="113"/>
      <c r="F173" s="113"/>
      <c r="G173" s="41"/>
      <c r="H173" s="42"/>
      <c r="I173" s="28">
        <f>1-0.54</f>
        <v>0.45999999999999996</v>
      </c>
      <c r="J173" s="41"/>
      <c r="K173" s="43"/>
      <c r="L173" s="44"/>
    </row>
    <row r="174" spans="1:1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>
      <c r="A175" s="58" t="s">
        <v>95</v>
      </c>
      <c r="B175" s="58" t="s">
        <v>96</v>
      </c>
      <c r="C175" s="58" t="s">
        <v>97</v>
      </c>
      <c r="D175" s="104" t="s">
        <v>98</v>
      </c>
      <c r="E175" s="104"/>
      <c r="F175" s="104"/>
      <c r="G175" s="58" t="s">
        <v>99</v>
      </c>
      <c r="H175" s="50"/>
      <c r="I175" s="57">
        <f>I152+I173</f>
        <v>100500.46</v>
      </c>
      <c r="J175" s="57">
        <f>J163+J170+J171+J172</f>
        <v>63712.456666666665</v>
      </c>
      <c r="K175" s="58" t="s">
        <v>100</v>
      </c>
      <c r="L175" s="57">
        <f>L163</f>
        <v>17652.75</v>
      </c>
    </row>
    <row r="176" spans="1:12">
      <c r="A176" s="57">
        <f>882000+I152</f>
        <v>982500</v>
      </c>
      <c r="B176" s="57">
        <f>828000+I153</f>
        <v>922500</v>
      </c>
      <c r="C176" s="57">
        <f>2419.2+J154</f>
        <v>2688</v>
      </c>
      <c r="D176" s="114">
        <f>122440.83+J170</f>
        <v>136498.78666666668</v>
      </c>
      <c r="E176" s="114"/>
      <c r="F176" s="114"/>
      <c r="G176" s="57">
        <f>324432+I175</f>
        <v>424932.46</v>
      </c>
      <c r="H176" s="104" t="s">
        <v>101</v>
      </c>
      <c r="I176" s="104"/>
      <c r="J176" s="57">
        <f>I175-J175</f>
        <v>36788.003333333341</v>
      </c>
      <c r="K176" s="58" t="s">
        <v>102</v>
      </c>
      <c r="L176" s="57">
        <f>154800+L175</f>
        <v>172452.75</v>
      </c>
    </row>
    <row r="177" spans="1:1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54440.753333333341</v>
      </c>
    </row>
    <row r="181" spans="1:12">
      <c r="A181" s="105" t="s">
        <v>26</v>
      </c>
      <c r="B181" s="105"/>
      <c r="C181" s="105" t="s">
        <v>27</v>
      </c>
      <c r="D181" s="105"/>
      <c r="E181" s="105"/>
      <c r="F181" s="105"/>
      <c r="G181" s="105" t="s">
        <v>28</v>
      </c>
      <c r="H181" s="105"/>
      <c r="I181" s="105"/>
      <c r="J181" s="105" t="s">
        <v>29</v>
      </c>
      <c r="K181" s="105"/>
      <c r="L181" s="105"/>
    </row>
    <row r="182" spans="1:12">
      <c r="A182" s="58" t="s">
        <v>30</v>
      </c>
      <c r="B182" s="104" t="s">
        <v>31</v>
      </c>
      <c r="C182" s="104"/>
      <c r="D182" s="104"/>
      <c r="E182" s="104"/>
      <c r="F182" s="104"/>
      <c r="G182" s="104" t="s">
        <v>32</v>
      </c>
      <c r="H182" s="104"/>
      <c r="I182" s="104"/>
      <c r="J182" s="104"/>
      <c r="K182" s="104"/>
      <c r="L182" s="104"/>
    </row>
    <row r="183" spans="1:12">
      <c r="A183" s="59">
        <v>5</v>
      </c>
      <c r="B183" s="102" t="s">
        <v>108</v>
      </c>
      <c r="C183" s="102"/>
      <c r="D183" s="102"/>
      <c r="E183" s="102"/>
      <c r="F183" s="102"/>
      <c r="G183" s="103">
        <v>42552</v>
      </c>
      <c r="H183" s="103"/>
      <c r="I183" s="103"/>
      <c r="J183" s="103">
        <v>42582</v>
      </c>
      <c r="K183" s="103"/>
      <c r="L183" s="103"/>
    </row>
    <row r="184" spans="1:12">
      <c r="A184" s="58" t="s">
        <v>34</v>
      </c>
      <c r="B184" s="58" t="s">
        <v>35</v>
      </c>
      <c r="C184" s="58" t="s">
        <v>36</v>
      </c>
      <c r="D184" s="58" t="s">
        <v>37</v>
      </c>
      <c r="E184" s="58" t="s">
        <v>38</v>
      </c>
      <c r="F184" s="58" t="s">
        <v>39</v>
      </c>
      <c r="G184" s="104" t="s">
        <v>40</v>
      </c>
      <c r="H184" s="104"/>
      <c r="I184" s="104"/>
      <c r="J184" s="104"/>
      <c r="K184" s="104"/>
      <c r="L184" s="104"/>
    </row>
    <row r="185" spans="1:12">
      <c r="A185" s="17">
        <v>41791</v>
      </c>
      <c r="B185" s="59"/>
      <c r="C185" s="17">
        <v>21792</v>
      </c>
      <c r="D185" s="59" t="s">
        <v>41</v>
      </c>
      <c r="E185" s="59">
        <v>2</v>
      </c>
      <c r="F185" s="59">
        <v>3</v>
      </c>
      <c r="G185" s="102"/>
      <c r="H185" s="102"/>
      <c r="I185" s="102"/>
      <c r="J185" s="102"/>
      <c r="K185" s="102"/>
      <c r="L185" s="102"/>
    </row>
    <row r="186" spans="1:12">
      <c r="A186" s="58" t="s">
        <v>42</v>
      </c>
      <c r="B186" s="58" t="s">
        <v>43</v>
      </c>
      <c r="C186" s="58" t="s">
        <v>44</v>
      </c>
      <c r="D186" s="104" t="s">
        <v>45</v>
      </c>
      <c r="E186" s="104"/>
      <c r="F186" s="104"/>
      <c r="G186" s="104" t="s">
        <v>46</v>
      </c>
      <c r="H186" s="104"/>
      <c r="I186" s="104"/>
      <c r="J186" s="104"/>
      <c r="K186" s="104"/>
      <c r="L186" s="104"/>
    </row>
    <row r="187" spans="1:12">
      <c r="A187" s="59">
        <v>132944135</v>
      </c>
      <c r="B187" s="59"/>
      <c r="C187" s="59"/>
      <c r="D187" s="102" t="s">
        <v>47</v>
      </c>
      <c r="E187" s="102"/>
      <c r="F187" s="102"/>
      <c r="G187" s="102" t="s">
        <v>109</v>
      </c>
      <c r="H187" s="102"/>
      <c r="I187" s="102"/>
      <c r="J187" s="102"/>
      <c r="K187" s="102"/>
      <c r="L187" s="102"/>
    </row>
    <row r="188" spans="1:1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>
      <c r="A191" s="108" t="s">
        <v>49</v>
      </c>
      <c r="B191" s="108"/>
      <c r="C191" s="108"/>
      <c r="D191" s="108"/>
      <c r="E191" s="108"/>
      <c r="F191" s="108"/>
      <c r="G191" s="108" t="s">
        <v>50</v>
      </c>
      <c r="H191" s="108" t="s">
        <v>51</v>
      </c>
      <c r="I191" s="108" t="s">
        <v>52</v>
      </c>
      <c r="J191" s="108"/>
      <c r="K191" s="108" t="s">
        <v>53</v>
      </c>
      <c r="L191" s="108"/>
    </row>
    <row r="192" spans="1:12">
      <c r="A192" s="108"/>
      <c r="B192" s="108"/>
      <c r="C192" s="108"/>
      <c r="D192" s="108"/>
      <c r="E192" s="108"/>
      <c r="F192" s="108"/>
      <c r="G192" s="108"/>
      <c r="H192" s="108"/>
      <c r="I192" s="60" t="s">
        <v>54</v>
      </c>
      <c r="J192" s="60" t="s">
        <v>55</v>
      </c>
      <c r="K192" s="60" t="s">
        <v>56</v>
      </c>
      <c r="L192" s="60" t="s">
        <v>57</v>
      </c>
    </row>
    <row r="193" spans="1:12">
      <c r="A193" s="106" t="s">
        <v>58</v>
      </c>
      <c r="B193" s="106"/>
      <c r="C193" s="106"/>
      <c r="D193" s="106"/>
      <c r="E193" s="106"/>
      <c r="F193" s="106"/>
      <c r="G193" s="21">
        <v>12125.57</v>
      </c>
      <c r="H193" s="22"/>
      <c r="I193" s="21"/>
      <c r="J193" s="21"/>
      <c r="K193" s="21"/>
      <c r="L193" s="21"/>
    </row>
    <row r="194" spans="1:12">
      <c r="A194" s="106" t="s">
        <v>59</v>
      </c>
      <c r="B194" s="106"/>
      <c r="C194" s="106"/>
      <c r="D194" s="106"/>
      <c r="E194" s="106"/>
      <c r="F194" s="106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>
      <c r="A195" s="107" t="s">
        <v>60</v>
      </c>
      <c r="B195" s="107"/>
      <c r="C195" s="107"/>
      <c r="D195" s="107"/>
      <c r="E195" s="107"/>
      <c r="F195" s="107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>
      <c r="A196" s="107" t="s">
        <v>61</v>
      </c>
      <c r="B196" s="107"/>
      <c r="C196" s="107"/>
      <c r="D196" s="107"/>
      <c r="E196" s="107"/>
      <c r="F196" s="107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>
      <c r="A197" s="107" t="s">
        <v>62</v>
      </c>
      <c r="B197" s="107"/>
      <c r="C197" s="107"/>
      <c r="D197" s="107"/>
      <c r="E197" s="107"/>
      <c r="F197" s="107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>
      <c r="A198" s="107" t="s">
        <v>63</v>
      </c>
      <c r="B198" s="107"/>
      <c r="C198" s="107"/>
      <c r="D198" s="107"/>
      <c r="E198" s="107"/>
      <c r="F198" s="107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>
      <c r="A199" s="107" t="s">
        <v>64</v>
      </c>
      <c r="B199" s="107"/>
      <c r="C199" s="107"/>
      <c r="D199" s="107"/>
      <c r="E199" s="107"/>
      <c r="F199" s="107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>
      <c r="A200" s="107" t="s">
        <v>65</v>
      </c>
      <c r="B200" s="107"/>
      <c r="C200" s="107"/>
      <c r="D200" s="107"/>
      <c r="E200" s="107"/>
      <c r="F200" s="107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>
      <c r="A201" s="107" t="s">
        <v>66</v>
      </c>
      <c r="B201" s="107"/>
      <c r="C201" s="107"/>
      <c r="D201" s="107"/>
      <c r="E201" s="107"/>
      <c r="F201" s="107"/>
      <c r="G201" s="29"/>
      <c r="H201" s="30"/>
      <c r="I201" s="30"/>
      <c r="J201" s="25"/>
      <c r="K201" s="26"/>
      <c r="L201" s="26"/>
    </row>
    <row r="202" spans="1:12">
      <c r="A202" s="109">
        <v>0.25</v>
      </c>
      <c r="B202" s="109"/>
      <c r="C202" s="109"/>
      <c r="D202" s="109"/>
      <c r="E202" s="109"/>
      <c r="F202" s="109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>
      <c r="A203" s="109">
        <v>0.5</v>
      </c>
      <c r="B203" s="109"/>
      <c r="C203" s="109"/>
      <c r="D203" s="109"/>
      <c r="E203" s="109"/>
      <c r="F203" s="109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>
      <c r="A204" s="109">
        <v>1</v>
      </c>
      <c r="B204" s="109"/>
      <c r="C204" s="109"/>
      <c r="D204" s="109"/>
      <c r="E204" s="109"/>
      <c r="F204" s="109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>
      <c r="A205" s="106" t="s">
        <v>67</v>
      </c>
      <c r="B205" s="106"/>
      <c r="C205" s="106"/>
      <c r="D205" s="106"/>
      <c r="E205" s="106"/>
      <c r="F205" s="106"/>
      <c r="G205" s="21"/>
      <c r="H205" s="22"/>
      <c r="I205" s="21">
        <f>SUM(I206:I207)</f>
        <v>606.27850000000001</v>
      </c>
      <c r="J205" s="21"/>
      <c r="K205" s="21"/>
      <c r="L205" s="21"/>
    </row>
    <row r="206" spans="1:12">
      <c r="A206" s="107" t="s">
        <v>68</v>
      </c>
      <c r="B206" s="107"/>
      <c r="C206" s="107"/>
      <c r="D206" s="107"/>
      <c r="E206" s="107"/>
      <c r="F206" s="107"/>
      <c r="G206" s="23">
        <f>(G183-A185)/360</f>
        <v>2.1138888888888889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0.05</v>
      </c>
      <c r="I206" s="23">
        <f>I194*H206</f>
        <v>606.27850000000001</v>
      </c>
      <c r="J206" s="25"/>
      <c r="K206" s="26"/>
      <c r="L206" s="26"/>
    </row>
    <row r="207" spans="1:12">
      <c r="A207" s="107" t="s">
        <v>69</v>
      </c>
      <c r="B207" s="107"/>
      <c r="C207" s="107"/>
      <c r="D207" s="107"/>
      <c r="E207" s="107"/>
      <c r="F207" s="107"/>
      <c r="G207" s="23"/>
      <c r="H207" s="24"/>
      <c r="I207" s="23"/>
      <c r="J207" s="25"/>
      <c r="K207" s="26"/>
      <c r="L207" s="26"/>
    </row>
    <row r="208" spans="1:12">
      <c r="A208" s="106" t="s">
        <v>70</v>
      </c>
      <c r="B208" s="106"/>
      <c r="C208" s="106"/>
      <c r="D208" s="106"/>
      <c r="E208" s="106"/>
      <c r="F208" s="106"/>
      <c r="G208" s="21"/>
      <c r="H208" s="22"/>
      <c r="I208" s="21">
        <f>SUM(I209:I211)</f>
        <v>5000</v>
      </c>
      <c r="J208" s="21"/>
      <c r="K208" s="21"/>
      <c r="L208" s="21"/>
    </row>
    <row r="209" spans="1:12">
      <c r="A209" s="107" t="s">
        <v>71</v>
      </c>
      <c r="B209" s="107"/>
      <c r="C209" s="107"/>
      <c r="D209" s="107"/>
      <c r="E209" s="107"/>
      <c r="F209" s="107"/>
      <c r="G209" s="23"/>
      <c r="H209" s="24"/>
      <c r="I209" s="23">
        <v>2500</v>
      </c>
      <c r="J209" s="25"/>
      <c r="K209" s="26"/>
      <c r="L209" s="26"/>
    </row>
    <row r="210" spans="1:12">
      <c r="A210" s="107" t="s">
        <v>72</v>
      </c>
      <c r="B210" s="107"/>
      <c r="C210" s="107"/>
      <c r="D210" s="107"/>
      <c r="E210" s="107"/>
      <c r="F210" s="107"/>
      <c r="G210" s="23"/>
      <c r="H210" s="31">
        <v>0</v>
      </c>
      <c r="I210" s="23">
        <v>2500</v>
      </c>
      <c r="J210" s="25"/>
      <c r="K210" s="26"/>
      <c r="L210" s="26"/>
    </row>
    <row r="211" spans="1:12">
      <c r="A211" s="107" t="s">
        <v>73</v>
      </c>
      <c r="B211" s="107"/>
      <c r="C211" s="107"/>
      <c r="D211" s="107"/>
      <c r="E211" s="107"/>
      <c r="F211" s="107"/>
      <c r="G211" s="23"/>
      <c r="H211" s="24"/>
      <c r="I211" s="23"/>
      <c r="J211" s="25"/>
      <c r="K211" s="26"/>
      <c r="L211" s="26"/>
    </row>
    <row r="212" spans="1:12">
      <c r="A212" s="111" t="s">
        <v>74</v>
      </c>
      <c r="B212" s="111"/>
      <c r="C212" s="111"/>
      <c r="D212" s="111"/>
      <c r="E212" s="111"/>
      <c r="F212" s="111"/>
      <c r="G212" s="32"/>
      <c r="H212" s="33"/>
      <c r="I212" s="32">
        <f>I194+I205+I208</f>
        <v>17731.8485</v>
      </c>
      <c r="J212" s="33"/>
      <c r="K212" s="33"/>
      <c r="L212" s="33"/>
    </row>
    <row r="213" spans="1:12">
      <c r="A213" s="111" t="s">
        <v>75</v>
      </c>
      <c r="B213" s="111"/>
      <c r="C213" s="111"/>
      <c r="D213" s="111"/>
      <c r="E213" s="111"/>
      <c r="F213" s="111"/>
      <c r="G213" s="32"/>
      <c r="H213" s="33"/>
      <c r="I213" s="32">
        <f>I212-I208</f>
        <v>12731.8485</v>
      </c>
      <c r="J213" s="33"/>
      <c r="K213" s="33"/>
      <c r="L213" s="33"/>
    </row>
    <row r="214" spans="1:12">
      <c r="A214" s="107" t="s">
        <v>76</v>
      </c>
      <c r="B214" s="107"/>
      <c r="C214" s="107"/>
      <c r="D214" s="107"/>
      <c r="E214" s="107"/>
      <c r="F214" s="107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>
      <c r="A215" s="107" t="s">
        <v>77</v>
      </c>
      <c r="B215" s="107"/>
      <c r="C215" s="107"/>
      <c r="D215" s="107"/>
      <c r="E215" s="107"/>
      <c r="F215" s="107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>
      <c r="A216" s="107" t="s">
        <v>78</v>
      </c>
      <c r="B216" s="107"/>
      <c r="C216" s="107"/>
      <c r="D216" s="107"/>
      <c r="E216" s="107"/>
      <c r="F216" s="107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>
      <c r="A217" s="107" t="s">
        <v>79</v>
      </c>
      <c r="B217" s="107"/>
      <c r="C217" s="107"/>
      <c r="D217" s="107"/>
      <c r="E217" s="107"/>
      <c r="F217" s="107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>
      <c r="A218" s="107" t="s">
        <v>80</v>
      </c>
      <c r="B218" s="107"/>
      <c r="C218" s="107"/>
      <c r="D218" s="107"/>
      <c r="E218" s="107"/>
      <c r="F218" s="107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>
      <c r="A219" s="107" t="s">
        <v>81</v>
      </c>
      <c r="B219" s="107"/>
      <c r="C219" s="107"/>
      <c r="D219" s="107"/>
      <c r="E219" s="107"/>
      <c r="F219" s="107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>
      <c r="A220" s="107" t="s">
        <v>24</v>
      </c>
      <c r="B220" s="107"/>
      <c r="C220" s="107"/>
      <c r="D220" s="107"/>
      <c r="E220" s="107"/>
      <c r="F220" s="107"/>
      <c r="G220" s="23"/>
      <c r="H220" s="34" t="str">
        <f>[1]Taux!D$7</f>
        <v>2,26%</v>
      </c>
      <c r="I220" s="23"/>
      <c r="J220" s="23">
        <f>I213*H220</f>
        <v>287.73977609999997</v>
      </c>
      <c r="K220" s="34" t="str">
        <f>[1]Taux!C$7</f>
        <v>4,11%</v>
      </c>
      <c r="L220" s="23">
        <f>I213*K220</f>
        <v>523.27897335</v>
      </c>
    </row>
    <row r="221" spans="1:12">
      <c r="A221" s="110" t="s">
        <v>82</v>
      </c>
      <c r="B221" s="110"/>
      <c r="C221" s="110"/>
      <c r="D221" s="110"/>
      <c r="E221" s="110"/>
      <c r="F221" s="110"/>
      <c r="G221" s="37"/>
      <c r="H221" s="38"/>
      <c r="I221" s="39"/>
      <c r="J221" s="40"/>
      <c r="K221" s="34" t="str">
        <f>[1]Taux!C$4</f>
        <v>6,40%</v>
      </c>
      <c r="L221" s="23">
        <f>I213*K221</f>
        <v>814.83830399999999</v>
      </c>
    </row>
    <row r="222" spans="1:12">
      <c r="A222" s="110" t="s">
        <v>83</v>
      </c>
      <c r="B222" s="110"/>
      <c r="C222" s="110"/>
      <c r="D222" s="110"/>
      <c r="E222" s="110"/>
      <c r="F222" s="110"/>
      <c r="G222" s="41"/>
      <c r="H222" s="42"/>
      <c r="I222" s="43"/>
      <c r="J222" s="44"/>
      <c r="K222" s="34" t="str">
        <f>[1]Taux!C$8</f>
        <v>1,6 %</v>
      </c>
      <c r="L222" s="23">
        <f>I213*K222</f>
        <v>203.709576</v>
      </c>
    </row>
    <row r="223" spans="1:12">
      <c r="A223" s="106" t="s">
        <v>84</v>
      </c>
      <c r="B223" s="106"/>
      <c r="C223" s="106"/>
      <c r="D223" s="106"/>
      <c r="E223" s="106"/>
      <c r="F223" s="106"/>
      <c r="G223" s="21"/>
      <c r="H223" s="22"/>
      <c r="I223" s="22"/>
      <c r="J223" s="21">
        <f>SUM(J214:J220)</f>
        <v>556.53977609999993</v>
      </c>
      <c r="K223" s="21"/>
      <c r="L223" s="21">
        <f>SUM(L214:L222)</f>
        <v>2080.6268533500001</v>
      </c>
    </row>
    <row r="224" spans="1:12">
      <c r="A224" s="107" t="s">
        <v>85</v>
      </c>
      <c r="B224" s="107"/>
      <c r="C224" s="107"/>
      <c r="D224" s="107"/>
      <c r="E224" s="107"/>
      <c r="F224" s="107"/>
      <c r="G224" s="23"/>
      <c r="H224" s="45">
        <v>0.2</v>
      </c>
      <c r="I224" s="23"/>
      <c r="J224" s="23">
        <f>IF(I213*H224&lt;2500,I213*H224,2500)</f>
        <v>2500</v>
      </c>
      <c r="K224" s="46"/>
      <c r="L224" s="47"/>
    </row>
    <row r="225" spans="1:12">
      <c r="A225" s="111" t="s">
        <v>86</v>
      </c>
      <c r="B225" s="111"/>
      <c r="C225" s="111"/>
      <c r="D225" s="111"/>
      <c r="E225" s="111"/>
      <c r="F225" s="111"/>
      <c r="G225" s="32"/>
      <c r="H225" s="33"/>
      <c r="I225" s="32">
        <f>I213-J223-J224</f>
        <v>9675.3087238999997</v>
      </c>
      <c r="J225" s="33"/>
      <c r="K225" s="33"/>
      <c r="L225" s="33"/>
    </row>
    <row r="226" spans="1:12">
      <c r="A226" s="107" t="s">
        <v>87</v>
      </c>
      <c r="B226" s="107"/>
      <c r="C226" s="107"/>
      <c r="D226" s="107"/>
      <c r="E226" s="107"/>
      <c r="F226" s="107"/>
      <c r="G226" s="23"/>
      <c r="H226" s="34"/>
      <c r="I226" s="23">
        <f>H226*180/360</f>
        <v>0</v>
      </c>
      <c r="J226" s="23"/>
      <c r="K226" s="46"/>
      <c r="L226" s="47"/>
    </row>
    <row r="227" spans="1:12">
      <c r="A227" s="111" t="s">
        <v>88</v>
      </c>
      <c r="B227" s="111"/>
      <c r="C227" s="111"/>
      <c r="D227" s="111"/>
      <c r="E227" s="111"/>
      <c r="F227" s="111"/>
      <c r="G227" s="32"/>
      <c r="H227" s="33"/>
      <c r="I227" s="32">
        <f>I225-I226</f>
        <v>9675.3087238999997</v>
      </c>
      <c r="J227" s="33"/>
      <c r="K227" s="33"/>
      <c r="L227" s="33"/>
    </row>
    <row r="228" spans="1:12">
      <c r="A228" s="107" t="s">
        <v>89</v>
      </c>
      <c r="B228" s="107"/>
      <c r="C228" s="107"/>
      <c r="D228" s="107"/>
      <c r="E228" s="107"/>
      <c r="F228" s="107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1856.2716327926667</v>
      </c>
      <c r="K228" s="46"/>
      <c r="L228" s="47"/>
    </row>
    <row r="229" spans="1:12">
      <c r="A229" s="107" t="s">
        <v>90</v>
      </c>
      <c r="B229" s="107"/>
      <c r="C229" s="107"/>
      <c r="D229" s="107"/>
      <c r="E229" s="107"/>
      <c r="F229" s="107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>
      <c r="A230" s="106" t="s">
        <v>91</v>
      </c>
      <c r="B230" s="106"/>
      <c r="C230" s="106"/>
      <c r="D230" s="106"/>
      <c r="E230" s="106"/>
      <c r="F230" s="106"/>
      <c r="G230" s="21"/>
      <c r="H230" s="22"/>
      <c r="I230" s="21"/>
      <c r="J230" s="21">
        <f>J228-J229</f>
        <v>1766.2716327926667</v>
      </c>
      <c r="K230" s="21"/>
      <c r="L230" s="21"/>
    </row>
    <row r="231" spans="1:12">
      <c r="A231" s="112" t="s">
        <v>92</v>
      </c>
      <c r="B231" s="112"/>
      <c r="C231" s="112"/>
      <c r="D231" s="112"/>
      <c r="E231" s="112"/>
      <c r="F231" s="112"/>
      <c r="G231" s="25"/>
      <c r="H231" s="48"/>
      <c r="I231" s="47"/>
      <c r="J231" s="49">
        <v>0</v>
      </c>
      <c r="K231" s="46"/>
      <c r="L231" s="47"/>
    </row>
    <row r="232" spans="1:12">
      <c r="A232" s="107" t="s">
        <v>93</v>
      </c>
      <c r="B232" s="107"/>
      <c r="C232" s="107"/>
      <c r="D232" s="107"/>
      <c r="E232" s="107"/>
      <c r="F232" s="107"/>
      <c r="G232" s="25"/>
      <c r="H232" s="48"/>
      <c r="I232" s="44"/>
      <c r="J232" s="28">
        <v>0</v>
      </c>
      <c r="K232" s="46"/>
      <c r="L232" s="47"/>
    </row>
    <row r="233" spans="1:12">
      <c r="A233" s="113" t="s">
        <v>94</v>
      </c>
      <c r="B233" s="113"/>
      <c r="C233" s="113"/>
      <c r="D233" s="113"/>
      <c r="E233" s="113"/>
      <c r="F233" s="113"/>
      <c r="G233" s="41"/>
      <c r="H233" s="42"/>
      <c r="I233" s="28">
        <f>1-0.04</f>
        <v>0.96</v>
      </c>
      <c r="J233" s="41"/>
      <c r="K233" s="43"/>
      <c r="L233" s="44"/>
    </row>
    <row r="234" spans="1:1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>
      <c r="A235" s="58" t="s">
        <v>95</v>
      </c>
      <c r="B235" s="58" t="s">
        <v>96</v>
      </c>
      <c r="C235" s="58" t="s">
        <v>97</v>
      </c>
      <c r="D235" s="104" t="s">
        <v>98</v>
      </c>
      <c r="E235" s="104"/>
      <c r="F235" s="104"/>
      <c r="G235" s="58" t="s">
        <v>99</v>
      </c>
      <c r="H235" s="50"/>
      <c r="I235" s="57">
        <f>I212+I233</f>
        <v>17732.808499999999</v>
      </c>
      <c r="J235" s="57">
        <f>J223+J230+J231+J232</f>
        <v>2322.8114088926668</v>
      </c>
      <c r="K235" s="58" t="s">
        <v>100</v>
      </c>
      <c r="L235" s="57">
        <f>L223</f>
        <v>2080.6268533500001</v>
      </c>
    </row>
    <row r="236" spans="1:12">
      <c r="A236" s="57">
        <f>156555.24+I212</f>
        <v>174287.08849999998</v>
      </c>
      <c r="B236" s="57">
        <f>111555.24+I213</f>
        <v>124287.08850000001</v>
      </c>
      <c r="C236" s="57">
        <f>2419.2+J214</f>
        <v>2688</v>
      </c>
      <c r="D236" s="114">
        <f>15016.37+J230</f>
        <v>16782.641632792667</v>
      </c>
      <c r="E236" s="114"/>
      <c r="F236" s="114"/>
      <c r="G236" s="57">
        <f>136602.47+I235</f>
        <v>154335.27850000001</v>
      </c>
      <c r="H236" s="104" t="s">
        <v>101</v>
      </c>
      <c r="I236" s="104"/>
      <c r="J236" s="57">
        <f>I235-J235</f>
        <v>15409.997091107332</v>
      </c>
      <c r="K236" s="58" t="s">
        <v>102</v>
      </c>
      <c r="L236" s="57">
        <f>20589.65+L235</f>
        <v>22670.276853350002</v>
      </c>
    </row>
    <row r="237" spans="1:1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17490.623944457333</v>
      </c>
    </row>
    <row r="241" spans="1:12">
      <c r="A241" s="105" t="s">
        <v>26</v>
      </c>
      <c r="B241" s="105"/>
      <c r="C241" s="105" t="s">
        <v>27</v>
      </c>
      <c r="D241" s="105"/>
      <c r="E241" s="105"/>
      <c r="F241" s="105"/>
      <c r="G241" s="105" t="s">
        <v>28</v>
      </c>
      <c r="H241" s="105"/>
      <c r="I241" s="105"/>
      <c r="J241" s="105" t="s">
        <v>29</v>
      </c>
      <c r="K241" s="105"/>
      <c r="L241" s="105"/>
    </row>
    <row r="242" spans="1:12">
      <c r="A242" s="58" t="s">
        <v>30</v>
      </c>
      <c r="B242" s="104" t="s">
        <v>31</v>
      </c>
      <c r="C242" s="104"/>
      <c r="D242" s="104"/>
      <c r="E242" s="104"/>
      <c r="F242" s="104"/>
      <c r="G242" s="104" t="s">
        <v>32</v>
      </c>
      <c r="H242" s="104"/>
      <c r="I242" s="104"/>
      <c r="J242" s="104"/>
      <c r="K242" s="104"/>
      <c r="L242" s="104"/>
    </row>
    <row r="243" spans="1:12">
      <c r="A243" s="59">
        <v>6</v>
      </c>
      <c r="B243" s="102" t="s">
        <v>110</v>
      </c>
      <c r="C243" s="102"/>
      <c r="D243" s="102"/>
      <c r="E243" s="102"/>
      <c r="F243" s="102"/>
      <c r="G243" s="103">
        <v>42552</v>
      </c>
      <c r="H243" s="103"/>
      <c r="I243" s="103"/>
      <c r="J243" s="103">
        <v>42582</v>
      </c>
      <c r="K243" s="103"/>
      <c r="L243" s="103"/>
    </row>
    <row r="244" spans="1:12">
      <c r="A244" s="58" t="s">
        <v>34</v>
      </c>
      <c r="B244" s="58" t="s">
        <v>35</v>
      </c>
      <c r="C244" s="58" t="s">
        <v>36</v>
      </c>
      <c r="D244" s="58" t="s">
        <v>37</v>
      </c>
      <c r="E244" s="58" t="s">
        <v>38</v>
      </c>
      <c r="F244" s="58" t="s">
        <v>39</v>
      </c>
      <c r="G244" s="104" t="s">
        <v>40</v>
      </c>
      <c r="H244" s="104"/>
      <c r="I244" s="104"/>
      <c r="J244" s="104"/>
      <c r="K244" s="104"/>
      <c r="L244" s="104"/>
    </row>
    <row r="245" spans="1:12">
      <c r="A245" s="17">
        <v>41821</v>
      </c>
      <c r="B245" s="59"/>
      <c r="C245" s="17">
        <v>31573</v>
      </c>
      <c r="D245" s="59" t="s">
        <v>111</v>
      </c>
      <c r="E245" s="59">
        <v>0</v>
      </c>
      <c r="F245" s="59">
        <v>0</v>
      </c>
      <c r="G245" s="102"/>
      <c r="H245" s="102"/>
      <c r="I245" s="102"/>
      <c r="J245" s="102"/>
      <c r="K245" s="102"/>
      <c r="L245" s="102"/>
    </row>
    <row r="246" spans="1:12">
      <c r="A246" s="58" t="s">
        <v>42</v>
      </c>
      <c r="B246" s="58" t="s">
        <v>43</v>
      </c>
      <c r="C246" s="58" t="s">
        <v>44</v>
      </c>
      <c r="D246" s="104" t="s">
        <v>45</v>
      </c>
      <c r="E246" s="104"/>
      <c r="F246" s="104"/>
      <c r="G246" s="104" t="s">
        <v>46</v>
      </c>
      <c r="H246" s="104"/>
      <c r="I246" s="104"/>
      <c r="J246" s="104"/>
      <c r="K246" s="104"/>
      <c r="L246" s="104"/>
    </row>
    <row r="247" spans="1:12">
      <c r="A247" s="59">
        <v>195441186</v>
      </c>
      <c r="B247" s="59"/>
      <c r="C247" s="59"/>
      <c r="D247" s="102" t="s">
        <v>47</v>
      </c>
      <c r="E247" s="102"/>
      <c r="F247" s="102"/>
      <c r="G247" s="102" t="s">
        <v>107</v>
      </c>
      <c r="H247" s="102"/>
      <c r="I247" s="102"/>
      <c r="J247" s="102"/>
      <c r="K247" s="102"/>
      <c r="L247" s="102"/>
    </row>
    <row r="248" spans="1:1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>
      <c r="A251" s="108" t="s">
        <v>49</v>
      </c>
      <c r="B251" s="108"/>
      <c r="C251" s="108"/>
      <c r="D251" s="108"/>
      <c r="E251" s="108"/>
      <c r="F251" s="108"/>
      <c r="G251" s="108" t="s">
        <v>50</v>
      </c>
      <c r="H251" s="108" t="s">
        <v>51</v>
      </c>
      <c r="I251" s="108" t="s">
        <v>52</v>
      </c>
      <c r="J251" s="108"/>
      <c r="K251" s="108" t="s">
        <v>53</v>
      </c>
      <c r="L251" s="108"/>
    </row>
    <row r="252" spans="1:12">
      <c r="A252" s="108"/>
      <c r="B252" s="108"/>
      <c r="C252" s="108"/>
      <c r="D252" s="108"/>
      <c r="E252" s="108"/>
      <c r="F252" s="108"/>
      <c r="G252" s="108"/>
      <c r="H252" s="108"/>
      <c r="I252" s="60" t="s">
        <v>54</v>
      </c>
      <c r="J252" s="60" t="s">
        <v>55</v>
      </c>
      <c r="K252" s="60" t="s">
        <v>56</v>
      </c>
      <c r="L252" s="60" t="s">
        <v>57</v>
      </c>
    </row>
    <row r="253" spans="1:12">
      <c r="A253" s="106" t="s">
        <v>58</v>
      </c>
      <c r="B253" s="106"/>
      <c r="C253" s="106"/>
      <c r="D253" s="106"/>
      <c r="E253" s="106"/>
      <c r="F253" s="106"/>
      <c r="G253" s="21">
        <v>3823.53</v>
      </c>
      <c r="H253" s="22"/>
      <c r="I253" s="21"/>
      <c r="J253" s="21"/>
      <c r="K253" s="21"/>
      <c r="L253" s="21"/>
    </row>
    <row r="254" spans="1:12">
      <c r="A254" s="106" t="s">
        <v>59</v>
      </c>
      <c r="B254" s="106"/>
      <c r="C254" s="106"/>
      <c r="D254" s="106"/>
      <c r="E254" s="106"/>
      <c r="F254" s="106"/>
      <c r="G254" s="21"/>
      <c r="H254" s="21"/>
      <c r="I254" s="21">
        <f>IF(I255+I256-J257-J258+I259+I262+I263+I264+I260&lt;G253,I255+I256-J257-J258+I259+I262+I263+I264+I260,G253)</f>
        <v>3823.53</v>
      </c>
      <c r="J254" s="21"/>
      <c r="K254" s="21"/>
      <c r="L254" s="21"/>
    </row>
    <row r="255" spans="1:12">
      <c r="A255" s="107" t="s">
        <v>60</v>
      </c>
      <c r="B255" s="107"/>
      <c r="C255" s="107"/>
      <c r="D255" s="107"/>
      <c r="E255" s="107"/>
      <c r="F255" s="107"/>
      <c r="G255" s="23"/>
      <c r="H255" s="24">
        <v>26</v>
      </c>
      <c r="I255" s="23">
        <f>G253/26*H255</f>
        <v>3823.53</v>
      </c>
      <c r="J255" s="25"/>
      <c r="K255" s="26"/>
      <c r="L255" s="26"/>
    </row>
    <row r="256" spans="1:12">
      <c r="A256" s="107" t="s">
        <v>61</v>
      </c>
      <c r="B256" s="107"/>
      <c r="C256" s="107"/>
      <c r="D256" s="107"/>
      <c r="E256" s="107"/>
      <c r="F256" s="107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>
      <c r="A257" s="107" t="s">
        <v>62</v>
      </c>
      <c r="B257" s="107"/>
      <c r="C257" s="107"/>
      <c r="D257" s="107"/>
      <c r="E257" s="107"/>
      <c r="F257" s="107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>
      <c r="A258" s="107" t="s">
        <v>63</v>
      </c>
      <c r="B258" s="107"/>
      <c r="C258" s="107"/>
      <c r="D258" s="107"/>
      <c r="E258" s="107"/>
      <c r="F258" s="107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>
      <c r="A259" s="107" t="s">
        <v>64</v>
      </c>
      <c r="B259" s="107"/>
      <c r="C259" s="107"/>
      <c r="D259" s="107"/>
      <c r="E259" s="107"/>
      <c r="F259" s="107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>
      <c r="A260" s="107" t="s">
        <v>65</v>
      </c>
      <c r="B260" s="107"/>
      <c r="C260" s="107"/>
      <c r="D260" s="107"/>
      <c r="E260" s="107"/>
      <c r="F260" s="107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>
      <c r="A261" s="107" t="s">
        <v>66</v>
      </c>
      <c r="B261" s="107"/>
      <c r="C261" s="107"/>
      <c r="D261" s="107"/>
      <c r="E261" s="107"/>
      <c r="F261" s="107"/>
      <c r="G261" s="29"/>
      <c r="H261" s="30"/>
      <c r="I261" s="30"/>
      <c r="J261" s="25"/>
      <c r="K261" s="26"/>
      <c r="L261" s="26"/>
    </row>
    <row r="262" spans="1:12">
      <c r="A262" s="109">
        <v>0.25</v>
      </c>
      <c r="B262" s="109"/>
      <c r="C262" s="109"/>
      <c r="D262" s="109"/>
      <c r="E262" s="109"/>
      <c r="F262" s="109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>
      <c r="A263" s="109">
        <v>0.5</v>
      </c>
      <c r="B263" s="109"/>
      <c r="C263" s="109"/>
      <c r="D263" s="109"/>
      <c r="E263" s="109"/>
      <c r="F263" s="109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>
      <c r="A264" s="109">
        <v>1</v>
      </c>
      <c r="B264" s="109"/>
      <c r="C264" s="109"/>
      <c r="D264" s="109"/>
      <c r="E264" s="109"/>
      <c r="F264" s="109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>
      <c r="A265" s="106" t="s">
        <v>67</v>
      </c>
      <c r="B265" s="106"/>
      <c r="C265" s="106"/>
      <c r="D265" s="106"/>
      <c r="E265" s="106"/>
      <c r="F265" s="106"/>
      <c r="G265" s="21"/>
      <c r="H265" s="22"/>
      <c r="I265" s="21">
        <f>SUM(I266:I267)</f>
        <v>191.17650000000003</v>
      </c>
      <c r="J265" s="21"/>
      <c r="K265" s="21"/>
      <c r="L265" s="21"/>
    </row>
    <row r="266" spans="1:12">
      <c r="A266" s="107" t="s">
        <v>68</v>
      </c>
      <c r="B266" s="107"/>
      <c r="C266" s="107"/>
      <c r="D266" s="107"/>
      <c r="E266" s="107"/>
      <c r="F266" s="107"/>
      <c r="G266" s="23">
        <f>(G243-A245)/360</f>
        <v>2.0305555555555554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0.05</v>
      </c>
      <c r="I266" s="23">
        <f>I254*H266</f>
        <v>191.17650000000003</v>
      </c>
      <c r="J266" s="25"/>
      <c r="K266" s="26"/>
      <c r="L266" s="26"/>
    </row>
    <row r="267" spans="1:12">
      <c r="A267" s="107" t="s">
        <v>69</v>
      </c>
      <c r="B267" s="107"/>
      <c r="C267" s="107"/>
      <c r="D267" s="107"/>
      <c r="E267" s="107"/>
      <c r="F267" s="107"/>
      <c r="G267" s="23"/>
      <c r="H267" s="24"/>
      <c r="I267" s="23"/>
      <c r="J267" s="25"/>
      <c r="K267" s="26"/>
      <c r="L267" s="26"/>
    </row>
    <row r="268" spans="1:12">
      <c r="A268" s="106" t="s">
        <v>70</v>
      </c>
      <c r="B268" s="106"/>
      <c r="C268" s="106"/>
      <c r="D268" s="106"/>
      <c r="E268" s="106"/>
      <c r="F268" s="106"/>
      <c r="G268" s="21"/>
      <c r="H268" s="22"/>
      <c r="I268" s="21">
        <f>SUM(I269:I271)</f>
        <v>300</v>
      </c>
      <c r="J268" s="21"/>
      <c r="K268" s="21"/>
      <c r="L268" s="21"/>
    </row>
    <row r="269" spans="1:12">
      <c r="A269" s="107" t="s">
        <v>71</v>
      </c>
      <c r="B269" s="107"/>
      <c r="C269" s="107"/>
      <c r="D269" s="107"/>
      <c r="E269" s="107"/>
      <c r="F269" s="107"/>
      <c r="G269" s="23"/>
      <c r="H269" s="24"/>
      <c r="I269" s="23">
        <v>300</v>
      </c>
      <c r="J269" s="25"/>
      <c r="K269" s="26"/>
      <c r="L269" s="26"/>
    </row>
    <row r="270" spans="1:12">
      <c r="A270" s="107" t="s">
        <v>72</v>
      </c>
      <c r="B270" s="107"/>
      <c r="C270" s="107"/>
      <c r="D270" s="107"/>
      <c r="E270" s="107"/>
      <c r="F270" s="107"/>
      <c r="G270" s="23"/>
      <c r="H270" s="31">
        <v>0</v>
      </c>
      <c r="I270" s="23"/>
      <c r="J270" s="25"/>
      <c r="K270" s="26"/>
      <c r="L270" s="26"/>
    </row>
    <row r="271" spans="1:12">
      <c r="A271" s="107" t="s">
        <v>73</v>
      </c>
      <c r="B271" s="107"/>
      <c r="C271" s="107"/>
      <c r="D271" s="107"/>
      <c r="E271" s="107"/>
      <c r="F271" s="107"/>
      <c r="G271" s="23"/>
      <c r="H271" s="24"/>
      <c r="I271" s="23"/>
      <c r="J271" s="25"/>
      <c r="K271" s="26"/>
      <c r="L271" s="26"/>
    </row>
    <row r="272" spans="1:12">
      <c r="A272" s="111" t="s">
        <v>74</v>
      </c>
      <c r="B272" s="111"/>
      <c r="C272" s="111"/>
      <c r="D272" s="111"/>
      <c r="E272" s="111"/>
      <c r="F272" s="111"/>
      <c r="G272" s="32"/>
      <c r="H272" s="33"/>
      <c r="I272" s="32">
        <f>I254+I265+I268</f>
        <v>4314.7065000000002</v>
      </c>
      <c r="J272" s="33"/>
      <c r="K272" s="33"/>
      <c r="L272" s="33"/>
    </row>
    <row r="273" spans="1:12">
      <c r="A273" s="111" t="s">
        <v>75</v>
      </c>
      <c r="B273" s="111"/>
      <c r="C273" s="111"/>
      <c r="D273" s="111"/>
      <c r="E273" s="111"/>
      <c r="F273" s="111"/>
      <c r="G273" s="32"/>
      <c r="H273" s="33"/>
      <c r="I273" s="32">
        <f>I272-I268</f>
        <v>4014.7065000000002</v>
      </c>
      <c r="J273" s="33"/>
      <c r="K273" s="33"/>
      <c r="L273" s="33"/>
    </row>
    <row r="274" spans="1:12">
      <c r="A274" s="107" t="s">
        <v>76</v>
      </c>
      <c r="B274" s="107"/>
      <c r="C274" s="107"/>
      <c r="D274" s="107"/>
      <c r="E274" s="107"/>
      <c r="F274" s="107"/>
      <c r="G274" s="23"/>
      <c r="H274" s="34">
        <f>[1]Taux!D$5+[1]Taux!D$6</f>
        <v>4.4800000000000006E-2</v>
      </c>
      <c r="I274" s="23"/>
      <c r="J274" s="23">
        <f>IF(I273&lt;6000,I273*H274,6000*H274)</f>
        <v>179.85885120000003</v>
      </c>
      <c r="K274" s="35">
        <f>[1]Taux!C$5+[1]Taux!C$6</f>
        <v>8.9799999999999991E-2</v>
      </c>
      <c r="L274" s="23">
        <f>IF(I273&lt;6000,I273*K274,6000*K274)</f>
        <v>360.52064369999999</v>
      </c>
    </row>
    <row r="275" spans="1:12">
      <c r="A275" s="107" t="s">
        <v>77</v>
      </c>
      <c r="B275" s="107"/>
      <c r="C275" s="107"/>
      <c r="D275" s="107"/>
      <c r="E275" s="107"/>
      <c r="F275" s="107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>
      <c r="A276" s="107" t="s">
        <v>78</v>
      </c>
      <c r="B276" s="107"/>
      <c r="C276" s="107"/>
      <c r="D276" s="107"/>
      <c r="E276" s="107"/>
      <c r="F276" s="107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80.29413000000001</v>
      </c>
    </row>
    <row r="277" spans="1:12">
      <c r="A277" s="107" t="s">
        <v>79</v>
      </c>
      <c r="B277" s="107"/>
      <c r="C277" s="107"/>
      <c r="D277" s="107"/>
      <c r="E277" s="107"/>
      <c r="F277" s="107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>
      <c r="A278" s="107" t="s">
        <v>80</v>
      </c>
      <c r="B278" s="107"/>
      <c r="C278" s="107"/>
      <c r="D278" s="107"/>
      <c r="E278" s="107"/>
      <c r="F278" s="107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>
      <c r="A279" s="107" t="s">
        <v>81</v>
      </c>
      <c r="B279" s="107"/>
      <c r="C279" s="107"/>
      <c r="D279" s="107"/>
      <c r="E279" s="107"/>
      <c r="F279" s="107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>
      <c r="A280" s="107" t="s">
        <v>24</v>
      </c>
      <c r="B280" s="107"/>
      <c r="C280" s="107"/>
      <c r="D280" s="107"/>
      <c r="E280" s="107"/>
      <c r="F280" s="107"/>
      <c r="G280" s="23"/>
      <c r="H280" s="34" t="str">
        <f>[1]Taux!D$7</f>
        <v>2,26%</v>
      </c>
      <c r="I280" s="23"/>
      <c r="J280" s="23">
        <f>I273*H280</f>
        <v>90.732366900000002</v>
      </c>
      <c r="K280" s="34" t="str">
        <f>[1]Taux!C$7</f>
        <v>4,11%</v>
      </c>
      <c r="L280" s="23">
        <f>I273*K280</f>
        <v>165.00443715</v>
      </c>
    </row>
    <row r="281" spans="1:12">
      <c r="A281" s="110" t="s">
        <v>82</v>
      </c>
      <c r="B281" s="110"/>
      <c r="C281" s="110"/>
      <c r="D281" s="110"/>
      <c r="E281" s="110"/>
      <c r="F281" s="110"/>
      <c r="G281" s="37"/>
      <c r="H281" s="38"/>
      <c r="I281" s="39"/>
      <c r="J281" s="40"/>
      <c r="K281" s="34" t="str">
        <f>[1]Taux!C$4</f>
        <v>6,40%</v>
      </c>
      <c r="L281" s="23">
        <f>I273*K281</f>
        <v>256.941216</v>
      </c>
    </row>
    <row r="282" spans="1:12">
      <c r="A282" s="110" t="s">
        <v>83</v>
      </c>
      <c r="B282" s="110"/>
      <c r="C282" s="110"/>
      <c r="D282" s="110"/>
      <c r="E282" s="110"/>
      <c r="F282" s="110"/>
      <c r="G282" s="41"/>
      <c r="H282" s="42"/>
      <c r="I282" s="43"/>
      <c r="J282" s="44"/>
      <c r="K282" s="34" t="str">
        <f>[1]Taux!C$8</f>
        <v>1,6 %</v>
      </c>
      <c r="L282" s="23">
        <f>I273*K282</f>
        <v>64.235303999999999</v>
      </c>
    </row>
    <row r="283" spans="1:12">
      <c r="A283" s="106" t="s">
        <v>84</v>
      </c>
      <c r="B283" s="106"/>
      <c r="C283" s="106"/>
      <c r="D283" s="106"/>
      <c r="E283" s="106"/>
      <c r="F283" s="106"/>
      <c r="G283" s="21"/>
      <c r="H283" s="22"/>
      <c r="I283" s="22"/>
      <c r="J283" s="21">
        <f>SUM(J274:J280)</f>
        <v>270.59121810000005</v>
      </c>
      <c r="K283" s="21"/>
      <c r="L283" s="21">
        <f>SUM(L274:L282)</f>
        <v>926.99573084999997</v>
      </c>
    </row>
    <row r="284" spans="1:12">
      <c r="A284" s="107" t="s">
        <v>85</v>
      </c>
      <c r="B284" s="107"/>
      <c r="C284" s="107"/>
      <c r="D284" s="107"/>
      <c r="E284" s="107"/>
      <c r="F284" s="107"/>
      <c r="G284" s="23"/>
      <c r="H284" s="45">
        <v>0.2</v>
      </c>
      <c r="I284" s="23"/>
      <c r="J284" s="23">
        <f>IF(I273*H284&lt;2500,I273*H284,2500)</f>
        <v>802.94130000000007</v>
      </c>
      <c r="K284" s="46"/>
      <c r="L284" s="47"/>
    </row>
    <row r="285" spans="1:12">
      <c r="A285" s="111" t="s">
        <v>86</v>
      </c>
      <c r="B285" s="111"/>
      <c r="C285" s="111"/>
      <c r="D285" s="111"/>
      <c r="E285" s="111"/>
      <c r="F285" s="111"/>
      <c r="G285" s="32"/>
      <c r="H285" s="33"/>
      <c r="I285" s="32">
        <f>I273-J283-J284</f>
        <v>2941.1739819000004</v>
      </c>
      <c r="J285" s="33"/>
      <c r="K285" s="33"/>
      <c r="L285" s="33"/>
    </row>
    <row r="286" spans="1:12">
      <c r="A286" s="107" t="s">
        <v>87</v>
      </c>
      <c r="B286" s="107"/>
      <c r="C286" s="107"/>
      <c r="D286" s="107"/>
      <c r="E286" s="107"/>
      <c r="F286" s="107"/>
      <c r="G286" s="23"/>
      <c r="H286" s="34"/>
      <c r="I286" s="23">
        <f>H286*180/360</f>
        <v>0</v>
      </c>
      <c r="J286" s="23"/>
      <c r="K286" s="46"/>
      <c r="L286" s="47"/>
    </row>
    <row r="287" spans="1:12">
      <c r="A287" s="111" t="s">
        <v>88</v>
      </c>
      <c r="B287" s="111"/>
      <c r="C287" s="111"/>
      <c r="D287" s="111"/>
      <c r="E287" s="111"/>
      <c r="F287" s="111"/>
      <c r="G287" s="32"/>
      <c r="H287" s="33"/>
      <c r="I287" s="32">
        <f>I285-I286</f>
        <v>2941.1739819000004</v>
      </c>
      <c r="J287" s="33"/>
      <c r="K287" s="33"/>
      <c r="L287" s="33"/>
    </row>
    <row r="288" spans="1:12">
      <c r="A288" s="107" t="s">
        <v>89</v>
      </c>
      <c r="B288" s="107"/>
      <c r="C288" s="107"/>
      <c r="D288" s="107"/>
      <c r="E288" s="107"/>
      <c r="F288" s="107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44.117398190000074</v>
      </c>
      <c r="K288" s="46"/>
      <c r="L288" s="47"/>
    </row>
    <row r="289" spans="1:12">
      <c r="A289" s="107" t="s">
        <v>90</v>
      </c>
      <c r="B289" s="107"/>
      <c r="C289" s="107"/>
      <c r="D289" s="107"/>
      <c r="E289" s="107"/>
      <c r="F289" s="107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>
      <c r="A290" s="106" t="s">
        <v>91</v>
      </c>
      <c r="B290" s="106"/>
      <c r="C290" s="106"/>
      <c r="D290" s="106"/>
      <c r="E290" s="106"/>
      <c r="F290" s="106"/>
      <c r="G290" s="21"/>
      <c r="H290" s="22"/>
      <c r="I290" s="21"/>
      <c r="J290" s="21">
        <f>J288-J289</f>
        <v>44.117398190000074</v>
      </c>
      <c r="K290" s="21"/>
      <c r="L290" s="21"/>
    </row>
    <row r="291" spans="1:12">
      <c r="A291" s="112" t="s">
        <v>92</v>
      </c>
      <c r="B291" s="112"/>
      <c r="C291" s="112"/>
      <c r="D291" s="112"/>
      <c r="E291" s="112"/>
      <c r="F291" s="112"/>
      <c r="G291" s="25"/>
      <c r="H291" s="48"/>
      <c r="I291" s="47"/>
      <c r="J291" s="49">
        <v>0</v>
      </c>
      <c r="K291" s="46"/>
      <c r="L291" s="47"/>
    </row>
    <row r="292" spans="1:12">
      <c r="A292" s="107" t="s">
        <v>93</v>
      </c>
      <c r="B292" s="107"/>
      <c r="C292" s="107"/>
      <c r="D292" s="107"/>
      <c r="E292" s="107"/>
      <c r="F292" s="107"/>
      <c r="G292" s="25"/>
      <c r="H292" s="48"/>
      <c r="I292" s="44"/>
      <c r="J292" s="28"/>
      <c r="K292" s="46"/>
      <c r="L292" s="47"/>
    </row>
    <row r="293" spans="1:12">
      <c r="A293" s="113" t="s">
        <v>94</v>
      </c>
      <c r="B293" s="113"/>
      <c r="C293" s="113"/>
      <c r="D293" s="113"/>
      <c r="E293" s="113"/>
      <c r="F293" s="113"/>
      <c r="G293" s="41"/>
      <c r="H293" s="42"/>
      <c r="I293" s="28"/>
      <c r="J293" s="41"/>
      <c r="K293" s="43"/>
      <c r="L293" s="44"/>
    </row>
    <row r="294" spans="1:1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>
      <c r="A295" s="58" t="s">
        <v>95</v>
      </c>
      <c r="B295" s="58" t="s">
        <v>96</v>
      </c>
      <c r="C295" s="58" t="s">
        <v>97</v>
      </c>
      <c r="D295" s="104" t="s">
        <v>98</v>
      </c>
      <c r="E295" s="104"/>
      <c r="F295" s="104"/>
      <c r="G295" s="58" t="s">
        <v>99</v>
      </c>
      <c r="H295" s="50"/>
      <c r="I295" s="57">
        <f>I272+I293</f>
        <v>4314.7065000000002</v>
      </c>
      <c r="J295" s="57">
        <f>J283+J290+J291+J292</f>
        <v>314.70861629000012</v>
      </c>
      <c r="K295" s="58" t="s">
        <v>100</v>
      </c>
      <c r="L295" s="57">
        <f>L283</f>
        <v>926.99573084999997</v>
      </c>
    </row>
    <row r="296" spans="1:12">
      <c r="A296" s="57">
        <f>32114.9+I272</f>
        <v>36429.606500000002</v>
      </c>
      <c r="B296" s="57">
        <f>29414.9+I273</f>
        <v>33429.606500000002</v>
      </c>
      <c r="C296" s="57">
        <f>1317.78+J274</f>
        <v>1497.6388512000001</v>
      </c>
      <c r="D296" s="114">
        <f>132.35+J290</f>
        <v>176.46739819000007</v>
      </c>
      <c r="E296" s="114"/>
      <c r="F296" s="114"/>
      <c r="G296" s="57">
        <f>30000+I295</f>
        <v>34314.7065</v>
      </c>
      <c r="H296" s="104" t="s">
        <v>101</v>
      </c>
      <c r="I296" s="104"/>
      <c r="J296" s="57">
        <f>I295-J295</f>
        <v>3999.9978837100002</v>
      </c>
      <c r="K296" s="58" t="s">
        <v>102</v>
      </c>
      <c r="L296" s="57">
        <f>5864.92+L295</f>
        <v>6791.9157308499998</v>
      </c>
    </row>
    <row r="297" spans="1:1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4926.9936145600004</v>
      </c>
    </row>
    <row r="301" spans="1:12">
      <c r="A301" s="105" t="s">
        <v>26</v>
      </c>
      <c r="B301" s="105"/>
      <c r="C301" s="105" t="s">
        <v>27</v>
      </c>
      <c r="D301" s="105"/>
      <c r="E301" s="105"/>
      <c r="F301" s="105"/>
      <c r="G301" s="105" t="s">
        <v>28</v>
      </c>
      <c r="H301" s="105"/>
      <c r="I301" s="105"/>
      <c r="J301" s="105" t="s">
        <v>29</v>
      </c>
      <c r="K301" s="105"/>
      <c r="L301" s="105"/>
    </row>
    <row r="302" spans="1:12">
      <c r="A302" s="58" t="s">
        <v>30</v>
      </c>
      <c r="B302" s="104" t="s">
        <v>31</v>
      </c>
      <c r="C302" s="104"/>
      <c r="D302" s="104"/>
      <c r="E302" s="104"/>
      <c r="F302" s="104"/>
      <c r="G302" s="104" t="s">
        <v>32</v>
      </c>
      <c r="H302" s="104"/>
      <c r="I302" s="104"/>
      <c r="J302" s="104"/>
      <c r="K302" s="104"/>
      <c r="L302" s="104"/>
    </row>
    <row r="303" spans="1:12">
      <c r="A303" s="59">
        <v>7</v>
      </c>
      <c r="B303" s="102" t="s">
        <v>112</v>
      </c>
      <c r="C303" s="102"/>
      <c r="D303" s="102"/>
      <c r="E303" s="102"/>
      <c r="F303" s="102"/>
      <c r="G303" s="103">
        <v>42552</v>
      </c>
      <c r="H303" s="103"/>
      <c r="I303" s="103"/>
      <c r="J303" s="103">
        <v>42582</v>
      </c>
      <c r="K303" s="103"/>
      <c r="L303" s="103"/>
    </row>
    <row r="304" spans="1:12">
      <c r="A304" s="58" t="s">
        <v>34</v>
      </c>
      <c r="B304" s="58" t="s">
        <v>35</v>
      </c>
      <c r="C304" s="58" t="s">
        <v>36</v>
      </c>
      <c r="D304" s="58" t="s">
        <v>37</v>
      </c>
      <c r="E304" s="58" t="s">
        <v>38</v>
      </c>
      <c r="F304" s="58" t="s">
        <v>39</v>
      </c>
      <c r="G304" s="104" t="s">
        <v>40</v>
      </c>
      <c r="H304" s="104"/>
      <c r="I304" s="104"/>
      <c r="J304" s="104"/>
      <c r="K304" s="104"/>
      <c r="L304" s="104"/>
    </row>
    <row r="305" spans="1:12">
      <c r="A305" s="17">
        <v>42005</v>
      </c>
      <c r="B305" s="59"/>
      <c r="C305" s="17">
        <v>34565</v>
      </c>
      <c r="D305" s="59" t="s">
        <v>111</v>
      </c>
      <c r="E305" s="59">
        <v>0</v>
      </c>
      <c r="F305" s="59">
        <v>0</v>
      </c>
      <c r="G305" s="102"/>
      <c r="H305" s="102"/>
      <c r="I305" s="102"/>
      <c r="J305" s="102"/>
      <c r="K305" s="102"/>
      <c r="L305" s="102"/>
    </row>
    <row r="306" spans="1:12">
      <c r="A306" s="58" t="s">
        <v>42</v>
      </c>
      <c r="B306" s="58" t="s">
        <v>43</v>
      </c>
      <c r="C306" s="58" t="s">
        <v>44</v>
      </c>
      <c r="D306" s="104" t="s">
        <v>45</v>
      </c>
      <c r="E306" s="104"/>
      <c r="F306" s="104"/>
      <c r="G306" s="104" t="s">
        <v>46</v>
      </c>
      <c r="H306" s="104"/>
      <c r="I306" s="104"/>
      <c r="J306" s="104"/>
      <c r="K306" s="104"/>
      <c r="L306" s="104"/>
    </row>
    <row r="307" spans="1:12">
      <c r="A307" s="59">
        <v>168098097</v>
      </c>
      <c r="B307" s="59"/>
      <c r="C307" s="59"/>
      <c r="D307" s="102" t="s">
        <v>47</v>
      </c>
      <c r="E307" s="102"/>
      <c r="F307" s="102"/>
      <c r="G307" s="102" t="s">
        <v>107</v>
      </c>
      <c r="H307" s="102"/>
      <c r="I307" s="102"/>
      <c r="J307" s="102"/>
      <c r="K307" s="102"/>
      <c r="L307" s="102"/>
    </row>
    <row r="308" spans="1:1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>
      <c r="A311" s="108" t="s">
        <v>49</v>
      </c>
      <c r="B311" s="108"/>
      <c r="C311" s="108"/>
      <c r="D311" s="108"/>
      <c r="E311" s="108"/>
      <c r="F311" s="108"/>
      <c r="G311" s="108" t="s">
        <v>50</v>
      </c>
      <c r="H311" s="108" t="s">
        <v>51</v>
      </c>
      <c r="I311" s="108" t="s">
        <v>52</v>
      </c>
      <c r="J311" s="108"/>
      <c r="K311" s="108" t="s">
        <v>53</v>
      </c>
      <c r="L311" s="108"/>
    </row>
    <row r="312" spans="1:12">
      <c r="A312" s="108"/>
      <c r="B312" s="108"/>
      <c r="C312" s="108"/>
      <c r="D312" s="108"/>
      <c r="E312" s="108"/>
      <c r="F312" s="108"/>
      <c r="G312" s="108"/>
      <c r="H312" s="108"/>
      <c r="I312" s="60" t="s">
        <v>54</v>
      </c>
      <c r="J312" s="60" t="s">
        <v>55</v>
      </c>
      <c r="K312" s="60" t="s">
        <v>56</v>
      </c>
      <c r="L312" s="60" t="s">
        <v>57</v>
      </c>
    </row>
    <row r="313" spans="1:12">
      <c r="A313" s="106" t="s">
        <v>58</v>
      </c>
      <c r="B313" s="106"/>
      <c r="C313" s="106"/>
      <c r="D313" s="106"/>
      <c r="E313" s="106"/>
      <c r="F313" s="106"/>
      <c r="G313" s="21">
        <v>2807.8</v>
      </c>
      <c r="H313" s="22"/>
      <c r="I313" s="21"/>
      <c r="J313" s="21"/>
      <c r="K313" s="21"/>
      <c r="L313" s="21"/>
    </row>
    <row r="314" spans="1:12">
      <c r="A314" s="106" t="s">
        <v>59</v>
      </c>
      <c r="B314" s="106"/>
      <c r="C314" s="106"/>
      <c r="D314" s="106"/>
      <c r="E314" s="106"/>
      <c r="F314" s="106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>
      <c r="A315" s="107" t="s">
        <v>60</v>
      </c>
      <c r="B315" s="107"/>
      <c r="C315" s="107"/>
      <c r="D315" s="107"/>
      <c r="E315" s="107"/>
      <c r="F315" s="107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>
      <c r="A316" s="107" t="s">
        <v>61</v>
      </c>
      <c r="B316" s="107"/>
      <c r="C316" s="107"/>
      <c r="D316" s="107"/>
      <c r="E316" s="107"/>
      <c r="F316" s="107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>
      <c r="A317" s="107" t="s">
        <v>62</v>
      </c>
      <c r="B317" s="107"/>
      <c r="C317" s="107"/>
      <c r="D317" s="107"/>
      <c r="E317" s="107"/>
      <c r="F317" s="107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>
      <c r="A318" s="107" t="s">
        <v>63</v>
      </c>
      <c r="B318" s="107"/>
      <c r="C318" s="107"/>
      <c r="D318" s="107"/>
      <c r="E318" s="107"/>
      <c r="F318" s="107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>
      <c r="A319" s="107" t="s">
        <v>64</v>
      </c>
      <c r="B319" s="107"/>
      <c r="C319" s="107"/>
      <c r="D319" s="107"/>
      <c r="E319" s="107"/>
      <c r="F319" s="107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>
      <c r="A320" s="107" t="s">
        <v>65</v>
      </c>
      <c r="B320" s="107"/>
      <c r="C320" s="107"/>
      <c r="D320" s="107"/>
      <c r="E320" s="107"/>
      <c r="F320" s="107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>
      <c r="A321" s="107" t="s">
        <v>66</v>
      </c>
      <c r="B321" s="107"/>
      <c r="C321" s="107"/>
      <c r="D321" s="107"/>
      <c r="E321" s="107"/>
      <c r="F321" s="107"/>
      <c r="G321" s="29"/>
      <c r="H321" s="30"/>
      <c r="I321" s="30"/>
      <c r="J321" s="25"/>
      <c r="K321" s="26"/>
      <c r="L321" s="26"/>
    </row>
    <row r="322" spans="1:12">
      <c r="A322" s="109">
        <v>0.25</v>
      </c>
      <c r="B322" s="109"/>
      <c r="C322" s="109"/>
      <c r="D322" s="109"/>
      <c r="E322" s="109"/>
      <c r="F322" s="109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>
      <c r="A323" s="109">
        <v>0.5</v>
      </c>
      <c r="B323" s="109"/>
      <c r="C323" s="109"/>
      <c r="D323" s="109"/>
      <c r="E323" s="109"/>
      <c r="F323" s="109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>
      <c r="A324" s="109">
        <v>1</v>
      </c>
      <c r="B324" s="109"/>
      <c r="C324" s="109"/>
      <c r="D324" s="109"/>
      <c r="E324" s="109"/>
      <c r="F324" s="109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>
      <c r="A325" s="106" t="s">
        <v>67</v>
      </c>
      <c r="B325" s="106"/>
      <c r="C325" s="106"/>
      <c r="D325" s="106"/>
      <c r="E325" s="106"/>
      <c r="F325" s="106"/>
      <c r="G325" s="21"/>
      <c r="H325" s="22"/>
      <c r="I325" s="21">
        <f>SUM(I326:I327)</f>
        <v>0</v>
      </c>
      <c r="J325" s="21"/>
      <c r="K325" s="21"/>
      <c r="L325" s="21"/>
    </row>
    <row r="326" spans="1:12">
      <c r="A326" s="107" t="s">
        <v>68</v>
      </c>
      <c r="B326" s="107"/>
      <c r="C326" s="107"/>
      <c r="D326" s="107"/>
      <c r="E326" s="107"/>
      <c r="F326" s="107"/>
      <c r="G326" s="23">
        <f>(G303-A305)/360</f>
        <v>1.5194444444444444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>
      <c r="A327" s="107" t="s">
        <v>69</v>
      </c>
      <c r="B327" s="107"/>
      <c r="C327" s="107"/>
      <c r="D327" s="107"/>
      <c r="E327" s="107"/>
      <c r="F327" s="107"/>
      <c r="G327" s="23"/>
      <c r="H327" s="24"/>
      <c r="I327" s="23"/>
      <c r="J327" s="25"/>
      <c r="K327" s="26"/>
      <c r="L327" s="26"/>
    </row>
    <row r="328" spans="1:12">
      <c r="A328" s="106" t="s">
        <v>70</v>
      </c>
      <c r="B328" s="106"/>
      <c r="C328" s="106"/>
      <c r="D328" s="106"/>
      <c r="E328" s="106"/>
      <c r="F328" s="106"/>
      <c r="G328" s="21"/>
      <c r="H328" s="22"/>
      <c r="I328" s="21">
        <f>SUM(I329:I331)</f>
        <v>0</v>
      </c>
      <c r="J328" s="21"/>
      <c r="K328" s="21"/>
      <c r="L328" s="21"/>
    </row>
    <row r="329" spans="1:12">
      <c r="A329" s="107" t="s">
        <v>71</v>
      </c>
      <c r="B329" s="107"/>
      <c r="C329" s="107"/>
      <c r="D329" s="107"/>
      <c r="E329" s="107"/>
      <c r="F329" s="107"/>
      <c r="G329" s="23"/>
      <c r="H329" s="24"/>
      <c r="I329" s="23"/>
      <c r="J329" s="25"/>
      <c r="K329" s="26"/>
      <c r="L329" s="26"/>
    </row>
    <row r="330" spans="1:12">
      <c r="A330" s="107" t="s">
        <v>72</v>
      </c>
      <c r="B330" s="107"/>
      <c r="C330" s="107"/>
      <c r="D330" s="107"/>
      <c r="E330" s="107"/>
      <c r="F330" s="107"/>
      <c r="G330" s="23"/>
      <c r="H330" s="31">
        <v>0</v>
      </c>
      <c r="I330" s="23"/>
      <c r="J330" s="25"/>
      <c r="K330" s="26"/>
      <c r="L330" s="26"/>
    </row>
    <row r="331" spans="1:12">
      <c r="A331" s="107" t="s">
        <v>73</v>
      </c>
      <c r="B331" s="107"/>
      <c r="C331" s="107"/>
      <c r="D331" s="107"/>
      <c r="E331" s="107"/>
      <c r="F331" s="107"/>
      <c r="G331" s="23"/>
      <c r="H331" s="24"/>
      <c r="I331" s="23"/>
      <c r="J331" s="25"/>
      <c r="K331" s="26"/>
      <c r="L331" s="26"/>
    </row>
    <row r="332" spans="1:12">
      <c r="A332" s="111" t="s">
        <v>74</v>
      </c>
      <c r="B332" s="111"/>
      <c r="C332" s="111"/>
      <c r="D332" s="111"/>
      <c r="E332" s="111"/>
      <c r="F332" s="111"/>
      <c r="G332" s="32"/>
      <c r="H332" s="33"/>
      <c r="I332" s="32">
        <f>I314+I325+I328</f>
        <v>2807.8</v>
      </c>
      <c r="J332" s="33"/>
      <c r="K332" s="33"/>
      <c r="L332" s="33"/>
    </row>
    <row r="333" spans="1:12">
      <c r="A333" s="111" t="s">
        <v>75</v>
      </c>
      <c r="B333" s="111"/>
      <c r="C333" s="111"/>
      <c r="D333" s="111"/>
      <c r="E333" s="111"/>
      <c r="F333" s="111"/>
      <c r="G333" s="32"/>
      <c r="H333" s="33"/>
      <c r="I333" s="32">
        <f>I332-I328</f>
        <v>2807.8</v>
      </c>
      <c r="J333" s="33"/>
      <c r="K333" s="33"/>
      <c r="L333" s="33"/>
    </row>
    <row r="334" spans="1:12">
      <c r="A334" s="107" t="s">
        <v>76</v>
      </c>
      <c r="B334" s="107"/>
      <c r="C334" s="107"/>
      <c r="D334" s="107"/>
      <c r="E334" s="107"/>
      <c r="F334" s="107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>
      <c r="A335" s="107" t="s">
        <v>77</v>
      </c>
      <c r="B335" s="107"/>
      <c r="C335" s="107"/>
      <c r="D335" s="107"/>
      <c r="E335" s="107"/>
      <c r="F335" s="107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>
      <c r="A336" s="107" t="s">
        <v>78</v>
      </c>
      <c r="B336" s="107"/>
      <c r="C336" s="107"/>
      <c r="D336" s="107"/>
      <c r="E336" s="107"/>
      <c r="F336" s="107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>
      <c r="A337" s="107" t="s">
        <v>79</v>
      </c>
      <c r="B337" s="107"/>
      <c r="C337" s="107"/>
      <c r="D337" s="107"/>
      <c r="E337" s="107"/>
      <c r="F337" s="107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>
      <c r="A338" s="107" t="s">
        <v>80</v>
      </c>
      <c r="B338" s="107"/>
      <c r="C338" s="107"/>
      <c r="D338" s="107"/>
      <c r="E338" s="107"/>
      <c r="F338" s="107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>
      <c r="A339" s="107" t="s">
        <v>81</v>
      </c>
      <c r="B339" s="107"/>
      <c r="C339" s="107"/>
      <c r="D339" s="107"/>
      <c r="E339" s="107"/>
      <c r="F339" s="107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>
      <c r="A340" s="107" t="s">
        <v>24</v>
      </c>
      <c r="B340" s="107"/>
      <c r="C340" s="107"/>
      <c r="D340" s="107"/>
      <c r="E340" s="107"/>
      <c r="F340" s="107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>
      <c r="A341" s="110" t="s">
        <v>82</v>
      </c>
      <c r="B341" s="110"/>
      <c r="C341" s="110"/>
      <c r="D341" s="110"/>
      <c r="E341" s="110"/>
      <c r="F341" s="110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>
      <c r="A342" s="110" t="s">
        <v>83</v>
      </c>
      <c r="B342" s="110"/>
      <c r="C342" s="110"/>
      <c r="D342" s="110"/>
      <c r="E342" s="110"/>
      <c r="F342" s="110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>
      <c r="A343" s="106" t="s">
        <v>84</v>
      </c>
      <c r="B343" s="106"/>
      <c r="C343" s="106"/>
      <c r="D343" s="106"/>
      <c r="E343" s="106"/>
      <c r="F343" s="106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>
      <c r="A344" s="107" t="s">
        <v>85</v>
      </c>
      <c r="B344" s="107"/>
      <c r="C344" s="107"/>
      <c r="D344" s="107"/>
      <c r="E344" s="107"/>
      <c r="F344" s="107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>
      <c r="A345" s="111" t="s">
        <v>86</v>
      </c>
      <c r="B345" s="111"/>
      <c r="C345" s="111"/>
      <c r="D345" s="111"/>
      <c r="E345" s="111"/>
      <c r="F345" s="111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>
      <c r="A346" s="107" t="s">
        <v>87</v>
      </c>
      <c r="B346" s="107"/>
      <c r="C346" s="107"/>
      <c r="D346" s="107"/>
      <c r="E346" s="107"/>
      <c r="F346" s="107"/>
      <c r="G346" s="23"/>
      <c r="H346" s="34"/>
      <c r="I346" s="23">
        <f>H346*180/360</f>
        <v>0</v>
      </c>
      <c r="J346" s="23"/>
      <c r="K346" s="46"/>
      <c r="L346" s="47"/>
    </row>
    <row r="347" spans="1:12">
      <c r="A347" s="111" t="s">
        <v>88</v>
      </c>
      <c r="B347" s="111"/>
      <c r="C347" s="111"/>
      <c r="D347" s="111"/>
      <c r="E347" s="111"/>
      <c r="F347" s="111"/>
      <c r="G347" s="32"/>
      <c r="H347" s="33"/>
      <c r="I347" s="32">
        <f>I345-I346</f>
        <v>2056.9942800000003</v>
      </c>
      <c r="J347" s="33"/>
      <c r="K347" s="33"/>
      <c r="L347" s="33"/>
    </row>
    <row r="348" spans="1:12">
      <c r="A348" s="107" t="s">
        <v>89</v>
      </c>
      <c r="B348" s="107"/>
      <c r="C348" s="107"/>
      <c r="D348" s="107"/>
      <c r="E348" s="107"/>
      <c r="F348" s="107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>
      <c r="A349" s="107" t="s">
        <v>90</v>
      </c>
      <c r="B349" s="107"/>
      <c r="C349" s="107"/>
      <c r="D349" s="107"/>
      <c r="E349" s="107"/>
      <c r="F349" s="107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>
      <c r="A350" s="106" t="s">
        <v>91</v>
      </c>
      <c r="B350" s="106"/>
      <c r="C350" s="106"/>
      <c r="D350" s="106"/>
      <c r="E350" s="106"/>
      <c r="F350" s="106"/>
      <c r="G350" s="21"/>
      <c r="H350" s="22"/>
      <c r="I350" s="21"/>
      <c r="J350" s="21">
        <f>J348-J349</f>
        <v>0</v>
      </c>
      <c r="K350" s="21"/>
      <c r="L350" s="21"/>
    </row>
    <row r="351" spans="1:12">
      <c r="A351" s="112" t="s">
        <v>92</v>
      </c>
      <c r="B351" s="112"/>
      <c r="C351" s="112"/>
      <c r="D351" s="112"/>
      <c r="E351" s="112"/>
      <c r="F351" s="112"/>
      <c r="G351" s="25"/>
      <c r="H351" s="48"/>
      <c r="I351" s="47"/>
      <c r="J351" s="49">
        <v>0</v>
      </c>
      <c r="K351" s="46"/>
      <c r="L351" s="47"/>
    </row>
    <row r="352" spans="1:12">
      <c r="A352" s="107" t="s">
        <v>93</v>
      </c>
      <c r="B352" s="107"/>
      <c r="C352" s="107"/>
      <c r="D352" s="107"/>
      <c r="E352" s="107"/>
      <c r="F352" s="107"/>
      <c r="G352" s="25"/>
      <c r="H352" s="48"/>
      <c r="I352" s="44"/>
      <c r="J352" s="28">
        <v>500</v>
      </c>
      <c r="K352" s="46"/>
      <c r="L352" s="47"/>
    </row>
    <row r="353" spans="1:12">
      <c r="A353" s="113" t="s">
        <v>94</v>
      </c>
      <c r="B353" s="113"/>
      <c r="C353" s="113"/>
      <c r="D353" s="113"/>
      <c r="E353" s="113"/>
      <c r="F353" s="113"/>
      <c r="G353" s="41"/>
      <c r="H353" s="42"/>
      <c r="I353" s="28">
        <f>1-0.55</f>
        <v>0.44999999999999996</v>
      </c>
      <c r="J353" s="41"/>
      <c r="K353" s="43"/>
      <c r="L353" s="44"/>
    </row>
    <row r="354" spans="1:1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>
      <c r="A355" s="58" t="s">
        <v>95</v>
      </c>
      <c r="B355" s="58" t="s">
        <v>96</v>
      </c>
      <c r="C355" s="58" t="s">
        <v>97</v>
      </c>
      <c r="D355" s="104" t="s">
        <v>98</v>
      </c>
      <c r="E355" s="104"/>
      <c r="F355" s="104"/>
      <c r="G355" s="58" t="s">
        <v>99</v>
      </c>
      <c r="H355" s="50"/>
      <c r="I355" s="57">
        <f>I332+I353</f>
        <v>2808.25</v>
      </c>
      <c r="J355" s="57">
        <f>J343+J350+J351+J352</f>
        <v>689.24572000000001</v>
      </c>
      <c r="K355" s="58" t="s">
        <v>100</v>
      </c>
      <c r="L355" s="57">
        <f>L343</f>
        <v>648.32101999999998</v>
      </c>
    </row>
    <row r="356" spans="1:12">
      <c r="A356" s="57">
        <f>25270.2+I332</f>
        <v>28078</v>
      </c>
      <c r="B356" s="57">
        <f>25270.2+I333</f>
        <v>28078</v>
      </c>
      <c r="C356" s="57">
        <f>1132.11+J334</f>
        <v>1257.8994399999999</v>
      </c>
      <c r="D356" s="114">
        <f>0+J350</f>
        <v>0</v>
      </c>
      <c r="E356" s="114"/>
      <c r="F356" s="114"/>
      <c r="G356" s="57">
        <f>17071.02+I355</f>
        <v>19879.27</v>
      </c>
      <c r="H356" s="104" t="s">
        <v>101</v>
      </c>
      <c r="I356" s="104"/>
      <c r="J356" s="57">
        <f>I355-J355</f>
        <v>2119.0042800000001</v>
      </c>
      <c r="K356" s="58" t="s">
        <v>102</v>
      </c>
      <c r="L356" s="57">
        <f>5834.88+L355</f>
        <v>6483.2010200000004</v>
      </c>
    </row>
    <row r="357" spans="1:1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2767.3253</v>
      </c>
    </row>
    <row r="361" spans="1:12">
      <c r="A361" s="105" t="s">
        <v>26</v>
      </c>
      <c r="B361" s="105"/>
      <c r="C361" s="105" t="s">
        <v>27</v>
      </c>
      <c r="D361" s="105"/>
      <c r="E361" s="105"/>
      <c r="F361" s="105"/>
      <c r="G361" s="105" t="s">
        <v>28</v>
      </c>
      <c r="H361" s="105"/>
      <c r="I361" s="105"/>
      <c r="J361" s="105" t="s">
        <v>29</v>
      </c>
      <c r="K361" s="105"/>
      <c r="L361" s="105"/>
    </row>
    <row r="362" spans="1:12">
      <c r="A362" s="58" t="s">
        <v>30</v>
      </c>
      <c r="B362" s="104" t="s">
        <v>31</v>
      </c>
      <c r="C362" s="104"/>
      <c r="D362" s="104"/>
      <c r="E362" s="104"/>
      <c r="F362" s="104"/>
      <c r="G362" s="104" t="s">
        <v>32</v>
      </c>
      <c r="H362" s="104"/>
      <c r="I362" s="104"/>
      <c r="J362" s="104"/>
      <c r="K362" s="104"/>
      <c r="L362" s="104"/>
    </row>
    <row r="363" spans="1:12">
      <c r="A363" s="59">
        <v>8</v>
      </c>
      <c r="B363" s="102" t="s">
        <v>113</v>
      </c>
      <c r="C363" s="102"/>
      <c r="D363" s="102"/>
      <c r="E363" s="102"/>
      <c r="F363" s="102"/>
      <c r="G363" s="103">
        <v>42552</v>
      </c>
      <c r="H363" s="103"/>
      <c r="I363" s="103"/>
      <c r="J363" s="103">
        <v>42582</v>
      </c>
      <c r="K363" s="103"/>
      <c r="L363" s="103"/>
    </row>
    <row r="364" spans="1:12">
      <c r="A364" s="58" t="s">
        <v>34</v>
      </c>
      <c r="B364" s="58" t="s">
        <v>35</v>
      </c>
      <c r="C364" s="58" t="s">
        <v>36</v>
      </c>
      <c r="D364" s="58" t="s">
        <v>37</v>
      </c>
      <c r="E364" s="58" t="s">
        <v>38</v>
      </c>
      <c r="F364" s="58" t="s">
        <v>39</v>
      </c>
      <c r="G364" s="104" t="s">
        <v>40</v>
      </c>
      <c r="H364" s="104"/>
      <c r="I364" s="104"/>
      <c r="J364" s="104"/>
      <c r="K364" s="104"/>
      <c r="L364" s="104"/>
    </row>
    <row r="365" spans="1:12">
      <c r="A365" s="17">
        <v>42278</v>
      </c>
      <c r="B365" s="59"/>
      <c r="C365" s="17">
        <v>33665</v>
      </c>
      <c r="D365" s="59" t="s">
        <v>111</v>
      </c>
      <c r="E365" s="59">
        <v>0</v>
      </c>
      <c r="F365" s="59">
        <v>0</v>
      </c>
      <c r="G365" s="102"/>
      <c r="H365" s="102"/>
      <c r="I365" s="102"/>
      <c r="J365" s="102"/>
      <c r="K365" s="102"/>
      <c r="L365" s="102"/>
    </row>
    <row r="366" spans="1:12">
      <c r="A366" s="58" t="s">
        <v>42</v>
      </c>
      <c r="B366" s="58" t="s">
        <v>43</v>
      </c>
      <c r="C366" s="58" t="s">
        <v>44</v>
      </c>
      <c r="D366" s="104" t="s">
        <v>45</v>
      </c>
      <c r="E366" s="104"/>
      <c r="F366" s="104"/>
      <c r="G366" s="104" t="s">
        <v>116</v>
      </c>
      <c r="H366" s="104"/>
      <c r="I366" s="104"/>
      <c r="J366" s="104"/>
      <c r="K366" s="104"/>
      <c r="L366" s="104"/>
    </row>
    <row r="367" spans="1:12">
      <c r="A367" s="59">
        <v>164315198</v>
      </c>
      <c r="B367" s="59"/>
      <c r="C367" s="59"/>
      <c r="D367" s="102" t="s">
        <v>47</v>
      </c>
      <c r="E367" s="102"/>
      <c r="F367" s="102"/>
      <c r="G367" s="102" t="s">
        <v>114</v>
      </c>
      <c r="H367" s="102"/>
      <c r="I367" s="102"/>
      <c r="J367" s="102"/>
      <c r="K367" s="102"/>
      <c r="L367" s="102"/>
    </row>
    <row r="368" spans="1:1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>
      <c r="A371" s="108" t="s">
        <v>49</v>
      </c>
      <c r="B371" s="108"/>
      <c r="C371" s="108"/>
      <c r="D371" s="108"/>
      <c r="E371" s="108"/>
      <c r="F371" s="108"/>
      <c r="G371" s="108" t="s">
        <v>50</v>
      </c>
      <c r="H371" s="108" t="s">
        <v>51</v>
      </c>
      <c r="I371" s="108" t="s">
        <v>52</v>
      </c>
      <c r="J371" s="108"/>
      <c r="K371" s="108" t="s">
        <v>53</v>
      </c>
      <c r="L371" s="108"/>
    </row>
    <row r="372" spans="1:12">
      <c r="A372" s="108"/>
      <c r="B372" s="108"/>
      <c r="C372" s="108"/>
      <c r="D372" s="108"/>
      <c r="E372" s="108"/>
      <c r="F372" s="108"/>
      <c r="G372" s="108"/>
      <c r="H372" s="108"/>
      <c r="I372" s="60" t="s">
        <v>54</v>
      </c>
      <c r="J372" s="60" t="s">
        <v>55</v>
      </c>
      <c r="K372" s="60" t="s">
        <v>56</v>
      </c>
      <c r="L372" s="60" t="s">
        <v>57</v>
      </c>
    </row>
    <row r="373" spans="1:12">
      <c r="A373" s="106" t="s">
        <v>58</v>
      </c>
      <c r="B373" s="106"/>
      <c r="C373" s="106"/>
      <c r="D373" s="106"/>
      <c r="E373" s="106"/>
      <c r="F373" s="106"/>
      <c r="G373" s="21">
        <v>3665.6</v>
      </c>
      <c r="H373" s="22"/>
      <c r="I373" s="21"/>
      <c r="J373" s="21"/>
      <c r="K373" s="21"/>
      <c r="L373" s="21"/>
    </row>
    <row r="374" spans="1:12">
      <c r="A374" s="106" t="s">
        <v>59</v>
      </c>
      <c r="B374" s="106"/>
      <c r="C374" s="106"/>
      <c r="D374" s="106"/>
      <c r="E374" s="106"/>
      <c r="F374" s="106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>
      <c r="A375" s="107" t="s">
        <v>60</v>
      </c>
      <c r="B375" s="107"/>
      <c r="C375" s="107"/>
      <c r="D375" s="107"/>
      <c r="E375" s="107"/>
      <c r="F375" s="107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>
      <c r="A376" s="107" t="s">
        <v>61</v>
      </c>
      <c r="B376" s="107"/>
      <c r="C376" s="107"/>
      <c r="D376" s="107"/>
      <c r="E376" s="107"/>
      <c r="F376" s="107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>
      <c r="A377" s="107" t="s">
        <v>62</v>
      </c>
      <c r="B377" s="107"/>
      <c r="C377" s="107"/>
      <c r="D377" s="107"/>
      <c r="E377" s="107"/>
      <c r="F377" s="107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>
      <c r="A378" s="107" t="s">
        <v>63</v>
      </c>
      <c r="B378" s="107"/>
      <c r="C378" s="107"/>
      <c r="D378" s="107"/>
      <c r="E378" s="107"/>
      <c r="F378" s="107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>
      <c r="A379" s="107" t="s">
        <v>64</v>
      </c>
      <c r="B379" s="107"/>
      <c r="C379" s="107"/>
      <c r="D379" s="107"/>
      <c r="E379" s="107"/>
      <c r="F379" s="107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>
      <c r="A380" s="107" t="s">
        <v>65</v>
      </c>
      <c r="B380" s="107"/>
      <c r="C380" s="107"/>
      <c r="D380" s="107"/>
      <c r="E380" s="107"/>
      <c r="F380" s="107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>
      <c r="A381" s="107" t="s">
        <v>66</v>
      </c>
      <c r="B381" s="107"/>
      <c r="C381" s="107"/>
      <c r="D381" s="107"/>
      <c r="E381" s="107"/>
      <c r="F381" s="107"/>
      <c r="G381" s="29"/>
      <c r="H381" s="30"/>
      <c r="I381" s="30"/>
      <c r="J381" s="25"/>
      <c r="K381" s="26"/>
      <c r="L381" s="26"/>
    </row>
    <row r="382" spans="1:12">
      <c r="A382" s="109">
        <v>0.25</v>
      </c>
      <c r="B382" s="109"/>
      <c r="C382" s="109"/>
      <c r="D382" s="109"/>
      <c r="E382" s="109"/>
      <c r="F382" s="109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>
      <c r="A383" s="109">
        <v>0.5</v>
      </c>
      <c r="B383" s="109"/>
      <c r="C383" s="109"/>
      <c r="D383" s="109"/>
      <c r="E383" s="109"/>
      <c r="F383" s="109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>
      <c r="A384" s="109">
        <v>1</v>
      </c>
      <c r="B384" s="109"/>
      <c r="C384" s="109"/>
      <c r="D384" s="109"/>
      <c r="E384" s="109"/>
      <c r="F384" s="109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>
      <c r="A385" s="106" t="s">
        <v>67</v>
      </c>
      <c r="B385" s="106"/>
      <c r="C385" s="106"/>
      <c r="D385" s="106"/>
      <c r="E385" s="106"/>
      <c r="F385" s="106"/>
      <c r="G385" s="21"/>
      <c r="H385" s="22"/>
      <c r="I385" s="21">
        <f>SUM(I386:I387)</f>
        <v>0</v>
      </c>
      <c r="J385" s="21"/>
      <c r="K385" s="21"/>
      <c r="L385" s="21"/>
    </row>
    <row r="386" spans="1:12">
      <c r="A386" s="107" t="s">
        <v>68</v>
      </c>
      <c r="B386" s="107"/>
      <c r="C386" s="107"/>
      <c r="D386" s="107"/>
      <c r="E386" s="107"/>
      <c r="F386" s="107"/>
      <c r="G386" s="23">
        <f>(G363-A365)/360</f>
        <v>0.76111111111111107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>
      <c r="A387" s="107" t="s">
        <v>69</v>
      </c>
      <c r="B387" s="107"/>
      <c r="C387" s="107"/>
      <c r="D387" s="107"/>
      <c r="E387" s="107"/>
      <c r="F387" s="107"/>
      <c r="G387" s="23"/>
      <c r="H387" s="24"/>
      <c r="I387" s="23"/>
      <c r="J387" s="25"/>
      <c r="K387" s="26"/>
      <c r="L387" s="26"/>
    </row>
    <row r="388" spans="1:12">
      <c r="A388" s="106" t="s">
        <v>70</v>
      </c>
      <c r="B388" s="106"/>
      <c r="C388" s="106"/>
      <c r="D388" s="106"/>
      <c r="E388" s="106"/>
      <c r="F388" s="106"/>
      <c r="G388" s="21"/>
      <c r="H388" s="22"/>
      <c r="I388" s="21">
        <f>SUM(I389:I391)</f>
        <v>600</v>
      </c>
      <c r="J388" s="21"/>
      <c r="K388" s="21"/>
      <c r="L388" s="21"/>
    </row>
    <row r="389" spans="1:12">
      <c r="A389" s="107" t="s">
        <v>71</v>
      </c>
      <c r="B389" s="107"/>
      <c r="C389" s="107"/>
      <c r="D389" s="107"/>
      <c r="E389" s="107"/>
      <c r="F389" s="107"/>
      <c r="G389" s="23"/>
      <c r="H389" s="24"/>
      <c r="I389" s="23">
        <v>600</v>
      </c>
      <c r="J389" s="25"/>
      <c r="K389" s="26"/>
      <c r="L389" s="26"/>
    </row>
    <row r="390" spans="1:12">
      <c r="A390" s="107" t="s">
        <v>72</v>
      </c>
      <c r="B390" s="107"/>
      <c r="C390" s="107"/>
      <c r="D390" s="107"/>
      <c r="E390" s="107"/>
      <c r="F390" s="107"/>
      <c r="G390" s="23"/>
      <c r="H390" s="31">
        <v>0</v>
      </c>
      <c r="I390" s="23"/>
      <c r="J390" s="25"/>
      <c r="K390" s="26"/>
      <c r="L390" s="26"/>
    </row>
    <row r="391" spans="1:12">
      <c r="A391" s="107" t="s">
        <v>73</v>
      </c>
      <c r="B391" s="107"/>
      <c r="C391" s="107"/>
      <c r="D391" s="107"/>
      <c r="E391" s="107"/>
      <c r="F391" s="107"/>
      <c r="G391" s="23"/>
      <c r="H391" s="24"/>
      <c r="I391" s="23"/>
      <c r="J391" s="25"/>
      <c r="K391" s="26"/>
      <c r="L391" s="26"/>
    </row>
    <row r="392" spans="1:12">
      <c r="A392" s="111" t="s">
        <v>74</v>
      </c>
      <c r="B392" s="111"/>
      <c r="C392" s="111"/>
      <c r="D392" s="111"/>
      <c r="E392" s="111"/>
      <c r="F392" s="111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>
      <c r="A393" s="111" t="s">
        <v>75</v>
      </c>
      <c r="B393" s="111"/>
      <c r="C393" s="111"/>
      <c r="D393" s="111"/>
      <c r="E393" s="111"/>
      <c r="F393" s="111"/>
      <c r="G393" s="32"/>
      <c r="H393" s="33"/>
      <c r="I393" s="32">
        <f>I392-I388</f>
        <v>3665.6000000000004</v>
      </c>
      <c r="J393" s="33"/>
      <c r="K393" s="33"/>
      <c r="L393" s="33"/>
    </row>
    <row r="394" spans="1:12">
      <c r="A394" s="107" t="s">
        <v>76</v>
      </c>
      <c r="B394" s="107"/>
      <c r="C394" s="107"/>
      <c r="D394" s="107"/>
      <c r="E394" s="107"/>
      <c r="F394" s="107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>
      <c r="A395" s="107" t="s">
        <v>77</v>
      </c>
      <c r="B395" s="107"/>
      <c r="C395" s="107"/>
      <c r="D395" s="107"/>
      <c r="E395" s="107"/>
      <c r="F395" s="107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>
      <c r="A396" s="107" t="s">
        <v>78</v>
      </c>
      <c r="B396" s="107"/>
      <c r="C396" s="107"/>
      <c r="D396" s="107"/>
      <c r="E396" s="107"/>
      <c r="F396" s="107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>
      <c r="A397" s="107" t="s">
        <v>79</v>
      </c>
      <c r="B397" s="107"/>
      <c r="C397" s="107"/>
      <c r="D397" s="107"/>
      <c r="E397" s="107"/>
      <c r="F397" s="107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>
      <c r="A398" s="107" t="s">
        <v>80</v>
      </c>
      <c r="B398" s="107"/>
      <c r="C398" s="107"/>
      <c r="D398" s="107"/>
      <c r="E398" s="107"/>
      <c r="F398" s="107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>
      <c r="A399" s="107" t="s">
        <v>81</v>
      </c>
      <c r="B399" s="107"/>
      <c r="C399" s="107"/>
      <c r="D399" s="107"/>
      <c r="E399" s="107"/>
      <c r="F399" s="107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>
      <c r="A400" s="107" t="s">
        <v>24</v>
      </c>
      <c r="B400" s="107"/>
      <c r="C400" s="107"/>
      <c r="D400" s="107"/>
      <c r="E400" s="107"/>
      <c r="F400" s="107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>
      <c r="A401" s="110" t="s">
        <v>82</v>
      </c>
      <c r="B401" s="110"/>
      <c r="C401" s="110"/>
      <c r="D401" s="110"/>
      <c r="E401" s="110"/>
      <c r="F401" s="110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>
      <c r="A402" s="110" t="s">
        <v>83</v>
      </c>
      <c r="B402" s="110"/>
      <c r="C402" s="110"/>
      <c r="D402" s="110"/>
      <c r="E402" s="110"/>
      <c r="F402" s="110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>
      <c r="A403" s="106" t="s">
        <v>84</v>
      </c>
      <c r="B403" s="106"/>
      <c r="C403" s="106"/>
      <c r="D403" s="106"/>
      <c r="E403" s="106"/>
      <c r="F403" s="106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>
      <c r="A404" s="107" t="s">
        <v>85</v>
      </c>
      <c r="B404" s="107"/>
      <c r="C404" s="107"/>
      <c r="D404" s="107"/>
      <c r="E404" s="107"/>
      <c r="F404" s="107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>
      <c r="A405" s="111" t="s">
        <v>86</v>
      </c>
      <c r="B405" s="111"/>
      <c r="C405" s="111"/>
      <c r="D405" s="111"/>
      <c r="E405" s="111"/>
      <c r="F405" s="111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>
      <c r="A406" s="107" t="s">
        <v>87</v>
      </c>
      <c r="B406" s="107"/>
      <c r="C406" s="107"/>
      <c r="D406" s="107"/>
      <c r="E406" s="107"/>
      <c r="F406" s="107"/>
      <c r="G406" s="23"/>
      <c r="H406" s="34"/>
      <c r="I406" s="23">
        <f>H406*180/360</f>
        <v>0</v>
      </c>
      <c r="J406" s="23"/>
      <c r="K406" s="46"/>
      <c r="L406" s="47"/>
    </row>
    <row r="407" spans="1:12">
      <c r="A407" s="111" t="s">
        <v>115</v>
      </c>
      <c r="B407" s="111"/>
      <c r="C407" s="111"/>
      <c r="D407" s="111"/>
      <c r="E407" s="111"/>
      <c r="F407" s="111"/>
      <c r="G407" s="32"/>
      <c r="H407" s="33"/>
      <c r="I407" s="32">
        <f>I405-I406</f>
        <v>2685.4185600000001</v>
      </c>
      <c r="J407" s="33"/>
      <c r="K407" s="33"/>
      <c r="L407" s="33"/>
    </row>
    <row r="408" spans="1:12">
      <c r="A408" s="107" t="s">
        <v>89</v>
      </c>
      <c r="B408" s="107"/>
      <c r="C408" s="107"/>
      <c r="D408" s="107"/>
      <c r="E408" s="107"/>
      <c r="F408" s="107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>
      <c r="A409" s="107" t="s">
        <v>90</v>
      </c>
      <c r="B409" s="107"/>
      <c r="C409" s="107"/>
      <c r="D409" s="107"/>
      <c r="E409" s="107"/>
      <c r="F409" s="107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>
      <c r="A410" s="106" t="s">
        <v>91</v>
      </c>
      <c r="B410" s="106"/>
      <c r="C410" s="106"/>
      <c r="D410" s="106"/>
      <c r="E410" s="106"/>
      <c r="F410" s="106"/>
      <c r="G410" s="21"/>
      <c r="H410" s="22"/>
      <c r="I410" s="21"/>
      <c r="J410" s="21">
        <f>J408-J409</f>
        <v>18.541855999999996</v>
      </c>
      <c r="K410" s="21"/>
      <c r="L410" s="21"/>
    </row>
    <row r="411" spans="1:12">
      <c r="A411" s="112" t="s">
        <v>92</v>
      </c>
      <c r="B411" s="112"/>
      <c r="C411" s="112"/>
      <c r="D411" s="112"/>
      <c r="E411" s="112"/>
      <c r="F411" s="112"/>
      <c r="G411" s="25"/>
      <c r="H411" s="48"/>
      <c r="I411" s="47"/>
      <c r="J411" s="49">
        <v>0</v>
      </c>
      <c r="K411" s="46"/>
      <c r="L411" s="47"/>
    </row>
    <row r="412" spans="1:12">
      <c r="A412" s="107" t="s">
        <v>93</v>
      </c>
      <c r="B412" s="107"/>
      <c r="C412" s="107"/>
      <c r="D412" s="107"/>
      <c r="E412" s="107"/>
      <c r="F412" s="107"/>
      <c r="G412" s="25"/>
      <c r="H412" s="48"/>
      <c r="I412" s="44"/>
      <c r="J412" s="28">
        <v>0</v>
      </c>
      <c r="K412" s="46"/>
      <c r="L412" s="47"/>
    </row>
    <row r="413" spans="1:12">
      <c r="A413" s="113" t="s">
        <v>94</v>
      </c>
      <c r="B413" s="113"/>
      <c r="C413" s="113"/>
      <c r="D413" s="113"/>
      <c r="E413" s="113"/>
      <c r="F413" s="113"/>
      <c r="G413" s="41"/>
      <c r="H413" s="42"/>
      <c r="I413" s="28"/>
      <c r="J413" s="41"/>
      <c r="K413" s="43"/>
      <c r="L413" s="44"/>
    </row>
    <row r="414" spans="1:1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>
      <c r="A415" s="58" t="s">
        <v>95</v>
      </c>
      <c r="B415" s="58" t="s">
        <v>96</v>
      </c>
      <c r="C415" s="58" t="s">
        <v>97</v>
      </c>
      <c r="D415" s="104" t="s">
        <v>98</v>
      </c>
      <c r="E415" s="104"/>
      <c r="F415" s="104"/>
      <c r="G415" s="58" t="s">
        <v>99</v>
      </c>
      <c r="H415" s="50"/>
      <c r="I415" s="57">
        <f>I392+I413</f>
        <v>4265.6000000000004</v>
      </c>
      <c r="J415" s="57">
        <f>J403+J410+J411+J412</f>
        <v>265.60329600000006</v>
      </c>
      <c r="K415" s="58" t="s">
        <v>100</v>
      </c>
      <c r="L415" s="57">
        <f>L403</f>
        <v>846.38704000000007</v>
      </c>
    </row>
    <row r="416" spans="1:12">
      <c r="A416" s="57">
        <f>38390.4+I392</f>
        <v>42656</v>
      </c>
      <c r="B416" s="57">
        <f>32990.4+I393</f>
        <v>36656</v>
      </c>
      <c r="C416" s="57">
        <f>1477.98+J394</f>
        <v>1642.1988800000001</v>
      </c>
      <c r="D416" s="114">
        <f>166.87+J410</f>
        <v>185.411856</v>
      </c>
      <c r="E416" s="114"/>
      <c r="F416" s="114"/>
      <c r="G416" s="57">
        <f>36000+I415</f>
        <v>40265.599999999999</v>
      </c>
      <c r="H416" s="104" t="s">
        <v>101</v>
      </c>
      <c r="I416" s="104"/>
      <c r="J416" s="57">
        <f>I415-J415</f>
        <v>3999.9967040000001</v>
      </c>
      <c r="K416" s="58" t="s">
        <v>102</v>
      </c>
      <c r="L416" s="57">
        <f>8246.37+L415</f>
        <v>9092.7570400000004</v>
      </c>
    </row>
    <row r="417" spans="1:1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17"/>
  <sheetViews>
    <sheetView topLeftCell="B1" workbookViewId="0">
      <selection activeCell="J274" sqref="J274"/>
    </sheetView>
  </sheetViews>
  <sheetFormatPr baseColWidth="10" defaultRowHeight="15"/>
  <sheetData>
    <row r="1" spans="1:12">
      <c r="A1" s="105" t="s">
        <v>26</v>
      </c>
      <c r="B1" s="105"/>
      <c r="C1" s="105" t="s">
        <v>27</v>
      </c>
      <c r="D1" s="105"/>
      <c r="E1" s="105"/>
      <c r="F1" s="105"/>
      <c r="G1" s="105" t="s">
        <v>28</v>
      </c>
      <c r="H1" s="105"/>
      <c r="I1" s="105"/>
      <c r="J1" s="105" t="s">
        <v>29</v>
      </c>
      <c r="K1" s="105"/>
      <c r="L1" s="105"/>
    </row>
    <row r="2" spans="1:12">
      <c r="A2" s="58" t="s">
        <v>30</v>
      </c>
      <c r="B2" s="104" t="s">
        <v>31</v>
      </c>
      <c r="C2" s="104"/>
      <c r="D2" s="104"/>
      <c r="E2" s="104"/>
      <c r="F2" s="104"/>
      <c r="G2" s="104" t="s">
        <v>32</v>
      </c>
      <c r="H2" s="104"/>
      <c r="I2" s="104"/>
      <c r="J2" s="104"/>
      <c r="K2" s="104"/>
      <c r="L2" s="104"/>
    </row>
    <row r="3" spans="1:12">
      <c r="A3" s="59">
        <v>1</v>
      </c>
      <c r="B3" s="102" t="s">
        <v>33</v>
      </c>
      <c r="C3" s="102"/>
      <c r="D3" s="102"/>
      <c r="E3" s="102"/>
      <c r="F3" s="102"/>
      <c r="G3" s="103">
        <v>42583</v>
      </c>
      <c r="H3" s="103"/>
      <c r="I3" s="103"/>
      <c r="J3" s="103">
        <v>42613</v>
      </c>
      <c r="K3" s="103"/>
      <c r="L3" s="103"/>
    </row>
    <row r="4" spans="1:12">
      <c r="A4" s="58" t="s">
        <v>34</v>
      </c>
      <c r="B4" s="58" t="s">
        <v>35</v>
      </c>
      <c r="C4" s="58" t="s">
        <v>36</v>
      </c>
      <c r="D4" s="58" t="s">
        <v>37</v>
      </c>
      <c r="E4" s="58" t="s">
        <v>38</v>
      </c>
      <c r="F4" s="58" t="s">
        <v>39</v>
      </c>
      <c r="G4" s="104" t="s">
        <v>40</v>
      </c>
      <c r="H4" s="104"/>
      <c r="I4" s="104"/>
      <c r="J4" s="104"/>
      <c r="K4" s="104"/>
      <c r="L4" s="104"/>
    </row>
    <row r="5" spans="1:12">
      <c r="A5" s="17">
        <v>41501</v>
      </c>
      <c r="B5" s="59"/>
      <c r="C5" s="17">
        <v>24624</v>
      </c>
      <c r="D5" s="59" t="s">
        <v>41</v>
      </c>
      <c r="E5" s="59">
        <v>0</v>
      </c>
      <c r="F5" s="59">
        <v>0</v>
      </c>
      <c r="G5" s="102"/>
      <c r="H5" s="102"/>
      <c r="I5" s="102"/>
      <c r="J5" s="102"/>
      <c r="K5" s="102"/>
      <c r="L5" s="102"/>
    </row>
    <row r="6" spans="1:12">
      <c r="A6" s="58" t="s">
        <v>42</v>
      </c>
      <c r="B6" s="58" t="s">
        <v>43</v>
      </c>
      <c r="C6" s="58" t="s">
        <v>44</v>
      </c>
      <c r="D6" s="104" t="s">
        <v>45</v>
      </c>
      <c r="E6" s="104"/>
      <c r="F6" s="104"/>
      <c r="G6" s="104" t="s">
        <v>46</v>
      </c>
      <c r="H6" s="104"/>
      <c r="I6" s="104"/>
      <c r="J6" s="104"/>
      <c r="K6" s="104"/>
      <c r="L6" s="104"/>
    </row>
    <row r="7" spans="1:12">
      <c r="A7" s="59">
        <v>189838836</v>
      </c>
      <c r="B7" s="59"/>
      <c r="C7" s="59"/>
      <c r="D7" s="102" t="s">
        <v>47</v>
      </c>
      <c r="E7" s="102"/>
      <c r="F7" s="102"/>
      <c r="G7" s="102" t="s">
        <v>48</v>
      </c>
      <c r="H7" s="102"/>
      <c r="I7" s="102"/>
      <c r="J7" s="102"/>
      <c r="K7" s="102"/>
      <c r="L7" s="102"/>
    </row>
    <row r="8" spans="1:1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108" t="s">
        <v>49</v>
      </c>
      <c r="B11" s="108"/>
      <c r="C11" s="108"/>
      <c r="D11" s="108"/>
      <c r="E11" s="108"/>
      <c r="F11" s="108"/>
      <c r="G11" s="108" t="s">
        <v>50</v>
      </c>
      <c r="H11" s="108" t="s">
        <v>51</v>
      </c>
      <c r="I11" s="108" t="s">
        <v>52</v>
      </c>
      <c r="J11" s="108"/>
      <c r="K11" s="108" t="s">
        <v>53</v>
      </c>
      <c r="L11" s="108"/>
    </row>
    <row r="12" spans="1:12">
      <c r="A12" s="108"/>
      <c r="B12" s="108"/>
      <c r="C12" s="108"/>
      <c r="D12" s="108"/>
      <c r="E12" s="108"/>
      <c r="F12" s="108"/>
      <c r="G12" s="108"/>
      <c r="H12" s="108"/>
      <c r="I12" s="60" t="s">
        <v>54</v>
      </c>
      <c r="J12" s="60" t="s">
        <v>55</v>
      </c>
      <c r="K12" s="60" t="s">
        <v>56</v>
      </c>
      <c r="L12" s="60" t="s">
        <v>57</v>
      </c>
    </row>
    <row r="13" spans="1:12">
      <c r="A13" s="106" t="s">
        <v>58</v>
      </c>
      <c r="B13" s="106"/>
      <c r="C13" s="106"/>
      <c r="D13" s="106"/>
      <c r="E13" s="106"/>
      <c r="F13" s="106"/>
      <c r="G13" s="21">
        <v>12255.93</v>
      </c>
      <c r="H13" s="22"/>
      <c r="I13" s="21"/>
      <c r="J13" s="21"/>
      <c r="K13" s="21"/>
      <c r="L13" s="21"/>
    </row>
    <row r="14" spans="1:12">
      <c r="A14" s="106" t="s">
        <v>59</v>
      </c>
      <c r="B14" s="106"/>
      <c r="C14" s="106"/>
      <c r="D14" s="106"/>
      <c r="E14" s="106"/>
      <c r="F14" s="106"/>
      <c r="G14" s="21"/>
      <c r="H14" s="21"/>
      <c r="I14" s="21">
        <f>IF(I15+I16-J17-J18+I19+I22+I23+I24+I20&lt;G13,I15+I16-J17-J18+I19+I22+I23+I24+I20,G13)</f>
        <v>11313.166153846154</v>
      </c>
      <c r="J14" s="21"/>
      <c r="K14" s="21"/>
      <c r="L14" s="21"/>
    </row>
    <row r="15" spans="1:12">
      <c r="A15" s="107" t="s">
        <v>60</v>
      </c>
      <c r="B15" s="107"/>
      <c r="C15" s="107"/>
      <c r="D15" s="107"/>
      <c r="E15" s="107"/>
      <c r="F15" s="107"/>
      <c r="G15" s="23"/>
      <c r="H15" s="24">
        <v>12</v>
      </c>
      <c r="I15" s="23">
        <f>G13/26*H15</f>
        <v>5656.583076923077</v>
      </c>
      <c r="J15" s="25"/>
      <c r="K15" s="26"/>
      <c r="L15" s="26"/>
    </row>
    <row r="16" spans="1:12">
      <c r="A16" s="107" t="s">
        <v>61</v>
      </c>
      <c r="B16" s="107"/>
      <c r="C16" s="107"/>
      <c r="D16" s="107"/>
      <c r="E16" s="107"/>
      <c r="F16" s="107"/>
      <c r="G16" s="23"/>
      <c r="H16" s="24">
        <v>12</v>
      </c>
      <c r="I16" s="23">
        <f>G13/26*H16</f>
        <v>5656.583076923077</v>
      </c>
      <c r="J16" s="25"/>
      <c r="K16" s="26"/>
      <c r="L16" s="26"/>
    </row>
    <row r="17" spans="1:12">
      <c r="A17" s="107" t="s">
        <v>62</v>
      </c>
      <c r="B17" s="107"/>
      <c r="C17" s="107"/>
      <c r="D17" s="107"/>
      <c r="E17" s="107"/>
      <c r="F17" s="107"/>
      <c r="G17" s="23"/>
      <c r="H17" s="24">
        <v>0</v>
      </c>
      <c r="I17" s="23"/>
      <c r="J17" s="27">
        <f>G13/26*H17</f>
        <v>0</v>
      </c>
      <c r="K17" s="26"/>
      <c r="L17" s="26"/>
    </row>
    <row r="18" spans="1:12">
      <c r="A18" s="107" t="s">
        <v>63</v>
      </c>
      <c r="B18" s="107"/>
      <c r="C18" s="107"/>
      <c r="D18" s="107"/>
      <c r="E18" s="107"/>
      <c r="F18" s="107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>
      <c r="A19" s="107" t="s">
        <v>64</v>
      </c>
      <c r="B19" s="107"/>
      <c r="C19" s="107"/>
      <c r="D19" s="107"/>
      <c r="E19" s="107"/>
      <c r="F19" s="107"/>
      <c r="G19" s="23"/>
      <c r="H19" s="24">
        <v>0</v>
      </c>
      <c r="I19" s="23">
        <f>G13/26*H19</f>
        <v>0</v>
      </c>
      <c r="J19" s="25"/>
      <c r="K19" s="26"/>
      <c r="L19" s="26"/>
    </row>
    <row r="20" spans="1:12">
      <c r="A20" s="107" t="s">
        <v>65</v>
      </c>
      <c r="B20" s="107"/>
      <c r="C20" s="107"/>
      <c r="D20" s="107"/>
      <c r="E20" s="107"/>
      <c r="F20" s="107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>
      <c r="A21" s="107" t="s">
        <v>66</v>
      </c>
      <c r="B21" s="107"/>
      <c r="C21" s="107"/>
      <c r="D21" s="107"/>
      <c r="E21" s="107"/>
      <c r="F21" s="107"/>
      <c r="G21" s="29"/>
      <c r="H21" s="30"/>
      <c r="I21" s="30"/>
      <c r="J21" s="25"/>
      <c r="K21" s="26"/>
      <c r="L21" s="26"/>
    </row>
    <row r="22" spans="1:12">
      <c r="A22" s="109">
        <v>0.25</v>
      </c>
      <c r="B22" s="109"/>
      <c r="C22" s="109"/>
      <c r="D22" s="109"/>
      <c r="E22" s="109"/>
      <c r="F22" s="109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>
      <c r="A23" s="109">
        <v>0.5</v>
      </c>
      <c r="B23" s="109"/>
      <c r="C23" s="109"/>
      <c r="D23" s="109"/>
      <c r="E23" s="109"/>
      <c r="F23" s="109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>
      <c r="A24" s="109">
        <v>1</v>
      </c>
      <c r="B24" s="109"/>
      <c r="C24" s="109"/>
      <c r="D24" s="109"/>
      <c r="E24" s="109"/>
      <c r="F24" s="109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>
      <c r="A25" s="106" t="s">
        <v>67</v>
      </c>
      <c r="B25" s="106"/>
      <c r="C25" s="106"/>
      <c r="D25" s="106"/>
      <c r="E25" s="106"/>
      <c r="F25" s="106"/>
      <c r="G25" s="21"/>
      <c r="H25" s="22"/>
      <c r="I25" s="21">
        <f>SUM(I26:I27)</f>
        <v>565.65830769230774</v>
      </c>
      <c r="J25" s="21"/>
      <c r="K25" s="21"/>
      <c r="L25" s="21"/>
    </row>
    <row r="26" spans="1:12">
      <c r="A26" s="107" t="s">
        <v>68</v>
      </c>
      <c r="B26" s="107"/>
      <c r="C26" s="107"/>
      <c r="D26" s="107"/>
      <c r="E26" s="107"/>
      <c r="F26" s="107"/>
      <c r="G26" s="23">
        <f>(G3-A5)/360</f>
        <v>3.0055555555555555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565.65830769230774</v>
      </c>
      <c r="J26" s="25"/>
      <c r="K26" s="26"/>
      <c r="L26" s="26"/>
    </row>
    <row r="27" spans="1:12">
      <c r="A27" s="107" t="s">
        <v>69</v>
      </c>
      <c r="B27" s="107"/>
      <c r="C27" s="107"/>
      <c r="D27" s="107"/>
      <c r="E27" s="107"/>
      <c r="F27" s="107"/>
      <c r="G27" s="23"/>
      <c r="H27" s="24"/>
      <c r="I27" s="23"/>
      <c r="J27" s="25"/>
      <c r="K27" s="26"/>
      <c r="L27" s="26"/>
    </row>
    <row r="28" spans="1:12">
      <c r="A28" s="106" t="s">
        <v>70</v>
      </c>
      <c r="B28" s="106"/>
      <c r="C28" s="106"/>
      <c r="D28" s="106"/>
      <c r="E28" s="106"/>
      <c r="F28" s="106"/>
      <c r="G28" s="21"/>
      <c r="H28" s="22"/>
      <c r="I28" s="21">
        <f>SUM(I29:I31)</f>
        <v>5000</v>
      </c>
      <c r="J28" s="21"/>
      <c r="K28" s="21"/>
      <c r="L28" s="21"/>
    </row>
    <row r="29" spans="1:12">
      <c r="A29" s="107" t="s">
        <v>71</v>
      </c>
      <c r="B29" s="107"/>
      <c r="C29" s="107"/>
      <c r="D29" s="107"/>
      <c r="E29" s="107"/>
      <c r="F29" s="107"/>
      <c r="G29" s="23"/>
      <c r="H29" s="24"/>
      <c r="I29" s="23">
        <v>2500</v>
      </c>
      <c r="J29" s="25"/>
      <c r="K29" s="26"/>
      <c r="L29" s="26"/>
    </row>
    <row r="30" spans="1:12">
      <c r="A30" s="107" t="s">
        <v>72</v>
      </c>
      <c r="B30" s="107"/>
      <c r="C30" s="107"/>
      <c r="D30" s="107"/>
      <c r="E30" s="107"/>
      <c r="F30" s="107"/>
      <c r="G30" s="23"/>
      <c r="H30" s="31">
        <v>0</v>
      </c>
      <c r="I30" s="23">
        <v>2500</v>
      </c>
      <c r="J30" s="25"/>
      <c r="K30" s="26"/>
      <c r="L30" s="26"/>
    </row>
    <row r="31" spans="1:12">
      <c r="A31" s="107" t="s">
        <v>73</v>
      </c>
      <c r="B31" s="107"/>
      <c r="C31" s="107"/>
      <c r="D31" s="107"/>
      <c r="E31" s="107"/>
      <c r="F31" s="107"/>
      <c r="G31" s="23"/>
      <c r="H31" s="24"/>
      <c r="I31" s="23"/>
      <c r="J31" s="25"/>
      <c r="K31" s="26"/>
      <c r="L31" s="26"/>
    </row>
    <row r="32" spans="1:12">
      <c r="A32" s="111" t="s">
        <v>74</v>
      </c>
      <c r="B32" s="111"/>
      <c r="C32" s="111"/>
      <c r="D32" s="111"/>
      <c r="E32" s="111"/>
      <c r="F32" s="111"/>
      <c r="G32" s="32"/>
      <c r="H32" s="33"/>
      <c r="I32" s="32">
        <f>I14+I25+I28</f>
        <v>16878.824461538461</v>
      </c>
      <c r="J32" s="33"/>
      <c r="K32" s="33"/>
      <c r="L32" s="33"/>
    </row>
    <row r="33" spans="1:12">
      <c r="A33" s="111" t="s">
        <v>75</v>
      </c>
      <c r="B33" s="111"/>
      <c r="C33" s="111"/>
      <c r="D33" s="111"/>
      <c r="E33" s="111"/>
      <c r="F33" s="111"/>
      <c r="G33" s="32"/>
      <c r="H33" s="33"/>
      <c r="I33" s="32">
        <f>I32-I28</f>
        <v>11878.824461538461</v>
      </c>
      <c r="J33" s="33"/>
      <c r="K33" s="33"/>
      <c r="L33" s="33"/>
    </row>
    <row r="34" spans="1:12">
      <c r="A34" s="107" t="s">
        <v>76</v>
      </c>
      <c r="B34" s="107"/>
      <c r="C34" s="107"/>
      <c r="D34" s="107"/>
      <c r="E34" s="107"/>
      <c r="F34" s="107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>
      <c r="A35" s="107" t="s">
        <v>77</v>
      </c>
      <c r="B35" s="107"/>
      <c r="C35" s="107"/>
      <c r="D35" s="107"/>
      <c r="E35" s="107"/>
      <c r="F35" s="107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>
      <c r="A36" s="107" t="s">
        <v>78</v>
      </c>
      <c r="B36" s="107"/>
      <c r="C36" s="107"/>
      <c r="D36" s="107"/>
      <c r="E36" s="107"/>
      <c r="F36" s="107"/>
      <c r="G36" s="23"/>
      <c r="H36" s="34">
        <v>0.03</v>
      </c>
      <c r="I36" s="23"/>
      <c r="J36" s="23">
        <f>I33*H36</f>
        <v>356.3647338461538</v>
      </c>
      <c r="K36" s="35">
        <v>0.02</v>
      </c>
      <c r="L36" s="23">
        <f>I33*K36</f>
        <v>237.57648923076923</v>
      </c>
    </row>
    <row r="37" spans="1:12">
      <c r="A37" s="107" t="s">
        <v>79</v>
      </c>
      <c r="B37" s="107"/>
      <c r="C37" s="107"/>
      <c r="D37" s="107"/>
      <c r="E37" s="107"/>
      <c r="F37" s="107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>
      <c r="A38" s="107" t="s">
        <v>80</v>
      </c>
      <c r="B38" s="107"/>
      <c r="C38" s="107"/>
      <c r="D38" s="107"/>
      <c r="E38" s="107"/>
      <c r="F38" s="107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>
      <c r="A39" s="107" t="s">
        <v>81</v>
      </c>
      <c r="B39" s="107"/>
      <c r="C39" s="107"/>
      <c r="D39" s="107"/>
      <c r="E39" s="107"/>
      <c r="F39" s="107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>
      <c r="A40" s="107" t="s">
        <v>24</v>
      </c>
      <c r="B40" s="107"/>
      <c r="C40" s="107"/>
      <c r="D40" s="107"/>
      <c r="E40" s="107"/>
      <c r="F40" s="107"/>
      <c r="G40" s="23"/>
      <c r="H40" s="34" t="str">
        <f>[1]Taux!D$7</f>
        <v>2,26%</v>
      </c>
      <c r="I40" s="23"/>
      <c r="J40" s="23">
        <f>I33*H40</f>
        <v>268.46143283076918</v>
      </c>
      <c r="K40" s="34" t="str">
        <f>[1]Taux!C$7</f>
        <v>4,11%</v>
      </c>
      <c r="L40" s="23">
        <f>I33*K40</f>
        <v>488.21968536923072</v>
      </c>
    </row>
    <row r="41" spans="1:12">
      <c r="A41" s="110" t="s">
        <v>82</v>
      </c>
      <c r="B41" s="110"/>
      <c r="C41" s="110"/>
      <c r="D41" s="110"/>
      <c r="E41" s="110"/>
      <c r="F41" s="110"/>
      <c r="G41" s="37"/>
      <c r="H41" s="38"/>
      <c r="I41" s="39"/>
      <c r="J41" s="40"/>
      <c r="K41" s="34" t="str">
        <f>[1]Taux!C$4</f>
        <v>6,40%</v>
      </c>
      <c r="L41" s="23">
        <f>I33*K41</f>
        <v>760.24476553846148</v>
      </c>
    </row>
    <row r="42" spans="1:12">
      <c r="A42" s="110" t="s">
        <v>83</v>
      </c>
      <c r="B42" s="110"/>
      <c r="C42" s="110"/>
      <c r="D42" s="110"/>
      <c r="E42" s="110"/>
      <c r="F42" s="110"/>
      <c r="G42" s="41"/>
      <c r="H42" s="42"/>
      <c r="I42" s="43"/>
      <c r="J42" s="44"/>
      <c r="K42" s="34" t="str">
        <f>[1]Taux!C$8</f>
        <v>1,6 %</v>
      </c>
      <c r="L42" s="23">
        <f>I33*K42</f>
        <v>190.06119138461537</v>
      </c>
    </row>
    <row r="43" spans="1:12">
      <c r="A43" s="106" t="s">
        <v>84</v>
      </c>
      <c r="B43" s="106"/>
      <c r="C43" s="106"/>
      <c r="D43" s="106"/>
      <c r="E43" s="106"/>
      <c r="F43" s="106"/>
      <c r="G43" s="21"/>
      <c r="H43" s="22"/>
      <c r="I43" s="22"/>
      <c r="J43" s="21">
        <f>SUM(J34:J40)</f>
        <v>893.62616667692305</v>
      </c>
      <c r="K43" s="21"/>
      <c r="L43" s="21">
        <f>SUM(L34:L42)</f>
        <v>2214.9021315230766</v>
      </c>
    </row>
    <row r="44" spans="1:12">
      <c r="A44" s="107" t="s">
        <v>85</v>
      </c>
      <c r="B44" s="107"/>
      <c r="C44" s="107"/>
      <c r="D44" s="107"/>
      <c r="E44" s="107"/>
      <c r="F44" s="107"/>
      <c r="G44" s="23"/>
      <c r="H44" s="45">
        <v>0.2</v>
      </c>
      <c r="I44" s="23"/>
      <c r="J44" s="23">
        <f>IF(I33*H44&lt;2500,I33*H44,2500)</f>
        <v>2375.7648923076922</v>
      </c>
      <c r="K44" s="46"/>
      <c r="L44" s="47"/>
    </row>
    <row r="45" spans="1:12">
      <c r="A45" s="111" t="s">
        <v>86</v>
      </c>
      <c r="B45" s="111"/>
      <c r="C45" s="111"/>
      <c r="D45" s="111"/>
      <c r="E45" s="111"/>
      <c r="F45" s="111"/>
      <c r="G45" s="32"/>
      <c r="H45" s="33"/>
      <c r="I45" s="32">
        <f>I33-J43-J44</f>
        <v>8609.4334025538465</v>
      </c>
      <c r="J45" s="33"/>
      <c r="K45" s="33"/>
      <c r="L45" s="33"/>
    </row>
    <row r="46" spans="1:12">
      <c r="A46" s="107" t="s">
        <v>87</v>
      </c>
      <c r="B46" s="107"/>
      <c r="C46" s="107"/>
      <c r="D46" s="107"/>
      <c r="E46" s="107"/>
      <c r="F46" s="107"/>
      <c r="G46" s="23"/>
      <c r="H46" s="34"/>
      <c r="I46" s="23">
        <f>H46*180/360</f>
        <v>0</v>
      </c>
      <c r="J46" s="23"/>
      <c r="K46" s="46"/>
      <c r="L46" s="47"/>
    </row>
    <row r="47" spans="1:12">
      <c r="A47" s="111" t="s">
        <v>88</v>
      </c>
      <c r="B47" s="111"/>
      <c r="C47" s="111"/>
      <c r="D47" s="111"/>
      <c r="E47" s="111"/>
      <c r="F47" s="111"/>
      <c r="G47" s="32"/>
      <c r="H47" s="33"/>
      <c r="I47" s="32">
        <f>I45-I46</f>
        <v>8609.4334025538465</v>
      </c>
      <c r="J47" s="33"/>
      <c r="K47" s="33"/>
      <c r="L47" s="33"/>
    </row>
    <row r="48" spans="1:12">
      <c r="A48" s="107" t="s">
        <v>89</v>
      </c>
      <c r="B48" s="107"/>
      <c r="C48" s="107"/>
      <c r="D48" s="107"/>
      <c r="E48" s="107"/>
      <c r="F48" s="107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1493.8740235349749</v>
      </c>
      <c r="K48" s="46"/>
      <c r="L48" s="47"/>
    </row>
    <row r="49" spans="1:12">
      <c r="A49" s="107" t="s">
        <v>90</v>
      </c>
      <c r="B49" s="107"/>
      <c r="C49" s="107"/>
      <c r="D49" s="107"/>
      <c r="E49" s="107"/>
      <c r="F49" s="107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>
      <c r="A50" s="106" t="s">
        <v>91</v>
      </c>
      <c r="B50" s="106"/>
      <c r="C50" s="106"/>
      <c r="D50" s="106"/>
      <c r="E50" s="106"/>
      <c r="F50" s="106"/>
      <c r="G50" s="21"/>
      <c r="H50" s="22"/>
      <c r="I50" s="21"/>
      <c r="J50" s="21">
        <f>J48-J49</f>
        <v>1493.8740235349749</v>
      </c>
      <c r="K50" s="21"/>
      <c r="L50" s="21"/>
    </row>
    <row r="51" spans="1:12">
      <c r="A51" s="112" t="s">
        <v>92</v>
      </c>
      <c r="B51" s="112"/>
      <c r="C51" s="112"/>
      <c r="D51" s="112"/>
      <c r="E51" s="112"/>
      <c r="F51" s="112"/>
      <c r="G51" s="25"/>
      <c r="H51" s="48"/>
      <c r="I51" s="47"/>
      <c r="J51" s="49">
        <v>0</v>
      </c>
      <c r="K51" s="46"/>
      <c r="L51" s="47"/>
    </row>
    <row r="52" spans="1:12">
      <c r="A52" s="107" t="s">
        <v>93</v>
      </c>
      <c r="B52" s="107"/>
      <c r="C52" s="107"/>
      <c r="D52" s="107"/>
      <c r="E52" s="107"/>
      <c r="F52" s="107"/>
      <c r="G52" s="25"/>
      <c r="H52" s="48"/>
      <c r="I52" s="44"/>
      <c r="J52" s="28">
        <v>0</v>
      </c>
      <c r="K52" s="46"/>
      <c r="L52" s="47"/>
    </row>
    <row r="53" spans="1:12">
      <c r="A53" s="113" t="s">
        <v>94</v>
      </c>
      <c r="B53" s="113"/>
      <c r="C53" s="113"/>
      <c r="D53" s="113"/>
      <c r="E53" s="113"/>
      <c r="F53" s="113"/>
      <c r="G53" s="41"/>
      <c r="H53" s="42"/>
      <c r="I53" s="28">
        <f>1-0.32</f>
        <v>0.67999999999999994</v>
      </c>
      <c r="J53" s="41"/>
      <c r="K53" s="43"/>
      <c r="L53" s="44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58" t="s">
        <v>95</v>
      </c>
      <c r="B55" s="58" t="s">
        <v>96</v>
      </c>
      <c r="C55" s="58" t="s">
        <v>97</v>
      </c>
      <c r="D55" s="104" t="s">
        <v>98</v>
      </c>
      <c r="E55" s="104"/>
      <c r="F55" s="104"/>
      <c r="G55" s="58" t="s">
        <v>99</v>
      </c>
      <c r="H55" s="50"/>
      <c r="I55" s="57">
        <f>I32+I53</f>
        <v>16879.504461538461</v>
      </c>
      <c r="J55" s="57">
        <f>J43+J50+J51+J52</f>
        <v>2387.5001902118979</v>
      </c>
      <c r="K55" s="58" t="s">
        <v>100</v>
      </c>
      <c r="L55" s="57">
        <f>L43</f>
        <v>2214.9021315230766</v>
      </c>
    </row>
    <row r="56" spans="1:12">
      <c r="A56" s="57">
        <f>156411.11+I32</f>
        <v>173289.93446153845</v>
      </c>
      <c r="B56" s="57">
        <f>111411.11+I33</f>
        <v>123289.93446153846</v>
      </c>
      <c r="C56" s="57">
        <f>2419.2+J34</f>
        <v>2688</v>
      </c>
      <c r="D56" s="114">
        <f>14978.83+J50</f>
        <v>16472.704023534974</v>
      </c>
      <c r="E56" s="114"/>
      <c r="F56" s="114"/>
      <c r="G56" s="57">
        <f>133157+I55</f>
        <v>150036.50446153845</v>
      </c>
      <c r="H56" s="104" t="s">
        <v>101</v>
      </c>
      <c r="I56" s="104"/>
      <c r="J56" s="57">
        <f>I55-J55</f>
        <v>14492.004271326563</v>
      </c>
      <c r="K56" s="58" t="s">
        <v>102</v>
      </c>
      <c r="L56" s="57">
        <f>20499.47+L55</f>
        <v>22714.37213152308</v>
      </c>
    </row>
    <row r="57" spans="1:1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16706.90640284964</v>
      </c>
    </row>
    <row r="58" spans="1:1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>
      <c r="A61" s="105" t="s">
        <v>26</v>
      </c>
      <c r="B61" s="105"/>
      <c r="C61" s="105" t="s">
        <v>27</v>
      </c>
      <c r="D61" s="105"/>
      <c r="E61" s="105"/>
      <c r="F61" s="105"/>
      <c r="G61" s="105" t="s">
        <v>28</v>
      </c>
      <c r="H61" s="105"/>
      <c r="I61" s="105"/>
      <c r="J61" s="105" t="s">
        <v>29</v>
      </c>
      <c r="K61" s="105"/>
      <c r="L61" s="105"/>
    </row>
    <row r="62" spans="1:12">
      <c r="A62" s="58" t="s">
        <v>30</v>
      </c>
      <c r="B62" s="104" t="s">
        <v>31</v>
      </c>
      <c r="C62" s="104"/>
      <c r="D62" s="104"/>
      <c r="E62" s="104"/>
      <c r="F62" s="104"/>
      <c r="G62" s="104" t="s">
        <v>32</v>
      </c>
      <c r="H62" s="104"/>
      <c r="I62" s="104"/>
      <c r="J62" s="104"/>
      <c r="K62" s="104"/>
      <c r="L62" s="104"/>
    </row>
    <row r="63" spans="1:12">
      <c r="A63" s="59">
        <v>3</v>
      </c>
      <c r="B63" s="102" t="s">
        <v>104</v>
      </c>
      <c r="C63" s="102"/>
      <c r="D63" s="102"/>
      <c r="E63" s="102"/>
      <c r="F63" s="102"/>
      <c r="G63" s="103">
        <v>42583</v>
      </c>
      <c r="H63" s="103"/>
      <c r="I63" s="103"/>
      <c r="J63" s="103">
        <v>42613</v>
      </c>
      <c r="K63" s="103"/>
      <c r="L63" s="103"/>
    </row>
    <row r="64" spans="1:12">
      <c r="A64" s="58" t="s">
        <v>34</v>
      </c>
      <c r="B64" s="58" t="s">
        <v>35</v>
      </c>
      <c r="C64" s="58" t="s">
        <v>36</v>
      </c>
      <c r="D64" s="58" t="s">
        <v>37</v>
      </c>
      <c r="E64" s="58" t="s">
        <v>38</v>
      </c>
      <c r="F64" s="58" t="s">
        <v>39</v>
      </c>
      <c r="G64" s="104" t="s">
        <v>40</v>
      </c>
      <c r="H64" s="104"/>
      <c r="I64" s="104"/>
      <c r="J64" s="104"/>
      <c r="K64" s="104"/>
      <c r="L64" s="104"/>
    </row>
    <row r="65" spans="1:12">
      <c r="A65" s="17">
        <v>41791</v>
      </c>
      <c r="B65" s="59"/>
      <c r="C65" s="17">
        <v>24557</v>
      </c>
      <c r="D65" s="59" t="s">
        <v>41</v>
      </c>
      <c r="E65" s="59">
        <v>0</v>
      </c>
      <c r="F65" s="59">
        <v>0</v>
      </c>
      <c r="G65" s="102"/>
      <c r="H65" s="102"/>
      <c r="I65" s="102"/>
      <c r="J65" s="102"/>
      <c r="K65" s="102"/>
      <c r="L65" s="102"/>
    </row>
    <row r="66" spans="1:12">
      <c r="A66" s="58" t="s">
        <v>42</v>
      </c>
      <c r="B66" s="58" t="s">
        <v>43</v>
      </c>
      <c r="C66" s="58" t="s">
        <v>44</v>
      </c>
      <c r="D66" s="104" t="s">
        <v>45</v>
      </c>
      <c r="E66" s="104"/>
      <c r="F66" s="104"/>
      <c r="G66" s="104" t="s">
        <v>46</v>
      </c>
      <c r="H66" s="104"/>
      <c r="I66" s="104"/>
      <c r="J66" s="104"/>
      <c r="K66" s="104"/>
      <c r="L66" s="104"/>
    </row>
    <row r="67" spans="1:12">
      <c r="A67" s="59">
        <v>141034737</v>
      </c>
      <c r="B67" s="59"/>
      <c r="C67" s="59"/>
      <c r="D67" s="102" t="s">
        <v>47</v>
      </c>
      <c r="E67" s="102"/>
      <c r="F67" s="102"/>
      <c r="G67" s="102" t="s">
        <v>105</v>
      </c>
      <c r="H67" s="102"/>
      <c r="I67" s="102"/>
      <c r="J67" s="102"/>
      <c r="K67" s="102"/>
      <c r="L67" s="102"/>
    </row>
    <row r="68" spans="1:1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>
      <c r="A71" s="108" t="s">
        <v>49</v>
      </c>
      <c r="B71" s="108"/>
      <c r="C71" s="108"/>
      <c r="D71" s="108"/>
      <c r="E71" s="108"/>
      <c r="F71" s="108"/>
      <c r="G71" s="108" t="s">
        <v>50</v>
      </c>
      <c r="H71" s="108" t="s">
        <v>51</v>
      </c>
      <c r="I71" s="108" t="s">
        <v>52</v>
      </c>
      <c r="J71" s="108"/>
      <c r="K71" s="108" t="s">
        <v>53</v>
      </c>
      <c r="L71" s="108"/>
    </row>
    <row r="72" spans="1:12">
      <c r="A72" s="108"/>
      <c r="B72" s="108"/>
      <c r="C72" s="108"/>
      <c r="D72" s="108"/>
      <c r="E72" s="108"/>
      <c r="F72" s="108"/>
      <c r="G72" s="108"/>
      <c r="H72" s="108"/>
      <c r="I72" s="60" t="s">
        <v>54</v>
      </c>
      <c r="J72" s="60" t="s">
        <v>55</v>
      </c>
      <c r="K72" s="60" t="s">
        <v>56</v>
      </c>
      <c r="L72" s="60" t="s">
        <v>57</v>
      </c>
    </row>
    <row r="73" spans="1:12">
      <c r="A73" s="106" t="s">
        <v>58</v>
      </c>
      <c r="B73" s="106"/>
      <c r="C73" s="106"/>
      <c r="D73" s="106"/>
      <c r="E73" s="106"/>
      <c r="F73" s="106"/>
      <c r="G73" s="21">
        <v>100000</v>
      </c>
      <c r="H73" s="22"/>
      <c r="I73" s="21"/>
      <c r="J73" s="21"/>
      <c r="K73" s="21"/>
      <c r="L73" s="21"/>
    </row>
    <row r="74" spans="1:12">
      <c r="A74" s="106" t="s">
        <v>59</v>
      </c>
      <c r="B74" s="106"/>
      <c r="C74" s="106"/>
      <c r="D74" s="106"/>
      <c r="E74" s="106"/>
      <c r="F74" s="106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>
      <c r="A75" s="107" t="s">
        <v>60</v>
      </c>
      <c r="B75" s="107"/>
      <c r="C75" s="107"/>
      <c r="D75" s="107"/>
      <c r="E75" s="107"/>
      <c r="F75" s="107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>
      <c r="A76" s="107" t="s">
        <v>61</v>
      </c>
      <c r="B76" s="107"/>
      <c r="C76" s="107"/>
      <c r="D76" s="107"/>
      <c r="E76" s="107"/>
      <c r="F76" s="107"/>
      <c r="G76" s="23"/>
      <c r="H76" s="24">
        <v>0</v>
      </c>
      <c r="I76" s="23">
        <f>G73/26*H76</f>
        <v>0</v>
      </c>
      <c r="J76" s="25"/>
      <c r="K76" s="26"/>
      <c r="L76" s="26"/>
    </row>
    <row r="77" spans="1:12">
      <c r="A77" s="107" t="s">
        <v>62</v>
      </c>
      <c r="B77" s="107"/>
      <c r="C77" s="107"/>
      <c r="D77" s="107"/>
      <c r="E77" s="107"/>
      <c r="F77" s="107"/>
      <c r="G77" s="23"/>
      <c r="H77" s="24">
        <v>0</v>
      </c>
      <c r="I77" s="23"/>
      <c r="J77" s="27">
        <f>G73/26*H77</f>
        <v>0</v>
      </c>
      <c r="K77" s="26"/>
      <c r="L77" s="26"/>
    </row>
    <row r="78" spans="1:12">
      <c r="A78" s="107" t="s">
        <v>63</v>
      </c>
      <c r="B78" s="107"/>
      <c r="C78" s="107"/>
      <c r="D78" s="107"/>
      <c r="E78" s="107"/>
      <c r="F78" s="107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>
      <c r="A79" s="107" t="s">
        <v>64</v>
      </c>
      <c r="B79" s="107"/>
      <c r="C79" s="107"/>
      <c r="D79" s="107"/>
      <c r="E79" s="107"/>
      <c r="F79" s="107"/>
      <c r="G79" s="23"/>
      <c r="H79" s="24">
        <v>0</v>
      </c>
      <c r="I79" s="23">
        <f>G73/26*H79</f>
        <v>0</v>
      </c>
      <c r="J79" s="25"/>
      <c r="K79" s="26"/>
      <c r="L79" s="26"/>
    </row>
    <row r="80" spans="1:12">
      <c r="A80" s="107" t="s">
        <v>65</v>
      </c>
      <c r="B80" s="107"/>
      <c r="C80" s="107"/>
      <c r="D80" s="107"/>
      <c r="E80" s="107"/>
      <c r="F80" s="107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>
      <c r="A81" s="107" t="s">
        <v>66</v>
      </c>
      <c r="B81" s="107"/>
      <c r="C81" s="107"/>
      <c r="D81" s="107"/>
      <c r="E81" s="107"/>
      <c r="F81" s="107"/>
      <c r="G81" s="29"/>
      <c r="H81" s="30"/>
      <c r="I81" s="30"/>
      <c r="J81" s="25"/>
      <c r="K81" s="26"/>
      <c r="L81" s="26"/>
    </row>
    <row r="82" spans="1:12">
      <c r="A82" s="109">
        <v>0.25</v>
      </c>
      <c r="B82" s="109"/>
      <c r="C82" s="109"/>
      <c r="D82" s="109"/>
      <c r="E82" s="109"/>
      <c r="F82" s="109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>
      <c r="A83" s="109">
        <v>0.5</v>
      </c>
      <c r="B83" s="109"/>
      <c r="C83" s="109"/>
      <c r="D83" s="109"/>
      <c r="E83" s="109"/>
      <c r="F83" s="109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>
      <c r="A84" s="109">
        <v>1</v>
      </c>
      <c r="B84" s="109"/>
      <c r="C84" s="109"/>
      <c r="D84" s="109"/>
      <c r="E84" s="109"/>
      <c r="F84" s="109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>
      <c r="A85" s="106" t="s">
        <v>67</v>
      </c>
      <c r="B85" s="106"/>
      <c r="C85" s="106"/>
      <c r="D85" s="106"/>
      <c r="E85" s="106"/>
      <c r="F85" s="106"/>
      <c r="G85" s="21"/>
      <c r="H85" s="22"/>
      <c r="I85" s="21">
        <f>SUM(I86:I87)</f>
        <v>5000</v>
      </c>
      <c r="J85" s="21"/>
      <c r="K85" s="21"/>
      <c r="L85" s="21"/>
    </row>
    <row r="86" spans="1:12">
      <c r="A86" s="107" t="s">
        <v>68</v>
      </c>
      <c r="B86" s="107"/>
      <c r="C86" s="107"/>
      <c r="D86" s="107"/>
      <c r="E86" s="107"/>
      <c r="F86" s="107"/>
      <c r="G86" s="23">
        <f>(G63-A65)/360</f>
        <v>2.2000000000000002</v>
      </c>
      <c r="H86" s="31">
        <v>0.05</v>
      </c>
      <c r="I86" s="23">
        <f>I74*H86</f>
        <v>5000</v>
      </c>
      <c r="J86" s="25"/>
      <c r="K86" s="26"/>
      <c r="L86" s="26"/>
    </row>
    <row r="87" spans="1:12">
      <c r="A87" s="107" t="s">
        <v>69</v>
      </c>
      <c r="B87" s="107"/>
      <c r="C87" s="107"/>
      <c r="D87" s="107"/>
      <c r="E87" s="107"/>
      <c r="F87" s="107"/>
      <c r="G87" s="23"/>
      <c r="H87" s="24"/>
      <c r="I87" s="23"/>
      <c r="J87" s="25"/>
      <c r="K87" s="26"/>
      <c r="L87" s="26"/>
    </row>
    <row r="88" spans="1:12">
      <c r="A88" s="106" t="s">
        <v>70</v>
      </c>
      <c r="B88" s="106"/>
      <c r="C88" s="106"/>
      <c r="D88" s="106"/>
      <c r="E88" s="106"/>
      <c r="F88" s="106"/>
      <c r="G88" s="21"/>
      <c r="H88" s="22"/>
      <c r="I88" s="21">
        <f>SUM(I89:I91)</f>
        <v>6000</v>
      </c>
      <c r="J88" s="21"/>
      <c r="K88" s="21"/>
      <c r="L88" s="21"/>
    </row>
    <row r="89" spans="1:12">
      <c r="A89" s="107" t="s">
        <v>71</v>
      </c>
      <c r="B89" s="107"/>
      <c r="C89" s="107"/>
      <c r="D89" s="107"/>
      <c r="E89" s="107"/>
      <c r="F89" s="107"/>
      <c r="G89" s="23"/>
      <c r="H89" s="24"/>
      <c r="I89" s="23">
        <v>3000</v>
      </c>
      <c r="J89" s="25"/>
      <c r="K89" s="26"/>
      <c r="L89" s="26"/>
    </row>
    <row r="90" spans="1:12">
      <c r="A90" s="107" t="s">
        <v>72</v>
      </c>
      <c r="B90" s="107"/>
      <c r="C90" s="107"/>
      <c r="D90" s="107"/>
      <c r="E90" s="107"/>
      <c r="F90" s="107"/>
      <c r="G90" s="23"/>
      <c r="H90" s="31"/>
      <c r="I90" s="23">
        <v>3000</v>
      </c>
      <c r="J90" s="25"/>
      <c r="K90" s="26"/>
      <c r="L90" s="26"/>
    </row>
    <row r="91" spans="1:12">
      <c r="A91" s="107" t="s">
        <v>73</v>
      </c>
      <c r="B91" s="107"/>
      <c r="C91" s="107"/>
      <c r="D91" s="107"/>
      <c r="E91" s="107"/>
      <c r="F91" s="107"/>
      <c r="G91" s="23"/>
      <c r="H91" s="24"/>
      <c r="I91" s="23"/>
      <c r="J91" s="25"/>
      <c r="K91" s="26"/>
      <c r="L91" s="26"/>
    </row>
    <row r="92" spans="1:12">
      <c r="A92" s="111" t="s">
        <v>74</v>
      </c>
      <c r="B92" s="111"/>
      <c r="C92" s="111"/>
      <c r="D92" s="111"/>
      <c r="E92" s="111"/>
      <c r="F92" s="111"/>
      <c r="G92" s="32"/>
      <c r="H92" s="33"/>
      <c r="I92" s="32">
        <f>I74+I85+I88</f>
        <v>111000</v>
      </c>
      <c r="J92" s="33"/>
      <c r="K92" s="33"/>
      <c r="L92" s="33"/>
    </row>
    <row r="93" spans="1:12">
      <c r="A93" s="111" t="s">
        <v>75</v>
      </c>
      <c r="B93" s="111"/>
      <c r="C93" s="111"/>
      <c r="D93" s="111"/>
      <c r="E93" s="111"/>
      <c r="F93" s="111"/>
      <c r="G93" s="32"/>
      <c r="H93" s="33"/>
      <c r="I93" s="32">
        <f>I92-I88</f>
        <v>105000</v>
      </c>
      <c r="J93" s="33"/>
      <c r="K93" s="33"/>
      <c r="L93" s="33"/>
    </row>
    <row r="94" spans="1:12">
      <c r="A94" s="107" t="s">
        <v>76</v>
      </c>
      <c r="B94" s="107"/>
      <c r="C94" s="107"/>
      <c r="D94" s="107"/>
      <c r="E94" s="107"/>
      <c r="F94" s="107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>
      <c r="A95" s="107" t="s">
        <v>77</v>
      </c>
      <c r="B95" s="107"/>
      <c r="C95" s="107"/>
      <c r="D95" s="107"/>
      <c r="E95" s="107"/>
      <c r="F95" s="107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>
      <c r="A96" s="107" t="s">
        <v>78</v>
      </c>
      <c r="B96" s="107"/>
      <c r="C96" s="107"/>
      <c r="D96" s="107"/>
      <c r="E96" s="107"/>
      <c r="F96" s="107"/>
      <c r="G96" s="23"/>
      <c r="H96" s="34">
        <v>0.25</v>
      </c>
      <c r="I96" s="23"/>
      <c r="J96" s="23">
        <f>H96*I93</f>
        <v>26250</v>
      </c>
      <c r="K96" s="35">
        <v>0.06</v>
      </c>
      <c r="L96" s="23">
        <f>I93*K96</f>
        <v>6300</v>
      </c>
    </row>
    <row r="97" spans="1:12">
      <c r="A97" s="107" t="s">
        <v>79</v>
      </c>
      <c r="B97" s="107"/>
      <c r="C97" s="107"/>
      <c r="D97" s="107"/>
      <c r="E97" s="107"/>
      <c r="F97" s="107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>
      <c r="A98" s="107" t="s">
        <v>80</v>
      </c>
      <c r="B98" s="107"/>
      <c r="C98" s="107"/>
      <c r="D98" s="107"/>
      <c r="E98" s="107"/>
      <c r="F98" s="107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>
      <c r="A99" s="107" t="s">
        <v>81</v>
      </c>
      <c r="B99" s="107"/>
      <c r="C99" s="107"/>
      <c r="D99" s="107"/>
      <c r="E99" s="107"/>
      <c r="F99" s="107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>
      <c r="A100" s="107" t="s">
        <v>24</v>
      </c>
      <c r="B100" s="107"/>
      <c r="C100" s="107"/>
      <c r="D100" s="107"/>
      <c r="E100" s="107"/>
      <c r="F100" s="107"/>
      <c r="G100" s="23"/>
      <c r="H100" s="34" t="str">
        <f>[1]Taux!D$7</f>
        <v>2,26%</v>
      </c>
      <c r="I100" s="23"/>
      <c r="J100" s="23">
        <f>H100*I93</f>
        <v>2373</v>
      </c>
      <c r="K100" s="34" t="str">
        <f>[1]Taux!C$7</f>
        <v>4,11%</v>
      </c>
      <c r="L100" s="23">
        <f>I93*K100</f>
        <v>4315.5</v>
      </c>
    </row>
    <row r="101" spans="1:12">
      <c r="A101" s="110" t="s">
        <v>82</v>
      </c>
      <c r="B101" s="110"/>
      <c r="C101" s="110"/>
      <c r="D101" s="110"/>
      <c r="E101" s="110"/>
      <c r="F101" s="110"/>
      <c r="G101" s="37"/>
      <c r="H101" s="38"/>
      <c r="I101" s="39"/>
      <c r="J101" s="40"/>
      <c r="K101" s="34" t="str">
        <f>[1]Taux!C$4</f>
        <v>6,40%</v>
      </c>
      <c r="L101" s="23">
        <f>I93*K101</f>
        <v>6720</v>
      </c>
    </row>
    <row r="102" spans="1:12">
      <c r="A102" s="110" t="s">
        <v>83</v>
      </c>
      <c r="B102" s="110"/>
      <c r="C102" s="110"/>
      <c r="D102" s="110"/>
      <c r="E102" s="110"/>
      <c r="F102" s="110"/>
      <c r="G102" s="41"/>
      <c r="H102" s="42"/>
      <c r="I102" s="43"/>
      <c r="J102" s="44"/>
      <c r="K102" s="34" t="str">
        <f>[1]Taux!C$8</f>
        <v>1,6 %</v>
      </c>
      <c r="L102" s="23">
        <f>I93*K102</f>
        <v>1680</v>
      </c>
    </row>
    <row r="103" spans="1:12">
      <c r="A103" s="106" t="s">
        <v>84</v>
      </c>
      <c r="B103" s="106"/>
      <c r="C103" s="106"/>
      <c r="D103" s="106"/>
      <c r="E103" s="106"/>
      <c r="F103" s="106"/>
      <c r="G103" s="21"/>
      <c r="H103" s="22"/>
      <c r="I103" s="22"/>
      <c r="J103" s="21">
        <f>SUM(J94:J100)</f>
        <v>28891.8</v>
      </c>
      <c r="K103" s="21"/>
      <c r="L103" s="21">
        <f>SUM(L94:L102)</f>
        <v>19554.3</v>
      </c>
    </row>
    <row r="104" spans="1:12">
      <c r="A104" s="107" t="s">
        <v>85</v>
      </c>
      <c r="B104" s="107"/>
      <c r="C104" s="107"/>
      <c r="D104" s="107"/>
      <c r="E104" s="107"/>
      <c r="F104" s="107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>
      <c r="A105" s="111" t="s">
        <v>86</v>
      </c>
      <c r="B105" s="111"/>
      <c r="C105" s="111"/>
      <c r="D105" s="111"/>
      <c r="E105" s="111"/>
      <c r="F105" s="111"/>
      <c r="G105" s="32"/>
      <c r="H105" s="33"/>
      <c r="I105" s="32">
        <f>I93-J103-J104</f>
        <v>73608.2</v>
      </c>
      <c r="J105" s="33"/>
      <c r="K105" s="33"/>
      <c r="L105" s="33"/>
    </row>
    <row r="106" spans="1:12">
      <c r="A106" s="107" t="s">
        <v>87</v>
      </c>
      <c r="B106" s="107"/>
      <c r="C106" s="107"/>
      <c r="D106" s="107"/>
      <c r="E106" s="107"/>
      <c r="F106" s="107"/>
      <c r="G106" s="23"/>
      <c r="H106" s="34"/>
      <c r="I106" s="23">
        <f>H106*180/360</f>
        <v>0</v>
      </c>
      <c r="J106" s="23"/>
      <c r="K106" s="46"/>
      <c r="L106" s="47"/>
    </row>
    <row r="107" spans="1:12">
      <c r="A107" s="111" t="s">
        <v>88</v>
      </c>
      <c r="B107" s="111"/>
      <c r="C107" s="111"/>
      <c r="D107" s="111"/>
      <c r="E107" s="111"/>
      <c r="F107" s="111"/>
      <c r="G107" s="32"/>
      <c r="H107" s="33"/>
      <c r="I107" s="32">
        <f>I105-I106</f>
        <v>73608.2</v>
      </c>
      <c r="J107" s="33"/>
      <c r="K107" s="33"/>
      <c r="L107" s="33"/>
    </row>
    <row r="108" spans="1:12">
      <c r="A108" s="107" t="s">
        <v>89</v>
      </c>
      <c r="B108" s="107"/>
      <c r="C108" s="107"/>
      <c r="D108" s="107"/>
      <c r="E108" s="107"/>
      <c r="F108" s="107"/>
      <c r="G108" s="25"/>
      <c r="H108" s="48"/>
      <c r="I108" s="40"/>
      <c r="J108" s="23">
        <v>25937.78</v>
      </c>
      <c r="K108" s="46"/>
      <c r="L108" s="47"/>
    </row>
    <row r="109" spans="1:12">
      <c r="A109" s="107" t="s">
        <v>90</v>
      </c>
      <c r="B109" s="107"/>
      <c r="C109" s="107"/>
      <c r="D109" s="107"/>
      <c r="E109" s="107"/>
      <c r="F109" s="107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>
      <c r="A110" s="106" t="s">
        <v>91</v>
      </c>
      <c r="B110" s="106"/>
      <c r="C110" s="106"/>
      <c r="D110" s="106"/>
      <c r="E110" s="106"/>
      <c r="F110" s="106"/>
      <c r="G110" s="21"/>
      <c r="H110" s="22"/>
      <c r="I110" s="21"/>
      <c r="J110" s="21">
        <f>J108-J109</f>
        <v>25937.78</v>
      </c>
      <c r="K110" s="21"/>
      <c r="L110" s="21"/>
    </row>
    <row r="111" spans="1:12">
      <c r="A111" s="112" t="s">
        <v>92</v>
      </c>
      <c r="B111" s="112"/>
      <c r="C111" s="112"/>
      <c r="D111" s="112"/>
      <c r="E111" s="112"/>
      <c r="F111" s="112"/>
      <c r="G111" s="25"/>
      <c r="H111" s="48"/>
      <c r="I111" s="47"/>
      <c r="J111" s="49">
        <v>0</v>
      </c>
      <c r="K111" s="46"/>
      <c r="L111" s="47"/>
    </row>
    <row r="112" spans="1:12">
      <c r="A112" s="107" t="s">
        <v>93</v>
      </c>
      <c r="B112" s="107"/>
      <c r="C112" s="107"/>
      <c r="D112" s="107"/>
      <c r="E112" s="107"/>
      <c r="F112" s="107"/>
      <c r="G112" s="25"/>
      <c r="H112" s="48"/>
      <c r="I112" s="44"/>
      <c r="J112" s="28">
        <v>0</v>
      </c>
      <c r="K112" s="46"/>
      <c r="L112" s="47"/>
    </row>
    <row r="113" spans="1:13">
      <c r="A113" s="113" t="s">
        <v>94</v>
      </c>
      <c r="B113" s="113"/>
      <c r="C113" s="113"/>
      <c r="D113" s="113"/>
      <c r="E113" s="113"/>
      <c r="F113" s="113"/>
      <c r="G113" s="41"/>
      <c r="H113" s="42"/>
      <c r="I113" s="28">
        <f>1-0.42</f>
        <v>0.58000000000000007</v>
      </c>
      <c r="J113" s="41"/>
      <c r="K113" s="43"/>
      <c r="L113" s="44"/>
    </row>
    <row r="114" spans="1:1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>
      <c r="A115" s="58" t="s">
        <v>95</v>
      </c>
      <c r="B115" s="58" t="s">
        <v>96</v>
      </c>
      <c r="C115" s="58" t="s">
        <v>97</v>
      </c>
      <c r="D115" s="104" t="s">
        <v>98</v>
      </c>
      <c r="E115" s="104"/>
      <c r="F115" s="104"/>
      <c r="G115" s="58" t="s">
        <v>99</v>
      </c>
      <c r="H115" s="50"/>
      <c r="I115" s="57">
        <f>I92+I113</f>
        <v>111000.58</v>
      </c>
      <c r="J115" s="57">
        <f>J103+J110+J111+J112</f>
        <v>54829.58</v>
      </c>
      <c r="K115" s="58" t="s">
        <v>100</v>
      </c>
      <c r="L115" s="57">
        <f>L103</f>
        <v>19554.3</v>
      </c>
    </row>
    <row r="116" spans="1:13">
      <c r="A116" s="57">
        <f>974000+I92</f>
        <v>1085000</v>
      </c>
      <c r="B116" s="57">
        <f>920000+I93</f>
        <v>1025000</v>
      </c>
      <c r="C116" s="57">
        <f>2419.2+J94</f>
        <v>2688</v>
      </c>
      <c r="D116" s="114">
        <f>226529.75+J110</f>
        <v>252467.53</v>
      </c>
      <c r="E116" s="114"/>
      <c r="F116" s="114"/>
      <c r="G116" s="57">
        <f>494263.97+I115</f>
        <v>605264.54999999993</v>
      </c>
      <c r="H116" s="104" t="s">
        <v>101</v>
      </c>
      <c r="I116" s="104"/>
      <c r="J116" s="57">
        <f>I115-J115</f>
        <v>56171</v>
      </c>
      <c r="K116" s="58" t="s">
        <v>102</v>
      </c>
      <c r="L116" s="57">
        <f>171461.2+L115</f>
        <v>191015.5</v>
      </c>
    </row>
    <row r="117" spans="1: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75725.3</v>
      </c>
    </row>
    <row r="118" spans="1: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>
      <c r="A121" s="105" t="s">
        <v>26</v>
      </c>
      <c r="B121" s="105"/>
      <c r="C121" s="105" t="s">
        <v>27</v>
      </c>
      <c r="D121" s="105"/>
      <c r="E121" s="105"/>
      <c r="F121" s="105"/>
      <c r="G121" s="105" t="s">
        <v>28</v>
      </c>
      <c r="H121" s="105"/>
      <c r="I121" s="105"/>
      <c r="J121" s="105" t="s">
        <v>29</v>
      </c>
      <c r="K121" s="105"/>
      <c r="L121" s="105"/>
    </row>
    <row r="122" spans="1:13">
      <c r="A122" s="58" t="s">
        <v>30</v>
      </c>
      <c r="B122" s="104" t="s">
        <v>31</v>
      </c>
      <c r="C122" s="104"/>
      <c r="D122" s="104"/>
      <c r="E122" s="104"/>
      <c r="F122" s="104"/>
      <c r="G122" s="104" t="s">
        <v>32</v>
      </c>
      <c r="H122" s="104"/>
      <c r="I122" s="104"/>
      <c r="J122" s="104"/>
      <c r="K122" s="104"/>
      <c r="L122" s="104"/>
    </row>
    <row r="123" spans="1:13">
      <c r="A123" s="59">
        <v>4</v>
      </c>
      <c r="B123" s="102" t="s">
        <v>106</v>
      </c>
      <c r="C123" s="102"/>
      <c r="D123" s="102"/>
      <c r="E123" s="102"/>
      <c r="F123" s="102"/>
      <c r="G123" s="103">
        <v>42583</v>
      </c>
      <c r="H123" s="103"/>
      <c r="I123" s="103"/>
      <c r="J123" s="103">
        <v>42613</v>
      </c>
      <c r="K123" s="103"/>
      <c r="L123" s="103"/>
    </row>
    <row r="124" spans="1:13">
      <c r="A124" s="58" t="s">
        <v>34</v>
      </c>
      <c r="B124" s="58" t="s">
        <v>35</v>
      </c>
      <c r="C124" s="58" t="s">
        <v>36</v>
      </c>
      <c r="D124" s="58" t="s">
        <v>37</v>
      </c>
      <c r="E124" s="58" t="s">
        <v>38</v>
      </c>
      <c r="F124" s="58" t="s">
        <v>39</v>
      </c>
      <c r="G124" s="104" t="s">
        <v>40</v>
      </c>
      <c r="H124" s="104"/>
      <c r="I124" s="104"/>
      <c r="J124" s="104"/>
      <c r="K124" s="104"/>
      <c r="L124" s="104"/>
    </row>
    <row r="125" spans="1:13">
      <c r="A125" s="17">
        <v>41791</v>
      </c>
      <c r="B125" s="59"/>
      <c r="C125" s="17">
        <v>28152</v>
      </c>
      <c r="D125" s="59" t="s">
        <v>41</v>
      </c>
      <c r="E125" s="59">
        <v>0</v>
      </c>
      <c r="F125" s="59">
        <v>0</v>
      </c>
      <c r="G125" s="102"/>
      <c r="H125" s="102"/>
      <c r="I125" s="102"/>
      <c r="J125" s="102"/>
      <c r="K125" s="102"/>
      <c r="L125" s="102"/>
    </row>
    <row r="126" spans="1:13">
      <c r="A126" s="58" t="s">
        <v>42</v>
      </c>
      <c r="B126" s="58" t="s">
        <v>43</v>
      </c>
      <c r="C126" s="58" t="s">
        <v>44</v>
      </c>
      <c r="D126" s="104" t="s">
        <v>45</v>
      </c>
      <c r="E126" s="104"/>
      <c r="F126" s="104"/>
      <c r="G126" s="104" t="s">
        <v>46</v>
      </c>
      <c r="H126" s="104"/>
      <c r="I126" s="104"/>
      <c r="J126" s="104"/>
      <c r="K126" s="104"/>
      <c r="L126" s="104"/>
    </row>
    <row r="127" spans="1:13">
      <c r="A127" s="59">
        <v>123952551</v>
      </c>
      <c r="B127" s="59"/>
      <c r="C127" s="59"/>
      <c r="D127" s="102" t="s">
        <v>47</v>
      </c>
      <c r="E127" s="102"/>
      <c r="F127" s="102"/>
      <c r="G127" s="102" t="s">
        <v>107</v>
      </c>
      <c r="H127" s="102"/>
      <c r="I127" s="102"/>
      <c r="J127" s="102"/>
      <c r="K127" s="102"/>
      <c r="L127" s="102"/>
    </row>
    <row r="128" spans="1: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>
      <c r="A131" s="108" t="s">
        <v>49</v>
      </c>
      <c r="B131" s="108"/>
      <c r="C131" s="108"/>
      <c r="D131" s="108"/>
      <c r="E131" s="108"/>
      <c r="F131" s="108"/>
      <c r="G131" s="108" t="s">
        <v>50</v>
      </c>
      <c r="H131" s="108" t="s">
        <v>51</v>
      </c>
      <c r="I131" s="108" t="s">
        <v>52</v>
      </c>
      <c r="J131" s="108"/>
      <c r="K131" s="108" t="s">
        <v>53</v>
      </c>
      <c r="L131" s="108"/>
    </row>
    <row r="132" spans="1:12">
      <c r="A132" s="108"/>
      <c r="B132" s="108"/>
      <c r="C132" s="108"/>
      <c r="D132" s="108"/>
      <c r="E132" s="108"/>
      <c r="F132" s="108"/>
      <c r="G132" s="108"/>
      <c r="H132" s="108"/>
      <c r="I132" s="60" t="s">
        <v>54</v>
      </c>
      <c r="J132" s="60" t="s">
        <v>55</v>
      </c>
      <c r="K132" s="60" t="s">
        <v>56</v>
      </c>
      <c r="L132" s="60" t="s">
        <v>57</v>
      </c>
    </row>
    <row r="133" spans="1:12">
      <c r="A133" s="106" t="s">
        <v>58</v>
      </c>
      <c r="B133" s="106"/>
      <c r="C133" s="106"/>
      <c r="D133" s="106"/>
      <c r="E133" s="106"/>
      <c r="F133" s="106"/>
      <c r="G133" s="21">
        <v>90000</v>
      </c>
      <c r="H133" s="22"/>
      <c r="I133" s="21"/>
      <c r="J133" s="21"/>
      <c r="K133" s="21"/>
      <c r="L133" s="21"/>
    </row>
    <row r="134" spans="1:12">
      <c r="A134" s="106" t="s">
        <v>59</v>
      </c>
      <c r="B134" s="106"/>
      <c r="C134" s="106"/>
      <c r="D134" s="106"/>
      <c r="E134" s="106"/>
      <c r="F134" s="106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>
      <c r="A135" s="107" t="s">
        <v>60</v>
      </c>
      <c r="B135" s="107"/>
      <c r="C135" s="107"/>
      <c r="D135" s="107"/>
      <c r="E135" s="107"/>
      <c r="F135" s="107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>
      <c r="A136" s="107" t="s">
        <v>61</v>
      </c>
      <c r="B136" s="107"/>
      <c r="C136" s="107"/>
      <c r="D136" s="107"/>
      <c r="E136" s="107"/>
      <c r="F136" s="107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>
      <c r="A137" s="107" t="s">
        <v>62</v>
      </c>
      <c r="B137" s="107"/>
      <c r="C137" s="107"/>
      <c r="D137" s="107"/>
      <c r="E137" s="107"/>
      <c r="F137" s="107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>
      <c r="A138" s="107" t="s">
        <v>63</v>
      </c>
      <c r="B138" s="107"/>
      <c r="C138" s="107"/>
      <c r="D138" s="107"/>
      <c r="E138" s="107"/>
      <c r="F138" s="107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>
      <c r="A139" s="107" t="s">
        <v>64</v>
      </c>
      <c r="B139" s="107"/>
      <c r="C139" s="107"/>
      <c r="D139" s="107"/>
      <c r="E139" s="107"/>
      <c r="F139" s="107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>
      <c r="A140" s="107" t="s">
        <v>65</v>
      </c>
      <c r="B140" s="107"/>
      <c r="C140" s="107"/>
      <c r="D140" s="107"/>
      <c r="E140" s="107"/>
      <c r="F140" s="107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>
      <c r="A141" s="107" t="s">
        <v>66</v>
      </c>
      <c r="B141" s="107"/>
      <c r="C141" s="107"/>
      <c r="D141" s="107"/>
      <c r="E141" s="107"/>
      <c r="F141" s="107"/>
      <c r="G141" s="29"/>
      <c r="H141" s="30"/>
      <c r="I141" s="30"/>
      <c r="J141" s="25"/>
      <c r="K141" s="26"/>
      <c r="L141" s="26"/>
    </row>
    <row r="142" spans="1:12">
      <c r="A142" s="109">
        <v>0.25</v>
      </c>
      <c r="B142" s="109"/>
      <c r="C142" s="109"/>
      <c r="D142" s="109"/>
      <c r="E142" s="109"/>
      <c r="F142" s="109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>
      <c r="A143" s="109">
        <v>0.5</v>
      </c>
      <c r="B143" s="109"/>
      <c r="C143" s="109"/>
      <c r="D143" s="109"/>
      <c r="E143" s="109"/>
      <c r="F143" s="109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>
      <c r="A144" s="109">
        <v>1</v>
      </c>
      <c r="B144" s="109"/>
      <c r="C144" s="109"/>
      <c r="D144" s="109"/>
      <c r="E144" s="109"/>
      <c r="F144" s="109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>
      <c r="A145" s="106" t="s">
        <v>67</v>
      </c>
      <c r="B145" s="106"/>
      <c r="C145" s="106"/>
      <c r="D145" s="106"/>
      <c r="E145" s="106"/>
      <c r="F145" s="106"/>
      <c r="G145" s="21"/>
      <c r="H145" s="22"/>
      <c r="I145" s="21">
        <f>SUM(I146:I147)</f>
        <v>4500</v>
      </c>
      <c r="J145" s="21"/>
      <c r="K145" s="21"/>
      <c r="L145" s="21"/>
    </row>
    <row r="146" spans="1:12">
      <c r="A146" s="107" t="s">
        <v>68</v>
      </c>
      <c r="B146" s="107"/>
      <c r="C146" s="107"/>
      <c r="D146" s="107"/>
      <c r="E146" s="107"/>
      <c r="F146" s="107"/>
      <c r="G146" s="23">
        <f>(G123-A125)/360</f>
        <v>2.2000000000000002</v>
      </c>
      <c r="H146" s="31">
        <v>0.05</v>
      </c>
      <c r="I146" s="23">
        <f>I134*H146</f>
        <v>4500</v>
      </c>
      <c r="J146" s="25"/>
      <c r="K146" s="26"/>
      <c r="L146" s="26"/>
    </row>
    <row r="147" spans="1:12">
      <c r="A147" s="107" t="s">
        <v>69</v>
      </c>
      <c r="B147" s="107"/>
      <c r="C147" s="107"/>
      <c r="D147" s="107"/>
      <c r="E147" s="107"/>
      <c r="F147" s="107"/>
      <c r="G147" s="23"/>
      <c r="H147" s="24"/>
      <c r="I147" s="23"/>
      <c r="J147" s="25"/>
      <c r="K147" s="26"/>
      <c r="L147" s="26"/>
    </row>
    <row r="148" spans="1:12">
      <c r="A148" s="106" t="s">
        <v>70</v>
      </c>
      <c r="B148" s="106"/>
      <c r="C148" s="106"/>
      <c r="D148" s="106"/>
      <c r="E148" s="106"/>
      <c r="F148" s="106"/>
      <c r="G148" s="21"/>
      <c r="H148" s="22"/>
      <c r="I148" s="21">
        <f>SUM(I149:I151)</f>
        <v>6000</v>
      </c>
      <c r="J148" s="21"/>
      <c r="K148" s="21"/>
      <c r="L148" s="21"/>
    </row>
    <row r="149" spans="1:12">
      <c r="A149" s="107" t="s">
        <v>71</v>
      </c>
      <c r="B149" s="107"/>
      <c r="C149" s="107"/>
      <c r="D149" s="107"/>
      <c r="E149" s="107"/>
      <c r="F149" s="107"/>
      <c r="G149" s="23"/>
      <c r="H149" s="24"/>
      <c r="I149" s="23">
        <v>3000</v>
      </c>
      <c r="J149" s="25"/>
      <c r="K149" s="26"/>
      <c r="L149" s="26"/>
    </row>
    <row r="150" spans="1:12">
      <c r="A150" s="107" t="s">
        <v>72</v>
      </c>
      <c r="B150" s="107"/>
      <c r="C150" s="107"/>
      <c r="D150" s="107"/>
      <c r="E150" s="107"/>
      <c r="F150" s="107"/>
      <c r="G150" s="23"/>
      <c r="H150" s="31"/>
      <c r="I150" s="23">
        <v>3000</v>
      </c>
      <c r="J150" s="25"/>
      <c r="K150" s="26"/>
      <c r="L150" s="26"/>
    </row>
    <row r="151" spans="1:12">
      <c r="A151" s="107" t="s">
        <v>73</v>
      </c>
      <c r="B151" s="107"/>
      <c r="C151" s="107"/>
      <c r="D151" s="107"/>
      <c r="E151" s="107"/>
      <c r="F151" s="107"/>
      <c r="G151" s="23"/>
      <c r="H151" s="24"/>
      <c r="I151" s="23"/>
      <c r="J151" s="25"/>
      <c r="K151" s="26"/>
      <c r="L151" s="26"/>
    </row>
    <row r="152" spans="1:12">
      <c r="A152" s="111" t="s">
        <v>74</v>
      </c>
      <c r="B152" s="111"/>
      <c r="C152" s="111"/>
      <c r="D152" s="111"/>
      <c r="E152" s="111"/>
      <c r="F152" s="111"/>
      <c r="G152" s="32"/>
      <c r="H152" s="33"/>
      <c r="I152" s="32">
        <f>I134+I145+I148</f>
        <v>100500</v>
      </c>
      <c r="J152" s="33"/>
      <c r="K152" s="33"/>
      <c r="L152" s="33"/>
    </row>
    <row r="153" spans="1:12">
      <c r="A153" s="111" t="s">
        <v>75</v>
      </c>
      <c r="B153" s="111"/>
      <c r="C153" s="111"/>
      <c r="D153" s="111"/>
      <c r="E153" s="111"/>
      <c r="F153" s="111"/>
      <c r="G153" s="32"/>
      <c r="H153" s="33"/>
      <c r="I153" s="32">
        <f>I152-I148</f>
        <v>94500</v>
      </c>
      <c r="J153" s="33"/>
      <c r="K153" s="33"/>
      <c r="L153" s="33"/>
    </row>
    <row r="154" spans="1:12">
      <c r="A154" s="107" t="s">
        <v>76</v>
      </c>
      <c r="B154" s="107"/>
      <c r="C154" s="107"/>
      <c r="D154" s="107"/>
      <c r="E154" s="107"/>
      <c r="F154" s="107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>
      <c r="A155" s="107" t="s">
        <v>77</v>
      </c>
      <c r="B155" s="107"/>
      <c r="C155" s="107"/>
      <c r="D155" s="107"/>
      <c r="E155" s="107"/>
      <c r="F155" s="107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>
      <c r="A156" s="107" t="s">
        <v>78</v>
      </c>
      <c r="B156" s="107"/>
      <c r="C156" s="107"/>
      <c r="D156" s="107"/>
      <c r="E156" s="107"/>
      <c r="F156" s="107"/>
      <c r="G156" s="23"/>
      <c r="H156" s="34">
        <v>0.5</v>
      </c>
      <c r="I156" s="23"/>
      <c r="J156" s="23">
        <f>I153*H156</f>
        <v>47250</v>
      </c>
      <c r="K156" s="35">
        <v>0.06</v>
      </c>
      <c r="L156" s="23">
        <f>I153*K156</f>
        <v>5670</v>
      </c>
    </row>
    <row r="157" spans="1:12">
      <c r="A157" s="107" t="s">
        <v>79</v>
      </c>
      <c r="B157" s="107"/>
      <c r="C157" s="107"/>
      <c r="D157" s="107"/>
      <c r="E157" s="107"/>
      <c r="F157" s="107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>
      <c r="A158" s="107" t="s">
        <v>80</v>
      </c>
      <c r="B158" s="107"/>
      <c r="C158" s="107"/>
      <c r="D158" s="107"/>
      <c r="E158" s="107"/>
      <c r="F158" s="107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>
      <c r="A159" s="107" t="s">
        <v>81</v>
      </c>
      <c r="B159" s="107"/>
      <c r="C159" s="107"/>
      <c r="D159" s="107"/>
      <c r="E159" s="107"/>
      <c r="F159" s="107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>
      <c r="A160" s="107" t="s">
        <v>24</v>
      </c>
      <c r="B160" s="107"/>
      <c r="C160" s="107"/>
      <c r="D160" s="107"/>
      <c r="E160" s="107"/>
      <c r="F160" s="107"/>
      <c r="G160" s="23"/>
      <c r="H160" s="34" t="str">
        <f>[1]Taux!D$7</f>
        <v>2,26%</v>
      </c>
      <c r="I160" s="23"/>
      <c r="J160" s="23">
        <f>I153*H160</f>
        <v>2135.6999999999998</v>
      </c>
      <c r="K160" s="34" t="str">
        <f>[1]Taux!C$7</f>
        <v>4,11%</v>
      </c>
      <c r="L160" s="23">
        <f>I153*K160</f>
        <v>3883.95</v>
      </c>
    </row>
    <row r="161" spans="1:12">
      <c r="A161" s="110" t="s">
        <v>82</v>
      </c>
      <c r="B161" s="110"/>
      <c r="C161" s="110"/>
      <c r="D161" s="110"/>
      <c r="E161" s="110"/>
      <c r="F161" s="110"/>
      <c r="G161" s="37"/>
      <c r="H161" s="38"/>
      <c r="I161" s="39"/>
      <c r="J161" s="40"/>
      <c r="K161" s="34" t="str">
        <f>[1]Taux!C$4</f>
        <v>6,40%</v>
      </c>
      <c r="L161" s="23">
        <f>I153*K161</f>
        <v>6048</v>
      </c>
    </row>
    <row r="162" spans="1:12">
      <c r="A162" s="110" t="s">
        <v>83</v>
      </c>
      <c r="B162" s="110"/>
      <c r="C162" s="110"/>
      <c r="D162" s="110"/>
      <c r="E162" s="110"/>
      <c r="F162" s="110"/>
      <c r="G162" s="41"/>
      <c r="H162" s="42"/>
      <c r="I162" s="43"/>
      <c r="J162" s="44"/>
      <c r="K162" s="34" t="str">
        <f>[1]Taux!C$8</f>
        <v>1,6 %</v>
      </c>
      <c r="L162" s="23">
        <f>I153*K162</f>
        <v>1512</v>
      </c>
    </row>
    <row r="163" spans="1:12">
      <c r="A163" s="106" t="s">
        <v>84</v>
      </c>
      <c r="B163" s="106"/>
      <c r="C163" s="106"/>
      <c r="D163" s="106"/>
      <c r="E163" s="106"/>
      <c r="F163" s="106"/>
      <c r="G163" s="21"/>
      <c r="H163" s="22"/>
      <c r="I163" s="22"/>
      <c r="J163" s="21">
        <f>SUM(J154:J160)</f>
        <v>49654.5</v>
      </c>
      <c r="K163" s="21"/>
      <c r="L163" s="21">
        <f>SUM(L154:L162)</f>
        <v>17652.75</v>
      </c>
    </row>
    <row r="164" spans="1:12">
      <c r="A164" s="107" t="s">
        <v>85</v>
      </c>
      <c r="B164" s="107"/>
      <c r="C164" s="107"/>
      <c r="D164" s="107"/>
      <c r="E164" s="107"/>
      <c r="F164" s="107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>
      <c r="A165" s="111" t="s">
        <v>86</v>
      </c>
      <c r="B165" s="111"/>
      <c r="C165" s="111"/>
      <c r="D165" s="111"/>
      <c r="E165" s="111"/>
      <c r="F165" s="111"/>
      <c r="G165" s="32"/>
      <c r="H165" s="33"/>
      <c r="I165" s="32">
        <f>I153-J163-J164</f>
        <v>42345.5</v>
      </c>
      <c r="J165" s="33"/>
      <c r="K165" s="33"/>
      <c r="L165" s="33"/>
    </row>
    <row r="166" spans="1:12">
      <c r="A166" s="107" t="s">
        <v>87</v>
      </c>
      <c r="B166" s="107"/>
      <c r="C166" s="107"/>
      <c r="D166" s="107"/>
      <c r="E166" s="107"/>
      <c r="F166" s="107"/>
      <c r="G166" s="23"/>
      <c r="H166" s="34"/>
      <c r="I166" s="23">
        <f>H166*180/360</f>
        <v>0</v>
      </c>
      <c r="J166" s="23"/>
      <c r="K166" s="46"/>
      <c r="L166" s="47"/>
    </row>
    <row r="167" spans="1:12">
      <c r="A167" s="111" t="s">
        <v>88</v>
      </c>
      <c r="B167" s="111"/>
      <c r="C167" s="111"/>
      <c r="D167" s="111"/>
      <c r="E167" s="111"/>
      <c r="F167" s="111"/>
      <c r="G167" s="32"/>
      <c r="H167" s="33"/>
      <c r="I167" s="32">
        <f>I165-I166</f>
        <v>42345.5</v>
      </c>
      <c r="J167" s="33"/>
      <c r="K167" s="33"/>
      <c r="L167" s="33"/>
    </row>
    <row r="168" spans="1:12">
      <c r="A168" s="107" t="s">
        <v>89</v>
      </c>
      <c r="B168" s="107"/>
      <c r="C168" s="107"/>
      <c r="D168" s="107"/>
      <c r="E168" s="107"/>
      <c r="F168" s="107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14057.956666666667</v>
      </c>
      <c r="K168" s="46"/>
      <c r="L168" s="47"/>
    </row>
    <row r="169" spans="1:12">
      <c r="A169" s="107" t="s">
        <v>90</v>
      </c>
      <c r="B169" s="107"/>
      <c r="C169" s="107"/>
      <c r="D169" s="107"/>
      <c r="E169" s="107"/>
      <c r="F169" s="107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>
      <c r="A170" s="106" t="s">
        <v>91</v>
      </c>
      <c r="B170" s="106"/>
      <c r="C170" s="106"/>
      <c r="D170" s="106"/>
      <c r="E170" s="106"/>
      <c r="F170" s="106"/>
      <c r="G170" s="21"/>
      <c r="H170" s="22"/>
      <c r="I170" s="21"/>
      <c r="J170" s="21">
        <f>J168-J169</f>
        <v>14057.956666666667</v>
      </c>
      <c r="K170" s="21"/>
      <c r="L170" s="21"/>
    </row>
    <row r="171" spans="1:12">
      <c r="A171" s="112" t="s">
        <v>92</v>
      </c>
      <c r="B171" s="112"/>
      <c r="C171" s="112"/>
      <c r="D171" s="112"/>
      <c r="E171" s="112"/>
      <c r="F171" s="112"/>
      <c r="G171" s="25"/>
      <c r="H171" s="48"/>
      <c r="I171" s="47"/>
      <c r="J171" s="49">
        <v>0</v>
      </c>
      <c r="K171" s="46"/>
      <c r="L171" s="47"/>
    </row>
    <row r="172" spans="1:12">
      <c r="A172" s="107" t="s">
        <v>93</v>
      </c>
      <c r="B172" s="107"/>
      <c r="C172" s="107"/>
      <c r="D172" s="107"/>
      <c r="E172" s="107"/>
      <c r="F172" s="107"/>
      <c r="G172" s="25"/>
      <c r="H172" s="48"/>
      <c r="I172" s="44"/>
      <c r="J172" s="28">
        <v>0</v>
      </c>
      <c r="K172" s="46"/>
      <c r="L172" s="47"/>
    </row>
    <row r="173" spans="1:12">
      <c r="A173" s="113" t="s">
        <v>94</v>
      </c>
      <c r="B173" s="113"/>
      <c r="C173" s="113"/>
      <c r="D173" s="113"/>
      <c r="E173" s="113"/>
      <c r="F173" s="113"/>
      <c r="G173" s="41"/>
      <c r="H173" s="42"/>
      <c r="I173" s="28">
        <f>1-0.54</f>
        <v>0.45999999999999996</v>
      </c>
      <c r="J173" s="41"/>
      <c r="K173" s="43"/>
      <c r="L173" s="44"/>
    </row>
    <row r="174" spans="1:1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>
      <c r="A175" s="58" t="s">
        <v>95</v>
      </c>
      <c r="B175" s="58" t="s">
        <v>96</v>
      </c>
      <c r="C175" s="58" t="s">
        <v>97</v>
      </c>
      <c r="D175" s="104" t="s">
        <v>98</v>
      </c>
      <c r="E175" s="104"/>
      <c r="F175" s="104"/>
      <c r="G175" s="58" t="s">
        <v>99</v>
      </c>
      <c r="H175" s="50"/>
      <c r="I175" s="57">
        <f>I152+I173</f>
        <v>100500.46</v>
      </c>
      <c r="J175" s="57">
        <f>J163+J170+J171+J172</f>
        <v>63712.456666666665</v>
      </c>
      <c r="K175" s="58" t="s">
        <v>100</v>
      </c>
      <c r="L175" s="57">
        <f>L163</f>
        <v>17652.75</v>
      </c>
    </row>
    <row r="176" spans="1:12">
      <c r="A176" s="57">
        <f>882000+I152</f>
        <v>982500</v>
      </c>
      <c r="B176" s="57">
        <f>828000+I153</f>
        <v>922500</v>
      </c>
      <c r="C176" s="57">
        <f>2419.2+J154</f>
        <v>2688</v>
      </c>
      <c r="D176" s="114">
        <f>122440.83+J170</f>
        <v>136498.78666666668</v>
      </c>
      <c r="E176" s="114"/>
      <c r="F176" s="114"/>
      <c r="G176" s="57">
        <f>324432+I175</f>
        <v>424932.46</v>
      </c>
      <c r="H176" s="104" t="s">
        <v>101</v>
      </c>
      <c r="I176" s="104"/>
      <c r="J176" s="57">
        <f>I175-J175</f>
        <v>36788.003333333341</v>
      </c>
      <c r="K176" s="58" t="s">
        <v>102</v>
      </c>
      <c r="L176" s="57">
        <f>154800+L175</f>
        <v>172452.75</v>
      </c>
    </row>
    <row r="177" spans="1:1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54440.753333333341</v>
      </c>
    </row>
    <row r="181" spans="1:12">
      <c r="A181" s="105" t="s">
        <v>26</v>
      </c>
      <c r="B181" s="105"/>
      <c r="C181" s="105" t="s">
        <v>27</v>
      </c>
      <c r="D181" s="105"/>
      <c r="E181" s="105"/>
      <c r="F181" s="105"/>
      <c r="G181" s="105" t="s">
        <v>28</v>
      </c>
      <c r="H181" s="105"/>
      <c r="I181" s="105"/>
      <c r="J181" s="105" t="s">
        <v>29</v>
      </c>
      <c r="K181" s="105"/>
      <c r="L181" s="105"/>
    </row>
    <row r="182" spans="1:12">
      <c r="A182" s="58" t="s">
        <v>30</v>
      </c>
      <c r="B182" s="104" t="s">
        <v>31</v>
      </c>
      <c r="C182" s="104"/>
      <c r="D182" s="104"/>
      <c r="E182" s="104"/>
      <c r="F182" s="104"/>
      <c r="G182" s="104" t="s">
        <v>32</v>
      </c>
      <c r="H182" s="104"/>
      <c r="I182" s="104"/>
      <c r="J182" s="104"/>
      <c r="K182" s="104"/>
      <c r="L182" s="104"/>
    </row>
    <row r="183" spans="1:12">
      <c r="A183" s="59">
        <v>5</v>
      </c>
      <c r="B183" s="102" t="s">
        <v>108</v>
      </c>
      <c r="C183" s="102"/>
      <c r="D183" s="102"/>
      <c r="E183" s="102"/>
      <c r="F183" s="102"/>
      <c r="G183" s="103">
        <v>42583</v>
      </c>
      <c r="H183" s="103"/>
      <c r="I183" s="103"/>
      <c r="J183" s="103">
        <v>42613</v>
      </c>
      <c r="K183" s="103"/>
      <c r="L183" s="103"/>
    </row>
    <row r="184" spans="1:12">
      <c r="A184" s="58" t="s">
        <v>34</v>
      </c>
      <c r="B184" s="58" t="s">
        <v>35</v>
      </c>
      <c r="C184" s="58" t="s">
        <v>36</v>
      </c>
      <c r="D184" s="58" t="s">
        <v>37</v>
      </c>
      <c r="E184" s="58" t="s">
        <v>38</v>
      </c>
      <c r="F184" s="58" t="s">
        <v>39</v>
      </c>
      <c r="G184" s="104" t="s">
        <v>40</v>
      </c>
      <c r="H184" s="104"/>
      <c r="I184" s="104"/>
      <c r="J184" s="104"/>
      <c r="K184" s="104"/>
      <c r="L184" s="104"/>
    </row>
    <row r="185" spans="1:12">
      <c r="A185" s="17">
        <v>41791</v>
      </c>
      <c r="B185" s="59"/>
      <c r="C185" s="17">
        <v>21792</v>
      </c>
      <c r="D185" s="59" t="s">
        <v>41</v>
      </c>
      <c r="E185" s="59">
        <v>2</v>
      </c>
      <c r="F185" s="59">
        <v>3</v>
      </c>
      <c r="G185" s="102"/>
      <c r="H185" s="102"/>
      <c r="I185" s="102"/>
      <c r="J185" s="102"/>
      <c r="K185" s="102"/>
      <c r="L185" s="102"/>
    </row>
    <row r="186" spans="1:12">
      <c r="A186" s="58" t="s">
        <v>42</v>
      </c>
      <c r="B186" s="58" t="s">
        <v>43</v>
      </c>
      <c r="C186" s="58" t="s">
        <v>44</v>
      </c>
      <c r="D186" s="104" t="s">
        <v>45</v>
      </c>
      <c r="E186" s="104"/>
      <c r="F186" s="104"/>
      <c r="G186" s="104" t="s">
        <v>46</v>
      </c>
      <c r="H186" s="104"/>
      <c r="I186" s="104"/>
      <c r="J186" s="104"/>
      <c r="K186" s="104"/>
      <c r="L186" s="104"/>
    </row>
    <row r="187" spans="1:12">
      <c r="A187" s="59">
        <v>132944135</v>
      </c>
      <c r="B187" s="59"/>
      <c r="C187" s="59"/>
      <c r="D187" s="102" t="s">
        <v>47</v>
      </c>
      <c r="E187" s="102"/>
      <c r="F187" s="102"/>
      <c r="G187" s="102" t="s">
        <v>109</v>
      </c>
      <c r="H187" s="102"/>
      <c r="I187" s="102"/>
      <c r="J187" s="102"/>
      <c r="K187" s="102"/>
      <c r="L187" s="102"/>
    </row>
    <row r="188" spans="1:1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>
      <c r="A191" s="108" t="s">
        <v>49</v>
      </c>
      <c r="B191" s="108"/>
      <c r="C191" s="108"/>
      <c r="D191" s="108"/>
      <c r="E191" s="108"/>
      <c r="F191" s="108"/>
      <c r="G191" s="108" t="s">
        <v>50</v>
      </c>
      <c r="H191" s="108" t="s">
        <v>51</v>
      </c>
      <c r="I191" s="108" t="s">
        <v>52</v>
      </c>
      <c r="J191" s="108"/>
      <c r="K191" s="108" t="s">
        <v>53</v>
      </c>
      <c r="L191" s="108"/>
    </row>
    <row r="192" spans="1:12">
      <c r="A192" s="108"/>
      <c r="B192" s="108"/>
      <c r="C192" s="108"/>
      <c r="D192" s="108"/>
      <c r="E192" s="108"/>
      <c r="F192" s="108"/>
      <c r="G192" s="108"/>
      <c r="H192" s="108"/>
      <c r="I192" s="60" t="s">
        <v>54</v>
      </c>
      <c r="J192" s="60" t="s">
        <v>55</v>
      </c>
      <c r="K192" s="60" t="s">
        <v>56</v>
      </c>
      <c r="L192" s="60" t="s">
        <v>57</v>
      </c>
    </row>
    <row r="193" spans="1:12">
      <c r="A193" s="106" t="s">
        <v>58</v>
      </c>
      <c r="B193" s="106"/>
      <c r="C193" s="106"/>
      <c r="D193" s="106"/>
      <c r="E193" s="106"/>
      <c r="F193" s="106"/>
      <c r="G193" s="21">
        <v>12125.57</v>
      </c>
      <c r="H193" s="22"/>
      <c r="I193" s="21"/>
      <c r="J193" s="21"/>
      <c r="K193" s="21"/>
      <c r="L193" s="21"/>
    </row>
    <row r="194" spans="1:12">
      <c r="A194" s="106" t="s">
        <v>59</v>
      </c>
      <c r="B194" s="106"/>
      <c r="C194" s="106"/>
      <c r="D194" s="106"/>
      <c r="E194" s="106"/>
      <c r="F194" s="106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>
      <c r="A195" s="107" t="s">
        <v>60</v>
      </c>
      <c r="B195" s="107"/>
      <c r="C195" s="107"/>
      <c r="D195" s="107"/>
      <c r="E195" s="107"/>
      <c r="F195" s="107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>
      <c r="A196" s="107" t="s">
        <v>61</v>
      </c>
      <c r="B196" s="107"/>
      <c r="C196" s="107"/>
      <c r="D196" s="107"/>
      <c r="E196" s="107"/>
      <c r="F196" s="107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>
      <c r="A197" s="107" t="s">
        <v>62</v>
      </c>
      <c r="B197" s="107"/>
      <c r="C197" s="107"/>
      <c r="D197" s="107"/>
      <c r="E197" s="107"/>
      <c r="F197" s="107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>
      <c r="A198" s="107" t="s">
        <v>63</v>
      </c>
      <c r="B198" s="107"/>
      <c r="C198" s="107"/>
      <c r="D198" s="107"/>
      <c r="E198" s="107"/>
      <c r="F198" s="107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>
      <c r="A199" s="107" t="s">
        <v>64</v>
      </c>
      <c r="B199" s="107"/>
      <c r="C199" s="107"/>
      <c r="D199" s="107"/>
      <c r="E199" s="107"/>
      <c r="F199" s="107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>
      <c r="A200" s="107" t="s">
        <v>65</v>
      </c>
      <c r="B200" s="107"/>
      <c r="C200" s="107"/>
      <c r="D200" s="107"/>
      <c r="E200" s="107"/>
      <c r="F200" s="107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>
      <c r="A201" s="107" t="s">
        <v>66</v>
      </c>
      <c r="B201" s="107"/>
      <c r="C201" s="107"/>
      <c r="D201" s="107"/>
      <c r="E201" s="107"/>
      <c r="F201" s="107"/>
      <c r="G201" s="29"/>
      <c r="H201" s="30"/>
      <c r="I201" s="30"/>
      <c r="J201" s="25"/>
      <c r="K201" s="26"/>
      <c r="L201" s="26"/>
    </row>
    <row r="202" spans="1:12">
      <c r="A202" s="109">
        <v>0.25</v>
      </c>
      <c r="B202" s="109"/>
      <c r="C202" s="109"/>
      <c r="D202" s="109"/>
      <c r="E202" s="109"/>
      <c r="F202" s="109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>
      <c r="A203" s="109">
        <v>0.5</v>
      </c>
      <c r="B203" s="109"/>
      <c r="C203" s="109"/>
      <c r="D203" s="109"/>
      <c r="E203" s="109"/>
      <c r="F203" s="109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>
      <c r="A204" s="109">
        <v>1</v>
      </c>
      <c r="B204" s="109"/>
      <c r="C204" s="109"/>
      <c r="D204" s="109"/>
      <c r="E204" s="109"/>
      <c r="F204" s="109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>
      <c r="A205" s="106" t="s">
        <v>67</v>
      </c>
      <c r="B205" s="106"/>
      <c r="C205" s="106"/>
      <c r="D205" s="106"/>
      <c r="E205" s="106"/>
      <c r="F205" s="106"/>
      <c r="G205" s="21"/>
      <c r="H205" s="22"/>
      <c r="I205" s="21">
        <f>SUM(I206:I207)</f>
        <v>606.27850000000001</v>
      </c>
      <c r="J205" s="21"/>
      <c r="K205" s="21"/>
      <c r="L205" s="21"/>
    </row>
    <row r="206" spans="1:12">
      <c r="A206" s="107" t="s">
        <v>68</v>
      </c>
      <c r="B206" s="107"/>
      <c r="C206" s="107"/>
      <c r="D206" s="107"/>
      <c r="E206" s="107"/>
      <c r="F206" s="107"/>
      <c r="G206" s="23">
        <f>(G183-A185)/360</f>
        <v>2.2000000000000002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0.05</v>
      </c>
      <c r="I206" s="23">
        <f>I194*H206</f>
        <v>606.27850000000001</v>
      </c>
      <c r="J206" s="25"/>
      <c r="K206" s="26"/>
      <c r="L206" s="26"/>
    </row>
    <row r="207" spans="1:12">
      <c r="A207" s="107" t="s">
        <v>69</v>
      </c>
      <c r="B207" s="107"/>
      <c r="C207" s="107"/>
      <c r="D207" s="107"/>
      <c r="E207" s="107"/>
      <c r="F207" s="107"/>
      <c r="G207" s="23"/>
      <c r="H207" s="24"/>
      <c r="I207" s="23"/>
      <c r="J207" s="25"/>
      <c r="K207" s="26"/>
      <c r="L207" s="26"/>
    </row>
    <row r="208" spans="1:12">
      <c r="A208" s="106" t="s">
        <v>70</v>
      </c>
      <c r="B208" s="106"/>
      <c r="C208" s="106"/>
      <c r="D208" s="106"/>
      <c r="E208" s="106"/>
      <c r="F208" s="106"/>
      <c r="G208" s="21"/>
      <c r="H208" s="22"/>
      <c r="I208" s="21">
        <f>SUM(I209:I211)</f>
        <v>5000</v>
      </c>
      <c r="J208" s="21"/>
      <c r="K208" s="21"/>
      <c r="L208" s="21"/>
    </row>
    <row r="209" spans="1:12">
      <c r="A209" s="107" t="s">
        <v>71</v>
      </c>
      <c r="B209" s="107"/>
      <c r="C209" s="107"/>
      <c r="D209" s="107"/>
      <c r="E209" s="107"/>
      <c r="F209" s="107"/>
      <c r="G209" s="23"/>
      <c r="H209" s="24"/>
      <c r="I209" s="23">
        <v>2500</v>
      </c>
      <c r="J209" s="25"/>
      <c r="K209" s="26"/>
      <c r="L209" s="26"/>
    </row>
    <row r="210" spans="1:12">
      <c r="A210" s="107" t="s">
        <v>72</v>
      </c>
      <c r="B210" s="107"/>
      <c r="C210" s="107"/>
      <c r="D210" s="107"/>
      <c r="E210" s="107"/>
      <c r="F210" s="107"/>
      <c r="G210" s="23"/>
      <c r="H210" s="31">
        <v>0</v>
      </c>
      <c r="I210" s="23">
        <v>2500</v>
      </c>
      <c r="J210" s="25"/>
      <c r="K210" s="26"/>
      <c r="L210" s="26"/>
    </row>
    <row r="211" spans="1:12">
      <c r="A211" s="107" t="s">
        <v>73</v>
      </c>
      <c r="B211" s="107"/>
      <c r="C211" s="107"/>
      <c r="D211" s="107"/>
      <c r="E211" s="107"/>
      <c r="F211" s="107"/>
      <c r="G211" s="23"/>
      <c r="H211" s="24"/>
      <c r="I211" s="23"/>
      <c r="J211" s="25"/>
      <c r="K211" s="26"/>
      <c r="L211" s="26"/>
    </row>
    <row r="212" spans="1:12">
      <c r="A212" s="111" t="s">
        <v>74</v>
      </c>
      <c r="B212" s="111"/>
      <c r="C212" s="111"/>
      <c r="D212" s="111"/>
      <c r="E212" s="111"/>
      <c r="F212" s="111"/>
      <c r="G212" s="32"/>
      <c r="H212" s="33"/>
      <c r="I212" s="32">
        <f>I194+I205+I208</f>
        <v>17731.8485</v>
      </c>
      <c r="J212" s="33"/>
      <c r="K212" s="33"/>
      <c r="L212" s="33"/>
    </row>
    <row r="213" spans="1:12">
      <c r="A213" s="111" t="s">
        <v>75</v>
      </c>
      <c r="B213" s="111"/>
      <c r="C213" s="111"/>
      <c r="D213" s="111"/>
      <c r="E213" s="111"/>
      <c r="F213" s="111"/>
      <c r="G213" s="32"/>
      <c r="H213" s="33"/>
      <c r="I213" s="32">
        <f>I212-I208</f>
        <v>12731.8485</v>
      </c>
      <c r="J213" s="33"/>
      <c r="K213" s="33"/>
      <c r="L213" s="33"/>
    </row>
    <row r="214" spans="1:12">
      <c r="A214" s="107" t="s">
        <v>76</v>
      </c>
      <c r="B214" s="107"/>
      <c r="C214" s="107"/>
      <c r="D214" s="107"/>
      <c r="E214" s="107"/>
      <c r="F214" s="107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>
      <c r="A215" s="107" t="s">
        <v>77</v>
      </c>
      <c r="B215" s="107"/>
      <c r="C215" s="107"/>
      <c r="D215" s="107"/>
      <c r="E215" s="107"/>
      <c r="F215" s="107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>
      <c r="A216" s="107" t="s">
        <v>78</v>
      </c>
      <c r="B216" s="107"/>
      <c r="C216" s="107"/>
      <c r="D216" s="107"/>
      <c r="E216" s="107"/>
      <c r="F216" s="107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>
      <c r="A217" s="107" t="s">
        <v>79</v>
      </c>
      <c r="B217" s="107"/>
      <c r="C217" s="107"/>
      <c r="D217" s="107"/>
      <c r="E217" s="107"/>
      <c r="F217" s="107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>
      <c r="A218" s="107" t="s">
        <v>80</v>
      </c>
      <c r="B218" s="107"/>
      <c r="C218" s="107"/>
      <c r="D218" s="107"/>
      <c r="E218" s="107"/>
      <c r="F218" s="107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>
      <c r="A219" s="107" t="s">
        <v>81</v>
      </c>
      <c r="B219" s="107"/>
      <c r="C219" s="107"/>
      <c r="D219" s="107"/>
      <c r="E219" s="107"/>
      <c r="F219" s="107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>
      <c r="A220" s="107" t="s">
        <v>24</v>
      </c>
      <c r="B220" s="107"/>
      <c r="C220" s="107"/>
      <c r="D220" s="107"/>
      <c r="E220" s="107"/>
      <c r="F220" s="107"/>
      <c r="G220" s="23"/>
      <c r="H220" s="34" t="str">
        <f>[1]Taux!D$7</f>
        <v>2,26%</v>
      </c>
      <c r="I220" s="23"/>
      <c r="J220" s="23">
        <f>I213*H220</f>
        <v>287.73977609999997</v>
      </c>
      <c r="K220" s="34" t="str">
        <f>[1]Taux!C$7</f>
        <v>4,11%</v>
      </c>
      <c r="L220" s="23">
        <f>I213*K220</f>
        <v>523.27897335</v>
      </c>
    </row>
    <row r="221" spans="1:12">
      <c r="A221" s="110" t="s">
        <v>82</v>
      </c>
      <c r="B221" s="110"/>
      <c r="C221" s="110"/>
      <c r="D221" s="110"/>
      <c r="E221" s="110"/>
      <c r="F221" s="110"/>
      <c r="G221" s="37"/>
      <c r="H221" s="38"/>
      <c r="I221" s="39"/>
      <c r="J221" s="40"/>
      <c r="K221" s="34" t="str">
        <f>[1]Taux!C$4</f>
        <v>6,40%</v>
      </c>
      <c r="L221" s="23">
        <f>I213*K221</f>
        <v>814.83830399999999</v>
      </c>
    </row>
    <row r="222" spans="1:12">
      <c r="A222" s="110" t="s">
        <v>83</v>
      </c>
      <c r="B222" s="110"/>
      <c r="C222" s="110"/>
      <c r="D222" s="110"/>
      <c r="E222" s="110"/>
      <c r="F222" s="110"/>
      <c r="G222" s="41"/>
      <c r="H222" s="42"/>
      <c r="I222" s="43"/>
      <c r="J222" s="44"/>
      <c r="K222" s="34" t="str">
        <f>[1]Taux!C$8</f>
        <v>1,6 %</v>
      </c>
      <c r="L222" s="23">
        <f>I213*K222</f>
        <v>203.709576</v>
      </c>
    </row>
    <row r="223" spans="1:12">
      <c r="A223" s="106" t="s">
        <v>84</v>
      </c>
      <c r="B223" s="106"/>
      <c r="C223" s="106"/>
      <c r="D223" s="106"/>
      <c r="E223" s="106"/>
      <c r="F223" s="106"/>
      <c r="G223" s="21"/>
      <c r="H223" s="22"/>
      <c r="I223" s="22"/>
      <c r="J223" s="21">
        <f>SUM(J214:J220)</f>
        <v>556.53977609999993</v>
      </c>
      <c r="K223" s="21"/>
      <c r="L223" s="21">
        <f>SUM(L214:L222)</f>
        <v>2080.6268533500001</v>
      </c>
    </row>
    <row r="224" spans="1:12">
      <c r="A224" s="107" t="s">
        <v>85</v>
      </c>
      <c r="B224" s="107"/>
      <c r="C224" s="107"/>
      <c r="D224" s="107"/>
      <c r="E224" s="107"/>
      <c r="F224" s="107"/>
      <c r="G224" s="23"/>
      <c r="H224" s="45">
        <v>0.2</v>
      </c>
      <c r="I224" s="23"/>
      <c r="J224" s="23">
        <f>IF(I213*H224&lt;2500,I213*H224,2500)</f>
        <v>2500</v>
      </c>
      <c r="K224" s="46"/>
      <c r="L224" s="47"/>
    </row>
    <row r="225" spans="1:12">
      <c r="A225" s="111" t="s">
        <v>86</v>
      </c>
      <c r="B225" s="111"/>
      <c r="C225" s="111"/>
      <c r="D225" s="111"/>
      <c r="E225" s="111"/>
      <c r="F225" s="111"/>
      <c r="G225" s="32"/>
      <c r="H225" s="33"/>
      <c r="I225" s="32">
        <f>I213-J223-J224</f>
        <v>9675.3087238999997</v>
      </c>
      <c r="J225" s="33"/>
      <c r="K225" s="33"/>
      <c r="L225" s="33"/>
    </row>
    <row r="226" spans="1:12">
      <c r="A226" s="107" t="s">
        <v>87</v>
      </c>
      <c r="B226" s="107"/>
      <c r="C226" s="107"/>
      <c r="D226" s="107"/>
      <c r="E226" s="107"/>
      <c r="F226" s="107"/>
      <c r="G226" s="23"/>
      <c r="H226" s="34"/>
      <c r="I226" s="23">
        <f>H226*180/360</f>
        <v>0</v>
      </c>
      <c r="J226" s="23"/>
      <c r="K226" s="46"/>
      <c r="L226" s="47"/>
    </row>
    <row r="227" spans="1:12">
      <c r="A227" s="111" t="s">
        <v>88</v>
      </c>
      <c r="B227" s="111"/>
      <c r="C227" s="111"/>
      <c r="D227" s="111"/>
      <c r="E227" s="111"/>
      <c r="F227" s="111"/>
      <c r="G227" s="32"/>
      <c r="H227" s="33"/>
      <c r="I227" s="32">
        <f>I225-I226</f>
        <v>9675.3087238999997</v>
      </c>
      <c r="J227" s="33"/>
      <c r="K227" s="33"/>
      <c r="L227" s="33"/>
    </row>
    <row r="228" spans="1:12">
      <c r="A228" s="107" t="s">
        <v>89</v>
      </c>
      <c r="B228" s="107"/>
      <c r="C228" s="107"/>
      <c r="D228" s="107"/>
      <c r="E228" s="107"/>
      <c r="F228" s="107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1856.2716327926667</v>
      </c>
      <c r="K228" s="46"/>
      <c r="L228" s="47"/>
    </row>
    <row r="229" spans="1:12">
      <c r="A229" s="107" t="s">
        <v>90</v>
      </c>
      <c r="B229" s="107"/>
      <c r="C229" s="107"/>
      <c r="D229" s="107"/>
      <c r="E229" s="107"/>
      <c r="F229" s="107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>
      <c r="A230" s="106" t="s">
        <v>91</v>
      </c>
      <c r="B230" s="106"/>
      <c r="C230" s="106"/>
      <c r="D230" s="106"/>
      <c r="E230" s="106"/>
      <c r="F230" s="106"/>
      <c r="G230" s="21"/>
      <c r="H230" s="22"/>
      <c r="I230" s="21"/>
      <c r="J230" s="21">
        <f>J228-J229</f>
        <v>1766.2716327926667</v>
      </c>
      <c r="K230" s="21"/>
      <c r="L230" s="21"/>
    </row>
    <row r="231" spans="1:12">
      <c r="A231" s="112" t="s">
        <v>92</v>
      </c>
      <c r="B231" s="112"/>
      <c r="C231" s="112"/>
      <c r="D231" s="112"/>
      <c r="E231" s="112"/>
      <c r="F231" s="112"/>
      <c r="G231" s="25"/>
      <c r="H231" s="48"/>
      <c r="I231" s="47"/>
      <c r="J231" s="49">
        <v>0</v>
      </c>
      <c r="K231" s="46"/>
      <c r="L231" s="47"/>
    </row>
    <row r="232" spans="1:12">
      <c r="A232" s="107" t="s">
        <v>93</v>
      </c>
      <c r="B232" s="107"/>
      <c r="C232" s="107"/>
      <c r="D232" s="107"/>
      <c r="E232" s="107"/>
      <c r="F232" s="107"/>
      <c r="G232" s="25"/>
      <c r="H232" s="48"/>
      <c r="I232" s="44"/>
      <c r="J232" s="28">
        <v>0</v>
      </c>
      <c r="K232" s="46"/>
      <c r="L232" s="47"/>
    </row>
    <row r="233" spans="1:12">
      <c r="A233" s="113" t="s">
        <v>94</v>
      </c>
      <c r="B233" s="113"/>
      <c r="C233" s="113"/>
      <c r="D233" s="113"/>
      <c r="E233" s="113"/>
      <c r="F233" s="113"/>
      <c r="G233" s="41"/>
      <c r="H233" s="42"/>
      <c r="I233" s="28">
        <f>1-0.04</f>
        <v>0.96</v>
      </c>
      <c r="J233" s="41"/>
      <c r="K233" s="43"/>
      <c r="L233" s="44"/>
    </row>
    <row r="234" spans="1:1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>
      <c r="A235" s="58" t="s">
        <v>95</v>
      </c>
      <c r="B235" s="58" t="s">
        <v>96</v>
      </c>
      <c r="C235" s="58" t="s">
        <v>97</v>
      </c>
      <c r="D235" s="104" t="s">
        <v>98</v>
      </c>
      <c r="E235" s="104"/>
      <c r="F235" s="104"/>
      <c r="G235" s="58" t="s">
        <v>99</v>
      </c>
      <c r="H235" s="50"/>
      <c r="I235" s="57">
        <f>I212+I233</f>
        <v>17732.808499999999</v>
      </c>
      <c r="J235" s="57">
        <f>J223+J230+J231+J232</f>
        <v>2322.8114088926668</v>
      </c>
      <c r="K235" s="58" t="s">
        <v>100</v>
      </c>
      <c r="L235" s="57">
        <f>L223</f>
        <v>2080.6268533500001</v>
      </c>
    </row>
    <row r="236" spans="1:12">
      <c r="A236" s="57">
        <f>156555.24+I212</f>
        <v>174287.08849999998</v>
      </c>
      <c r="B236" s="57">
        <f>111555.24+I213</f>
        <v>124287.08850000001</v>
      </c>
      <c r="C236" s="57">
        <f>2419.2+J214</f>
        <v>2688</v>
      </c>
      <c r="D236" s="114">
        <f>15016.37+J230</f>
        <v>16782.641632792667</v>
      </c>
      <c r="E236" s="114"/>
      <c r="F236" s="114"/>
      <c r="G236" s="57">
        <f>136602.47+I235</f>
        <v>154335.27850000001</v>
      </c>
      <c r="H236" s="104" t="s">
        <v>101</v>
      </c>
      <c r="I236" s="104"/>
      <c r="J236" s="57">
        <f>I235-J235</f>
        <v>15409.997091107332</v>
      </c>
      <c r="K236" s="58" t="s">
        <v>102</v>
      </c>
      <c r="L236" s="57">
        <f>20589.65+L235</f>
        <v>22670.276853350002</v>
      </c>
    </row>
    <row r="237" spans="1:1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17490.623944457333</v>
      </c>
    </row>
    <row r="241" spans="1:12">
      <c r="A241" s="105" t="s">
        <v>26</v>
      </c>
      <c r="B241" s="105"/>
      <c r="C241" s="105" t="s">
        <v>27</v>
      </c>
      <c r="D241" s="105"/>
      <c r="E241" s="105"/>
      <c r="F241" s="105"/>
      <c r="G241" s="105" t="s">
        <v>28</v>
      </c>
      <c r="H241" s="105"/>
      <c r="I241" s="105"/>
      <c r="J241" s="105" t="s">
        <v>29</v>
      </c>
      <c r="K241" s="105"/>
      <c r="L241" s="105"/>
    </row>
    <row r="242" spans="1:12">
      <c r="A242" s="58" t="s">
        <v>30</v>
      </c>
      <c r="B242" s="104" t="s">
        <v>31</v>
      </c>
      <c r="C242" s="104"/>
      <c r="D242" s="104"/>
      <c r="E242" s="104"/>
      <c r="F242" s="104"/>
      <c r="G242" s="104" t="s">
        <v>32</v>
      </c>
      <c r="H242" s="104"/>
      <c r="I242" s="104"/>
      <c r="J242" s="104"/>
      <c r="K242" s="104"/>
      <c r="L242" s="104"/>
    </row>
    <row r="243" spans="1:12">
      <c r="A243" s="59">
        <v>6</v>
      </c>
      <c r="B243" s="102" t="s">
        <v>110</v>
      </c>
      <c r="C243" s="102"/>
      <c r="D243" s="102"/>
      <c r="E243" s="102"/>
      <c r="F243" s="102"/>
      <c r="G243" s="103">
        <v>42583</v>
      </c>
      <c r="H243" s="103"/>
      <c r="I243" s="103"/>
      <c r="J243" s="103">
        <v>42613</v>
      </c>
      <c r="K243" s="103"/>
      <c r="L243" s="103"/>
    </row>
    <row r="244" spans="1:12">
      <c r="A244" s="58" t="s">
        <v>34</v>
      </c>
      <c r="B244" s="58" t="s">
        <v>35</v>
      </c>
      <c r="C244" s="58" t="s">
        <v>36</v>
      </c>
      <c r="D244" s="58" t="s">
        <v>37</v>
      </c>
      <c r="E244" s="58" t="s">
        <v>38</v>
      </c>
      <c r="F244" s="58" t="s">
        <v>39</v>
      </c>
      <c r="G244" s="104" t="s">
        <v>40</v>
      </c>
      <c r="H244" s="104"/>
      <c r="I244" s="104"/>
      <c r="J244" s="104"/>
      <c r="K244" s="104"/>
      <c r="L244" s="104"/>
    </row>
    <row r="245" spans="1:12">
      <c r="A245" s="17">
        <v>41821</v>
      </c>
      <c r="B245" s="59"/>
      <c r="C245" s="17">
        <v>31573</v>
      </c>
      <c r="D245" s="59" t="s">
        <v>111</v>
      </c>
      <c r="E245" s="59">
        <v>0</v>
      </c>
      <c r="F245" s="59">
        <v>0</v>
      </c>
      <c r="G245" s="102"/>
      <c r="H245" s="102"/>
      <c r="I245" s="102"/>
      <c r="J245" s="102"/>
      <c r="K245" s="102"/>
      <c r="L245" s="102"/>
    </row>
    <row r="246" spans="1:12">
      <c r="A246" s="58" t="s">
        <v>42</v>
      </c>
      <c r="B246" s="58" t="s">
        <v>43</v>
      </c>
      <c r="C246" s="58" t="s">
        <v>44</v>
      </c>
      <c r="D246" s="104" t="s">
        <v>45</v>
      </c>
      <c r="E246" s="104"/>
      <c r="F246" s="104"/>
      <c r="G246" s="104" t="s">
        <v>46</v>
      </c>
      <c r="H246" s="104"/>
      <c r="I246" s="104"/>
      <c r="J246" s="104"/>
      <c r="K246" s="104"/>
      <c r="L246" s="104"/>
    </row>
    <row r="247" spans="1:12">
      <c r="A247" s="59">
        <v>195441186</v>
      </c>
      <c r="B247" s="59"/>
      <c r="C247" s="59"/>
      <c r="D247" s="102" t="s">
        <v>47</v>
      </c>
      <c r="E247" s="102"/>
      <c r="F247" s="102"/>
      <c r="G247" s="102" t="s">
        <v>107</v>
      </c>
      <c r="H247" s="102"/>
      <c r="I247" s="102"/>
      <c r="J247" s="102"/>
      <c r="K247" s="102"/>
      <c r="L247" s="102"/>
    </row>
    <row r="248" spans="1:1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>
      <c r="A251" s="108" t="s">
        <v>49</v>
      </c>
      <c r="B251" s="108"/>
      <c r="C251" s="108"/>
      <c r="D251" s="108"/>
      <c r="E251" s="108"/>
      <c r="F251" s="108"/>
      <c r="G251" s="108" t="s">
        <v>50</v>
      </c>
      <c r="H251" s="108" t="s">
        <v>51</v>
      </c>
      <c r="I251" s="108" t="s">
        <v>52</v>
      </c>
      <c r="J251" s="108"/>
      <c r="K251" s="108" t="s">
        <v>53</v>
      </c>
      <c r="L251" s="108"/>
    </row>
    <row r="252" spans="1:12">
      <c r="A252" s="108"/>
      <c r="B252" s="108"/>
      <c r="C252" s="108"/>
      <c r="D252" s="108"/>
      <c r="E252" s="108"/>
      <c r="F252" s="108"/>
      <c r="G252" s="108"/>
      <c r="H252" s="108"/>
      <c r="I252" s="60" t="s">
        <v>54</v>
      </c>
      <c r="J252" s="60" t="s">
        <v>55</v>
      </c>
      <c r="K252" s="60" t="s">
        <v>56</v>
      </c>
      <c r="L252" s="60" t="s">
        <v>57</v>
      </c>
    </row>
    <row r="253" spans="1:12">
      <c r="A253" s="106" t="s">
        <v>58</v>
      </c>
      <c r="B253" s="106"/>
      <c r="C253" s="106"/>
      <c r="D253" s="106"/>
      <c r="E253" s="106"/>
      <c r="F253" s="106"/>
      <c r="G253" s="21">
        <v>3823.53</v>
      </c>
      <c r="H253" s="22"/>
      <c r="I253" s="21"/>
      <c r="J253" s="21"/>
      <c r="K253" s="21"/>
      <c r="L253" s="21"/>
    </row>
    <row r="254" spans="1:12">
      <c r="A254" s="106" t="s">
        <v>59</v>
      </c>
      <c r="B254" s="106"/>
      <c r="C254" s="106"/>
      <c r="D254" s="106"/>
      <c r="E254" s="106"/>
      <c r="F254" s="106"/>
      <c r="G254" s="21"/>
      <c r="H254" s="21"/>
      <c r="I254" s="21">
        <f>IF(I255+I256-J257-J258+I259+I262+I263+I264+I260&lt;G253,I255+I256-J257-J258+I259+I262+I263+I264+I260,G253)</f>
        <v>3823.53</v>
      </c>
      <c r="J254" s="21"/>
      <c r="K254" s="21"/>
      <c r="L254" s="21"/>
    </row>
    <row r="255" spans="1:12">
      <c r="A255" s="107" t="s">
        <v>60</v>
      </c>
      <c r="B255" s="107"/>
      <c r="C255" s="107"/>
      <c r="D255" s="107"/>
      <c r="E255" s="107"/>
      <c r="F255" s="107"/>
      <c r="G255" s="23"/>
      <c r="H255" s="24">
        <v>26</v>
      </c>
      <c r="I255" s="23">
        <f>G253/26*H255</f>
        <v>3823.53</v>
      </c>
      <c r="J255" s="25"/>
      <c r="K255" s="26"/>
      <c r="L255" s="26"/>
    </row>
    <row r="256" spans="1:12">
      <c r="A256" s="107" t="s">
        <v>61</v>
      </c>
      <c r="B256" s="107"/>
      <c r="C256" s="107"/>
      <c r="D256" s="107"/>
      <c r="E256" s="107"/>
      <c r="F256" s="107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>
      <c r="A257" s="107" t="s">
        <v>62</v>
      </c>
      <c r="B257" s="107"/>
      <c r="C257" s="107"/>
      <c r="D257" s="107"/>
      <c r="E257" s="107"/>
      <c r="F257" s="107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>
      <c r="A258" s="107" t="s">
        <v>63</v>
      </c>
      <c r="B258" s="107"/>
      <c r="C258" s="107"/>
      <c r="D258" s="107"/>
      <c r="E258" s="107"/>
      <c r="F258" s="107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>
      <c r="A259" s="107" t="s">
        <v>64</v>
      </c>
      <c r="B259" s="107"/>
      <c r="C259" s="107"/>
      <c r="D259" s="107"/>
      <c r="E259" s="107"/>
      <c r="F259" s="107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>
      <c r="A260" s="107" t="s">
        <v>65</v>
      </c>
      <c r="B260" s="107"/>
      <c r="C260" s="107"/>
      <c r="D260" s="107"/>
      <c r="E260" s="107"/>
      <c r="F260" s="107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>
      <c r="A261" s="107" t="s">
        <v>66</v>
      </c>
      <c r="B261" s="107"/>
      <c r="C261" s="107"/>
      <c r="D261" s="107"/>
      <c r="E261" s="107"/>
      <c r="F261" s="107"/>
      <c r="G261" s="29"/>
      <c r="H261" s="30"/>
      <c r="I261" s="30"/>
      <c r="J261" s="25"/>
      <c r="K261" s="26"/>
      <c r="L261" s="26"/>
    </row>
    <row r="262" spans="1:12">
      <c r="A262" s="109">
        <v>0.25</v>
      </c>
      <c r="B262" s="109"/>
      <c r="C262" s="109"/>
      <c r="D262" s="109"/>
      <c r="E262" s="109"/>
      <c r="F262" s="109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>
      <c r="A263" s="109">
        <v>0.5</v>
      </c>
      <c r="B263" s="109"/>
      <c r="C263" s="109"/>
      <c r="D263" s="109"/>
      <c r="E263" s="109"/>
      <c r="F263" s="109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>
      <c r="A264" s="109">
        <v>1</v>
      </c>
      <c r="B264" s="109"/>
      <c r="C264" s="109"/>
      <c r="D264" s="109"/>
      <c r="E264" s="109"/>
      <c r="F264" s="109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>
      <c r="A265" s="106" t="s">
        <v>67</v>
      </c>
      <c r="B265" s="106"/>
      <c r="C265" s="106"/>
      <c r="D265" s="106"/>
      <c r="E265" s="106"/>
      <c r="F265" s="106"/>
      <c r="G265" s="21"/>
      <c r="H265" s="22"/>
      <c r="I265" s="21">
        <f>SUM(I266:I267)</f>
        <v>191.17650000000003</v>
      </c>
      <c r="J265" s="21"/>
      <c r="K265" s="21"/>
      <c r="L265" s="21"/>
    </row>
    <row r="266" spans="1:12">
      <c r="A266" s="107" t="s">
        <v>68</v>
      </c>
      <c r="B266" s="107"/>
      <c r="C266" s="107"/>
      <c r="D266" s="107"/>
      <c r="E266" s="107"/>
      <c r="F266" s="107"/>
      <c r="G266" s="23">
        <f>(G243-A245)/360</f>
        <v>2.1166666666666667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0.05</v>
      </c>
      <c r="I266" s="23">
        <f>I254*H266</f>
        <v>191.17650000000003</v>
      </c>
      <c r="J266" s="25"/>
      <c r="K266" s="26"/>
      <c r="L266" s="26"/>
    </row>
    <row r="267" spans="1:12">
      <c r="A267" s="107" t="s">
        <v>69</v>
      </c>
      <c r="B267" s="107"/>
      <c r="C267" s="107"/>
      <c r="D267" s="107"/>
      <c r="E267" s="107"/>
      <c r="F267" s="107"/>
      <c r="G267" s="23"/>
      <c r="H267" s="24"/>
      <c r="I267" s="23"/>
      <c r="J267" s="25"/>
      <c r="K267" s="26"/>
      <c r="L267" s="26"/>
    </row>
    <row r="268" spans="1:12">
      <c r="A268" s="106" t="s">
        <v>70</v>
      </c>
      <c r="B268" s="106"/>
      <c r="C268" s="106"/>
      <c r="D268" s="106"/>
      <c r="E268" s="106"/>
      <c r="F268" s="106"/>
      <c r="G268" s="21"/>
      <c r="H268" s="22"/>
      <c r="I268" s="21">
        <f>SUM(I269:I271)</f>
        <v>300</v>
      </c>
      <c r="J268" s="21"/>
      <c r="K268" s="21"/>
      <c r="L268" s="21"/>
    </row>
    <row r="269" spans="1:12">
      <c r="A269" s="107" t="s">
        <v>71</v>
      </c>
      <c r="B269" s="107"/>
      <c r="C269" s="107"/>
      <c r="D269" s="107"/>
      <c r="E269" s="107"/>
      <c r="F269" s="107"/>
      <c r="G269" s="23"/>
      <c r="H269" s="24"/>
      <c r="I269" s="23">
        <v>300</v>
      </c>
      <c r="J269" s="25"/>
      <c r="K269" s="26"/>
      <c r="L269" s="26"/>
    </row>
    <row r="270" spans="1:12">
      <c r="A270" s="107" t="s">
        <v>72</v>
      </c>
      <c r="B270" s="107"/>
      <c r="C270" s="107"/>
      <c r="D270" s="107"/>
      <c r="E270" s="107"/>
      <c r="F270" s="107"/>
      <c r="G270" s="23"/>
      <c r="H270" s="31">
        <v>0</v>
      </c>
      <c r="I270" s="23"/>
      <c r="J270" s="25"/>
      <c r="K270" s="26"/>
      <c r="L270" s="26"/>
    </row>
    <row r="271" spans="1:12">
      <c r="A271" s="107" t="s">
        <v>73</v>
      </c>
      <c r="B271" s="107"/>
      <c r="C271" s="107"/>
      <c r="D271" s="107"/>
      <c r="E271" s="107"/>
      <c r="F271" s="107"/>
      <c r="G271" s="23"/>
      <c r="H271" s="24"/>
      <c r="I271" s="23"/>
      <c r="J271" s="25"/>
      <c r="K271" s="26"/>
      <c r="L271" s="26"/>
    </row>
    <row r="272" spans="1:12">
      <c r="A272" s="111" t="s">
        <v>74</v>
      </c>
      <c r="B272" s="111"/>
      <c r="C272" s="111"/>
      <c r="D272" s="111"/>
      <c r="E272" s="111"/>
      <c r="F272" s="111"/>
      <c r="G272" s="32"/>
      <c r="H272" s="33"/>
      <c r="I272" s="32">
        <f>I254+I265+I268</f>
        <v>4314.7065000000002</v>
      </c>
      <c r="J272" s="33"/>
      <c r="K272" s="33"/>
      <c r="L272" s="33"/>
    </row>
    <row r="273" spans="1:12">
      <c r="A273" s="111" t="s">
        <v>75</v>
      </c>
      <c r="B273" s="111"/>
      <c r="C273" s="111"/>
      <c r="D273" s="111"/>
      <c r="E273" s="111"/>
      <c r="F273" s="111"/>
      <c r="G273" s="32"/>
      <c r="H273" s="33"/>
      <c r="I273" s="32">
        <f>I272-I268</f>
        <v>4014.7065000000002</v>
      </c>
      <c r="J273" s="33"/>
      <c r="K273" s="33"/>
      <c r="L273" s="33"/>
    </row>
    <row r="274" spans="1:12">
      <c r="A274" s="107" t="s">
        <v>76</v>
      </c>
      <c r="B274" s="107"/>
      <c r="C274" s="107"/>
      <c r="D274" s="107"/>
      <c r="E274" s="107"/>
      <c r="F274" s="107"/>
      <c r="G274" s="23"/>
      <c r="H274" s="34">
        <f>[1]Taux!D$5+[1]Taux!D$6</f>
        <v>4.4800000000000006E-2</v>
      </c>
      <c r="I274" s="23"/>
      <c r="J274" s="23">
        <f>IF(I273&lt;6000,I273*H274,6000*H274)</f>
        <v>179.85885120000003</v>
      </c>
      <c r="K274" s="35">
        <f>[1]Taux!C$5+[1]Taux!C$6</f>
        <v>8.9799999999999991E-2</v>
      </c>
      <c r="L274" s="23">
        <f>IF(I273&lt;6000,I273*K274,6000*K274)</f>
        <v>360.52064369999999</v>
      </c>
    </row>
    <row r="275" spans="1:12">
      <c r="A275" s="107" t="s">
        <v>77</v>
      </c>
      <c r="B275" s="107"/>
      <c r="C275" s="107"/>
      <c r="D275" s="107"/>
      <c r="E275" s="107"/>
      <c r="F275" s="107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>
      <c r="A276" s="107" t="s">
        <v>78</v>
      </c>
      <c r="B276" s="107"/>
      <c r="C276" s="107"/>
      <c r="D276" s="107"/>
      <c r="E276" s="107"/>
      <c r="F276" s="107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80.29413000000001</v>
      </c>
    </row>
    <row r="277" spans="1:12">
      <c r="A277" s="107" t="s">
        <v>79</v>
      </c>
      <c r="B277" s="107"/>
      <c r="C277" s="107"/>
      <c r="D277" s="107"/>
      <c r="E277" s="107"/>
      <c r="F277" s="107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>
      <c r="A278" s="107" t="s">
        <v>80</v>
      </c>
      <c r="B278" s="107"/>
      <c r="C278" s="107"/>
      <c r="D278" s="107"/>
      <c r="E278" s="107"/>
      <c r="F278" s="107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>
      <c r="A279" s="107" t="s">
        <v>81</v>
      </c>
      <c r="B279" s="107"/>
      <c r="C279" s="107"/>
      <c r="D279" s="107"/>
      <c r="E279" s="107"/>
      <c r="F279" s="107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>
      <c r="A280" s="107" t="s">
        <v>24</v>
      </c>
      <c r="B280" s="107"/>
      <c r="C280" s="107"/>
      <c r="D280" s="107"/>
      <c r="E280" s="107"/>
      <c r="F280" s="107"/>
      <c r="G280" s="23"/>
      <c r="H280" s="34" t="str">
        <f>[1]Taux!D$7</f>
        <v>2,26%</v>
      </c>
      <c r="I280" s="23"/>
      <c r="J280" s="23">
        <f>I273*H280</f>
        <v>90.732366900000002</v>
      </c>
      <c r="K280" s="34" t="str">
        <f>[1]Taux!C$7</f>
        <v>4,11%</v>
      </c>
      <c r="L280" s="23">
        <f>I273*K280</f>
        <v>165.00443715</v>
      </c>
    </row>
    <row r="281" spans="1:12">
      <c r="A281" s="110" t="s">
        <v>82</v>
      </c>
      <c r="B281" s="110"/>
      <c r="C281" s="110"/>
      <c r="D281" s="110"/>
      <c r="E281" s="110"/>
      <c r="F281" s="110"/>
      <c r="G281" s="37"/>
      <c r="H281" s="38"/>
      <c r="I281" s="39"/>
      <c r="J281" s="40"/>
      <c r="K281" s="34" t="str">
        <f>[1]Taux!C$4</f>
        <v>6,40%</v>
      </c>
      <c r="L281" s="23">
        <f>I273*K281</f>
        <v>256.941216</v>
      </c>
    </row>
    <row r="282" spans="1:12">
      <c r="A282" s="110" t="s">
        <v>83</v>
      </c>
      <c r="B282" s="110"/>
      <c r="C282" s="110"/>
      <c r="D282" s="110"/>
      <c r="E282" s="110"/>
      <c r="F282" s="110"/>
      <c r="G282" s="41"/>
      <c r="H282" s="42"/>
      <c r="I282" s="43"/>
      <c r="J282" s="44"/>
      <c r="K282" s="34" t="str">
        <f>[1]Taux!C$8</f>
        <v>1,6 %</v>
      </c>
      <c r="L282" s="23">
        <f>I273*K282</f>
        <v>64.235303999999999</v>
      </c>
    </row>
    <row r="283" spans="1:12">
      <c r="A283" s="106" t="s">
        <v>84</v>
      </c>
      <c r="B283" s="106"/>
      <c r="C283" s="106"/>
      <c r="D283" s="106"/>
      <c r="E283" s="106"/>
      <c r="F283" s="106"/>
      <c r="G283" s="21"/>
      <c r="H283" s="22"/>
      <c r="I283" s="22"/>
      <c r="J283" s="21">
        <f>SUM(J274:J280)</f>
        <v>270.59121810000005</v>
      </c>
      <c r="K283" s="21"/>
      <c r="L283" s="21">
        <f>SUM(L274:L282)</f>
        <v>926.99573084999997</v>
      </c>
    </row>
    <row r="284" spans="1:12">
      <c r="A284" s="107" t="s">
        <v>85</v>
      </c>
      <c r="B284" s="107"/>
      <c r="C284" s="107"/>
      <c r="D284" s="107"/>
      <c r="E284" s="107"/>
      <c r="F284" s="107"/>
      <c r="G284" s="23"/>
      <c r="H284" s="45">
        <v>0.2</v>
      </c>
      <c r="I284" s="23"/>
      <c r="J284" s="23">
        <f>IF(I273*H284&lt;2500,I273*H284,2500)</f>
        <v>802.94130000000007</v>
      </c>
      <c r="K284" s="46"/>
      <c r="L284" s="47"/>
    </row>
    <row r="285" spans="1:12">
      <c r="A285" s="111" t="s">
        <v>86</v>
      </c>
      <c r="B285" s="111"/>
      <c r="C285" s="111"/>
      <c r="D285" s="111"/>
      <c r="E285" s="111"/>
      <c r="F285" s="111"/>
      <c r="G285" s="32"/>
      <c r="H285" s="33"/>
      <c r="I285" s="32">
        <f>I273-J283-J284</f>
        <v>2941.1739819000004</v>
      </c>
      <c r="J285" s="33"/>
      <c r="K285" s="33"/>
      <c r="L285" s="33"/>
    </row>
    <row r="286" spans="1:12">
      <c r="A286" s="107" t="s">
        <v>87</v>
      </c>
      <c r="B286" s="107"/>
      <c r="C286" s="107"/>
      <c r="D286" s="107"/>
      <c r="E286" s="107"/>
      <c r="F286" s="107"/>
      <c r="G286" s="23"/>
      <c r="H286" s="34"/>
      <c r="I286" s="23">
        <f>H286*180/360</f>
        <v>0</v>
      </c>
      <c r="J286" s="23"/>
      <c r="K286" s="46"/>
      <c r="L286" s="47"/>
    </row>
    <row r="287" spans="1:12">
      <c r="A287" s="111" t="s">
        <v>88</v>
      </c>
      <c r="B287" s="111"/>
      <c r="C287" s="111"/>
      <c r="D287" s="111"/>
      <c r="E287" s="111"/>
      <c r="F287" s="111"/>
      <c r="G287" s="32"/>
      <c r="H287" s="33"/>
      <c r="I287" s="32">
        <f>I285-I286</f>
        <v>2941.1739819000004</v>
      </c>
      <c r="J287" s="33"/>
      <c r="K287" s="33"/>
      <c r="L287" s="33"/>
    </row>
    <row r="288" spans="1:12">
      <c r="A288" s="107" t="s">
        <v>89</v>
      </c>
      <c r="B288" s="107"/>
      <c r="C288" s="107"/>
      <c r="D288" s="107"/>
      <c r="E288" s="107"/>
      <c r="F288" s="107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44.117398190000074</v>
      </c>
      <c r="K288" s="46"/>
      <c r="L288" s="47"/>
    </row>
    <row r="289" spans="1:12">
      <c r="A289" s="107" t="s">
        <v>90</v>
      </c>
      <c r="B289" s="107"/>
      <c r="C289" s="107"/>
      <c r="D289" s="107"/>
      <c r="E289" s="107"/>
      <c r="F289" s="107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>
      <c r="A290" s="106" t="s">
        <v>91</v>
      </c>
      <c r="B290" s="106"/>
      <c r="C290" s="106"/>
      <c r="D290" s="106"/>
      <c r="E290" s="106"/>
      <c r="F290" s="106"/>
      <c r="G290" s="21"/>
      <c r="H290" s="22"/>
      <c r="I290" s="21"/>
      <c r="J290" s="21">
        <f>J288-J289</f>
        <v>44.117398190000074</v>
      </c>
      <c r="K290" s="21"/>
      <c r="L290" s="21"/>
    </row>
    <row r="291" spans="1:12">
      <c r="A291" s="112" t="s">
        <v>92</v>
      </c>
      <c r="B291" s="112"/>
      <c r="C291" s="112"/>
      <c r="D291" s="112"/>
      <c r="E291" s="112"/>
      <c r="F291" s="112"/>
      <c r="G291" s="25"/>
      <c r="H291" s="48"/>
      <c r="I291" s="47"/>
      <c r="J291" s="49">
        <v>0</v>
      </c>
      <c r="K291" s="46"/>
      <c r="L291" s="47"/>
    </row>
    <row r="292" spans="1:12">
      <c r="A292" s="107" t="s">
        <v>93</v>
      </c>
      <c r="B292" s="107"/>
      <c r="C292" s="107"/>
      <c r="D292" s="107"/>
      <c r="E292" s="107"/>
      <c r="F292" s="107"/>
      <c r="G292" s="25"/>
      <c r="H292" s="48"/>
      <c r="I292" s="44"/>
      <c r="J292" s="28"/>
      <c r="K292" s="46"/>
      <c r="L292" s="47"/>
    </row>
    <row r="293" spans="1:12">
      <c r="A293" s="113" t="s">
        <v>94</v>
      </c>
      <c r="B293" s="113"/>
      <c r="C293" s="113"/>
      <c r="D293" s="113"/>
      <c r="E293" s="113"/>
      <c r="F293" s="113"/>
      <c r="G293" s="41"/>
      <c r="H293" s="42"/>
      <c r="I293" s="28"/>
      <c r="J293" s="41"/>
      <c r="K293" s="43"/>
      <c r="L293" s="44"/>
    </row>
    <row r="294" spans="1:1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>
      <c r="A295" s="58" t="s">
        <v>95</v>
      </c>
      <c r="B295" s="58" t="s">
        <v>96</v>
      </c>
      <c r="C295" s="58" t="s">
        <v>97</v>
      </c>
      <c r="D295" s="104" t="s">
        <v>98</v>
      </c>
      <c r="E295" s="104"/>
      <c r="F295" s="104"/>
      <c r="G295" s="58" t="s">
        <v>99</v>
      </c>
      <c r="H295" s="50"/>
      <c r="I295" s="57">
        <f>I272+I293</f>
        <v>4314.7065000000002</v>
      </c>
      <c r="J295" s="57">
        <f>J283+J290+J291+J292</f>
        <v>314.70861629000012</v>
      </c>
      <c r="K295" s="58" t="s">
        <v>100</v>
      </c>
      <c r="L295" s="57">
        <f>L283</f>
        <v>926.99573084999997</v>
      </c>
    </row>
    <row r="296" spans="1:12">
      <c r="A296" s="57">
        <f>32114.9+I272</f>
        <v>36429.606500000002</v>
      </c>
      <c r="B296" s="57">
        <f>29414.9+I273</f>
        <v>33429.606500000002</v>
      </c>
      <c r="C296" s="57">
        <f>1317.78+J274</f>
        <v>1497.6388512000001</v>
      </c>
      <c r="D296" s="114">
        <f>132.35+J290</f>
        <v>176.46739819000007</v>
      </c>
      <c r="E296" s="114"/>
      <c r="F296" s="114"/>
      <c r="G296" s="57">
        <f>30000+I295</f>
        <v>34314.7065</v>
      </c>
      <c r="H296" s="104" t="s">
        <v>101</v>
      </c>
      <c r="I296" s="104"/>
      <c r="J296" s="57">
        <f>I295-J295</f>
        <v>3999.9978837100002</v>
      </c>
      <c r="K296" s="58" t="s">
        <v>102</v>
      </c>
      <c r="L296" s="57">
        <f>5864.92+L295</f>
        <v>6791.9157308499998</v>
      </c>
    </row>
    <row r="297" spans="1:1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4926.9936145600004</v>
      </c>
    </row>
    <row r="301" spans="1:12">
      <c r="A301" s="105" t="s">
        <v>26</v>
      </c>
      <c r="B301" s="105"/>
      <c r="C301" s="105" t="s">
        <v>27</v>
      </c>
      <c r="D301" s="105"/>
      <c r="E301" s="105"/>
      <c r="F301" s="105"/>
      <c r="G301" s="105" t="s">
        <v>28</v>
      </c>
      <c r="H301" s="105"/>
      <c r="I301" s="105"/>
      <c r="J301" s="105" t="s">
        <v>29</v>
      </c>
      <c r="K301" s="105"/>
      <c r="L301" s="105"/>
    </row>
    <row r="302" spans="1:12">
      <c r="A302" s="58" t="s">
        <v>30</v>
      </c>
      <c r="B302" s="104" t="s">
        <v>31</v>
      </c>
      <c r="C302" s="104"/>
      <c r="D302" s="104"/>
      <c r="E302" s="104"/>
      <c r="F302" s="104"/>
      <c r="G302" s="104" t="s">
        <v>32</v>
      </c>
      <c r="H302" s="104"/>
      <c r="I302" s="104"/>
      <c r="J302" s="104"/>
      <c r="K302" s="104"/>
      <c r="L302" s="104"/>
    </row>
    <row r="303" spans="1:12">
      <c r="A303" s="59">
        <v>7</v>
      </c>
      <c r="B303" s="102" t="s">
        <v>112</v>
      </c>
      <c r="C303" s="102"/>
      <c r="D303" s="102"/>
      <c r="E303" s="102"/>
      <c r="F303" s="102"/>
      <c r="G303" s="103">
        <v>42583</v>
      </c>
      <c r="H303" s="103"/>
      <c r="I303" s="103"/>
      <c r="J303" s="103">
        <v>42613</v>
      </c>
      <c r="K303" s="103"/>
      <c r="L303" s="103"/>
    </row>
    <row r="304" spans="1:12">
      <c r="A304" s="58" t="s">
        <v>34</v>
      </c>
      <c r="B304" s="58" t="s">
        <v>35</v>
      </c>
      <c r="C304" s="58" t="s">
        <v>36</v>
      </c>
      <c r="D304" s="58" t="s">
        <v>37</v>
      </c>
      <c r="E304" s="58" t="s">
        <v>38</v>
      </c>
      <c r="F304" s="58" t="s">
        <v>39</v>
      </c>
      <c r="G304" s="104" t="s">
        <v>40</v>
      </c>
      <c r="H304" s="104"/>
      <c r="I304" s="104"/>
      <c r="J304" s="104"/>
      <c r="K304" s="104"/>
      <c r="L304" s="104"/>
    </row>
    <row r="305" spans="1:12">
      <c r="A305" s="17">
        <v>42005</v>
      </c>
      <c r="B305" s="59"/>
      <c r="C305" s="17">
        <v>34565</v>
      </c>
      <c r="D305" s="59" t="s">
        <v>111</v>
      </c>
      <c r="E305" s="59">
        <v>0</v>
      </c>
      <c r="F305" s="59">
        <v>0</v>
      </c>
      <c r="G305" s="102"/>
      <c r="H305" s="102"/>
      <c r="I305" s="102"/>
      <c r="J305" s="102"/>
      <c r="K305" s="102"/>
      <c r="L305" s="102"/>
    </row>
    <row r="306" spans="1:12">
      <c r="A306" s="58" t="s">
        <v>42</v>
      </c>
      <c r="B306" s="58" t="s">
        <v>43</v>
      </c>
      <c r="C306" s="58" t="s">
        <v>44</v>
      </c>
      <c r="D306" s="104" t="s">
        <v>45</v>
      </c>
      <c r="E306" s="104"/>
      <c r="F306" s="104"/>
      <c r="G306" s="104" t="s">
        <v>46</v>
      </c>
      <c r="H306" s="104"/>
      <c r="I306" s="104"/>
      <c r="J306" s="104"/>
      <c r="K306" s="104"/>
      <c r="L306" s="104"/>
    </row>
    <row r="307" spans="1:12">
      <c r="A307" s="59">
        <v>168098097</v>
      </c>
      <c r="B307" s="59"/>
      <c r="C307" s="59"/>
      <c r="D307" s="102" t="s">
        <v>47</v>
      </c>
      <c r="E307" s="102"/>
      <c r="F307" s="102"/>
      <c r="G307" s="102" t="s">
        <v>107</v>
      </c>
      <c r="H307" s="102"/>
      <c r="I307" s="102"/>
      <c r="J307" s="102"/>
      <c r="K307" s="102"/>
      <c r="L307" s="102"/>
    </row>
    <row r="308" spans="1:1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>
      <c r="A311" s="108" t="s">
        <v>49</v>
      </c>
      <c r="B311" s="108"/>
      <c r="C311" s="108"/>
      <c r="D311" s="108"/>
      <c r="E311" s="108"/>
      <c r="F311" s="108"/>
      <c r="G311" s="108" t="s">
        <v>50</v>
      </c>
      <c r="H311" s="108" t="s">
        <v>51</v>
      </c>
      <c r="I311" s="108" t="s">
        <v>52</v>
      </c>
      <c r="J311" s="108"/>
      <c r="K311" s="108" t="s">
        <v>53</v>
      </c>
      <c r="L311" s="108"/>
    </row>
    <row r="312" spans="1:12">
      <c r="A312" s="108"/>
      <c r="B312" s="108"/>
      <c r="C312" s="108"/>
      <c r="D312" s="108"/>
      <c r="E312" s="108"/>
      <c r="F312" s="108"/>
      <c r="G312" s="108"/>
      <c r="H312" s="108"/>
      <c r="I312" s="60" t="s">
        <v>54</v>
      </c>
      <c r="J312" s="60" t="s">
        <v>55</v>
      </c>
      <c r="K312" s="60" t="s">
        <v>56</v>
      </c>
      <c r="L312" s="60" t="s">
        <v>57</v>
      </c>
    </row>
    <row r="313" spans="1:12">
      <c r="A313" s="106" t="s">
        <v>58</v>
      </c>
      <c r="B313" s="106"/>
      <c r="C313" s="106"/>
      <c r="D313" s="106"/>
      <c r="E313" s="106"/>
      <c r="F313" s="106"/>
      <c r="G313" s="21">
        <v>2807.8</v>
      </c>
      <c r="H313" s="22"/>
      <c r="I313" s="21"/>
      <c r="J313" s="21"/>
      <c r="K313" s="21"/>
      <c r="L313" s="21"/>
    </row>
    <row r="314" spans="1:12">
      <c r="A314" s="106" t="s">
        <v>59</v>
      </c>
      <c r="B314" s="106"/>
      <c r="C314" s="106"/>
      <c r="D314" s="106"/>
      <c r="E314" s="106"/>
      <c r="F314" s="106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>
      <c r="A315" s="107" t="s">
        <v>60</v>
      </c>
      <c r="B315" s="107"/>
      <c r="C315" s="107"/>
      <c r="D315" s="107"/>
      <c r="E315" s="107"/>
      <c r="F315" s="107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>
      <c r="A316" s="107" t="s">
        <v>61</v>
      </c>
      <c r="B316" s="107"/>
      <c r="C316" s="107"/>
      <c r="D316" s="107"/>
      <c r="E316" s="107"/>
      <c r="F316" s="107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>
      <c r="A317" s="107" t="s">
        <v>62</v>
      </c>
      <c r="B317" s="107"/>
      <c r="C317" s="107"/>
      <c r="D317" s="107"/>
      <c r="E317" s="107"/>
      <c r="F317" s="107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>
      <c r="A318" s="107" t="s">
        <v>63</v>
      </c>
      <c r="B318" s="107"/>
      <c r="C318" s="107"/>
      <c r="D318" s="107"/>
      <c r="E318" s="107"/>
      <c r="F318" s="107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>
      <c r="A319" s="107" t="s">
        <v>64</v>
      </c>
      <c r="B319" s="107"/>
      <c r="C319" s="107"/>
      <c r="D319" s="107"/>
      <c r="E319" s="107"/>
      <c r="F319" s="107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>
      <c r="A320" s="107" t="s">
        <v>65</v>
      </c>
      <c r="B320" s="107"/>
      <c r="C320" s="107"/>
      <c r="D320" s="107"/>
      <c r="E320" s="107"/>
      <c r="F320" s="107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>
      <c r="A321" s="107" t="s">
        <v>66</v>
      </c>
      <c r="B321" s="107"/>
      <c r="C321" s="107"/>
      <c r="D321" s="107"/>
      <c r="E321" s="107"/>
      <c r="F321" s="107"/>
      <c r="G321" s="29"/>
      <c r="H321" s="30"/>
      <c r="I321" s="30"/>
      <c r="J321" s="25"/>
      <c r="K321" s="26"/>
      <c r="L321" s="26"/>
    </row>
    <row r="322" spans="1:12">
      <c r="A322" s="109">
        <v>0.25</v>
      </c>
      <c r="B322" s="109"/>
      <c r="C322" s="109"/>
      <c r="D322" s="109"/>
      <c r="E322" s="109"/>
      <c r="F322" s="109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>
      <c r="A323" s="109">
        <v>0.5</v>
      </c>
      <c r="B323" s="109"/>
      <c r="C323" s="109"/>
      <c r="D323" s="109"/>
      <c r="E323" s="109"/>
      <c r="F323" s="109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>
      <c r="A324" s="109">
        <v>1</v>
      </c>
      <c r="B324" s="109"/>
      <c r="C324" s="109"/>
      <c r="D324" s="109"/>
      <c r="E324" s="109"/>
      <c r="F324" s="109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>
      <c r="A325" s="106" t="s">
        <v>67</v>
      </c>
      <c r="B325" s="106"/>
      <c r="C325" s="106"/>
      <c r="D325" s="106"/>
      <c r="E325" s="106"/>
      <c r="F325" s="106"/>
      <c r="G325" s="21"/>
      <c r="H325" s="22"/>
      <c r="I325" s="21">
        <f>SUM(I326:I327)</f>
        <v>0</v>
      </c>
      <c r="J325" s="21"/>
      <c r="K325" s="21"/>
      <c r="L325" s="21"/>
    </row>
    <row r="326" spans="1:12">
      <c r="A326" s="107" t="s">
        <v>68</v>
      </c>
      <c r="B326" s="107"/>
      <c r="C326" s="107"/>
      <c r="D326" s="107"/>
      <c r="E326" s="107"/>
      <c r="F326" s="107"/>
      <c r="G326" s="23">
        <f>(G303-A305)/360</f>
        <v>1.6055555555555556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>
      <c r="A327" s="107" t="s">
        <v>69</v>
      </c>
      <c r="B327" s="107"/>
      <c r="C327" s="107"/>
      <c r="D327" s="107"/>
      <c r="E327" s="107"/>
      <c r="F327" s="107"/>
      <c r="G327" s="23"/>
      <c r="H327" s="24"/>
      <c r="I327" s="23"/>
      <c r="J327" s="25"/>
      <c r="K327" s="26"/>
      <c r="L327" s="26"/>
    </row>
    <row r="328" spans="1:12">
      <c r="A328" s="106" t="s">
        <v>70</v>
      </c>
      <c r="B328" s="106"/>
      <c r="C328" s="106"/>
      <c r="D328" s="106"/>
      <c r="E328" s="106"/>
      <c r="F328" s="106"/>
      <c r="G328" s="21"/>
      <c r="H328" s="22"/>
      <c r="I328" s="21">
        <f>SUM(I329:I331)</f>
        <v>0</v>
      </c>
      <c r="J328" s="21"/>
      <c r="K328" s="21"/>
      <c r="L328" s="21"/>
    </row>
    <row r="329" spans="1:12">
      <c r="A329" s="107" t="s">
        <v>71</v>
      </c>
      <c r="B329" s="107"/>
      <c r="C329" s="107"/>
      <c r="D329" s="107"/>
      <c r="E329" s="107"/>
      <c r="F329" s="107"/>
      <c r="G329" s="23"/>
      <c r="H329" s="24"/>
      <c r="I329" s="23"/>
      <c r="J329" s="25"/>
      <c r="K329" s="26"/>
      <c r="L329" s="26"/>
    </row>
    <row r="330" spans="1:12">
      <c r="A330" s="107" t="s">
        <v>72</v>
      </c>
      <c r="B330" s="107"/>
      <c r="C330" s="107"/>
      <c r="D330" s="107"/>
      <c r="E330" s="107"/>
      <c r="F330" s="107"/>
      <c r="G330" s="23"/>
      <c r="H330" s="31">
        <v>0</v>
      </c>
      <c r="I330" s="23"/>
      <c r="J330" s="25"/>
      <c r="K330" s="26"/>
      <c r="L330" s="26"/>
    </row>
    <row r="331" spans="1:12">
      <c r="A331" s="107" t="s">
        <v>73</v>
      </c>
      <c r="B331" s="107"/>
      <c r="C331" s="107"/>
      <c r="D331" s="107"/>
      <c r="E331" s="107"/>
      <c r="F331" s="107"/>
      <c r="G331" s="23"/>
      <c r="H331" s="24"/>
      <c r="I331" s="23"/>
      <c r="J331" s="25"/>
      <c r="K331" s="26"/>
      <c r="L331" s="26"/>
    </row>
    <row r="332" spans="1:12">
      <c r="A332" s="111" t="s">
        <v>74</v>
      </c>
      <c r="B332" s="111"/>
      <c r="C332" s="111"/>
      <c r="D332" s="111"/>
      <c r="E332" s="111"/>
      <c r="F332" s="111"/>
      <c r="G332" s="32"/>
      <c r="H332" s="33"/>
      <c r="I332" s="32">
        <f>I314+I325+I328</f>
        <v>2807.8</v>
      </c>
      <c r="J332" s="33"/>
      <c r="K332" s="33"/>
      <c r="L332" s="33"/>
    </row>
    <row r="333" spans="1:12">
      <c r="A333" s="111" t="s">
        <v>75</v>
      </c>
      <c r="B333" s="111"/>
      <c r="C333" s="111"/>
      <c r="D333" s="111"/>
      <c r="E333" s="111"/>
      <c r="F333" s="111"/>
      <c r="G333" s="32"/>
      <c r="H333" s="33"/>
      <c r="I333" s="32">
        <f>I332-I328</f>
        <v>2807.8</v>
      </c>
      <c r="J333" s="33"/>
      <c r="K333" s="33"/>
      <c r="L333" s="33"/>
    </row>
    <row r="334" spans="1:12">
      <c r="A334" s="107" t="s">
        <v>76</v>
      </c>
      <c r="B334" s="107"/>
      <c r="C334" s="107"/>
      <c r="D334" s="107"/>
      <c r="E334" s="107"/>
      <c r="F334" s="107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>
      <c r="A335" s="107" t="s">
        <v>77</v>
      </c>
      <c r="B335" s="107"/>
      <c r="C335" s="107"/>
      <c r="D335" s="107"/>
      <c r="E335" s="107"/>
      <c r="F335" s="107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>
      <c r="A336" s="107" t="s">
        <v>78</v>
      </c>
      <c r="B336" s="107"/>
      <c r="C336" s="107"/>
      <c r="D336" s="107"/>
      <c r="E336" s="107"/>
      <c r="F336" s="107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>
      <c r="A337" s="107" t="s">
        <v>79</v>
      </c>
      <c r="B337" s="107"/>
      <c r="C337" s="107"/>
      <c r="D337" s="107"/>
      <c r="E337" s="107"/>
      <c r="F337" s="107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>
      <c r="A338" s="107" t="s">
        <v>80</v>
      </c>
      <c r="B338" s="107"/>
      <c r="C338" s="107"/>
      <c r="D338" s="107"/>
      <c r="E338" s="107"/>
      <c r="F338" s="107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>
      <c r="A339" s="107" t="s">
        <v>81</v>
      </c>
      <c r="B339" s="107"/>
      <c r="C339" s="107"/>
      <c r="D339" s="107"/>
      <c r="E339" s="107"/>
      <c r="F339" s="107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>
      <c r="A340" s="107" t="s">
        <v>24</v>
      </c>
      <c r="B340" s="107"/>
      <c r="C340" s="107"/>
      <c r="D340" s="107"/>
      <c r="E340" s="107"/>
      <c r="F340" s="107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>
      <c r="A341" s="110" t="s">
        <v>82</v>
      </c>
      <c r="B341" s="110"/>
      <c r="C341" s="110"/>
      <c r="D341" s="110"/>
      <c r="E341" s="110"/>
      <c r="F341" s="110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>
      <c r="A342" s="110" t="s">
        <v>83</v>
      </c>
      <c r="B342" s="110"/>
      <c r="C342" s="110"/>
      <c r="D342" s="110"/>
      <c r="E342" s="110"/>
      <c r="F342" s="110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>
      <c r="A343" s="106" t="s">
        <v>84</v>
      </c>
      <c r="B343" s="106"/>
      <c r="C343" s="106"/>
      <c r="D343" s="106"/>
      <c r="E343" s="106"/>
      <c r="F343" s="106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>
      <c r="A344" s="107" t="s">
        <v>85</v>
      </c>
      <c r="B344" s="107"/>
      <c r="C344" s="107"/>
      <c r="D344" s="107"/>
      <c r="E344" s="107"/>
      <c r="F344" s="107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>
      <c r="A345" s="111" t="s">
        <v>86</v>
      </c>
      <c r="B345" s="111"/>
      <c r="C345" s="111"/>
      <c r="D345" s="111"/>
      <c r="E345" s="111"/>
      <c r="F345" s="111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>
      <c r="A346" s="107" t="s">
        <v>87</v>
      </c>
      <c r="B346" s="107"/>
      <c r="C346" s="107"/>
      <c r="D346" s="107"/>
      <c r="E346" s="107"/>
      <c r="F346" s="107"/>
      <c r="G346" s="23"/>
      <c r="H346" s="34"/>
      <c r="I346" s="23">
        <f>H346*180/360</f>
        <v>0</v>
      </c>
      <c r="J346" s="23"/>
      <c r="K346" s="46"/>
      <c r="L346" s="47"/>
    </row>
    <row r="347" spans="1:12">
      <c r="A347" s="111" t="s">
        <v>88</v>
      </c>
      <c r="B347" s="111"/>
      <c r="C347" s="111"/>
      <c r="D347" s="111"/>
      <c r="E347" s="111"/>
      <c r="F347" s="111"/>
      <c r="G347" s="32"/>
      <c r="H347" s="33"/>
      <c r="I347" s="32">
        <f>I345-I346</f>
        <v>2056.9942800000003</v>
      </c>
      <c r="J347" s="33"/>
      <c r="K347" s="33"/>
      <c r="L347" s="33"/>
    </row>
    <row r="348" spans="1:12">
      <c r="A348" s="107" t="s">
        <v>89</v>
      </c>
      <c r="B348" s="107"/>
      <c r="C348" s="107"/>
      <c r="D348" s="107"/>
      <c r="E348" s="107"/>
      <c r="F348" s="107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>
      <c r="A349" s="107" t="s">
        <v>90</v>
      </c>
      <c r="B349" s="107"/>
      <c r="C349" s="107"/>
      <c r="D349" s="107"/>
      <c r="E349" s="107"/>
      <c r="F349" s="107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>
      <c r="A350" s="106" t="s">
        <v>91</v>
      </c>
      <c r="B350" s="106"/>
      <c r="C350" s="106"/>
      <c r="D350" s="106"/>
      <c r="E350" s="106"/>
      <c r="F350" s="106"/>
      <c r="G350" s="21"/>
      <c r="H350" s="22"/>
      <c r="I350" s="21"/>
      <c r="J350" s="21">
        <f>J348-J349</f>
        <v>0</v>
      </c>
      <c r="K350" s="21"/>
      <c r="L350" s="21"/>
    </row>
    <row r="351" spans="1:12">
      <c r="A351" s="112" t="s">
        <v>92</v>
      </c>
      <c r="B351" s="112"/>
      <c r="C351" s="112"/>
      <c r="D351" s="112"/>
      <c r="E351" s="112"/>
      <c r="F351" s="112"/>
      <c r="G351" s="25"/>
      <c r="H351" s="48"/>
      <c r="I351" s="47"/>
      <c r="J351" s="49">
        <v>0</v>
      </c>
      <c r="K351" s="46"/>
      <c r="L351" s="47"/>
    </row>
    <row r="352" spans="1:12">
      <c r="A352" s="107" t="s">
        <v>93</v>
      </c>
      <c r="B352" s="107"/>
      <c r="C352" s="107"/>
      <c r="D352" s="107"/>
      <c r="E352" s="107"/>
      <c r="F352" s="107"/>
      <c r="G352" s="25"/>
      <c r="H352" s="48"/>
      <c r="I352" s="44"/>
      <c r="J352" s="28">
        <v>1000</v>
      </c>
      <c r="K352" s="46"/>
      <c r="L352" s="47"/>
    </row>
    <row r="353" spans="1:12">
      <c r="A353" s="113" t="s">
        <v>94</v>
      </c>
      <c r="B353" s="113"/>
      <c r="C353" s="113"/>
      <c r="D353" s="113"/>
      <c r="E353" s="113"/>
      <c r="F353" s="113"/>
      <c r="G353" s="41"/>
      <c r="H353" s="42"/>
      <c r="I353" s="28">
        <f>1-0.55</f>
        <v>0.44999999999999996</v>
      </c>
      <c r="J353" s="41"/>
      <c r="K353" s="43"/>
      <c r="L353" s="44"/>
    </row>
    <row r="354" spans="1:1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>
      <c r="A355" s="58" t="s">
        <v>95</v>
      </c>
      <c r="B355" s="58" t="s">
        <v>96</v>
      </c>
      <c r="C355" s="58" t="s">
        <v>97</v>
      </c>
      <c r="D355" s="104" t="s">
        <v>98</v>
      </c>
      <c r="E355" s="104"/>
      <c r="F355" s="104"/>
      <c r="G355" s="58" t="s">
        <v>99</v>
      </c>
      <c r="H355" s="50"/>
      <c r="I355" s="57">
        <f>I332+I353</f>
        <v>2808.25</v>
      </c>
      <c r="J355" s="57">
        <f>J343+J350+J351+J352</f>
        <v>1189.2457200000001</v>
      </c>
      <c r="K355" s="58" t="s">
        <v>100</v>
      </c>
      <c r="L355" s="57">
        <f>L343</f>
        <v>648.32101999999998</v>
      </c>
    </row>
    <row r="356" spans="1:12">
      <c r="A356" s="57">
        <f>25270.2+I332</f>
        <v>28078</v>
      </c>
      <c r="B356" s="57">
        <f>25270.2+I333</f>
        <v>28078</v>
      </c>
      <c r="C356" s="57">
        <f>1132.11+J334</f>
        <v>1257.8994399999999</v>
      </c>
      <c r="D356" s="114">
        <f>0+J350</f>
        <v>0</v>
      </c>
      <c r="E356" s="114"/>
      <c r="F356" s="114"/>
      <c r="G356" s="57">
        <f>17071.02+I355</f>
        <v>19879.27</v>
      </c>
      <c r="H356" s="104" t="s">
        <v>101</v>
      </c>
      <c r="I356" s="104"/>
      <c r="J356" s="57">
        <f>I355-J355</f>
        <v>1619.0042799999999</v>
      </c>
      <c r="K356" s="58" t="s">
        <v>102</v>
      </c>
      <c r="L356" s="57">
        <f>5834.88+L355</f>
        <v>6483.2010200000004</v>
      </c>
    </row>
    <row r="357" spans="1:1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2267.3253</v>
      </c>
    </row>
    <row r="361" spans="1:12">
      <c r="A361" s="105" t="s">
        <v>26</v>
      </c>
      <c r="B361" s="105"/>
      <c r="C361" s="105" t="s">
        <v>27</v>
      </c>
      <c r="D361" s="105"/>
      <c r="E361" s="105"/>
      <c r="F361" s="105"/>
      <c r="G361" s="105" t="s">
        <v>28</v>
      </c>
      <c r="H361" s="105"/>
      <c r="I361" s="105"/>
      <c r="J361" s="105" t="s">
        <v>29</v>
      </c>
      <c r="K361" s="105"/>
      <c r="L361" s="105"/>
    </row>
    <row r="362" spans="1:12">
      <c r="A362" s="58" t="s">
        <v>30</v>
      </c>
      <c r="B362" s="104" t="s">
        <v>31</v>
      </c>
      <c r="C362" s="104"/>
      <c r="D362" s="104"/>
      <c r="E362" s="104"/>
      <c r="F362" s="104"/>
      <c r="G362" s="104" t="s">
        <v>32</v>
      </c>
      <c r="H362" s="104"/>
      <c r="I362" s="104"/>
      <c r="J362" s="104"/>
      <c r="K362" s="104"/>
      <c r="L362" s="104"/>
    </row>
    <row r="363" spans="1:12">
      <c r="A363" s="59">
        <v>8</v>
      </c>
      <c r="B363" s="102" t="s">
        <v>113</v>
      </c>
      <c r="C363" s="102"/>
      <c r="D363" s="102"/>
      <c r="E363" s="102"/>
      <c r="F363" s="102"/>
      <c r="G363" s="103">
        <v>42583</v>
      </c>
      <c r="H363" s="103"/>
      <c r="I363" s="103"/>
      <c r="J363" s="103">
        <v>42613</v>
      </c>
      <c r="K363" s="103"/>
      <c r="L363" s="103"/>
    </row>
    <row r="364" spans="1:12">
      <c r="A364" s="58" t="s">
        <v>34</v>
      </c>
      <c r="B364" s="58" t="s">
        <v>35</v>
      </c>
      <c r="C364" s="58" t="s">
        <v>36</v>
      </c>
      <c r="D364" s="58" t="s">
        <v>37</v>
      </c>
      <c r="E364" s="58" t="s">
        <v>38</v>
      </c>
      <c r="F364" s="58" t="s">
        <v>39</v>
      </c>
      <c r="G364" s="104" t="s">
        <v>40</v>
      </c>
      <c r="H364" s="104"/>
      <c r="I364" s="104"/>
      <c r="J364" s="104"/>
      <c r="K364" s="104"/>
      <c r="L364" s="104"/>
    </row>
    <row r="365" spans="1:12">
      <c r="A365" s="17">
        <v>42278</v>
      </c>
      <c r="B365" s="59"/>
      <c r="C365" s="17">
        <v>33665</v>
      </c>
      <c r="D365" s="59" t="s">
        <v>111</v>
      </c>
      <c r="E365" s="59">
        <v>0</v>
      </c>
      <c r="F365" s="59">
        <v>0</v>
      </c>
      <c r="G365" s="102"/>
      <c r="H365" s="102"/>
      <c r="I365" s="102"/>
      <c r="J365" s="102"/>
      <c r="K365" s="102"/>
      <c r="L365" s="102"/>
    </row>
    <row r="366" spans="1:12">
      <c r="A366" s="58" t="s">
        <v>42</v>
      </c>
      <c r="B366" s="58" t="s">
        <v>43</v>
      </c>
      <c r="C366" s="58" t="s">
        <v>44</v>
      </c>
      <c r="D366" s="104" t="s">
        <v>45</v>
      </c>
      <c r="E366" s="104"/>
      <c r="F366" s="104"/>
      <c r="G366" s="104" t="s">
        <v>116</v>
      </c>
      <c r="H366" s="104"/>
      <c r="I366" s="104"/>
      <c r="J366" s="104"/>
      <c r="K366" s="104"/>
      <c r="L366" s="104"/>
    </row>
    <row r="367" spans="1:12">
      <c r="A367" s="59">
        <v>164315198</v>
      </c>
      <c r="B367" s="59"/>
      <c r="C367" s="59"/>
      <c r="D367" s="102" t="s">
        <v>47</v>
      </c>
      <c r="E367" s="102"/>
      <c r="F367" s="102"/>
      <c r="G367" s="102" t="s">
        <v>114</v>
      </c>
      <c r="H367" s="102"/>
      <c r="I367" s="102"/>
      <c r="J367" s="102"/>
      <c r="K367" s="102"/>
      <c r="L367" s="102"/>
    </row>
    <row r="368" spans="1:1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>
      <c r="A371" s="108" t="s">
        <v>49</v>
      </c>
      <c r="B371" s="108"/>
      <c r="C371" s="108"/>
      <c r="D371" s="108"/>
      <c r="E371" s="108"/>
      <c r="F371" s="108"/>
      <c r="G371" s="108" t="s">
        <v>50</v>
      </c>
      <c r="H371" s="108" t="s">
        <v>51</v>
      </c>
      <c r="I371" s="108" t="s">
        <v>52</v>
      </c>
      <c r="J371" s="108"/>
      <c r="K371" s="108" t="s">
        <v>53</v>
      </c>
      <c r="L371" s="108"/>
    </row>
    <row r="372" spans="1:12">
      <c r="A372" s="108"/>
      <c r="B372" s="108"/>
      <c r="C372" s="108"/>
      <c r="D372" s="108"/>
      <c r="E372" s="108"/>
      <c r="F372" s="108"/>
      <c r="G372" s="108"/>
      <c r="H372" s="108"/>
      <c r="I372" s="60" t="s">
        <v>54</v>
      </c>
      <c r="J372" s="60" t="s">
        <v>55</v>
      </c>
      <c r="K372" s="60" t="s">
        <v>56</v>
      </c>
      <c r="L372" s="60" t="s">
        <v>57</v>
      </c>
    </row>
    <row r="373" spans="1:12">
      <c r="A373" s="106" t="s">
        <v>58</v>
      </c>
      <c r="B373" s="106"/>
      <c r="C373" s="106"/>
      <c r="D373" s="106"/>
      <c r="E373" s="106"/>
      <c r="F373" s="106"/>
      <c r="G373" s="21">
        <v>3665.6</v>
      </c>
      <c r="H373" s="22"/>
      <c r="I373" s="21"/>
      <c r="J373" s="21"/>
      <c r="K373" s="21"/>
      <c r="L373" s="21"/>
    </row>
    <row r="374" spans="1:12">
      <c r="A374" s="106" t="s">
        <v>59</v>
      </c>
      <c r="B374" s="106"/>
      <c r="C374" s="106"/>
      <c r="D374" s="106"/>
      <c r="E374" s="106"/>
      <c r="F374" s="106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>
      <c r="A375" s="107" t="s">
        <v>60</v>
      </c>
      <c r="B375" s="107"/>
      <c r="C375" s="107"/>
      <c r="D375" s="107"/>
      <c r="E375" s="107"/>
      <c r="F375" s="107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>
      <c r="A376" s="107" t="s">
        <v>61</v>
      </c>
      <c r="B376" s="107"/>
      <c r="C376" s="107"/>
      <c r="D376" s="107"/>
      <c r="E376" s="107"/>
      <c r="F376" s="107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>
      <c r="A377" s="107" t="s">
        <v>62</v>
      </c>
      <c r="B377" s="107"/>
      <c r="C377" s="107"/>
      <c r="D377" s="107"/>
      <c r="E377" s="107"/>
      <c r="F377" s="107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>
      <c r="A378" s="107" t="s">
        <v>63</v>
      </c>
      <c r="B378" s="107"/>
      <c r="C378" s="107"/>
      <c r="D378" s="107"/>
      <c r="E378" s="107"/>
      <c r="F378" s="107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>
      <c r="A379" s="107" t="s">
        <v>64</v>
      </c>
      <c r="B379" s="107"/>
      <c r="C379" s="107"/>
      <c r="D379" s="107"/>
      <c r="E379" s="107"/>
      <c r="F379" s="107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>
      <c r="A380" s="107" t="s">
        <v>65</v>
      </c>
      <c r="B380" s="107"/>
      <c r="C380" s="107"/>
      <c r="D380" s="107"/>
      <c r="E380" s="107"/>
      <c r="F380" s="107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>
      <c r="A381" s="107" t="s">
        <v>66</v>
      </c>
      <c r="B381" s="107"/>
      <c r="C381" s="107"/>
      <c r="D381" s="107"/>
      <c r="E381" s="107"/>
      <c r="F381" s="107"/>
      <c r="G381" s="29"/>
      <c r="H381" s="30"/>
      <c r="I381" s="30"/>
      <c r="J381" s="25"/>
      <c r="K381" s="26"/>
      <c r="L381" s="26"/>
    </row>
    <row r="382" spans="1:12">
      <c r="A382" s="109">
        <v>0.25</v>
      </c>
      <c r="B382" s="109"/>
      <c r="C382" s="109"/>
      <c r="D382" s="109"/>
      <c r="E382" s="109"/>
      <c r="F382" s="109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>
      <c r="A383" s="109">
        <v>0.5</v>
      </c>
      <c r="B383" s="109"/>
      <c r="C383" s="109"/>
      <c r="D383" s="109"/>
      <c r="E383" s="109"/>
      <c r="F383" s="109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>
      <c r="A384" s="109">
        <v>1</v>
      </c>
      <c r="B384" s="109"/>
      <c r="C384" s="109"/>
      <c r="D384" s="109"/>
      <c r="E384" s="109"/>
      <c r="F384" s="109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>
      <c r="A385" s="106" t="s">
        <v>67</v>
      </c>
      <c r="B385" s="106"/>
      <c r="C385" s="106"/>
      <c r="D385" s="106"/>
      <c r="E385" s="106"/>
      <c r="F385" s="106"/>
      <c r="G385" s="21"/>
      <c r="H385" s="22"/>
      <c r="I385" s="21">
        <f>SUM(I386:I387)</f>
        <v>0</v>
      </c>
      <c r="J385" s="21"/>
      <c r="K385" s="21"/>
      <c r="L385" s="21"/>
    </row>
    <row r="386" spans="1:12">
      <c r="A386" s="107" t="s">
        <v>68</v>
      </c>
      <c r="B386" s="107"/>
      <c r="C386" s="107"/>
      <c r="D386" s="107"/>
      <c r="E386" s="107"/>
      <c r="F386" s="107"/>
      <c r="G386" s="23">
        <f>(G363-A365)/360</f>
        <v>0.84722222222222221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>
      <c r="A387" s="107" t="s">
        <v>69</v>
      </c>
      <c r="B387" s="107"/>
      <c r="C387" s="107"/>
      <c r="D387" s="107"/>
      <c r="E387" s="107"/>
      <c r="F387" s="107"/>
      <c r="G387" s="23"/>
      <c r="H387" s="24"/>
      <c r="I387" s="23"/>
      <c r="J387" s="25"/>
      <c r="K387" s="26"/>
      <c r="L387" s="26"/>
    </row>
    <row r="388" spans="1:12">
      <c r="A388" s="106" t="s">
        <v>70</v>
      </c>
      <c r="B388" s="106"/>
      <c r="C388" s="106"/>
      <c r="D388" s="106"/>
      <c r="E388" s="106"/>
      <c r="F388" s="106"/>
      <c r="G388" s="21"/>
      <c r="H388" s="22"/>
      <c r="I388" s="21">
        <f>SUM(I389:I391)</f>
        <v>600</v>
      </c>
      <c r="J388" s="21"/>
      <c r="K388" s="21"/>
      <c r="L388" s="21"/>
    </row>
    <row r="389" spans="1:12">
      <c r="A389" s="107" t="s">
        <v>71</v>
      </c>
      <c r="B389" s="107"/>
      <c r="C389" s="107"/>
      <c r="D389" s="107"/>
      <c r="E389" s="107"/>
      <c r="F389" s="107"/>
      <c r="G389" s="23"/>
      <c r="H389" s="24"/>
      <c r="I389" s="23">
        <v>600</v>
      </c>
      <c r="J389" s="25"/>
      <c r="K389" s="26"/>
      <c r="L389" s="26"/>
    </row>
    <row r="390" spans="1:12">
      <c r="A390" s="107" t="s">
        <v>72</v>
      </c>
      <c r="B390" s="107"/>
      <c r="C390" s="107"/>
      <c r="D390" s="107"/>
      <c r="E390" s="107"/>
      <c r="F390" s="107"/>
      <c r="G390" s="23"/>
      <c r="H390" s="31">
        <v>0</v>
      </c>
      <c r="I390" s="23"/>
      <c r="J390" s="25"/>
      <c r="K390" s="26"/>
      <c r="L390" s="26"/>
    </row>
    <row r="391" spans="1:12">
      <c r="A391" s="107" t="s">
        <v>73</v>
      </c>
      <c r="B391" s="107"/>
      <c r="C391" s="107"/>
      <c r="D391" s="107"/>
      <c r="E391" s="107"/>
      <c r="F391" s="107"/>
      <c r="G391" s="23"/>
      <c r="H391" s="24"/>
      <c r="I391" s="23"/>
      <c r="J391" s="25"/>
      <c r="K391" s="26"/>
      <c r="L391" s="26"/>
    </row>
    <row r="392" spans="1:12">
      <c r="A392" s="111" t="s">
        <v>74</v>
      </c>
      <c r="B392" s="111"/>
      <c r="C392" s="111"/>
      <c r="D392" s="111"/>
      <c r="E392" s="111"/>
      <c r="F392" s="111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>
      <c r="A393" s="111" t="s">
        <v>75</v>
      </c>
      <c r="B393" s="111"/>
      <c r="C393" s="111"/>
      <c r="D393" s="111"/>
      <c r="E393" s="111"/>
      <c r="F393" s="111"/>
      <c r="G393" s="32"/>
      <c r="H393" s="33"/>
      <c r="I393" s="32">
        <f>I392-I388</f>
        <v>3665.6000000000004</v>
      </c>
      <c r="J393" s="33"/>
      <c r="K393" s="33"/>
      <c r="L393" s="33"/>
    </row>
    <row r="394" spans="1:12">
      <c r="A394" s="107" t="s">
        <v>76</v>
      </c>
      <c r="B394" s="107"/>
      <c r="C394" s="107"/>
      <c r="D394" s="107"/>
      <c r="E394" s="107"/>
      <c r="F394" s="107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>
      <c r="A395" s="107" t="s">
        <v>77</v>
      </c>
      <c r="B395" s="107"/>
      <c r="C395" s="107"/>
      <c r="D395" s="107"/>
      <c r="E395" s="107"/>
      <c r="F395" s="107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>
      <c r="A396" s="107" t="s">
        <v>78</v>
      </c>
      <c r="B396" s="107"/>
      <c r="C396" s="107"/>
      <c r="D396" s="107"/>
      <c r="E396" s="107"/>
      <c r="F396" s="107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>
      <c r="A397" s="107" t="s">
        <v>79</v>
      </c>
      <c r="B397" s="107"/>
      <c r="C397" s="107"/>
      <c r="D397" s="107"/>
      <c r="E397" s="107"/>
      <c r="F397" s="107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>
      <c r="A398" s="107" t="s">
        <v>80</v>
      </c>
      <c r="B398" s="107"/>
      <c r="C398" s="107"/>
      <c r="D398" s="107"/>
      <c r="E398" s="107"/>
      <c r="F398" s="107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>
      <c r="A399" s="107" t="s">
        <v>81</v>
      </c>
      <c r="B399" s="107"/>
      <c r="C399" s="107"/>
      <c r="D399" s="107"/>
      <c r="E399" s="107"/>
      <c r="F399" s="107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>
      <c r="A400" s="107" t="s">
        <v>24</v>
      </c>
      <c r="B400" s="107"/>
      <c r="C400" s="107"/>
      <c r="D400" s="107"/>
      <c r="E400" s="107"/>
      <c r="F400" s="107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>
      <c r="A401" s="110" t="s">
        <v>82</v>
      </c>
      <c r="B401" s="110"/>
      <c r="C401" s="110"/>
      <c r="D401" s="110"/>
      <c r="E401" s="110"/>
      <c r="F401" s="110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>
      <c r="A402" s="110" t="s">
        <v>83</v>
      </c>
      <c r="B402" s="110"/>
      <c r="C402" s="110"/>
      <c r="D402" s="110"/>
      <c r="E402" s="110"/>
      <c r="F402" s="110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>
      <c r="A403" s="106" t="s">
        <v>84</v>
      </c>
      <c r="B403" s="106"/>
      <c r="C403" s="106"/>
      <c r="D403" s="106"/>
      <c r="E403" s="106"/>
      <c r="F403" s="106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>
      <c r="A404" s="107" t="s">
        <v>85</v>
      </c>
      <c r="B404" s="107"/>
      <c r="C404" s="107"/>
      <c r="D404" s="107"/>
      <c r="E404" s="107"/>
      <c r="F404" s="107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>
      <c r="A405" s="111" t="s">
        <v>86</v>
      </c>
      <c r="B405" s="111"/>
      <c r="C405" s="111"/>
      <c r="D405" s="111"/>
      <c r="E405" s="111"/>
      <c r="F405" s="111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>
      <c r="A406" s="107" t="s">
        <v>87</v>
      </c>
      <c r="B406" s="107"/>
      <c r="C406" s="107"/>
      <c r="D406" s="107"/>
      <c r="E406" s="107"/>
      <c r="F406" s="107"/>
      <c r="G406" s="23"/>
      <c r="H406" s="34"/>
      <c r="I406" s="23">
        <f>H406*180/360</f>
        <v>0</v>
      </c>
      <c r="J406" s="23"/>
      <c r="K406" s="46"/>
      <c r="L406" s="47"/>
    </row>
    <row r="407" spans="1:12">
      <c r="A407" s="111" t="s">
        <v>115</v>
      </c>
      <c r="B407" s="111"/>
      <c r="C407" s="111"/>
      <c r="D407" s="111"/>
      <c r="E407" s="111"/>
      <c r="F407" s="111"/>
      <c r="G407" s="32"/>
      <c r="H407" s="33"/>
      <c r="I407" s="32">
        <f>I405-I406</f>
        <v>2685.4185600000001</v>
      </c>
      <c r="J407" s="33"/>
      <c r="K407" s="33"/>
      <c r="L407" s="33"/>
    </row>
    <row r="408" spans="1:12">
      <c r="A408" s="107" t="s">
        <v>89</v>
      </c>
      <c r="B408" s="107"/>
      <c r="C408" s="107"/>
      <c r="D408" s="107"/>
      <c r="E408" s="107"/>
      <c r="F408" s="107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>
      <c r="A409" s="107" t="s">
        <v>90</v>
      </c>
      <c r="B409" s="107"/>
      <c r="C409" s="107"/>
      <c r="D409" s="107"/>
      <c r="E409" s="107"/>
      <c r="F409" s="107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>
      <c r="A410" s="106" t="s">
        <v>91</v>
      </c>
      <c r="B410" s="106"/>
      <c r="C410" s="106"/>
      <c r="D410" s="106"/>
      <c r="E410" s="106"/>
      <c r="F410" s="106"/>
      <c r="G410" s="21"/>
      <c r="H410" s="22"/>
      <c r="I410" s="21"/>
      <c r="J410" s="21">
        <f>J408-J409</f>
        <v>18.541855999999996</v>
      </c>
      <c r="K410" s="21"/>
      <c r="L410" s="21"/>
    </row>
    <row r="411" spans="1:12">
      <c r="A411" s="112" t="s">
        <v>92</v>
      </c>
      <c r="B411" s="112"/>
      <c r="C411" s="112"/>
      <c r="D411" s="112"/>
      <c r="E411" s="112"/>
      <c r="F411" s="112"/>
      <c r="G411" s="25"/>
      <c r="H411" s="48"/>
      <c r="I411" s="47"/>
      <c r="J411" s="49">
        <v>0</v>
      </c>
      <c r="K411" s="46"/>
      <c r="L411" s="47"/>
    </row>
    <row r="412" spans="1:12">
      <c r="A412" s="107" t="s">
        <v>93</v>
      </c>
      <c r="B412" s="107"/>
      <c r="C412" s="107"/>
      <c r="D412" s="107"/>
      <c r="E412" s="107"/>
      <c r="F412" s="107"/>
      <c r="G412" s="25"/>
      <c r="H412" s="48"/>
      <c r="I412" s="44"/>
      <c r="J412" s="28">
        <v>0</v>
      </c>
      <c r="K412" s="46"/>
      <c r="L412" s="47"/>
    </row>
    <row r="413" spans="1:12">
      <c r="A413" s="113" t="s">
        <v>94</v>
      </c>
      <c r="B413" s="113"/>
      <c r="C413" s="113"/>
      <c r="D413" s="113"/>
      <c r="E413" s="113"/>
      <c r="F413" s="113"/>
      <c r="G413" s="41"/>
      <c r="H413" s="42"/>
      <c r="I413" s="28"/>
      <c r="J413" s="41"/>
      <c r="K413" s="43"/>
      <c r="L413" s="44"/>
    </row>
    <row r="414" spans="1:1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>
      <c r="A415" s="58" t="s">
        <v>95</v>
      </c>
      <c r="B415" s="58" t="s">
        <v>96</v>
      </c>
      <c r="C415" s="58" t="s">
        <v>97</v>
      </c>
      <c r="D415" s="104" t="s">
        <v>98</v>
      </c>
      <c r="E415" s="104"/>
      <c r="F415" s="104"/>
      <c r="G415" s="58" t="s">
        <v>99</v>
      </c>
      <c r="H415" s="50"/>
      <c r="I415" s="57">
        <f>I392+I413</f>
        <v>4265.6000000000004</v>
      </c>
      <c r="J415" s="57">
        <f>J403+J410+J411+J412</f>
        <v>265.60329600000006</v>
      </c>
      <c r="K415" s="58" t="s">
        <v>100</v>
      </c>
      <c r="L415" s="57">
        <f>L403</f>
        <v>846.38704000000007</v>
      </c>
    </row>
    <row r="416" spans="1:12">
      <c r="A416" s="57">
        <f>38390.4+I392</f>
        <v>42656</v>
      </c>
      <c r="B416" s="57">
        <f>32990.4+I393</f>
        <v>36656</v>
      </c>
      <c r="C416" s="57">
        <f>1477.98+J394</f>
        <v>1642.1988800000001</v>
      </c>
      <c r="D416" s="114">
        <f>166.87+J410</f>
        <v>185.411856</v>
      </c>
      <c r="E416" s="114"/>
      <c r="F416" s="114"/>
      <c r="G416" s="57">
        <f>36000+I415</f>
        <v>40265.599999999999</v>
      </c>
      <c r="H416" s="104" t="s">
        <v>101</v>
      </c>
      <c r="I416" s="104"/>
      <c r="J416" s="57">
        <f>I415-J415</f>
        <v>3999.9967040000001</v>
      </c>
      <c r="K416" s="58" t="s">
        <v>102</v>
      </c>
      <c r="L416" s="57">
        <f>8246.37+L415</f>
        <v>9092.7570400000004</v>
      </c>
    </row>
    <row r="417" spans="1:1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417"/>
  <sheetViews>
    <sheetView topLeftCell="C1" workbookViewId="0">
      <selection activeCell="I54" sqref="I54"/>
    </sheetView>
  </sheetViews>
  <sheetFormatPr baseColWidth="10" defaultRowHeight="15"/>
  <sheetData>
    <row r="1" spans="1:12">
      <c r="A1" s="105" t="s">
        <v>26</v>
      </c>
      <c r="B1" s="105"/>
      <c r="C1" s="105" t="s">
        <v>27</v>
      </c>
      <c r="D1" s="105"/>
      <c r="E1" s="105"/>
      <c r="F1" s="105"/>
      <c r="G1" s="105" t="s">
        <v>28</v>
      </c>
      <c r="H1" s="105"/>
      <c r="I1" s="105"/>
      <c r="J1" s="105" t="s">
        <v>29</v>
      </c>
      <c r="K1" s="105"/>
      <c r="L1" s="105"/>
    </row>
    <row r="2" spans="1:12">
      <c r="A2" s="58" t="s">
        <v>30</v>
      </c>
      <c r="B2" s="104" t="s">
        <v>31</v>
      </c>
      <c r="C2" s="104"/>
      <c r="D2" s="104"/>
      <c r="E2" s="104"/>
      <c r="F2" s="104"/>
      <c r="G2" s="104" t="s">
        <v>32</v>
      </c>
      <c r="H2" s="104"/>
      <c r="I2" s="104"/>
      <c r="J2" s="104"/>
      <c r="K2" s="104"/>
      <c r="L2" s="104"/>
    </row>
    <row r="3" spans="1:12">
      <c r="A3" s="59">
        <v>1</v>
      </c>
      <c r="B3" s="102" t="s">
        <v>33</v>
      </c>
      <c r="C3" s="102"/>
      <c r="D3" s="102"/>
      <c r="E3" s="102"/>
      <c r="F3" s="102"/>
      <c r="G3" s="103">
        <v>42614</v>
      </c>
      <c r="H3" s="103"/>
      <c r="I3" s="103"/>
      <c r="J3" s="103">
        <v>42643</v>
      </c>
      <c r="K3" s="103"/>
      <c r="L3" s="103"/>
    </row>
    <row r="4" spans="1:12">
      <c r="A4" s="58" t="s">
        <v>34</v>
      </c>
      <c r="B4" s="58" t="s">
        <v>35</v>
      </c>
      <c r="C4" s="58" t="s">
        <v>36</v>
      </c>
      <c r="D4" s="58" t="s">
        <v>37</v>
      </c>
      <c r="E4" s="58" t="s">
        <v>38</v>
      </c>
      <c r="F4" s="58" t="s">
        <v>39</v>
      </c>
      <c r="G4" s="104" t="s">
        <v>40</v>
      </c>
      <c r="H4" s="104"/>
      <c r="I4" s="104"/>
      <c r="J4" s="104"/>
      <c r="K4" s="104"/>
      <c r="L4" s="104"/>
    </row>
    <row r="5" spans="1:12">
      <c r="A5" s="17">
        <v>41501</v>
      </c>
      <c r="B5" s="59"/>
      <c r="C5" s="17">
        <v>24624</v>
      </c>
      <c r="D5" s="59" t="s">
        <v>41</v>
      </c>
      <c r="E5" s="59">
        <v>0</v>
      </c>
      <c r="F5" s="59">
        <v>0</v>
      </c>
      <c r="G5" s="102"/>
      <c r="H5" s="102"/>
      <c r="I5" s="102"/>
      <c r="J5" s="102"/>
      <c r="K5" s="102"/>
      <c r="L5" s="102"/>
    </row>
    <row r="6" spans="1:12">
      <c r="A6" s="58" t="s">
        <v>42</v>
      </c>
      <c r="B6" s="58" t="s">
        <v>43</v>
      </c>
      <c r="C6" s="58" t="s">
        <v>44</v>
      </c>
      <c r="D6" s="104" t="s">
        <v>45</v>
      </c>
      <c r="E6" s="104"/>
      <c r="F6" s="104"/>
      <c r="G6" s="104" t="s">
        <v>46</v>
      </c>
      <c r="H6" s="104"/>
      <c r="I6" s="104"/>
      <c r="J6" s="104"/>
      <c r="K6" s="104"/>
      <c r="L6" s="104"/>
    </row>
    <row r="7" spans="1:12">
      <c r="A7" s="59">
        <v>189838836</v>
      </c>
      <c r="B7" s="59"/>
      <c r="C7" s="59"/>
      <c r="D7" s="102" t="s">
        <v>47</v>
      </c>
      <c r="E7" s="102"/>
      <c r="F7" s="102"/>
      <c r="G7" s="102" t="s">
        <v>48</v>
      </c>
      <c r="H7" s="102"/>
      <c r="I7" s="102"/>
      <c r="J7" s="102"/>
      <c r="K7" s="102"/>
      <c r="L7" s="102"/>
    </row>
    <row r="8" spans="1:1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108" t="s">
        <v>49</v>
      </c>
      <c r="B11" s="108"/>
      <c r="C11" s="108"/>
      <c r="D11" s="108"/>
      <c r="E11" s="108"/>
      <c r="F11" s="108"/>
      <c r="G11" s="108" t="s">
        <v>50</v>
      </c>
      <c r="H11" s="108" t="s">
        <v>51</v>
      </c>
      <c r="I11" s="108" t="s">
        <v>52</v>
      </c>
      <c r="J11" s="108"/>
      <c r="K11" s="108" t="s">
        <v>53</v>
      </c>
      <c r="L11" s="108"/>
    </row>
    <row r="12" spans="1:12">
      <c r="A12" s="108"/>
      <c r="B12" s="108"/>
      <c r="C12" s="108"/>
      <c r="D12" s="108"/>
      <c r="E12" s="108"/>
      <c r="F12" s="108"/>
      <c r="G12" s="108"/>
      <c r="H12" s="108"/>
      <c r="I12" s="60" t="s">
        <v>54</v>
      </c>
      <c r="J12" s="60" t="s">
        <v>55</v>
      </c>
      <c r="K12" s="60" t="s">
        <v>56</v>
      </c>
      <c r="L12" s="60" t="s">
        <v>57</v>
      </c>
    </row>
    <row r="13" spans="1:12">
      <c r="A13" s="106" t="s">
        <v>58</v>
      </c>
      <c r="B13" s="106"/>
      <c r="C13" s="106"/>
      <c r="D13" s="106"/>
      <c r="E13" s="106"/>
      <c r="F13" s="106"/>
      <c r="G13" s="21">
        <v>12255.93</v>
      </c>
      <c r="H13" s="22"/>
      <c r="I13" s="21"/>
      <c r="J13" s="21"/>
      <c r="K13" s="21"/>
      <c r="L13" s="21"/>
    </row>
    <row r="14" spans="1:12">
      <c r="A14" s="106" t="s">
        <v>59</v>
      </c>
      <c r="B14" s="106"/>
      <c r="C14" s="106"/>
      <c r="D14" s="106"/>
      <c r="E14" s="106"/>
      <c r="F14" s="106"/>
      <c r="G14" s="21"/>
      <c r="H14" s="21"/>
      <c r="I14" s="21">
        <f>IF(I15+I16-J17-J18+I19+I22+I23+I24+I20&lt;G13,I15+I16-J17-J18+I19+I22+I23+I24+I20,G13)</f>
        <v>10841.784230769232</v>
      </c>
      <c r="J14" s="21"/>
      <c r="K14" s="21"/>
      <c r="L14" s="21"/>
    </row>
    <row r="15" spans="1:12">
      <c r="A15" s="107" t="s">
        <v>60</v>
      </c>
      <c r="B15" s="107"/>
      <c r="C15" s="107"/>
      <c r="D15" s="107"/>
      <c r="E15" s="107"/>
      <c r="F15" s="107"/>
      <c r="G15" s="23"/>
      <c r="H15" s="24">
        <v>23</v>
      </c>
      <c r="I15" s="23">
        <f>G13/26*H15</f>
        <v>10841.784230769232</v>
      </c>
      <c r="J15" s="25"/>
      <c r="K15" s="26"/>
      <c r="L15" s="26"/>
    </row>
    <row r="16" spans="1:12">
      <c r="A16" s="107" t="s">
        <v>61</v>
      </c>
      <c r="B16" s="107"/>
      <c r="C16" s="107"/>
      <c r="D16" s="107"/>
      <c r="E16" s="107"/>
      <c r="F16" s="107"/>
      <c r="G16" s="23"/>
      <c r="H16" s="24">
        <v>0</v>
      </c>
      <c r="I16" s="23">
        <f>G13/26*H16</f>
        <v>0</v>
      </c>
      <c r="J16" s="25"/>
      <c r="K16" s="26"/>
      <c r="L16" s="26"/>
    </row>
    <row r="17" spans="1:12">
      <c r="A17" s="107" t="s">
        <v>62</v>
      </c>
      <c r="B17" s="107"/>
      <c r="C17" s="107"/>
      <c r="D17" s="107"/>
      <c r="E17" s="107"/>
      <c r="F17" s="107"/>
      <c r="G17" s="23"/>
      <c r="H17" s="24">
        <v>0</v>
      </c>
      <c r="I17" s="23"/>
      <c r="J17" s="27">
        <f>G13/26*H17</f>
        <v>0</v>
      </c>
      <c r="K17" s="26"/>
      <c r="L17" s="26"/>
    </row>
    <row r="18" spans="1:12">
      <c r="A18" s="107" t="s">
        <v>63</v>
      </c>
      <c r="B18" s="107"/>
      <c r="C18" s="107"/>
      <c r="D18" s="107"/>
      <c r="E18" s="107"/>
      <c r="F18" s="107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>
      <c r="A19" s="107" t="s">
        <v>64</v>
      </c>
      <c r="B19" s="107"/>
      <c r="C19" s="107"/>
      <c r="D19" s="107"/>
      <c r="E19" s="107"/>
      <c r="F19" s="107"/>
      <c r="G19" s="23"/>
      <c r="H19" s="24">
        <v>0</v>
      </c>
      <c r="I19" s="23">
        <f>G13/26*H19</f>
        <v>0</v>
      </c>
      <c r="J19" s="25"/>
      <c r="K19" s="26"/>
      <c r="L19" s="26"/>
    </row>
    <row r="20" spans="1:12">
      <c r="A20" s="107" t="s">
        <v>65</v>
      </c>
      <c r="B20" s="107"/>
      <c r="C20" s="107"/>
      <c r="D20" s="107"/>
      <c r="E20" s="107"/>
      <c r="F20" s="107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>
      <c r="A21" s="107" t="s">
        <v>66</v>
      </c>
      <c r="B21" s="107"/>
      <c r="C21" s="107"/>
      <c r="D21" s="107"/>
      <c r="E21" s="107"/>
      <c r="F21" s="107"/>
      <c r="G21" s="29"/>
      <c r="H21" s="30"/>
      <c r="I21" s="30"/>
      <c r="J21" s="25"/>
      <c r="K21" s="26"/>
      <c r="L21" s="26"/>
    </row>
    <row r="22" spans="1:12">
      <c r="A22" s="109">
        <v>0.25</v>
      </c>
      <c r="B22" s="109"/>
      <c r="C22" s="109"/>
      <c r="D22" s="109"/>
      <c r="E22" s="109"/>
      <c r="F22" s="109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>
      <c r="A23" s="109">
        <v>0.5</v>
      </c>
      <c r="B23" s="109"/>
      <c r="C23" s="109"/>
      <c r="D23" s="109"/>
      <c r="E23" s="109"/>
      <c r="F23" s="109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>
      <c r="A24" s="109">
        <v>1</v>
      </c>
      <c r="B24" s="109"/>
      <c r="C24" s="109"/>
      <c r="D24" s="109"/>
      <c r="E24" s="109"/>
      <c r="F24" s="109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>
      <c r="A25" s="106" t="s">
        <v>67</v>
      </c>
      <c r="B25" s="106"/>
      <c r="C25" s="106"/>
      <c r="D25" s="106"/>
      <c r="E25" s="106"/>
      <c r="F25" s="106"/>
      <c r="G25" s="21"/>
      <c r="H25" s="22"/>
      <c r="I25" s="21">
        <f>SUM(I26:I27)</f>
        <v>542.08921153846165</v>
      </c>
      <c r="J25" s="21"/>
      <c r="K25" s="21"/>
      <c r="L25" s="21"/>
    </row>
    <row r="26" spans="1:12">
      <c r="A26" s="107" t="s">
        <v>68</v>
      </c>
      <c r="B26" s="107"/>
      <c r="C26" s="107"/>
      <c r="D26" s="107"/>
      <c r="E26" s="107"/>
      <c r="F26" s="107"/>
      <c r="G26" s="23">
        <f>(G3-A5)/360</f>
        <v>3.0916666666666668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542.08921153846165</v>
      </c>
      <c r="J26" s="25"/>
      <c r="K26" s="26"/>
      <c r="L26" s="26"/>
    </row>
    <row r="27" spans="1:12">
      <c r="A27" s="107" t="s">
        <v>69</v>
      </c>
      <c r="B27" s="107"/>
      <c r="C27" s="107"/>
      <c r="D27" s="107"/>
      <c r="E27" s="107"/>
      <c r="F27" s="107"/>
      <c r="G27" s="23"/>
      <c r="H27" s="24"/>
      <c r="I27" s="23"/>
      <c r="J27" s="25"/>
      <c r="K27" s="26"/>
      <c r="L27" s="26"/>
    </row>
    <row r="28" spans="1:12">
      <c r="A28" s="106" t="s">
        <v>70</v>
      </c>
      <c r="B28" s="106"/>
      <c r="C28" s="106"/>
      <c r="D28" s="106"/>
      <c r="E28" s="106"/>
      <c r="F28" s="106"/>
      <c r="G28" s="21"/>
      <c r="H28" s="22"/>
      <c r="I28" s="21">
        <f>SUM(I29:I31)</f>
        <v>5000</v>
      </c>
      <c r="J28" s="21"/>
      <c r="K28" s="21"/>
      <c r="L28" s="21"/>
    </row>
    <row r="29" spans="1:12">
      <c r="A29" s="107" t="s">
        <v>71</v>
      </c>
      <c r="B29" s="107"/>
      <c r="C29" s="107"/>
      <c r="D29" s="107"/>
      <c r="E29" s="107"/>
      <c r="F29" s="107"/>
      <c r="G29" s="23"/>
      <c r="H29" s="24"/>
      <c r="I29" s="23">
        <v>2500</v>
      </c>
      <c r="J29" s="25"/>
      <c r="K29" s="26"/>
      <c r="L29" s="26"/>
    </row>
    <row r="30" spans="1:12">
      <c r="A30" s="107" t="s">
        <v>72</v>
      </c>
      <c r="B30" s="107"/>
      <c r="C30" s="107"/>
      <c r="D30" s="107"/>
      <c r="E30" s="107"/>
      <c r="F30" s="107"/>
      <c r="G30" s="23"/>
      <c r="H30" s="31">
        <v>0</v>
      </c>
      <c r="I30" s="23">
        <v>2500</v>
      </c>
      <c r="J30" s="25"/>
      <c r="K30" s="26"/>
      <c r="L30" s="26"/>
    </row>
    <row r="31" spans="1:12">
      <c r="A31" s="107" t="s">
        <v>73</v>
      </c>
      <c r="B31" s="107"/>
      <c r="C31" s="107"/>
      <c r="D31" s="107"/>
      <c r="E31" s="107"/>
      <c r="F31" s="107"/>
      <c r="G31" s="23"/>
      <c r="H31" s="24"/>
      <c r="I31" s="23"/>
      <c r="J31" s="25"/>
      <c r="K31" s="26"/>
      <c r="L31" s="26"/>
    </row>
    <row r="32" spans="1:12">
      <c r="A32" s="111" t="s">
        <v>74</v>
      </c>
      <c r="B32" s="111"/>
      <c r="C32" s="111"/>
      <c r="D32" s="111"/>
      <c r="E32" s="111"/>
      <c r="F32" s="111"/>
      <c r="G32" s="32"/>
      <c r="H32" s="33"/>
      <c r="I32" s="32">
        <f>I14+I25+I28</f>
        <v>16383.873442307693</v>
      </c>
      <c r="J32" s="33"/>
      <c r="K32" s="33"/>
      <c r="L32" s="33"/>
    </row>
    <row r="33" spans="1:12">
      <c r="A33" s="111" t="s">
        <v>75</v>
      </c>
      <c r="B33" s="111"/>
      <c r="C33" s="111"/>
      <c r="D33" s="111"/>
      <c r="E33" s="111"/>
      <c r="F33" s="111"/>
      <c r="G33" s="32"/>
      <c r="H33" s="33"/>
      <c r="I33" s="32">
        <f>I32-I28</f>
        <v>11383.873442307693</v>
      </c>
      <c r="J33" s="33"/>
      <c r="K33" s="33"/>
      <c r="L33" s="33"/>
    </row>
    <row r="34" spans="1:12">
      <c r="A34" s="107" t="s">
        <v>76</v>
      </c>
      <c r="B34" s="107"/>
      <c r="C34" s="107"/>
      <c r="D34" s="107"/>
      <c r="E34" s="107"/>
      <c r="F34" s="107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>
      <c r="A35" s="107" t="s">
        <v>77</v>
      </c>
      <c r="B35" s="107"/>
      <c r="C35" s="107"/>
      <c r="D35" s="107"/>
      <c r="E35" s="107"/>
      <c r="F35" s="107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>
      <c r="A36" s="107" t="s">
        <v>78</v>
      </c>
      <c r="B36" s="107"/>
      <c r="C36" s="107"/>
      <c r="D36" s="107"/>
      <c r="E36" s="107"/>
      <c r="F36" s="107"/>
      <c r="G36" s="23"/>
      <c r="H36" s="34">
        <v>0.03</v>
      </c>
      <c r="I36" s="23"/>
      <c r="J36" s="23">
        <f>I33*H36</f>
        <v>341.5162032692308</v>
      </c>
      <c r="K36" s="35">
        <v>0.02</v>
      </c>
      <c r="L36" s="23">
        <f>I33*K36</f>
        <v>227.67746884615386</v>
      </c>
    </row>
    <row r="37" spans="1:12">
      <c r="A37" s="107" t="s">
        <v>79</v>
      </c>
      <c r="B37" s="107"/>
      <c r="C37" s="107"/>
      <c r="D37" s="107"/>
      <c r="E37" s="107"/>
      <c r="F37" s="107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>
      <c r="A38" s="107" t="s">
        <v>80</v>
      </c>
      <c r="B38" s="107"/>
      <c r="C38" s="107"/>
      <c r="D38" s="107"/>
      <c r="E38" s="107"/>
      <c r="F38" s="107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>
      <c r="A39" s="107" t="s">
        <v>81</v>
      </c>
      <c r="B39" s="107"/>
      <c r="C39" s="107"/>
      <c r="D39" s="107"/>
      <c r="E39" s="107"/>
      <c r="F39" s="107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>
      <c r="A40" s="107" t="s">
        <v>24</v>
      </c>
      <c r="B40" s="107"/>
      <c r="C40" s="107"/>
      <c r="D40" s="107"/>
      <c r="E40" s="107"/>
      <c r="F40" s="107"/>
      <c r="G40" s="23"/>
      <c r="H40" s="34" t="str">
        <f>[1]Taux!D$7</f>
        <v>2,26%</v>
      </c>
      <c r="I40" s="23"/>
      <c r="J40" s="23">
        <f>I33*H40</f>
        <v>257.27553979615385</v>
      </c>
      <c r="K40" s="34" t="str">
        <f>[1]Taux!C$7</f>
        <v>4,11%</v>
      </c>
      <c r="L40" s="23">
        <f>I33*K40</f>
        <v>467.87719847884614</v>
      </c>
    </row>
    <row r="41" spans="1:12">
      <c r="A41" s="110" t="s">
        <v>82</v>
      </c>
      <c r="B41" s="110"/>
      <c r="C41" s="110"/>
      <c r="D41" s="110"/>
      <c r="E41" s="110"/>
      <c r="F41" s="110"/>
      <c r="G41" s="37"/>
      <c r="H41" s="38"/>
      <c r="I41" s="39"/>
      <c r="J41" s="40"/>
      <c r="K41" s="34" t="str">
        <f>[1]Taux!C$4</f>
        <v>6,40%</v>
      </c>
      <c r="L41" s="23">
        <f>I33*K41</f>
        <v>728.56790030769241</v>
      </c>
    </row>
    <row r="42" spans="1:12">
      <c r="A42" s="110" t="s">
        <v>83</v>
      </c>
      <c r="B42" s="110"/>
      <c r="C42" s="110"/>
      <c r="D42" s="110"/>
      <c r="E42" s="110"/>
      <c r="F42" s="110"/>
      <c r="G42" s="41"/>
      <c r="H42" s="42"/>
      <c r="I42" s="43"/>
      <c r="J42" s="44"/>
      <c r="K42" s="34" t="str">
        <f>[1]Taux!C$8</f>
        <v>1,6 %</v>
      </c>
      <c r="L42" s="23">
        <f>I33*K42</f>
        <v>182.1419750769231</v>
      </c>
    </row>
    <row r="43" spans="1:12">
      <c r="A43" s="106" t="s">
        <v>84</v>
      </c>
      <c r="B43" s="106"/>
      <c r="C43" s="106"/>
      <c r="D43" s="106"/>
      <c r="E43" s="106"/>
      <c r="F43" s="106"/>
      <c r="G43" s="21"/>
      <c r="H43" s="22"/>
      <c r="I43" s="22"/>
      <c r="J43" s="21">
        <f>SUM(J34:J40)</f>
        <v>867.59174306538466</v>
      </c>
      <c r="K43" s="21"/>
      <c r="L43" s="21">
        <f>SUM(L34:L42)</f>
        <v>2145.0645427096156</v>
      </c>
    </row>
    <row r="44" spans="1:12">
      <c r="A44" s="107" t="s">
        <v>85</v>
      </c>
      <c r="B44" s="107"/>
      <c r="C44" s="107"/>
      <c r="D44" s="107"/>
      <c r="E44" s="107"/>
      <c r="F44" s="107"/>
      <c r="G44" s="23"/>
      <c r="H44" s="45">
        <v>0.2</v>
      </c>
      <c r="I44" s="23"/>
      <c r="J44" s="23">
        <f>IF(I33*H44&lt;2500,I33*H44,2500)</f>
        <v>2276.7746884615385</v>
      </c>
      <c r="K44" s="46"/>
      <c r="L44" s="47"/>
    </row>
    <row r="45" spans="1:12">
      <c r="A45" s="111" t="s">
        <v>86</v>
      </c>
      <c r="B45" s="111"/>
      <c r="C45" s="111"/>
      <c r="D45" s="111"/>
      <c r="E45" s="111"/>
      <c r="F45" s="111"/>
      <c r="G45" s="32"/>
      <c r="H45" s="33"/>
      <c r="I45" s="32">
        <f>I33-J43-J44</f>
        <v>8239.5070107807696</v>
      </c>
      <c r="J45" s="33"/>
      <c r="K45" s="33"/>
      <c r="L45" s="33"/>
    </row>
    <row r="46" spans="1:12">
      <c r="A46" s="107" t="s">
        <v>87</v>
      </c>
      <c r="B46" s="107"/>
      <c r="C46" s="107"/>
      <c r="D46" s="107"/>
      <c r="E46" s="107"/>
      <c r="F46" s="107"/>
      <c r="G46" s="23"/>
      <c r="H46" s="34"/>
      <c r="I46" s="23">
        <f>H46*180/360</f>
        <v>0</v>
      </c>
      <c r="J46" s="23"/>
      <c r="K46" s="46"/>
      <c r="L46" s="47"/>
    </row>
    <row r="47" spans="1:12">
      <c r="A47" s="111" t="s">
        <v>88</v>
      </c>
      <c r="B47" s="111"/>
      <c r="C47" s="111"/>
      <c r="D47" s="111"/>
      <c r="E47" s="111"/>
      <c r="F47" s="111"/>
      <c r="G47" s="32"/>
      <c r="H47" s="33"/>
      <c r="I47" s="32">
        <f>I45-I46</f>
        <v>8239.5070107807696</v>
      </c>
      <c r="J47" s="33"/>
      <c r="K47" s="33"/>
      <c r="L47" s="33"/>
    </row>
    <row r="48" spans="1:12">
      <c r="A48" s="107" t="s">
        <v>89</v>
      </c>
      <c r="B48" s="107"/>
      <c r="C48" s="107"/>
      <c r="D48" s="107"/>
      <c r="E48" s="107"/>
      <c r="F48" s="107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1368.0990503321284</v>
      </c>
      <c r="K48" s="46"/>
      <c r="L48" s="47"/>
    </row>
    <row r="49" spans="1:12">
      <c r="A49" s="107" t="s">
        <v>90</v>
      </c>
      <c r="B49" s="107"/>
      <c r="C49" s="107"/>
      <c r="D49" s="107"/>
      <c r="E49" s="107"/>
      <c r="F49" s="107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>
      <c r="A50" s="106" t="s">
        <v>91</v>
      </c>
      <c r="B50" s="106"/>
      <c r="C50" s="106"/>
      <c r="D50" s="106"/>
      <c r="E50" s="106"/>
      <c r="F50" s="106"/>
      <c r="G50" s="21"/>
      <c r="H50" s="22"/>
      <c r="I50" s="21"/>
      <c r="J50" s="21">
        <f>J48-J49</f>
        <v>1368.0990503321284</v>
      </c>
      <c r="K50" s="21"/>
      <c r="L50" s="21"/>
    </row>
    <row r="51" spans="1:12">
      <c r="A51" s="112" t="s">
        <v>92</v>
      </c>
      <c r="B51" s="112"/>
      <c r="C51" s="112"/>
      <c r="D51" s="112"/>
      <c r="E51" s="112"/>
      <c r="F51" s="112"/>
      <c r="G51" s="25"/>
      <c r="H51" s="48"/>
      <c r="I51" s="47"/>
      <c r="J51" s="49">
        <v>0</v>
      </c>
      <c r="K51" s="46"/>
      <c r="L51" s="47"/>
    </row>
    <row r="52" spans="1:12">
      <c r="A52" s="107" t="s">
        <v>93</v>
      </c>
      <c r="B52" s="107"/>
      <c r="C52" s="107"/>
      <c r="D52" s="107"/>
      <c r="E52" s="107"/>
      <c r="F52" s="107"/>
      <c r="G52" s="25"/>
      <c r="H52" s="48"/>
      <c r="I52" s="44"/>
      <c r="J52" s="28">
        <v>0</v>
      </c>
      <c r="K52" s="46"/>
      <c r="L52" s="47"/>
    </row>
    <row r="53" spans="1:12">
      <c r="A53" s="113" t="s">
        <v>94</v>
      </c>
      <c r="B53" s="113"/>
      <c r="C53" s="113"/>
      <c r="D53" s="113"/>
      <c r="E53" s="113"/>
      <c r="F53" s="113"/>
      <c r="G53" s="41"/>
      <c r="H53" s="42"/>
      <c r="I53" s="28">
        <f>1-0.68</f>
        <v>0.31999999999999995</v>
      </c>
      <c r="J53" s="41"/>
      <c r="K53" s="43"/>
      <c r="L53" s="44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58" t="s">
        <v>95</v>
      </c>
      <c r="B55" s="58" t="s">
        <v>96</v>
      </c>
      <c r="C55" s="58" t="s">
        <v>97</v>
      </c>
      <c r="D55" s="104" t="s">
        <v>98</v>
      </c>
      <c r="E55" s="104"/>
      <c r="F55" s="104"/>
      <c r="G55" s="58" t="s">
        <v>99</v>
      </c>
      <c r="H55" s="50"/>
      <c r="I55" s="57">
        <f>I32+I53</f>
        <v>16384.193442307693</v>
      </c>
      <c r="J55" s="57">
        <f>J43+J50+J51+J52</f>
        <v>2235.6907933975131</v>
      </c>
      <c r="K55" s="58" t="s">
        <v>100</v>
      </c>
      <c r="L55" s="57">
        <f>L43</f>
        <v>2145.0645427096156</v>
      </c>
    </row>
    <row r="56" spans="1:12">
      <c r="A56" s="57">
        <f>156411.11+I32</f>
        <v>172794.98344230768</v>
      </c>
      <c r="B56" s="57">
        <f>111411.11+I33</f>
        <v>122794.9834423077</v>
      </c>
      <c r="C56" s="57">
        <f>2419.2+J34</f>
        <v>2688</v>
      </c>
      <c r="D56" s="114">
        <f>14978.83+J50</f>
        <v>16346.929050332128</v>
      </c>
      <c r="E56" s="114"/>
      <c r="F56" s="114"/>
      <c r="G56" s="57">
        <f>133157+I55</f>
        <v>149541.1934423077</v>
      </c>
      <c r="H56" s="104" t="s">
        <v>101</v>
      </c>
      <c r="I56" s="104"/>
      <c r="J56" s="57">
        <f>I55-J55</f>
        <v>14148.50264891018</v>
      </c>
      <c r="K56" s="58" t="s">
        <v>102</v>
      </c>
      <c r="L56" s="57">
        <f>20499.47+L55</f>
        <v>22644.534542709618</v>
      </c>
    </row>
    <row r="57" spans="1:1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16293.567191619795</v>
      </c>
    </row>
    <row r="58" spans="1:1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>
      <c r="A61" s="105" t="s">
        <v>26</v>
      </c>
      <c r="B61" s="105"/>
      <c r="C61" s="105" t="s">
        <v>27</v>
      </c>
      <c r="D61" s="105"/>
      <c r="E61" s="105"/>
      <c r="F61" s="105"/>
      <c r="G61" s="105" t="s">
        <v>28</v>
      </c>
      <c r="H61" s="105"/>
      <c r="I61" s="105"/>
      <c r="J61" s="105" t="s">
        <v>29</v>
      </c>
      <c r="K61" s="105"/>
      <c r="L61" s="105"/>
    </row>
    <row r="62" spans="1:12">
      <c r="A62" s="58" t="s">
        <v>30</v>
      </c>
      <c r="B62" s="104" t="s">
        <v>31</v>
      </c>
      <c r="C62" s="104"/>
      <c r="D62" s="104"/>
      <c r="E62" s="104"/>
      <c r="F62" s="104"/>
      <c r="G62" s="104" t="s">
        <v>32</v>
      </c>
      <c r="H62" s="104"/>
      <c r="I62" s="104"/>
      <c r="J62" s="104"/>
      <c r="K62" s="104"/>
      <c r="L62" s="104"/>
    </row>
    <row r="63" spans="1:12">
      <c r="A63" s="59">
        <v>3</v>
      </c>
      <c r="B63" s="102" t="s">
        <v>104</v>
      </c>
      <c r="C63" s="102"/>
      <c r="D63" s="102"/>
      <c r="E63" s="102"/>
      <c r="F63" s="102"/>
      <c r="G63" s="103">
        <v>42614</v>
      </c>
      <c r="H63" s="103"/>
      <c r="I63" s="103"/>
      <c r="J63" s="103">
        <v>42643</v>
      </c>
      <c r="K63" s="103"/>
      <c r="L63" s="103"/>
    </row>
    <row r="64" spans="1:12">
      <c r="A64" s="58" t="s">
        <v>34</v>
      </c>
      <c r="B64" s="58" t="s">
        <v>35</v>
      </c>
      <c r="C64" s="58" t="s">
        <v>36</v>
      </c>
      <c r="D64" s="58" t="s">
        <v>37</v>
      </c>
      <c r="E64" s="58" t="s">
        <v>38</v>
      </c>
      <c r="F64" s="58" t="s">
        <v>39</v>
      </c>
      <c r="G64" s="104" t="s">
        <v>40</v>
      </c>
      <c r="H64" s="104"/>
      <c r="I64" s="104"/>
      <c r="J64" s="104"/>
      <c r="K64" s="104"/>
      <c r="L64" s="104"/>
    </row>
    <row r="65" spans="1:12">
      <c r="A65" s="17">
        <v>41791</v>
      </c>
      <c r="B65" s="59"/>
      <c r="C65" s="17">
        <v>24557</v>
      </c>
      <c r="D65" s="59" t="s">
        <v>41</v>
      </c>
      <c r="E65" s="59">
        <v>0</v>
      </c>
      <c r="F65" s="59">
        <v>0</v>
      </c>
      <c r="G65" s="102"/>
      <c r="H65" s="102"/>
      <c r="I65" s="102"/>
      <c r="J65" s="102"/>
      <c r="K65" s="102"/>
      <c r="L65" s="102"/>
    </row>
    <row r="66" spans="1:12">
      <c r="A66" s="58" t="s">
        <v>42</v>
      </c>
      <c r="B66" s="58" t="s">
        <v>43</v>
      </c>
      <c r="C66" s="58" t="s">
        <v>44</v>
      </c>
      <c r="D66" s="104" t="s">
        <v>45</v>
      </c>
      <c r="E66" s="104"/>
      <c r="F66" s="104"/>
      <c r="G66" s="104" t="s">
        <v>46</v>
      </c>
      <c r="H66" s="104"/>
      <c r="I66" s="104"/>
      <c r="J66" s="104"/>
      <c r="K66" s="104"/>
      <c r="L66" s="104"/>
    </row>
    <row r="67" spans="1:12">
      <c r="A67" s="59">
        <v>141034737</v>
      </c>
      <c r="B67" s="59"/>
      <c r="C67" s="59"/>
      <c r="D67" s="102" t="s">
        <v>47</v>
      </c>
      <c r="E67" s="102"/>
      <c r="F67" s="102"/>
      <c r="G67" s="102" t="s">
        <v>105</v>
      </c>
      <c r="H67" s="102"/>
      <c r="I67" s="102"/>
      <c r="J67" s="102"/>
      <c r="K67" s="102"/>
      <c r="L67" s="102"/>
    </row>
    <row r="68" spans="1:1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>
      <c r="A71" s="108" t="s">
        <v>49</v>
      </c>
      <c r="B71" s="108"/>
      <c r="C71" s="108"/>
      <c r="D71" s="108"/>
      <c r="E71" s="108"/>
      <c r="F71" s="108"/>
      <c r="G71" s="108" t="s">
        <v>50</v>
      </c>
      <c r="H71" s="108" t="s">
        <v>51</v>
      </c>
      <c r="I71" s="108" t="s">
        <v>52</v>
      </c>
      <c r="J71" s="108"/>
      <c r="K71" s="108" t="s">
        <v>53</v>
      </c>
      <c r="L71" s="108"/>
    </row>
    <row r="72" spans="1:12">
      <c r="A72" s="108"/>
      <c r="B72" s="108"/>
      <c r="C72" s="108"/>
      <c r="D72" s="108"/>
      <c r="E72" s="108"/>
      <c r="F72" s="108"/>
      <c r="G72" s="108"/>
      <c r="H72" s="108"/>
      <c r="I72" s="60" t="s">
        <v>54</v>
      </c>
      <c r="J72" s="60" t="s">
        <v>55</v>
      </c>
      <c r="K72" s="60" t="s">
        <v>56</v>
      </c>
      <c r="L72" s="60" t="s">
        <v>57</v>
      </c>
    </row>
    <row r="73" spans="1:12">
      <c r="A73" s="106" t="s">
        <v>58</v>
      </c>
      <c r="B73" s="106"/>
      <c r="C73" s="106"/>
      <c r="D73" s="106"/>
      <c r="E73" s="106"/>
      <c r="F73" s="106"/>
      <c r="G73" s="21">
        <v>100000</v>
      </c>
      <c r="H73" s="22"/>
      <c r="I73" s="21"/>
      <c r="J73" s="21"/>
      <c r="K73" s="21"/>
      <c r="L73" s="21"/>
    </row>
    <row r="74" spans="1:12">
      <c r="A74" s="106" t="s">
        <v>59</v>
      </c>
      <c r="B74" s="106"/>
      <c r="C74" s="106"/>
      <c r="D74" s="106"/>
      <c r="E74" s="106"/>
      <c r="F74" s="106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>
      <c r="A75" s="107" t="s">
        <v>60</v>
      </c>
      <c r="B75" s="107"/>
      <c r="C75" s="107"/>
      <c r="D75" s="107"/>
      <c r="E75" s="107"/>
      <c r="F75" s="107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>
      <c r="A76" s="107" t="s">
        <v>61</v>
      </c>
      <c r="B76" s="107"/>
      <c r="C76" s="107"/>
      <c r="D76" s="107"/>
      <c r="E76" s="107"/>
      <c r="F76" s="107"/>
      <c r="G76" s="23"/>
      <c r="H76" s="24">
        <v>0</v>
      </c>
      <c r="I76" s="23">
        <f>G73/26*H76</f>
        <v>0</v>
      </c>
      <c r="J76" s="25"/>
      <c r="K76" s="26"/>
      <c r="L76" s="26"/>
    </row>
    <row r="77" spans="1:12">
      <c r="A77" s="107" t="s">
        <v>62</v>
      </c>
      <c r="B77" s="107"/>
      <c r="C77" s="107"/>
      <c r="D77" s="107"/>
      <c r="E77" s="107"/>
      <c r="F77" s="107"/>
      <c r="G77" s="23"/>
      <c r="H77" s="24">
        <v>0</v>
      </c>
      <c r="I77" s="23"/>
      <c r="J77" s="27">
        <f>G73/26*H77</f>
        <v>0</v>
      </c>
      <c r="K77" s="26"/>
      <c r="L77" s="26"/>
    </row>
    <row r="78" spans="1:12">
      <c r="A78" s="107" t="s">
        <v>63</v>
      </c>
      <c r="B78" s="107"/>
      <c r="C78" s="107"/>
      <c r="D78" s="107"/>
      <c r="E78" s="107"/>
      <c r="F78" s="107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>
      <c r="A79" s="107" t="s">
        <v>64</v>
      </c>
      <c r="B79" s="107"/>
      <c r="C79" s="107"/>
      <c r="D79" s="107"/>
      <c r="E79" s="107"/>
      <c r="F79" s="107"/>
      <c r="G79" s="23"/>
      <c r="H79" s="24">
        <v>0</v>
      </c>
      <c r="I79" s="23">
        <f>G73/26*H79</f>
        <v>0</v>
      </c>
      <c r="J79" s="25"/>
      <c r="K79" s="26"/>
      <c r="L79" s="26"/>
    </row>
    <row r="80" spans="1:12">
      <c r="A80" s="107" t="s">
        <v>65</v>
      </c>
      <c r="B80" s="107"/>
      <c r="C80" s="107"/>
      <c r="D80" s="107"/>
      <c r="E80" s="107"/>
      <c r="F80" s="107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>
      <c r="A81" s="107" t="s">
        <v>66</v>
      </c>
      <c r="B81" s="107"/>
      <c r="C81" s="107"/>
      <c r="D81" s="107"/>
      <c r="E81" s="107"/>
      <c r="F81" s="107"/>
      <c r="G81" s="29"/>
      <c r="H81" s="30"/>
      <c r="I81" s="30"/>
      <c r="J81" s="25"/>
      <c r="K81" s="26"/>
      <c r="L81" s="26"/>
    </row>
    <row r="82" spans="1:12">
      <c r="A82" s="109">
        <v>0.25</v>
      </c>
      <c r="B82" s="109"/>
      <c r="C82" s="109"/>
      <c r="D82" s="109"/>
      <c r="E82" s="109"/>
      <c r="F82" s="109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>
      <c r="A83" s="109">
        <v>0.5</v>
      </c>
      <c r="B83" s="109"/>
      <c r="C83" s="109"/>
      <c r="D83" s="109"/>
      <c r="E83" s="109"/>
      <c r="F83" s="109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>
      <c r="A84" s="109">
        <v>1</v>
      </c>
      <c r="B84" s="109"/>
      <c r="C84" s="109"/>
      <c r="D84" s="109"/>
      <c r="E84" s="109"/>
      <c r="F84" s="109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>
      <c r="A85" s="106" t="s">
        <v>67</v>
      </c>
      <c r="B85" s="106"/>
      <c r="C85" s="106"/>
      <c r="D85" s="106"/>
      <c r="E85" s="106"/>
      <c r="F85" s="106"/>
      <c r="G85" s="21"/>
      <c r="H85" s="22"/>
      <c r="I85" s="21">
        <f>SUM(I86:I87)</f>
        <v>5000</v>
      </c>
      <c r="J85" s="21"/>
      <c r="K85" s="21"/>
      <c r="L85" s="21"/>
    </row>
    <row r="86" spans="1:12">
      <c r="A86" s="107" t="s">
        <v>68</v>
      </c>
      <c r="B86" s="107"/>
      <c r="C86" s="107"/>
      <c r="D86" s="107"/>
      <c r="E86" s="107"/>
      <c r="F86" s="107"/>
      <c r="G86" s="23">
        <f>(G63-A65)/360</f>
        <v>2.286111111111111</v>
      </c>
      <c r="H86" s="31">
        <v>0.05</v>
      </c>
      <c r="I86" s="23">
        <f>I74*H86</f>
        <v>5000</v>
      </c>
      <c r="J86" s="25"/>
      <c r="K86" s="26"/>
      <c r="L86" s="26"/>
    </row>
    <row r="87" spans="1:12">
      <c r="A87" s="107" t="s">
        <v>69</v>
      </c>
      <c r="B87" s="107"/>
      <c r="C87" s="107"/>
      <c r="D87" s="107"/>
      <c r="E87" s="107"/>
      <c r="F87" s="107"/>
      <c r="G87" s="23"/>
      <c r="H87" s="24"/>
      <c r="I87" s="23"/>
      <c r="J87" s="25"/>
      <c r="K87" s="26"/>
      <c r="L87" s="26"/>
    </row>
    <row r="88" spans="1:12">
      <c r="A88" s="106" t="s">
        <v>70</v>
      </c>
      <c r="B88" s="106"/>
      <c r="C88" s="106"/>
      <c r="D88" s="106"/>
      <c r="E88" s="106"/>
      <c r="F88" s="106"/>
      <c r="G88" s="21"/>
      <c r="H88" s="22"/>
      <c r="I88" s="21">
        <f>SUM(I89:I91)</f>
        <v>6000</v>
      </c>
      <c r="J88" s="21"/>
      <c r="K88" s="21"/>
      <c r="L88" s="21"/>
    </row>
    <row r="89" spans="1:12">
      <c r="A89" s="107" t="s">
        <v>71</v>
      </c>
      <c r="B89" s="107"/>
      <c r="C89" s="107"/>
      <c r="D89" s="107"/>
      <c r="E89" s="107"/>
      <c r="F89" s="107"/>
      <c r="G89" s="23"/>
      <c r="H89" s="24"/>
      <c r="I89" s="23">
        <v>3000</v>
      </c>
      <c r="J89" s="25"/>
      <c r="K89" s="26"/>
      <c r="L89" s="26"/>
    </row>
    <row r="90" spans="1:12">
      <c r="A90" s="107" t="s">
        <v>72</v>
      </c>
      <c r="B90" s="107"/>
      <c r="C90" s="107"/>
      <c r="D90" s="107"/>
      <c r="E90" s="107"/>
      <c r="F90" s="107"/>
      <c r="G90" s="23"/>
      <c r="H90" s="31"/>
      <c r="I90" s="23">
        <v>3000</v>
      </c>
      <c r="J90" s="25"/>
      <c r="K90" s="26"/>
      <c r="L90" s="26"/>
    </row>
    <row r="91" spans="1:12">
      <c r="A91" s="107" t="s">
        <v>73</v>
      </c>
      <c r="B91" s="107"/>
      <c r="C91" s="107"/>
      <c r="D91" s="107"/>
      <c r="E91" s="107"/>
      <c r="F91" s="107"/>
      <c r="G91" s="23"/>
      <c r="H91" s="24"/>
      <c r="I91" s="23"/>
      <c r="J91" s="25"/>
      <c r="K91" s="26"/>
      <c r="L91" s="26"/>
    </row>
    <row r="92" spans="1:12">
      <c r="A92" s="111" t="s">
        <v>74</v>
      </c>
      <c r="B92" s="111"/>
      <c r="C92" s="111"/>
      <c r="D92" s="111"/>
      <c r="E92" s="111"/>
      <c r="F92" s="111"/>
      <c r="G92" s="32"/>
      <c r="H92" s="33"/>
      <c r="I92" s="32">
        <f>I74+I85+I88</f>
        <v>111000</v>
      </c>
      <c r="J92" s="33"/>
      <c r="K92" s="33"/>
      <c r="L92" s="33"/>
    </row>
    <row r="93" spans="1:12">
      <c r="A93" s="111" t="s">
        <v>75</v>
      </c>
      <c r="B93" s="111"/>
      <c r="C93" s="111"/>
      <c r="D93" s="111"/>
      <c r="E93" s="111"/>
      <c r="F93" s="111"/>
      <c r="G93" s="32"/>
      <c r="H93" s="33"/>
      <c r="I93" s="32">
        <f>I92-I88</f>
        <v>105000</v>
      </c>
      <c r="J93" s="33"/>
      <c r="K93" s="33"/>
      <c r="L93" s="33"/>
    </row>
    <row r="94" spans="1:12">
      <c r="A94" s="107" t="s">
        <v>76</v>
      </c>
      <c r="B94" s="107"/>
      <c r="C94" s="107"/>
      <c r="D94" s="107"/>
      <c r="E94" s="107"/>
      <c r="F94" s="107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>
      <c r="A95" s="107" t="s">
        <v>77</v>
      </c>
      <c r="B95" s="107"/>
      <c r="C95" s="107"/>
      <c r="D95" s="107"/>
      <c r="E95" s="107"/>
      <c r="F95" s="107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>
      <c r="A96" s="107" t="s">
        <v>78</v>
      </c>
      <c r="B96" s="107"/>
      <c r="C96" s="107"/>
      <c r="D96" s="107"/>
      <c r="E96" s="107"/>
      <c r="F96" s="107"/>
      <c r="G96" s="23"/>
      <c r="H96" s="34">
        <v>0.25</v>
      </c>
      <c r="I96" s="23"/>
      <c r="J96" s="23">
        <f>H96*I93</f>
        <v>26250</v>
      </c>
      <c r="K96" s="35">
        <v>0.06</v>
      </c>
      <c r="L96" s="23">
        <f>I93*K96</f>
        <v>6300</v>
      </c>
    </row>
    <row r="97" spans="1:12">
      <c r="A97" s="107" t="s">
        <v>79</v>
      </c>
      <c r="B97" s="107"/>
      <c r="C97" s="107"/>
      <c r="D97" s="107"/>
      <c r="E97" s="107"/>
      <c r="F97" s="107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>
      <c r="A98" s="107" t="s">
        <v>80</v>
      </c>
      <c r="B98" s="107"/>
      <c r="C98" s="107"/>
      <c r="D98" s="107"/>
      <c r="E98" s="107"/>
      <c r="F98" s="107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>
      <c r="A99" s="107" t="s">
        <v>81</v>
      </c>
      <c r="B99" s="107"/>
      <c r="C99" s="107"/>
      <c r="D99" s="107"/>
      <c r="E99" s="107"/>
      <c r="F99" s="107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>
      <c r="A100" s="107" t="s">
        <v>24</v>
      </c>
      <c r="B100" s="107"/>
      <c r="C100" s="107"/>
      <c r="D100" s="107"/>
      <c r="E100" s="107"/>
      <c r="F100" s="107"/>
      <c r="G100" s="23"/>
      <c r="H100" s="34" t="str">
        <f>[1]Taux!D$7</f>
        <v>2,26%</v>
      </c>
      <c r="I100" s="23"/>
      <c r="J100" s="23">
        <f>H100*I93</f>
        <v>2373</v>
      </c>
      <c r="K100" s="34" t="str">
        <f>[1]Taux!C$7</f>
        <v>4,11%</v>
      </c>
      <c r="L100" s="23">
        <f>I93*K100</f>
        <v>4315.5</v>
      </c>
    </row>
    <row r="101" spans="1:12">
      <c r="A101" s="110" t="s">
        <v>82</v>
      </c>
      <c r="B101" s="110"/>
      <c r="C101" s="110"/>
      <c r="D101" s="110"/>
      <c r="E101" s="110"/>
      <c r="F101" s="110"/>
      <c r="G101" s="37"/>
      <c r="H101" s="38"/>
      <c r="I101" s="39"/>
      <c r="J101" s="40"/>
      <c r="K101" s="34" t="str">
        <f>[1]Taux!C$4</f>
        <v>6,40%</v>
      </c>
      <c r="L101" s="23">
        <f>I93*K101</f>
        <v>6720</v>
      </c>
    </row>
    <row r="102" spans="1:12">
      <c r="A102" s="110" t="s">
        <v>83</v>
      </c>
      <c r="B102" s="110"/>
      <c r="C102" s="110"/>
      <c r="D102" s="110"/>
      <c r="E102" s="110"/>
      <c r="F102" s="110"/>
      <c r="G102" s="41"/>
      <c r="H102" s="42"/>
      <c r="I102" s="43"/>
      <c r="J102" s="44"/>
      <c r="K102" s="34" t="str">
        <f>[1]Taux!C$8</f>
        <v>1,6 %</v>
      </c>
      <c r="L102" s="23">
        <f>I93*K102</f>
        <v>1680</v>
      </c>
    </row>
    <row r="103" spans="1:12">
      <c r="A103" s="106" t="s">
        <v>84</v>
      </c>
      <c r="B103" s="106"/>
      <c r="C103" s="106"/>
      <c r="D103" s="106"/>
      <c r="E103" s="106"/>
      <c r="F103" s="106"/>
      <c r="G103" s="21"/>
      <c r="H103" s="22"/>
      <c r="I103" s="22"/>
      <c r="J103" s="21">
        <f>SUM(J94:J100)</f>
        <v>28891.8</v>
      </c>
      <c r="K103" s="21"/>
      <c r="L103" s="21">
        <f>SUM(L94:L102)</f>
        <v>19554.3</v>
      </c>
    </row>
    <row r="104" spans="1:12">
      <c r="A104" s="107" t="s">
        <v>85</v>
      </c>
      <c r="B104" s="107"/>
      <c r="C104" s="107"/>
      <c r="D104" s="107"/>
      <c r="E104" s="107"/>
      <c r="F104" s="107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>
      <c r="A105" s="111" t="s">
        <v>86</v>
      </c>
      <c r="B105" s="111"/>
      <c r="C105" s="111"/>
      <c r="D105" s="111"/>
      <c r="E105" s="111"/>
      <c r="F105" s="111"/>
      <c r="G105" s="32"/>
      <c r="H105" s="33"/>
      <c r="I105" s="32">
        <f>I93-J103-J104</f>
        <v>73608.2</v>
      </c>
      <c r="J105" s="33"/>
      <c r="K105" s="33"/>
      <c r="L105" s="33"/>
    </row>
    <row r="106" spans="1:12">
      <c r="A106" s="107" t="s">
        <v>87</v>
      </c>
      <c r="B106" s="107"/>
      <c r="C106" s="107"/>
      <c r="D106" s="107"/>
      <c r="E106" s="107"/>
      <c r="F106" s="107"/>
      <c r="G106" s="23"/>
      <c r="H106" s="34"/>
      <c r="I106" s="23">
        <f>H106*180/360</f>
        <v>0</v>
      </c>
      <c r="J106" s="23"/>
      <c r="K106" s="46"/>
      <c r="L106" s="47"/>
    </row>
    <row r="107" spans="1:12">
      <c r="A107" s="111" t="s">
        <v>88</v>
      </c>
      <c r="B107" s="111"/>
      <c r="C107" s="111"/>
      <c r="D107" s="111"/>
      <c r="E107" s="111"/>
      <c r="F107" s="111"/>
      <c r="G107" s="32"/>
      <c r="H107" s="33"/>
      <c r="I107" s="32">
        <f>I105-I106</f>
        <v>73608.2</v>
      </c>
      <c r="J107" s="33"/>
      <c r="K107" s="33"/>
      <c r="L107" s="33"/>
    </row>
    <row r="108" spans="1:12">
      <c r="A108" s="107" t="s">
        <v>89</v>
      </c>
      <c r="B108" s="107"/>
      <c r="C108" s="107"/>
      <c r="D108" s="107"/>
      <c r="E108" s="107"/>
      <c r="F108" s="107"/>
      <c r="G108" s="25"/>
      <c r="H108" s="48"/>
      <c r="I108" s="40"/>
      <c r="J108" s="23">
        <v>25937.78</v>
      </c>
      <c r="K108" s="46"/>
      <c r="L108" s="47"/>
    </row>
    <row r="109" spans="1:12">
      <c r="A109" s="107" t="s">
        <v>90</v>
      </c>
      <c r="B109" s="107"/>
      <c r="C109" s="107"/>
      <c r="D109" s="107"/>
      <c r="E109" s="107"/>
      <c r="F109" s="107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>
      <c r="A110" s="106" t="s">
        <v>91</v>
      </c>
      <c r="B110" s="106"/>
      <c r="C110" s="106"/>
      <c r="D110" s="106"/>
      <c r="E110" s="106"/>
      <c r="F110" s="106"/>
      <c r="G110" s="21"/>
      <c r="H110" s="22"/>
      <c r="I110" s="21"/>
      <c r="J110" s="21">
        <f>J108-J109</f>
        <v>25937.78</v>
      </c>
      <c r="K110" s="21"/>
      <c r="L110" s="21"/>
    </row>
    <row r="111" spans="1:12">
      <c r="A111" s="112" t="s">
        <v>92</v>
      </c>
      <c r="B111" s="112"/>
      <c r="C111" s="112"/>
      <c r="D111" s="112"/>
      <c r="E111" s="112"/>
      <c r="F111" s="112"/>
      <c r="G111" s="25"/>
      <c r="H111" s="48"/>
      <c r="I111" s="47"/>
      <c r="J111" s="49">
        <v>0</v>
      </c>
      <c r="K111" s="46"/>
      <c r="L111" s="47"/>
    </row>
    <row r="112" spans="1:12">
      <c r="A112" s="107" t="s">
        <v>93</v>
      </c>
      <c r="B112" s="107"/>
      <c r="C112" s="107"/>
      <c r="D112" s="107"/>
      <c r="E112" s="107"/>
      <c r="F112" s="107"/>
      <c r="G112" s="25"/>
      <c r="H112" s="48"/>
      <c r="I112" s="44"/>
      <c r="J112" s="28">
        <v>0</v>
      </c>
      <c r="K112" s="46"/>
      <c r="L112" s="47"/>
    </row>
    <row r="113" spans="1:13">
      <c r="A113" s="113" t="s">
        <v>94</v>
      </c>
      <c r="B113" s="113"/>
      <c r="C113" s="113"/>
      <c r="D113" s="113"/>
      <c r="E113" s="113"/>
      <c r="F113" s="113"/>
      <c r="G113" s="41"/>
      <c r="H113" s="42"/>
      <c r="I113" s="28">
        <f>1-0.42</f>
        <v>0.58000000000000007</v>
      </c>
      <c r="J113" s="41"/>
      <c r="K113" s="43"/>
      <c r="L113" s="44"/>
    </row>
    <row r="114" spans="1:1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>
      <c r="A115" s="58" t="s">
        <v>95</v>
      </c>
      <c r="B115" s="58" t="s">
        <v>96</v>
      </c>
      <c r="C115" s="58" t="s">
        <v>97</v>
      </c>
      <c r="D115" s="104" t="s">
        <v>98</v>
      </c>
      <c r="E115" s="104"/>
      <c r="F115" s="104"/>
      <c r="G115" s="58" t="s">
        <v>99</v>
      </c>
      <c r="H115" s="50"/>
      <c r="I115" s="57">
        <f>I92+I113</f>
        <v>111000.58</v>
      </c>
      <c r="J115" s="57">
        <f>J103+J110+J111+J112</f>
        <v>54829.58</v>
      </c>
      <c r="K115" s="58" t="s">
        <v>100</v>
      </c>
      <c r="L115" s="57">
        <f>L103</f>
        <v>19554.3</v>
      </c>
    </row>
    <row r="116" spans="1:13">
      <c r="A116" s="57">
        <f>974000+I92</f>
        <v>1085000</v>
      </c>
      <c r="B116" s="57">
        <f>920000+I93</f>
        <v>1025000</v>
      </c>
      <c r="C116" s="57">
        <f>2419.2+J94</f>
        <v>2688</v>
      </c>
      <c r="D116" s="114">
        <f>226529.75+J110</f>
        <v>252467.53</v>
      </c>
      <c r="E116" s="114"/>
      <c r="F116" s="114"/>
      <c r="G116" s="57">
        <f>494263.97+I115</f>
        <v>605264.54999999993</v>
      </c>
      <c r="H116" s="104" t="s">
        <v>101</v>
      </c>
      <c r="I116" s="104"/>
      <c r="J116" s="57">
        <f>I115-J115</f>
        <v>56171</v>
      </c>
      <c r="K116" s="58" t="s">
        <v>102</v>
      </c>
      <c r="L116" s="57">
        <f>171461.2+L115</f>
        <v>191015.5</v>
      </c>
    </row>
    <row r="117" spans="1: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75725.3</v>
      </c>
    </row>
    <row r="118" spans="1: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>
      <c r="A121" s="105" t="s">
        <v>26</v>
      </c>
      <c r="B121" s="105"/>
      <c r="C121" s="105" t="s">
        <v>27</v>
      </c>
      <c r="D121" s="105"/>
      <c r="E121" s="105"/>
      <c r="F121" s="105"/>
      <c r="G121" s="105" t="s">
        <v>28</v>
      </c>
      <c r="H121" s="105"/>
      <c r="I121" s="105"/>
      <c r="J121" s="105" t="s">
        <v>29</v>
      </c>
      <c r="K121" s="105"/>
      <c r="L121" s="105"/>
    </row>
    <row r="122" spans="1:13">
      <c r="A122" s="58" t="s">
        <v>30</v>
      </c>
      <c r="B122" s="104" t="s">
        <v>31</v>
      </c>
      <c r="C122" s="104"/>
      <c r="D122" s="104"/>
      <c r="E122" s="104"/>
      <c r="F122" s="104"/>
      <c r="G122" s="104" t="s">
        <v>32</v>
      </c>
      <c r="H122" s="104"/>
      <c r="I122" s="104"/>
      <c r="J122" s="104"/>
      <c r="K122" s="104"/>
      <c r="L122" s="104"/>
    </row>
    <row r="123" spans="1:13">
      <c r="A123" s="59">
        <v>4</v>
      </c>
      <c r="B123" s="102" t="s">
        <v>106</v>
      </c>
      <c r="C123" s="102"/>
      <c r="D123" s="102"/>
      <c r="E123" s="102"/>
      <c r="F123" s="102"/>
      <c r="G123" s="103">
        <v>42614</v>
      </c>
      <c r="H123" s="103"/>
      <c r="I123" s="103"/>
      <c r="J123" s="103">
        <v>42643</v>
      </c>
      <c r="K123" s="103"/>
      <c r="L123" s="103"/>
    </row>
    <row r="124" spans="1:13">
      <c r="A124" s="58" t="s">
        <v>34</v>
      </c>
      <c r="B124" s="58" t="s">
        <v>35</v>
      </c>
      <c r="C124" s="58" t="s">
        <v>36</v>
      </c>
      <c r="D124" s="58" t="s">
        <v>37</v>
      </c>
      <c r="E124" s="58" t="s">
        <v>38</v>
      </c>
      <c r="F124" s="58" t="s">
        <v>39</v>
      </c>
      <c r="G124" s="104" t="s">
        <v>40</v>
      </c>
      <c r="H124" s="104"/>
      <c r="I124" s="104"/>
      <c r="J124" s="104"/>
      <c r="K124" s="104"/>
      <c r="L124" s="104"/>
    </row>
    <row r="125" spans="1:13">
      <c r="A125" s="17">
        <v>41791</v>
      </c>
      <c r="B125" s="59"/>
      <c r="C125" s="17">
        <v>28152</v>
      </c>
      <c r="D125" s="59" t="s">
        <v>41</v>
      </c>
      <c r="E125" s="59">
        <v>0</v>
      </c>
      <c r="F125" s="59">
        <v>0</v>
      </c>
      <c r="G125" s="102"/>
      <c r="H125" s="102"/>
      <c r="I125" s="102"/>
      <c r="J125" s="102"/>
      <c r="K125" s="102"/>
      <c r="L125" s="102"/>
    </row>
    <row r="126" spans="1:13">
      <c r="A126" s="58" t="s">
        <v>42</v>
      </c>
      <c r="B126" s="58" t="s">
        <v>43</v>
      </c>
      <c r="C126" s="58" t="s">
        <v>44</v>
      </c>
      <c r="D126" s="104" t="s">
        <v>45</v>
      </c>
      <c r="E126" s="104"/>
      <c r="F126" s="104"/>
      <c r="G126" s="104" t="s">
        <v>46</v>
      </c>
      <c r="H126" s="104"/>
      <c r="I126" s="104"/>
      <c r="J126" s="104"/>
      <c r="K126" s="104"/>
      <c r="L126" s="104"/>
    </row>
    <row r="127" spans="1:13">
      <c r="A127" s="59">
        <v>123952551</v>
      </c>
      <c r="B127" s="59"/>
      <c r="C127" s="59"/>
      <c r="D127" s="102" t="s">
        <v>47</v>
      </c>
      <c r="E127" s="102"/>
      <c r="F127" s="102"/>
      <c r="G127" s="102" t="s">
        <v>107</v>
      </c>
      <c r="H127" s="102"/>
      <c r="I127" s="102"/>
      <c r="J127" s="102"/>
      <c r="K127" s="102"/>
      <c r="L127" s="102"/>
    </row>
    <row r="128" spans="1: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>
      <c r="A131" s="108" t="s">
        <v>49</v>
      </c>
      <c r="B131" s="108"/>
      <c r="C131" s="108"/>
      <c r="D131" s="108"/>
      <c r="E131" s="108"/>
      <c r="F131" s="108"/>
      <c r="G131" s="108" t="s">
        <v>50</v>
      </c>
      <c r="H131" s="108" t="s">
        <v>51</v>
      </c>
      <c r="I131" s="108" t="s">
        <v>52</v>
      </c>
      <c r="J131" s="108"/>
      <c r="K131" s="108" t="s">
        <v>53</v>
      </c>
      <c r="L131" s="108"/>
    </row>
    <row r="132" spans="1:12">
      <c r="A132" s="108"/>
      <c r="B132" s="108"/>
      <c r="C132" s="108"/>
      <c r="D132" s="108"/>
      <c r="E132" s="108"/>
      <c r="F132" s="108"/>
      <c r="G132" s="108"/>
      <c r="H132" s="108"/>
      <c r="I132" s="60" t="s">
        <v>54</v>
      </c>
      <c r="J132" s="60" t="s">
        <v>55</v>
      </c>
      <c r="K132" s="60" t="s">
        <v>56</v>
      </c>
      <c r="L132" s="60" t="s">
        <v>57</v>
      </c>
    </row>
    <row r="133" spans="1:12">
      <c r="A133" s="106" t="s">
        <v>58</v>
      </c>
      <c r="B133" s="106"/>
      <c r="C133" s="106"/>
      <c r="D133" s="106"/>
      <c r="E133" s="106"/>
      <c r="F133" s="106"/>
      <c r="G133" s="21">
        <v>90000</v>
      </c>
      <c r="H133" s="22"/>
      <c r="I133" s="21"/>
      <c r="J133" s="21"/>
      <c r="K133" s="21"/>
      <c r="L133" s="21"/>
    </row>
    <row r="134" spans="1:12">
      <c r="A134" s="106" t="s">
        <v>59</v>
      </c>
      <c r="B134" s="106"/>
      <c r="C134" s="106"/>
      <c r="D134" s="106"/>
      <c r="E134" s="106"/>
      <c r="F134" s="106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>
      <c r="A135" s="107" t="s">
        <v>60</v>
      </c>
      <c r="B135" s="107"/>
      <c r="C135" s="107"/>
      <c r="D135" s="107"/>
      <c r="E135" s="107"/>
      <c r="F135" s="107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>
      <c r="A136" s="107" t="s">
        <v>61</v>
      </c>
      <c r="B136" s="107"/>
      <c r="C136" s="107"/>
      <c r="D136" s="107"/>
      <c r="E136" s="107"/>
      <c r="F136" s="107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>
      <c r="A137" s="107" t="s">
        <v>62</v>
      </c>
      <c r="B137" s="107"/>
      <c r="C137" s="107"/>
      <c r="D137" s="107"/>
      <c r="E137" s="107"/>
      <c r="F137" s="107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>
      <c r="A138" s="107" t="s">
        <v>63</v>
      </c>
      <c r="B138" s="107"/>
      <c r="C138" s="107"/>
      <c r="D138" s="107"/>
      <c r="E138" s="107"/>
      <c r="F138" s="107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>
      <c r="A139" s="107" t="s">
        <v>64</v>
      </c>
      <c r="B139" s="107"/>
      <c r="C139" s="107"/>
      <c r="D139" s="107"/>
      <c r="E139" s="107"/>
      <c r="F139" s="107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>
      <c r="A140" s="107" t="s">
        <v>65</v>
      </c>
      <c r="B140" s="107"/>
      <c r="C140" s="107"/>
      <c r="D140" s="107"/>
      <c r="E140" s="107"/>
      <c r="F140" s="107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>
      <c r="A141" s="107" t="s">
        <v>66</v>
      </c>
      <c r="B141" s="107"/>
      <c r="C141" s="107"/>
      <c r="D141" s="107"/>
      <c r="E141" s="107"/>
      <c r="F141" s="107"/>
      <c r="G141" s="29"/>
      <c r="H141" s="30"/>
      <c r="I141" s="30"/>
      <c r="J141" s="25"/>
      <c r="K141" s="26"/>
      <c r="L141" s="26"/>
    </row>
    <row r="142" spans="1:12">
      <c r="A142" s="109">
        <v>0.25</v>
      </c>
      <c r="B142" s="109"/>
      <c r="C142" s="109"/>
      <c r="D142" s="109"/>
      <c r="E142" s="109"/>
      <c r="F142" s="109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>
      <c r="A143" s="109">
        <v>0.5</v>
      </c>
      <c r="B143" s="109"/>
      <c r="C143" s="109"/>
      <c r="D143" s="109"/>
      <c r="E143" s="109"/>
      <c r="F143" s="109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>
      <c r="A144" s="109">
        <v>1</v>
      </c>
      <c r="B144" s="109"/>
      <c r="C144" s="109"/>
      <c r="D144" s="109"/>
      <c r="E144" s="109"/>
      <c r="F144" s="109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>
      <c r="A145" s="106" t="s">
        <v>67</v>
      </c>
      <c r="B145" s="106"/>
      <c r="C145" s="106"/>
      <c r="D145" s="106"/>
      <c r="E145" s="106"/>
      <c r="F145" s="106"/>
      <c r="G145" s="21"/>
      <c r="H145" s="22"/>
      <c r="I145" s="21">
        <f>SUM(I146:I147)</f>
        <v>4500</v>
      </c>
      <c r="J145" s="21"/>
      <c r="K145" s="21"/>
      <c r="L145" s="21"/>
    </row>
    <row r="146" spans="1:12">
      <c r="A146" s="107" t="s">
        <v>68</v>
      </c>
      <c r="B146" s="107"/>
      <c r="C146" s="107"/>
      <c r="D146" s="107"/>
      <c r="E146" s="107"/>
      <c r="F146" s="107"/>
      <c r="G146" s="23">
        <f>(G123-A125)/360</f>
        <v>2.286111111111111</v>
      </c>
      <c r="H146" s="31">
        <v>0.05</v>
      </c>
      <c r="I146" s="23">
        <f>I134*H146</f>
        <v>4500</v>
      </c>
      <c r="J146" s="25"/>
      <c r="K146" s="26"/>
      <c r="L146" s="26"/>
    </row>
    <row r="147" spans="1:12">
      <c r="A147" s="107" t="s">
        <v>69</v>
      </c>
      <c r="B147" s="107"/>
      <c r="C147" s="107"/>
      <c r="D147" s="107"/>
      <c r="E147" s="107"/>
      <c r="F147" s="107"/>
      <c r="G147" s="23"/>
      <c r="H147" s="24"/>
      <c r="I147" s="23"/>
      <c r="J147" s="25"/>
      <c r="K147" s="26"/>
      <c r="L147" s="26"/>
    </row>
    <row r="148" spans="1:12">
      <c r="A148" s="106" t="s">
        <v>70</v>
      </c>
      <c r="B148" s="106"/>
      <c r="C148" s="106"/>
      <c r="D148" s="106"/>
      <c r="E148" s="106"/>
      <c r="F148" s="106"/>
      <c r="G148" s="21"/>
      <c r="H148" s="22"/>
      <c r="I148" s="21">
        <f>SUM(I149:I151)</f>
        <v>6000</v>
      </c>
      <c r="J148" s="21"/>
      <c r="K148" s="21"/>
      <c r="L148" s="21"/>
    </row>
    <row r="149" spans="1:12">
      <c r="A149" s="107" t="s">
        <v>71</v>
      </c>
      <c r="B149" s="107"/>
      <c r="C149" s="107"/>
      <c r="D149" s="107"/>
      <c r="E149" s="107"/>
      <c r="F149" s="107"/>
      <c r="G149" s="23"/>
      <c r="H149" s="24"/>
      <c r="I149" s="23">
        <v>3000</v>
      </c>
      <c r="J149" s="25"/>
      <c r="K149" s="26"/>
      <c r="L149" s="26"/>
    </row>
    <row r="150" spans="1:12">
      <c r="A150" s="107" t="s">
        <v>72</v>
      </c>
      <c r="B150" s="107"/>
      <c r="C150" s="107"/>
      <c r="D150" s="107"/>
      <c r="E150" s="107"/>
      <c r="F150" s="107"/>
      <c r="G150" s="23"/>
      <c r="H150" s="31"/>
      <c r="I150" s="23">
        <v>3000</v>
      </c>
      <c r="J150" s="25"/>
      <c r="K150" s="26"/>
      <c r="L150" s="26"/>
    </row>
    <row r="151" spans="1:12">
      <c r="A151" s="107" t="s">
        <v>73</v>
      </c>
      <c r="B151" s="107"/>
      <c r="C151" s="107"/>
      <c r="D151" s="107"/>
      <c r="E151" s="107"/>
      <c r="F151" s="107"/>
      <c r="G151" s="23"/>
      <c r="H151" s="24"/>
      <c r="I151" s="23"/>
      <c r="J151" s="25"/>
      <c r="K151" s="26"/>
      <c r="L151" s="26"/>
    </row>
    <row r="152" spans="1:12">
      <c r="A152" s="111" t="s">
        <v>74</v>
      </c>
      <c r="B152" s="111"/>
      <c r="C152" s="111"/>
      <c r="D152" s="111"/>
      <c r="E152" s="111"/>
      <c r="F152" s="111"/>
      <c r="G152" s="32"/>
      <c r="H152" s="33"/>
      <c r="I152" s="32">
        <f>I134+I145+I148</f>
        <v>100500</v>
      </c>
      <c r="J152" s="33"/>
      <c r="K152" s="33"/>
      <c r="L152" s="33"/>
    </row>
    <row r="153" spans="1:12">
      <c r="A153" s="111" t="s">
        <v>75</v>
      </c>
      <c r="B153" s="111"/>
      <c r="C153" s="111"/>
      <c r="D153" s="111"/>
      <c r="E153" s="111"/>
      <c r="F153" s="111"/>
      <c r="G153" s="32"/>
      <c r="H153" s="33"/>
      <c r="I153" s="32">
        <f>I152-I148</f>
        <v>94500</v>
      </c>
      <c r="J153" s="33"/>
      <c r="K153" s="33"/>
      <c r="L153" s="33"/>
    </row>
    <row r="154" spans="1:12">
      <c r="A154" s="107" t="s">
        <v>76</v>
      </c>
      <c r="B154" s="107"/>
      <c r="C154" s="107"/>
      <c r="D154" s="107"/>
      <c r="E154" s="107"/>
      <c r="F154" s="107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>
      <c r="A155" s="107" t="s">
        <v>77</v>
      </c>
      <c r="B155" s="107"/>
      <c r="C155" s="107"/>
      <c r="D155" s="107"/>
      <c r="E155" s="107"/>
      <c r="F155" s="107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>
      <c r="A156" s="107" t="s">
        <v>78</v>
      </c>
      <c r="B156" s="107"/>
      <c r="C156" s="107"/>
      <c r="D156" s="107"/>
      <c r="E156" s="107"/>
      <c r="F156" s="107"/>
      <c r="G156" s="23"/>
      <c r="H156" s="34">
        <v>0.5</v>
      </c>
      <c r="I156" s="23"/>
      <c r="J156" s="23">
        <f>I153*H156</f>
        <v>47250</v>
      </c>
      <c r="K156" s="35">
        <v>0.06</v>
      </c>
      <c r="L156" s="23">
        <f>I153*K156</f>
        <v>5670</v>
      </c>
    </row>
    <row r="157" spans="1:12">
      <c r="A157" s="107" t="s">
        <v>79</v>
      </c>
      <c r="B157" s="107"/>
      <c r="C157" s="107"/>
      <c r="D157" s="107"/>
      <c r="E157" s="107"/>
      <c r="F157" s="107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>
      <c r="A158" s="107" t="s">
        <v>80</v>
      </c>
      <c r="B158" s="107"/>
      <c r="C158" s="107"/>
      <c r="D158" s="107"/>
      <c r="E158" s="107"/>
      <c r="F158" s="107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>
      <c r="A159" s="107" t="s">
        <v>81</v>
      </c>
      <c r="B159" s="107"/>
      <c r="C159" s="107"/>
      <c r="D159" s="107"/>
      <c r="E159" s="107"/>
      <c r="F159" s="107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>
      <c r="A160" s="107" t="s">
        <v>24</v>
      </c>
      <c r="B160" s="107"/>
      <c r="C160" s="107"/>
      <c r="D160" s="107"/>
      <c r="E160" s="107"/>
      <c r="F160" s="107"/>
      <c r="G160" s="23"/>
      <c r="H160" s="34" t="str">
        <f>[1]Taux!D$7</f>
        <v>2,26%</v>
      </c>
      <c r="I160" s="23"/>
      <c r="J160" s="23">
        <f>I153*H160</f>
        <v>2135.6999999999998</v>
      </c>
      <c r="K160" s="34" t="str">
        <f>[1]Taux!C$7</f>
        <v>4,11%</v>
      </c>
      <c r="L160" s="23">
        <f>I153*K160</f>
        <v>3883.95</v>
      </c>
    </row>
    <row r="161" spans="1:12">
      <c r="A161" s="110" t="s">
        <v>82</v>
      </c>
      <c r="B161" s="110"/>
      <c r="C161" s="110"/>
      <c r="D161" s="110"/>
      <c r="E161" s="110"/>
      <c r="F161" s="110"/>
      <c r="G161" s="37"/>
      <c r="H161" s="38"/>
      <c r="I161" s="39"/>
      <c r="J161" s="40"/>
      <c r="K161" s="34" t="str">
        <f>[1]Taux!C$4</f>
        <v>6,40%</v>
      </c>
      <c r="L161" s="23">
        <f>I153*K161</f>
        <v>6048</v>
      </c>
    </row>
    <row r="162" spans="1:12">
      <c r="A162" s="110" t="s">
        <v>83</v>
      </c>
      <c r="B162" s="110"/>
      <c r="C162" s="110"/>
      <c r="D162" s="110"/>
      <c r="E162" s="110"/>
      <c r="F162" s="110"/>
      <c r="G162" s="41"/>
      <c r="H162" s="42"/>
      <c r="I162" s="43"/>
      <c r="J162" s="44"/>
      <c r="K162" s="34" t="str">
        <f>[1]Taux!C$8</f>
        <v>1,6 %</v>
      </c>
      <c r="L162" s="23">
        <f>I153*K162</f>
        <v>1512</v>
      </c>
    </row>
    <row r="163" spans="1:12">
      <c r="A163" s="106" t="s">
        <v>84</v>
      </c>
      <c r="B163" s="106"/>
      <c r="C163" s="106"/>
      <c r="D163" s="106"/>
      <c r="E163" s="106"/>
      <c r="F163" s="106"/>
      <c r="G163" s="21"/>
      <c r="H163" s="22"/>
      <c r="I163" s="22"/>
      <c r="J163" s="21">
        <f>SUM(J154:J160)</f>
        <v>49654.5</v>
      </c>
      <c r="K163" s="21"/>
      <c r="L163" s="21">
        <f>SUM(L154:L162)</f>
        <v>17652.75</v>
      </c>
    </row>
    <row r="164" spans="1:12">
      <c r="A164" s="107" t="s">
        <v>85</v>
      </c>
      <c r="B164" s="107"/>
      <c r="C164" s="107"/>
      <c r="D164" s="107"/>
      <c r="E164" s="107"/>
      <c r="F164" s="107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>
      <c r="A165" s="111" t="s">
        <v>86</v>
      </c>
      <c r="B165" s="111"/>
      <c r="C165" s="111"/>
      <c r="D165" s="111"/>
      <c r="E165" s="111"/>
      <c r="F165" s="111"/>
      <c r="G165" s="32"/>
      <c r="H165" s="33"/>
      <c r="I165" s="32">
        <f>I153-J163-J164</f>
        <v>42345.5</v>
      </c>
      <c r="J165" s="33"/>
      <c r="K165" s="33"/>
      <c r="L165" s="33"/>
    </row>
    <row r="166" spans="1:12">
      <c r="A166" s="107" t="s">
        <v>87</v>
      </c>
      <c r="B166" s="107"/>
      <c r="C166" s="107"/>
      <c r="D166" s="107"/>
      <c r="E166" s="107"/>
      <c r="F166" s="107"/>
      <c r="G166" s="23"/>
      <c r="H166" s="34"/>
      <c r="I166" s="23">
        <f>H166*180/360</f>
        <v>0</v>
      </c>
      <c r="J166" s="23"/>
      <c r="K166" s="46"/>
      <c r="L166" s="47"/>
    </row>
    <row r="167" spans="1:12">
      <c r="A167" s="111" t="s">
        <v>88</v>
      </c>
      <c r="B167" s="111"/>
      <c r="C167" s="111"/>
      <c r="D167" s="111"/>
      <c r="E167" s="111"/>
      <c r="F167" s="111"/>
      <c r="G167" s="32"/>
      <c r="H167" s="33"/>
      <c r="I167" s="32">
        <f>I165-I166</f>
        <v>42345.5</v>
      </c>
      <c r="J167" s="33"/>
      <c r="K167" s="33"/>
      <c r="L167" s="33"/>
    </row>
    <row r="168" spans="1:12">
      <c r="A168" s="107" t="s">
        <v>89</v>
      </c>
      <c r="B168" s="107"/>
      <c r="C168" s="107"/>
      <c r="D168" s="107"/>
      <c r="E168" s="107"/>
      <c r="F168" s="107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14057.956666666667</v>
      </c>
      <c r="K168" s="46"/>
      <c r="L168" s="47"/>
    </row>
    <row r="169" spans="1:12">
      <c r="A169" s="107" t="s">
        <v>90</v>
      </c>
      <c r="B169" s="107"/>
      <c r="C169" s="107"/>
      <c r="D169" s="107"/>
      <c r="E169" s="107"/>
      <c r="F169" s="107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>
      <c r="A170" s="106" t="s">
        <v>91</v>
      </c>
      <c r="B170" s="106"/>
      <c r="C170" s="106"/>
      <c r="D170" s="106"/>
      <c r="E170" s="106"/>
      <c r="F170" s="106"/>
      <c r="G170" s="21"/>
      <c r="H170" s="22"/>
      <c r="I170" s="21"/>
      <c r="J170" s="21">
        <f>J168-J169</f>
        <v>14057.956666666667</v>
      </c>
      <c r="K170" s="21"/>
      <c r="L170" s="21"/>
    </row>
    <row r="171" spans="1:12">
      <c r="A171" s="112" t="s">
        <v>92</v>
      </c>
      <c r="B171" s="112"/>
      <c r="C171" s="112"/>
      <c r="D171" s="112"/>
      <c r="E171" s="112"/>
      <c r="F171" s="112"/>
      <c r="G171" s="25"/>
      <c r="H171" s="48"/>
      <c r="I171" s="47"/>
      <c r="J171" s="49">
        <v>0</v>
      </c>
      <c r="K171" s="46"/>
      <c r="L171" s="47"/>
    </row>
    <row r="172" spans="1:12">
      <c r="A172" s="107" t="s">
        <v>93</v>
      </c>
      <c r="B172" s="107"/>
      <c r="C172" s="107"/>
      <c r="D172" s="107"/>
      <c r="E172" s="107"/>
      <c r="F172" s="107"/>
      <c r="G172" s="25"/>
      <c r="H172" s="48"/>
      <c r="I172" s="44"/>
      <c r="J172" s="28">
        <v>0</v>
      </c>
      <c r="K172" s="46"/>
      <c r="L172" s="47"/>
    </row>
    <row r="173" spans="1:12">
      <c r="A173" s="113" t="s">
        <v>94</v>
      </c>
      <c r="B173" s="113"/>
      <c r="C173" s="113"/>
      <c r="D173" s="113"/>
      <c r="E173" s="113"/>
      <c r="F173" s="113"/>
      <c r="G173" s="41"/>
      <c r="H173" s="42"/>
      <c r="I173" s="28">
        <f>1-0.54</f>
        <v>0.45999999999999996</v>
      </c>
      <c r="J173" s="41"/>
      <c r="K173" s="43"/>
      <c r="L173" s="44"/>
    </row>
    <row r="174" spans="1:1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>
      <c r="A175" s="58" t="s">
        <v>95</v>
      </c>
      <c r="B175" s="58" t="s">
        <v>96</v>
      </c>
      <c r="C175" s="58" t="s">
        <v>97</v>
      </c>
      <c r="D175" s="104" t="s">
        <v>98</v>
      </c>
      <c r="E175" s="104"/>
      <c r="F175" s="104"/>
      <c r="G175" s="58" t="s">
        <v>99</v>
      </c>
      <c r="H175" s="50"/>
      <c r="I175" s="57">
        <f>I152+I173</f>
        <v>100500.46</v>
      </c>
      <c r="J175" s="57">
        <f>J163+J170+J171+J172</f>
        <v>63712.456666666665</v>
      </c>
      <c r="K175" s="58" t="s">
        <v>100</v>
      </c>
      <c r="L175" s="57">
        <f>L163</f>
        <v>17652.75</v>
      </c>
    </row>
    <row r="176" spans="1:12">
      <c r="A176" s="57">
        <f>882000+I152</f>
        <v>982500</v>
      </c>
      <c r="B176" s="57">
        <f>828000+I153</f>
        <v>922500</v>
      </c>
      <c r="C176" s="57">
        <f>2419.2+J154</f>
        <v>2688</v>
      </c>
      <c r="D176" s="114">
        <f>122440.83+J170</f>
        <v>136498.78666666668</v>
      </c>
      <c r="E176" s="114"/>
      <c r="F176" s="114"/>
      <c r="G176" s="57">
        <f>324432+I175</f>
        <v>424932.46</v>
      </c>
      <c r="H176" s="104" t="s">
        <v>101</v>
      </c>
      <c r="I176" s="104"/>
      <c r="J176" s="57">
        <f>I175-J175</f>
        <v>36788.003333333341</v>
      </c>
      <c r="K176" s="58" t="s">
        <v>102</v>
      </c>
      <c r="L176" s="57">
        <f>154800+L175</f>
        <v>172452.75</v>
      </c>
    </row>
    <row r="177" spans="1:1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54440.753333333341</v>
      </c>
    </row>
    <row r="181" spans="1:12">
      <c r="A181" s="105" t="s">
        <v>26</v>
      </c>
      <c r="B181" s="105"/>
      <c r="C181" s="105" t="s">
        <v>27</v>
      </c>
      <c r="D181" s="105"/>
      <c r="E181" s="105"/>
      <c r="F181" s="105"/>
      <c r="G181" s="105" t="s">
        <v>28</v>
      </c>
      <c r="H181" s="105"/>
      <c r="I181" s="105"/>
      <c r="J181" s="105" t="s">
        <v>29</v>
      </c>
      <c r="K181" s="105"/>
      <c r="L181" s="105"/>
    </row>
    <row r="182" spans="1:12">
      <c r="A182" s="58" t="s">
        <v>30</v>
      </c>
      <c r="B182" s="104" t="s">
        <v>31</v>
      </c>
      <c r="C182" s="104"/>
      <c r="D182" s="104"/>
      <c r="E182" s="104"/>
      <c r="F182" s="104"/>
      <c r="G182" s="104" t="s">
        <v>32</v>
      </c>
      <c r="H182" s="104"/>
      <c r="I182" s="104"/>
      <c r="J182" s="104"/>
      <c r="K182" s="104"/>
      <c r="L182" s="104"/>
    </row>
    <row r="183" spans="1:12">
      <c r="A183" s="59">
        <v>5</v>
      </c>
      <c r="B183" s="102" t="s">
        <v>108</v>
      </c>
      <c r="C183" s="102"/>
      <c r="D183" s="102"/>
      <c r="E183" s="102"/>
      <c r="F183" s="102"/>
      <c r="G183" s="103">
        <v>42614</v>
      </c>
      <c r="H183" s="103"/>
      <c r="I183" s="103"/>
      <c r="J183" s="103">
        <v>42643</v>
      </c>
      <c r="K183" s="103"/>
      <c r="L183" s="103"/>
    </row>
    <row r="184" spans="1:12">
      <c r="A184" s="58" t="s">
        <v>34</v>
      </c>
      <c r="B184" s="58" t="s">
        <v>35</v>
      </c>
      <c r="C184" s="58" t="s">
        <v>36</v>
      </c>
      <c r="D184" s="58" t="s">
        <v>37</v>
      </c>
      <c r="E184" s="58" t="s">
        <v>38</v>
      </c>
      <c r="F184" s="58" t="s">
        <v>39</v>
      </c>
      <c r="G184" s="104" t="s">
        <v>40</v>
      </c>
      <c r="H184" s="104"/>
      <c r="I184" s="104"/>
      <c r="J184" s="104"/>
      <c r="K184" s="104"/>
      <c r="L184" s="104"/>
    </row>
    <row r="185" spans="1:12">
      <c r="A185" s="17">
        <v>41791</v>
      </c>
      <c r="B185" s="59"/>
      <c r="C185" s="17">
        <v>21792</v>
      </c>
      <c r="D185" s="59" t="s">
        <v>41</v>
      </c>
      <c r="E185" s="59">
        <v>2</v>
      </c>
      <c r="F185" s="59">
        <v>3</v>
      </c>
      <c r="G185" s="102"/>
      <c r="H185" s="102"/>
      <c r="I185" s="102"/>
      <c r="J185" s="102"/>
      <c r="K185" s="102"/>
      <c r="L185" s="102"/>
    </row>
    <row r="186" spans="1:12">
      <c r="A186" s="58" t="s">
        <v>42</v>
      </c>
      <c r="B186" s="58" t="s">
        <v>43</v>
      </c>
      <c r="C186" s="58" t="s">
        <v>44</v>
      </c>
      <c r="D186" s="104" t="s">
        <v>45</v>
      </c>
      <c r="E186" s="104"/>
      <c r="F186" s="104"/>
      <c r="G186" s="104" t="s">
        <v>46</v>
      </c>
      <c r="H186" s="104"/>
      <c r="I186" s="104"/>
      <c r="J186" s="104"/>
      <c r="K186" s="104"/>
      <c r="L186" s="104"/>
    </row>
    <row r="187" spans="1:12">
      <c r="A187" s="59">
        <v>132944135</v>
      </c>
      <c r="B187" s="59"/>
      <c r="C187" s="59"/>
      <c r="D187" s="102" t="s">
        <v>47</v>
      </c>
      <c r="E187" s="102"/>
      <c r="F187" s="102"/>
      <c r="G187" s="102" t="s">
        <v>109</v>
      </c>
      <c r="H187" s="102"/>
      <c r="I187" s="102"/>
      <c r="J187" s="102"/>
      <c r="K187" s="102"/>
      <c r="L187" s="102"/>
    </row>
    <row r="188" spans="1:1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>
      <c r="A191" s="108" t="s">
        <v>49</v>
      </c>
      <c r="B191" s="108"/>
      <c r="C191" s="108"/>
      <c r="D191" s="108"/>
      <c r="E191" s="108"/>
      <c r="F191" s="108"/>
      <c r="G191" s="108" t="s">
        <v>50</v>
      </c>
      <c r="H191" s="108" t="s">
        <v>51</v>
      </c>
      <c r="I191" s="108" t="s">
        <v>52</v>
      </c>
      <c r="J191" s="108"/>
      <c r="K191" s="108" t="s">
        <v>53</v>
      </c>
      <c r="L191" s="108"/>
    </row>
    <row r="192" spans="1:12">
      <c r="A192" s="108"/>
      <c r="B192" s="108"/>
      <c r="C192" s="108"/>
      <c r="D192" s="108"/>
      <c r="E192" s="108"/>
      <c r="F192" s="108"/>
      <c r="G192" s="108"/>
      <c r="H192" s="108"/>
      <c r="I192" s="60" t="s">
        <v>54</v>
      </c>
      <c r="J192" s="60" t="s">
        <v>55</v>
      </c>
      <c r="K192" s="60" t="s">
        <v>56</v>
      </c>
      <c r="L192" s="60" t="s">
        <v>57</v>
      </c>
    </row>
    <row r="193" spans="1:12">
      <c r="A193" s="106" t="s">
        <v>58</v>
      </c>
      <c r="B193" s="106"/>
      <c r="C193" s="106"/>
      <c r="D193" s="106"/>
      <c r="E193" s="106"/>
      <c r="F193" s="106"/>
      <c r="G193" s="21">
        <v>12125.57</v>
      </c>
      <c r="H193" s="22"/>
      <c r="I193" s="21"/>
      <c r="J193" s="21"/>
      <c r="K193" s="21"/>
      <c r="L193" s="21"/>
    </row>
    <row r="194" spans="1:12">
      <c r="A194" s="106" t="s">
        <v>59</v>
      </c>
      <c r="B194" s="106"/>
      <c r="C194" s="106"/>
      <c r="D194" s="106"/>
      <c r="E194" s="106"/>
      <c r="F194" s="106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>
      <c r="A195" s="107" t="s">
        <v>60</v>
      </c>
      <c r="B195" s="107"/>
      <c r="C195" s="107"/>
      <c r="D195" s="107"/>
      <c r="E195" s="107"/>
      <c r="F195" s="107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>
      <c r="A196" s="107" t="s">
        <v>61</v>
      </c>
      <c r="B196" s="107"/>
      <c r="C196" s="107"/>
      <c r="D196" s="107"/>
      <c r="E196" s="107"/>
      <c r="F196" s="107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>
      <c r="A197" s="107" t="s">
        <v>62</v>
      </c>
      <c r="B197" s="107"/>
      <c r="C197" s="107"/>
      <c r="D197" s="107"/>
      <c r="E197" s="107"/>
      <c r="F197" s="107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>
      <c r="A198" s="107" t="s">
        <v>63</v>
      </c>
      <c r="B198" s="107"/>
      <c r="C198" s="107"/>
      <c r="D198" s="107"/>
      <c r="E198" s="107"/>
      <c r="F198" s="107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>
      <c r="A199" s="107" t="s">
        <v>64</v>
      </c>
      <c r="B199" s="107"/>
      <c r="C199" s="107"/>
      <c r="D199" s="107"/>
      <c r="E199" s="107"/>
      <c r="F199" s="107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>
      <c r="A200" s="107" t="s">
        <v>65</v>
      </c>
      <c r="B200" s="107"/>
      <c r="C200" s="107"/>
      <c r="D200" s="107"/>
      <c r="E200" s="107"/>
      <c r="F200" s="107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>
      <c r="A201" s="107" t="s">
        <v>66</v>
      </c>
      <c r="B201" s="107"/>
      <c r="C201" s="107"/>
      <c r="D201" s="107"/>
      <c r="E201" s="107"/>
      <c r="F201" s="107"/>
      <c r="G201" s="29"/>
      <c r="H201" s="30"/>
      <c r="I201" s="30"/>
      <c r="J201" s="25"/>
      <c r="K201" s="26"/>
      <c r="L201" s="26"/>
    </row>
    <row r="202" spans="1:12">
      <c r="A202" s="109">
        <v>0.25</v>
      </c>
      <c r="B202" s="109"/>
      <c r="C202" s="109"/>
      <c r="D202" s="109"/>
      <c r="E202" s="109"/>
      <c r="F202" s="109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>
      <c r="A203" s="109">
        <v>0.5</v>
      </c>
      <c r="B203" s="109"/>
      <c r="C203" s="109"/>
      <c r="D203" s="109"/>
      <c r="E203" s="109"/>
      <c r="F203" s="109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>
      <c r="A204" s="109">
        <v>1</v>
      </c>
      <c r="B204" s="109"/>
      <c r="C204" s="109"/>
      <c r="D204" s="109"/>
      <c r="E204" s="109"/>
      <c r="F204" s="109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>
      <c r="A205" s="106" t="s">
        <v>67</v>
      </c>
      <c r="B205" s="106"/>
      <c r="C205" s="106"/>
      <c r="D205" s="106"/>
      <c r="E205" s="106"/>
      <c r="F205" s="106"/>
      <c r="G205" s="21"/>
      <c r="H205" s="22"/>
      <c r="I205" s="21">
        <f>SUM(I206:I207)</f>
        <v>606.27850000000001</v>
      </c>
      <c r="J205" s="21"/>
      <c r="K205" s="21"/>
      <c r="L205" s="21"/>
    </row>
    <row r="206" spans="1:12">
      <c r="A206" s="107" t="s">
        <v>68</v>
      </c>
      <c r="B206" s="107"/>
      <c r="C206" s="107"/>
      <c r="D206" s="107"/>
      <c r="E206" s="107"/>
      <c r="F206" s="107"/>
      <c r="G206" s="23">
        <f>(G183-A185)/360</f>
        <v>2.286111111111111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0.05</v>
      </c>
      <c r="I206" s="23">
        <f>I194*H206</f>
        <v>606.27850000000001</v>
      </c>
      <c r="J206" s="25"/>
      <c r="K206" s="26"/>
      <c r="L206" s="26"/>
    </row>
    <row r="207" spans="1:12">
      <c r="A207" s="107" t="s">
        <v>69</v>
      </c>
      <c r="B207" s="107"/>
      <c r="C207" s="107"/>
      <c r="D207" s="107"/>
      <c r="E207" s="107"/>
      <c r="F207" s="107"/>
      <c r="G207" s="23"/>
      <c r="H207" s="24"/>
      <c r="I207" s="23"/>
      <c r="J207" s="25"/>
      <c r="K207" s="26"/>
      <c r="L207" s="26"/>
    </row>
    <row r="208" spans="1:12">
      <c r="A208" s="106" t="s">
        <v>70</v>
      </c>
      <c r="B208" s="106"/>
      <c r="C208" s="106"/>
      <c r="D208" s="106"/>
      <c r="E208" s="106"/>
      <c r="F208" s="106"/>
      <c r="G208" s="21"/>
      <c r="H208" s="22"/>
      <c r="I208" s="21">
        <f>SUM(I209:I211)</f>
        <v>5000</v>
      </c>
      <c r="J208" s="21"/>
      <c r="K208" s="21"/>
      <c r="L208" s="21"/>
    </row>
    <row r="209" spans="1:12">
      <c r="A209" s="107" t="s">
        <v>71</v>
      </c>
      <c r="B209" s="107"/>
      <c r="C209" s="107"/>
      <c r="D209" s="107"/>
      <c r="E209" s="107"/>
      <c r="F209" s="107"/>
      <c r="G209" s="23"/>
      <c r="H209" s="24"/>
      <c r="I209" s="23">
        <v>2500</v>
      </c>
      <c r="J209" s="25"/>
      <c r="K209" s="26"/>
      <c r="L209" s="26"/>
    </row>
    <row r="210" spans="1:12">
      <c r="A210" s="107" t="s">
        <v>72</v>
      </c>
      <c r="B210" s="107"/>
      <c r="C210" s="107"/>
      <c r="D210" s="107"/>
      <c r="E210" s="107"/>
      <c r="F210" s="107"/>
      <c r="G210" s="23"/>
      <c r="H210" s="31">
        <v>0</v>
      </c>
      <c r="I210" s="23">
        <v>2500</v>
      </c>
      <c r="J210" s="25"/>
      <c r="K210" s="26"/>
      <c r="L210" s="26"/>
    </row>
    <row r="211" spans="1:12">
      <c r="A211" s="107" t="s">
        <v>73</v>
      </c>
      <c r="B211" s="107"/>
      <c r="C211" s="107"/>
      <c r="D211" s="107"/>
      <c r="E211" s="107"/>
      <c r="F211" s="107"/>
      <c r="G211" s="23"/>
      <c r="H211" s="24"/>
      <c r="I211" s="23"/>
      <c r="J211" s="25"/>
      <c r="K211" s="26"/>
      <c r="L211" s="26"/>
    </row>
    <row r="212" spans="1:12">
      <c r="A212" s="111" t="s">
        <v>74</v>
      </c>
      <c r="B212" s="111"/>
      <c r="C212" s="111"/>
      <c r="D212" s="111"/>
      <c r="E212" s="111"/>
      <c r="F212" s="111"/>
      <c r="G212" s="32"/>
      <c r="H212" s="33"/>
      <c r="I212" s="32">
        <f>I194+I205+I208</f>
        <v>17731.8485</v>
      </c>
      <c r="J212" s="33"/>
      <c r="K212" s="33"/>
      <c r="L212" s="33"/>
    </row>
    <row r="213" spans="1:12">
      <c r="A213" s="111" t="s">
        <v>75</v>
      </c>
      <c r="B213" s="111"/>
      <c r="C213" s="111"/>
      <c r="D213" s="111"/>
      <c r="E213" s="111"/>
      <c r="F213" s="111"/>
      <c r="G213" s="32"/>
      <c r="H213" s="33"/>
      <c r="I213" s="32">
        <f>I212-I208</f>
        <v>12731.8485</v>
      </c>
      <c r="J213" s="33"/>
      <c r="K213" s="33"/>
      <c r="L213" s="33"/>
    </row>
    <row r="214" spans="1:12">
      <c r="A214" s="107" t="s">
        <v>76</v>
      </c>
      <c r="B214" s="107"/>
      <c r="C214" s="107"/>
      <c r="D214" s="107"/>
      <c r="E214" s="107"/>
      <c r="F214" s="107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>
      <c r="A215" s="107" t="s">
        <v>77</v>
      </c>
      <c r="B215" s="107"/>
      <c r="C215" s="107"/>
      <c r="D215" s="107"/>
      <c r="E215" s="107"/>
      <c r="F215" s="107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>
      <c r="A216" s="107" t="s">
        <v>78</v>
      </c>
      <c r="B216" s="107"/>
      <c r="C216" s="107"/>
      <c r="D216" s="107"/>
      <c r="E216" s="107"/>
      <c r="F216" s="107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>
      <c r="A217" s="107" t="s">
        <v>79</v>
      </c>
      <c r="B217" s="107"/>
      <c r="C217" s="107"/>
      <c r="D217" s="107"/>
      <c r="E217" s="107"/>
      <c r="F217" s="107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>
      <c r="A218" s="107" t="s">
        <v>80</v>
      </c>
      <c r="B218" s="107"/>
      <c r="C218" s="107"/>
      <c r="D218" s="107"/>
      <c r="E218" s="107"/>
      <c r="F218" s="107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>
      <c r="A219" s="107" t="s">
        <v>81</v>
      </c>
      <c r="B219" s="107"/>
      <c r="C219" s="107"/>
      <c r="D219" s="107"/>
      <c r="E219" s="107"/>
      <c r="F219" s="107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>
      <c r="A220" s="107" t="s">
        <v>24</v>
      </c>
      <c r="B220" s="107"/>
      <c r="C220" s="107"/>
      <c r="D220" s="107"/>
      <c r="E220" s="107"/>
      <c r="F220" s="107"/>
      <c r="G220" s="23"/>
      <c r="H220" s="34" t="str">
        <f>[1]Taux!D$7</f>
        <v>2,26%</v>
      </c>
      <c r="I220" s="23"/>
      <c r="J220" s="23">
        <f>I213*H220</f>
        <v>287.73977609999997</v>
      </c>
      <c r="K220" s="34" t="str">
        <f>[1]Taux!C$7</f>
        <v>4,11%</v>
      </c>
      <c r="L220" s="23">
        <f>I213*K220</f>
        <v>523.27897335</v>
      </c>
    </row>
    <row r="221" spans="1:12">
      <c r="A221" s="110" t="s">
        <v>82</v>
      </c>
      <c r="B221" s="110"/>
      <c r="C221" s="110"/>
      <c r="D221" s="110"/>
      <c r="E221" s="110"/>
      <c r="F221" s="110"/>
      <c r="G221" s="37"/>
      <c r="H221" s="38"/>
      <c r="I221" s="39"/>
      <c r="J221" s="40"/>
      <c r="K221" s="34" t="str">
        <f>[1]Taux!C$4</f>
        <v>6,40%</v>
      </c>
      <c r="L221" s="23">
        <f>I213*K221</f>
        <v>814.83830399999999</v>
      </c>
    </row>
    <row r="222" spans="1:12">
      <c r="A222" s="110" t="s">
        <v>83</v>
      </c>
      <c r="B222" s="110"/>
      <c r="C222" s="110"/>
      <c r="D222" s="110"/>
      <c r="E222" s="110"/>
      <c r="F222" s="110"/>
      <c r="G222" s="41"/>
      <c r="H222" s="42"/>
      <c r="I222" s="43"/>
      <c r="J222" s="44"/>
      <c r="K222" s="34" t="str">
        <f>[1]Taux!C$8</f>
        <v>1,6 %</v>
      </c>
      <c r="L222" s="23">
        <f>I213*K222</f>
        <v>203.709576</v>
      </c>
    </row>
    <row r="223" spans="1:12">
      <c r="A223" s="106" t="s">
        <v>84</v>
      </c>
      <c r="B223" s="106"/>
      <c r="C223" s="106"/>
      <c r="D223" s="106"/>
      <c r="E223" s="106"/>
      <c r="F223" s="106"/>
      <c r="G223" s="21"/>
      <c r="H223" s="22"/>
      <c r="I223" s="22"/>
      <c r="J223" s="21">
        <f>SUM(J214:J220)</f>
        <v>556.53977609999993</v>
      </c>
      <c r="K223" s="21"/>
      <c r="L223" s="21">
        <f>SUM(L214:L222)</f>
        <v>2080.6268533500001</v>
      </c>
    </row>
    <row r="224" spans="1:12">
      <c r="A224" s="107" t="s">
        <v>85</v>
      </c>
      <c r="B224" s="107"/>
      <c r="C224" s="107"/>
      <c r="D224" s="107"/>
      <c r="E224" s="107"/>
      <c r="F224" s="107"/>
      <c r="G224" s="23"/>
      <c r="H224" s="45">
        <v>0.2</v>
      </c>
      <c r="I224" s="23"/>
      <c r="J224" s="23">
        <f>IF(I213*H224&lt;2500,I213*H224,2500)</f>
        <v>2500</v>
      </c>
      <c r="K224" s="46"/>
      <c r="L224" s="47"/>
    </row>
    <row r="225" spans="1:12">
      <c r="A225" s="111" t="s">
        <v>86</v>
      </c>
      <c r="B225" s="111"/>
      <c r="C225" s="111"/>
      <c r="D225" s="111"/>
      <c r="E225" s="111"/>
      <c r="F225" s="111"/>
      <c r="G225" s="32"/>
      <c r="H225" s="33"/>
      <c r="I225" s="32">
        <f>I213-J223-J224</f>
        <v>9675.3087238999997</v>
      </c>
      <c r="J225" s="33"/>
      <c r="K225" s="33"/>
      <c r="L225" s="33"/>
    </row>
    <row r="226" spans="1:12">
      <c r="A226" s="107" t="s">
        <v>87</v>
      </c>
      <c r="B226" s="107"/>
      <c r="C226" s="107"/>
      <c r="D226" s="107"/>
      <c r="E226" s="107"/>
      <c r="F226" s="107"/>
      <c r="G226" s="23"/>
      <c r="H226" s="34"/>
      <c r="I226" s="23">
        <f>H226*180/360</f>
        <v>0</v>
      </c>
      <c r="J226" s="23"/>
      <c r="K226" s="46"/>
      <c r="L226" s="47"/>
    </row>
    <row r="227" spans="1:12">
      <c r="A227" s="111" t="s">
        <v>88</v>
      </c>
      <c r="B227" s="111"/>
      <c r="C227" s="111"/>
      <c r="D227" s="111"/>
      <c r="E227" s="111"/>
      <c r="F227" s="111"/>
      <c r="G227" s="32"/>
      <c r="H227" s="33"/>
      <c r="I227" s="32">
        <f>I225-I226</f>
        <v>9675.3087238999997</v>
      </c>
      <c r="J227" s="33"/>
      <c r="K227" s="33"/>
      <c r="L227" s="33"/>
    </row>
    <row r="228" spans="1:12">
      <c r="A228" s="107" t="s">
        <v>89</v>
      </c>
      <c r="B228" s="107"/>
      <c r="C228" s="107"/>
      <c r="D228" s="107"/>
      <c r="E228" s="107"/>
      <c r="F228" s="107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1856.2716327926667</v>
      </c>
      <c r="K228" s="46"/>
      <c r="L228" s="47"/>
    </row>
    <row r="229" spans="1:12">
      <c r="A229" s="107" t="s">
        <v>90</v>
      </c>
      <c r="B229" s="107"/>
      <c r="C229" s="107"/>
      <c r="D229" s="107"/>
      <c r="E229" s="107"/>
      <c r="F229" s="107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>
      <c r="A230" s="106" t="s">
        <v>91</v>
      </c>
      <c r="B230" s="106"/>
      <c r="C230" s="106"/>
      <c r="D230" s="106"/>
      <c r="E230" s="106"/>
      <c r="F230" s="106"/>
      <c r="G230" s="21"/>
      <c r="H230" s="22"/>
      <c r="I230" s="21"/>
      <c r="J230" s="21">
        <f>J228-J229</f>
        <v>1766.2716327926667</v>
      </c>
      <c r="K230" s="21"/>
      <c r="L230" s="21"/>
    </row>
    <row r="231" spans="1:12">
      <c r="A231" s="112" t="s">
        <v>92</v>
      </c>
      <c r="B231" s="112"/>
      <c r="C231" s="112"/>
      <c r="D231" s="112"/>
      <c r="E231" s="112"/>
      <c r="F231" s="112"/>
      <c r="G231" s="25"/>
      <c r="H231" s="48"/>
      <c r="I231" s="47"/>
      <c r="J231" s="49">
        <v>0</v>
      </c>
      <c r="K231" s="46"/>
      <c r="L231" s="47"/>
    </row>
    <row r="232" spans="1:12">
      <c r="A232" s="107" t="s">
        <v>93</v>
      </c>
      <c r="B232" s="107"/>
      <c r="C232" s="107"/>
      <c r="D232" s="107"/>
      <c r="E232" s="107"/>
      <c r="F232" s="107"/>
      <c r="G232" s="25"/>
      <c r="H232" s="48"/>
      <c r="I232" s="44"/>
      <c r="J232" s="28">
        <v>0</v>
      </c>
      <c r="K232" s="46"/>
      <c r="L232" s="47"/>
    </row>
    <row r="233" spans="1:12">
      <c r="A233" s="113" t="s">
        <v>94</v>
      </c>
      <c r="B233" s="113"/>
      <c r="C233" s="113"/>
      <c r="D233" s="113"/>
      <c r="E233" s="113"/>
      <c r="F233" s="113"/>
      <c r="G233" s="41"/>
      <c r="H233" s="42"/>
      <c r="I233" s="28">
        <f>1-0.04</f>
        <v>0.96</v>
      </c>
      <c r="J233" s="41"/>
      <c r="K233" s="43"/>
      <c r="L233" s="44"/>
    </row>
    <row r="234" spans="1:1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>
      <c r="A235" s="58" t="s">
        <v>95</v>
      </c>
      <c r="B235" s="58" t="s">
        <v>96</v>
      </c>
      <c r="C235" s="58" t="s">
        <v>97</v>
      </c>
      <c r="D235" s="104" t="s">
        <v>98</v>
      </c>
      <c r="E235" s="104"/>
      <c r="F235" s="104"/>
      <c r="G235" s="58" t="s">
        <v>99</v>
      </c>
      <c r="H235" s="50"/>
      <c r="I235" s="57">
        <f>I212+I233</f>
        <v>17732.808499999999</v>
      </c>
      <c r="J235" s="57">
        <f>J223+J230+J231+J232</f>
        <v>2322.8114088926668</v>
      </c>
      <c r="K235" s="58" t="s">
        <v>100</v>
      </c>
      <c r="L235" s="57">
        <f>L223</f>
        <v>2080.6268533500001</v>
      </c>
    </row>
    <row r="236" spans="1:12">
      <c r="A236" s="57">
        <f>156555.24+I212</f>
        <v>174287.08849999998</v>
      </c>
      <c r="B236" s="57">
        <f>111555.24+I213</f>
        <v>124287.08850000001</v>
      </c>
      <c r="C236" s="57">
        <f>2419.2+J214</f>
        <v>2688</v>
      </c>
      <c r="D236" s="114">
        <f>15016.37+J230</f>
        <v>16782.641632792667</v>
      </c>
      <c r="E236" s="114"/>
      <c r="F236" s="114"/>
      <c r="G236" s="57">
        <f>136602.47+I235</f>
        <v>154335.27850000001</v>
      </c>
      <c r="H236" s="104" t="s">
        <v>101</v>
      </c>
      <c r="I236" s="104"/>
      <c r="J236" s="57">
        <f>I235-J235</f>
        <v>15409.997091107332</v>
      </c>
      <c r="K236" s="58" t="s">
        <v>102</v>
      </c>
      <c r="L236" s="57">
        <f>20589.65+L235</f>
        <v>22670.276853350002</v>
      </c>
    </row>
    <row r="237" spans="1:1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17490.623944457333</v>
      </c>
    </row>
    <row r="241" spans="1:12">
      <c r="A241" s="105" t="s">
        <v>26</v>
      </c>
      <c r="B241" s="105"/>
      <c r="C241" s="105" t="s">
        <v>27</v>
      </c>
      <c r="D241" s="105"/>
      <c r="E241" s="105"/>
      <c r="F241" s="105"/>
      <c r="G241" s="105" t="s">
        <v>28</v>
      </c>
      <c r="H241" s="105"/>
      <c r="I241" s="105"/>
      <c r="J241" s="105" t="s">
        <v>29</v>
      </c>
      <c r="K241" s="105"/>
      <c r="L241" s="105"/>
    </row>
    <row r="242" spans="1:12">
      <c r="A242" s="58" t="s">
        <v>30</v>
      </c>
      <c r="B242" s="104" t="s">
        <v>31</v>
      </c>
      <c r="C242" s="104"/>
      <c r="D242" s="104"/>
      <c r="E242" s="104"/>
      <c r="F242" s="104"/>
      <c r="G242" s="104" t="s">
        <v>32</v>
      </c>
      <c r="H242" s="104"/>
      <c r="I242" s="104"/>
      <c r="J242" s="104"/>
      <c r="K242" s="104"/>
      <c r="L242" s="104"/>
    </row>
    <row r="243" spans="1:12">
      <c r="A243" s="59">
        <v>6</v>
      </c>
      <c r="B243" s="102" t="s">
        <v>110</v>
      </c>
      <c r="C243" s="102"/>
      <c r="D243" s="102"/>
      <c r="E243" s="102"/>
      <c r="F243" s="102"/>
      <c r="G243" s="103">
        <v>42614</v>
      </c>
      <c r="H243" s="103"/>
      <c r="I243" s="103"/>
      <c r="J243" s="103">
        <v>42643</v>
      </c>
      <c r="K243" s="103"/>
      <c r="L243" s="103"/>
    </row>
    <row r="244" spans="1:12">
      <c r="A244" s="58" t="s">
        <v>34</v>
      </c>
      <c r="B244" s="58" t="s">
        <v>35</v>
      </c>
      <c r="C244" s="58" t="s">
        <v>36</v>
      </c>
      <c r="D244" s="58" t="s">
        <v>37</v>
      </c>
      <c r="E244" s="58" t="s">
        <v>38</v>
      </c>
      <c r="F244" s="58" t="s">
        <v>39</v>
      </c>
      <c r="G244" s="104" t="s">
        <v>40</v>
      </c>
      <c r="H244" s="104"/>
      <c r="I244" s="104"/>
      <c r="J244" s="104"/>
      <c r="K244" s="104"/>
      <c r="L244" s="104"/>
    </row>
    <row r="245" spans="1:12">
      <c r="A245" s="17">
        <v>41821</v>
      </c>
      <c r="B245" s="59"/>
      <c r="C245" s="17">
        <v>31573</v>
      </c>
      <c r="D245" s="59" t="s">
        <v>111</v>
      </c>
      <c r="E245" s="59">
        <v>0</v>
      </c>
      <c r="F245" s="59">
        <v>0</v>
      </c>
      <c r="G245" s="102"/>
      <c r="H245" s="102"/>
      <c r="I245" s="102"/>
      <c r="J245" s="102"/>
      <c r="K245" s="102"/>
      <c r="L245" s="102"/>
    </row>
    <row r="246" spans="1:12">
      <c r="A246" s="58" t="s">
        <v>42</v>
      </c>
      <c r="B246" s="58" t="s">
        <v>43</v>
      </c>
      <c r="C246" s="58" t="s">
        <v>44</v>
      </c>
      <c r="D246" s="104" t="s">
        <v>45</v>
      </c>
      <c r="E246" s="104"/>
      <c r="F246" s="104"/>
      <c r="G246" s="104" t="s">
        <v>46</v>
      </c>
      <c r="H246" s="104"/>
      <c r="I246" s="104"/>
      <c r="J246" s="104"/>
      <c r="K246" s="104"/>
      <c r="L246" s="104"/>
    </row>
    <row r="247" spans="1:12">
      <c r="A247" s="59">
        <v>195441186</v>
      </c>
      <c r="B247" s="59"/>
      <c r="C247" s="59"/>
      <c r="D247" s="102" t="s">
        <v>47</v>
      </c>
      <c r="E247" s="102"/>
      <c r="F247" s="102"/>
      <c r="G247" s="102" t="s">
        <v>107</v>
      </c>
      <c r="H247" s="102"/>
      <c r="I247" s="102"/>
      <c r="J247" s="102"/>
      <c r="K247" s="102"/>
      <c r="L247" s="102"/>
    </row>
    <row r="248" spans="1:1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>
      <c r="A251" s="108" t="s">
        <v>49</v>
      </c>
      <c r="B251" s="108"/>
      <c r="C251" s="108"/>
      <c r="D251" s="108"/>
      <c r="E251" s="108"/>
      <c r="F251" s="108"/>
      <c r="G251" s="108" t="s">
        <v>50</v>
      </c>
      <c r="H251" s="108" t="s">
        <v>51</v>
      </c>
      <c r="I251" s="108" t="s">
        <v>52</v>
      </c>
      <c r="J251" s="108"/>
      <c r="K251" s="108" t="s">
        <v>53</v>
      </c>
      <c r="L251" s="108"/>
    </row>
    <row r="252" spans="1:12">
      <c r="A252" s="108"/>
      <c r="B252" s="108"/>
      <c r="C252" s="108"/>
      <c r="D252" s="108"/>
      <c r="E252" s="108"/>
      <c r="F252" s="108"/>
      <c r="G252" s="108"/>
      <c r="H252" s="108"/>
      <c r="I252" s="60" t="s">
        <v>54</v>
      </c>
      <c r="J252" s="60" t="s">
        <v>55</v>
      </c>
      <c r="K252" s="60" t="s">
        <v>56</v>
      </c>
      <c r="L252" s="60" t="s">
        <v>57</v>
      </c>
    </row>
    <row r="253" spans="1:12">
      <c r="A253" s="106" t="s">
        <v>58</v>
      </c>
      <c r="B253" s="106"/>
      <c r="C253" s="106"/>
      <c r="D253" s="106"/>
      <c r="E253" s="106"/>
      <c r="F253" s="106"/>
      <c r="G253" s="21">
        <v>3823.53</v>
      </c>
      <c r="H253" s="22"/>
      <c r="I253" s="21"/>
      <c r="J253" s="21"/>
      <c r="K253" s="21"/>
      <c r="L253" s="21"/>
    </row>
    <row r="254" spans="1:12">
      <c r="A254" s="106" t="s">
        <v>59</v>
      </c>
      <c r="B254" s="106"/>
      <c r="C254" s="106"/>
      <c r="D254" s="106"/>
      <c r="E254" s="106"/>
      <c r="F254" s="106"/>
      <c r="G254" s="21"/>
      <c r="H254" s="21"/>
      <c r="I254" s="21">
        <f>IF(I255+I256-J257-J258+I259+I262+I263+I264+I260&lt;G253,I255+I256-J257-J258+I259+I262+I263+I264+I260,G253)</f>
        <v>3823.53</v>
      </c>
      <c r="J254" s="21"/>
      <c r="K254" s="21"/>
      <c r="L254" s="21"/>
    </row>
    <row r="255" spans="1:12">
      <c r="A255" s="107" t="s">
        <v>60</v>
      </c>
      <c r="B255" s="107"/>
      <c r="C255" s="107"/>
      <c r="D255" s="107"/>
      <c r="E255" s="107"/>
      <c r="F255" s="107"/>
      <c r="G255" s="23"/>
      <c r="H255" s="24">
        <v>26</v>
      </c>
      <c r="I255" s="23">
        <f>G253/26*H255</f>
        <v>3823.53</v>
      </c>
      <c r="J255" s="25"/>
      <c r="K255" s="26"/>
      <c r="L255" s="26"/>
    </row>
    <row r="256" spans="1:12">
      <c r="A256" s="107" t="s">
        <v>61</v>
      </c>
      <c r="B256" s="107"/>
      <c r="C256" s="107"/>
      <c r="D256" s="107"/>
      <c r="E256" s="107"/>
      <c r="F256" s="107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>
      <c r="A257" s="107" t="s">
        <v>62</v>
      </c>
      <c r="B257" s="107"/>
      <c r="C257" s="107"/>
      <c r="D257" s="107"/>
      <c r="E257" s="107"/>
      <c r="F257" s="107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>
      <c r="A258" s="107" t="s">
        <v>63</v>
      </c>
      <c r="B258" s="107"/>
      <c r="C258" s="107"/>
      <c r="D258" s="107"/>
      <c r="E258" s="107"/>
      <c r="F258" s="107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>
      <c r="A259" s="107" t="s">
        <v>64</v>
      </c>
      <c r="B259" s="107"/>
      <c r="C259" s="107"/>
      <c r="D259" s="107"/>
      <c r="E259" s="107"/>
      <c r="F259" s="107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>
      <c r="A260" s="107" t="s">
        <v>65</v>
      </c>
      <c r="B260" s="107"/>
      <c r="C260" s="107"/>
      <c r="D260" s="107"/>
      <c r="E260" s="107"/>
      <c r="F260" s="107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>
      <c r="A261" s="107" t="s">
        <v>66</v>
      </c>
      <c r="B261" s="107"/>
      <c r="C261" s="107"/>
      <c r="D261" s="107"/>
      <c r="E261" s="107"/>
      <c r="F261" s="107"/>
      <c r="G261" s="29"/>
      <c r="H261" s="30"/>
      <c r="I261" s="30"/>
      <c r="J261" s="25"/>
      <c r="K261" s="26"/>
      <c r="L261" s="26"/>
    </row>
    <row r="262" spans="1:12">
      <c r="A262" s="109">
        <v>0.25</v>
      </c>
      <c r="B262" s="109"/>
      <c r="C262" s="109"/>
      <c r="D262" s="109"/>
      <c r="E262" s="109"/>
      <c r="F262" s="109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>
      <c r="A263" s="109">
        <v>0.5</v>
      </c>
      <c r="B263" s="109"/>
      <c r="C263" s="109"/>
      <c r="D263" s="109"/>
      <c r="E263" s="109"/>
      <c r="F263" s="109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>
      <c r="A264" s="109">
        <v>1</v>
      </c>
      <c r="B264" s="109"/>
      <c r="C264" s="109"/>
      <c r="D264" s="109"/>
      <c r="E264" s="109"/>
      <c r="F264" s="109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>
      <c r="A265" s="106" t="s">
        <v>67</v>
      </c>
      <c r="B265" s="106"/>
      <c r="C265" s="106"/>
      <c r="D265" s="106"/>
      <c r="E265" s="106"/>
      <c r="F265" s="106"/>
      <c r="G265" s="21"/>
      <c r="H265" s="22"/>
      <c r="I265" s="21">
        <f>SUM(I266:I267)</f>
        <v>191.17650000000003</v>
      </c>
      <c r="J265" s="21"/>
      <c r="K265" s="21"/>
      <c r="L265" s="21"/>
    </row>
    <row r="266" spans="1:12">
      <c r="A266" s="107" t="s">
        <v>68</v>
      </c>
      <c r="B266" s="107"/>
      <c r="C266" s="107"/>
      <c r="D266" s="107"/>
      <c r="E266" s="107"/>
      <c r="F266" s="107"/>
      <c r="G266" s="23">
        <f>(G243-A245)/360</f>
        <v>2.2027777777777779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0.05</v>
      </c>
      <c r="I266" s="23">
        <f>I254*H266</f>
        <v>191.17650000000003</v>
      </c>
      <c r="J266" s="25"/>
      <c r="K266" s="26"/>
      <c r="L266" s="26"/>
    </row>
    <row r="267" spans="1:12">
      <c r="A267" s="107" t="s">
        <v>69</v>
      </c>
      <c r="B267" s="107"/>
      <c r="C267" s="107"/>
      <c r="D267" s="107"/>
      <c r="E267" s="107"/>
      <c r="F267" s="107"/>
      <c r="G267" s="23"/>
      <c r="H267" s="24"/>
      <c r="I267" s="23"/>
      <c r="J267" s="25"/>
      <c r="K267" s="26"/>
      <c r="L267" s="26"/>
    </row>
    <row r="268" spans="1:12">
      <c r="A268" s="106" t="s">
        <v>70</v>
      </c>
      <c r="B268" s="106"/>
      <c r="C268" s="106"/>
      <c r="D268" s="106"/>
      <c r="E268" s="106"/>
      <c r="F268" s="106"/>
      <c r="G268" s="21"/>
      <c r="H268" s="22"/>
      <c r="I268" s="21">
        <f>SUM(I269:I271)</f>
        <v>300</v>
      </c>
      <c r="J268" s="21"/>
      <c r="K268" s="21"/>
      <c r="L268" s="21"/>
    </row>
    <row r="269" spans="1:12">
      <c r="A269" s="107" t="s">
        <v>71</v>
      </c>
      <c r="B269" s="107"/>
      <c r="C269" s="107"/>
      <c r="D269" s="107"/>
      <c r="E269" s="107"/>
      <c r="F269" s="107"/>
      <c r="G269" s="23"/>
      <c r="H269" s="24"/>
      <c r="I269" s="23">
        <v>300</v>
      </c>
      <c r="J269" s="25"/>
      <c r="K269" s="26"/>
      <c r="L269" s="26"/>
    </row>
    <row r="270" spans="1:12">
      <c r="A270" s="107" t="s">
        <v>72</v>
      </c>
      <c r="B270" s="107"/>
      <c r="C270" s="107"/>
      <c r="D270" s="107"/>
      <c r="E270" s="107"/>
      <c r="F270" s="107"/>
      <c r="G270" s="23"/>
      <c r="H270" s="31">
        <v>0</v>
      </c>
      <c r="I270" s="23"/>
      <c r="J270" s="25"/>
      <c r="K270" s="26"/>
      <c r="L270" s="26"/>
    </row>
    <row r="271" spans="1:12">
      <c r="A271" s="107" t="s">
        <v>73</v>
      </c>
      <c r="B271" s="107"/>
      <c r="C271" s="107"/>
      <c r="D271" s="107"/>
      <c r="E271" s="107"/>
      <c r="F271" s="107"/>
      <c r="G271" s="23"/>
      <c r="H271" s="24"/>
      <c r="I271" s="23"/>
      <c r="J271" s="25"/>
      <c r="K271" s="26"/>
      <c r="L271" s="26"/>
    </row>
    <row r="272" spans="1:12">
      <c r="A272" s="111" t="s">
        <v>74</v>
      </c>
      <c r="B272" s="111"/>
      <c r="C272" s="111"/>
      <c r="D272" s="111"/>
      <c r="E272" s="111"/>
      <c r="F272" s="111"/>
      <c r="G272" s="32"/>
      <c r="H272" s="33"/>
      <c r="I272" s="32">
        <f>I254+I265+I268</f>
        <v>4314.7065000000002</v>
      </c>
      <c r="J272" s="33"/>
      <c r="K272" s="33"/>
      <c r="L272" s="33"/>
    </row>
    <row r="273" spans="1:12">
      <c r="A273" s="111" t="s">
        <v>75</v>
      </c>
      <c r="B273" s="111"/>
      <c r="C273" s="111"/>
      <c r="D273" s="111"/>
      <c r="E273" s="111"/>
      <c r="F273" s="111"/>
      <c r="G273" s="32"/>
      <c r="H273" s="33"/>
      <c r="I273" s="32">
        <f>I272-I268</f>
        <v>4014.7065000000002</v>
      </c>
      <c r="J273" s="33"/>
      <c r="K273" s="33"/>
      <c r="L273" s="33"/>
    </row>
    <row r="274" spans="1:12">
      <c r="A274" s="107" t="s">
        <v>76</v>
      </c>
      <c r="B274" s="107"/>
      <c r="C274" s="107"/>
      <c r="D274" s="107"/>
      <c r="E274" s="107"/>
      <c r="F274" s="107"/>
      <c r="G274" s="23"/>
      <c r="H274" s="34">
        <f>[1]Taux!D$5+[1]Taux!D$6</f>
        <v>4.4800000000000006E-2</v>
      </c>
      <c r="I274" s="23"/>
      <c r="J274" s="23">
        <f>IF(I273&lt;6000,I273*H274,6000*H274)</f>
        <v>179.85885120000003</v>
      </c>
      <c r="K274" s="35">
        <f>[1]Taux!C$5+[1]Taux!C$6</f>
        <v>8.9799999999999991E-2</v>
      </c>
      <c r="L274" s="23">
        <f>IF(I273&lt;6000,I273*K274,6000*K274)</f>
        <v>360.52064369999999</v>
      </c>
    </row>
    <row r="275" spans="1:12">
      <c r="A275" s="107" t="s">
        <v>77</v>
      </c>
      <c r="B275" s="107"/>
      <c r="C275" s="107"/>
      <c r="D275" s="107"/>
      <c r="E275" s="107"/>
      <c r="F275" s="107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>
      <c r="A276" s="107" t="s">
        <v>78</v>
      </c>
      <c r="B276" s="107"/>
      <c r="C276" s="107"/>
      <c r="D276" s="107"/>
      <c r="E276" s="107"/>
      <c r="F276" s="107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80.29413000000001</v>
      </c>
    </row>
    <row r="277" spans="1:12">
      <c r="A277" s="107" t="s">
        <v>79</v>
      </c>
      <c r="B277" s="107"/>
      <c r="C277" s="107"/>
      <c r="D277" s="107"/>
      <c r="E277" s="107"/>
      <c r="F277" s="107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>
      <c r="A278" s="107" t="s">
        <v>80</v>
      </c>
      <c r="B278" s="107"/>
      <c r="C278" s="107"/>
      <c r="D278" s="107"/>
      <c r="E278" s="107"/>
      <c r="F278" s="107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>
      <c r="A279" s="107" t="s">
        <v>81</v>
      </c>
      <c r="B279" s="107"/>
      <c r="C279" s="107"/>
      <c r="D279" s="107"/>
      <c r="E279" s="107"/>
      <c r="F279" s="107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>
      <c r="A280" s="107" t="s">
        <v>24</v>
      </c>
      <c r="B280" s="107"/>
      <c r="C280" s="107"/>
      <c r="D280" s="107"/>
      <c r="E280" s="107"/>
      <c r="F280" s="107"/>
      <c r="G280" s="23"/>
      <c r="H280" s="34" t="str">
        <f>[1]Taux!D$7</f>
        <v>2,26%</v>
      </c>
      <c r="I280" s="23"/>
      <c r="J280" s="23">
        <f>I273*H280</f>
        <v>90.732366900000002</v>
      </c>
      <c r="K280" s="34" t="str">
        <f>[1]Taux!C$7</f>
        <v>4,11%</v>
      </c>
      <c r="L280" s="23">
        <f>I273*K280</f>
        <v>165.00443715</v>
      </c>
    </row>
    <row r="281" spans="1:12">
      <c r="A281" s="110" t="s">
        <v>82</v>
      </c>
      <c r="B281" s="110"/>
      <c r="C281" s="110"/>
      <c r="D281" s="110"/>
      <c r="E281" s="110"/>
      <c r="F281" s="110"/>
      <c r="G281" s="37"/>
      <c r="H281" s="38"/>
      <c r="I281" s="39"/>
      <c r="J281" s="40"/>
      <c r="K281" s="34" t="str">
        <f>[1]Taux!C$4</f>
        <v>6,40%</v>
      </c>
      <c r="L281" s="23">
        <f>I273*K281</f>
        <v>256.941216</v>
      </c>
    </row>
    <row r="282" spans="1:12">
      <c r="A282" s="110" t="s">
        <v>83</v>
      </c>
      <c r="B282" s="110"/>
      <c r="C282" s="110"/>
      <c r="D282" s="110"/>
      <c r="E282" s="110"/>
      <c r="F282" s="110"/>
      <c r="G282" s="41"/>
      <c r="H282" s="42"/>
      <c r="I282" s="43"/>
      <c r="J282" s="44"/>
      <c r="K282" s="34" t="str">
        <f>[1]Taux!C$8</f>
        <v>1,6 %</v>
      </c>
      <c r="L282" s="23">
        <f>I273*K282</f>
        <v>64.235303999999999</v>
      </c>
    </row>
    <row r="283" spans="1:12">
      <c r="A283" s="106" t="s">
        <v>84</v>
      </c>
      <c r="B283" s="106"/>
      <c r="C283" s="106"/>
      <c r="D283" s="106"/>
      <c r="E283" s="106"/>
      <c r="F283" s="106"/>
      <c r="G283" s="21"/>
      <c r="H283" s="22"/>
      <c r="I283" s="22"/>
      <c r="J283" s="21">
        <f>SUM(J274:J280)</f>
        <v>270.59121810000005</v>
      </c>
      <c r="K283" s="21"/>
      <c r="L283" s="21">
        <f>SUM(L274:L282)</f>
        <v>926.99573084999997</v>
      </c>
    </row>
    <row r="284" spans="1:12">
      <c r="A284" s="107" t="s">
        <v>85</v>
      </c>
      <c r="B284" s="107"/>
      <c r="C284" s="107"/>
      <c r="D284" s="107"/>
      <c r="E284" s="107"/>
      <c r="F284" s="107"/>
      <c r="G284" s="23"/>
      <c r="H284" s="45">
        <v>0.2</v>
      </c>
      <c r="I284" s="23"/>
      <c r="J284" s="23">
        <f>IF(I273*H284&lt;2500,I273*H284,2500)</f>
        <v>802.94130000000007</v>
      </c>
      <c r="K284" s="46"/>
      <c r="L284" s="47"/>
    </row>
    <row r="285" spans="1:12">
      <c r="A285" s="111" t="s">
        <v>86</v>
      </c>
      <c r="B285" s="111"/>
      <c r="C285" s="111"/>
      <c r="D285" s="111"/>
      <c r="E285" s="111"/>
      <c r="F285" s="111"/>
      <c r="G285" s="32"/>
      <c r="H285" s="33"/>
      <c r="I285" s="32">
        <f>I273-J283-J284</f>
        <v>2941.1739819000004</v>
      </c>
      <c r="J285" s="33"/>
      <c r="K285" s="33"/>
      <c r="L285" s="33"/>
    </row>
    <row r="286" spans="1:12">
      <c r="A286" s="107" t="s">
        <v>87</v>
      </c>
      <c r="B286" s="107"/>
      <c r="C286" s="107"/>
      <c r="D286" s="107"/>
      <c r="E286" s="107"/>
      <c r="F286" s="107"/>
      <c r="G286" s="23"/>
      <c r="H286" s="34"/>
      <c r="I286" s="23">
        <f>H286*180/360</f>
        <v>0</v>
      </c>
      <c r="J286" s="23"/>
      <c r="K286" s="46"/>
      <c r="L286" s="47"/>
    </row>
    <row r="287" spans="1:12">
      <c r="A287" s="111" t="s">
        <v>88</v>
      </c>
      <c r="B287" s="111"/>
      <c r="C287" s="111"/>
      <c r="D287" s="111"/>
      <c r="E287" s="111"/>
      <c r="F287" s="111"/>
      <c r="G287" s="32"/>
      <c r="H287" s="33"/>
      <c r="I287" s="32">
        <f>I285-I286</f>
        <v>2941.1739819000004</v>
      </c>
      <c r="J287" s="33"/>
      <c r="K287" s="33"/>
      <c r="L287" s="33"/>
    </row>
    <row r="288" spans="1:12">
      <c r="A288" s="107" t="s">
        <v>89</v>
      </c>
      <c r="B288" s="107"/>
      <c r="C288" s="107"/>
      <c r="D288" s="107"/>
      <c r="E288" s="107"/>
      <c r="F288" s="107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44.117398190000074</v>
      </c>
      <c r="K288" s="46"/>
      <c r="L288" s="47"/>
    </row>
    <row r="289" spans="1:12">
      <c r="A289" s="107" t="s">
        <v>90</v>
      </c>
      <c r="B289" s="107"/>
      <c r="C289" s="107"/>
      <c r="D289" s="107"/>
      <c r="E289" s="107"/>
      <c r="F289" s="107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>
      <c r="A290" s="106" t="s">
        <v>91</v>
      </c>
      <c r="B290" s="106"/>
      <c r="C290" s="106"/>
      <c r="D290" s="106"/>
      <c r="E290" s="106"/>
      <c r="F290" s="106"/>
      <c r="G290" s="21"/>
      <c r="H290" s="22"/>
      <c r="I290" s="21"/>
      <c r="J290" s="21">
        <f>J288-J289</f>
        <v>44.117398190000074</v>
      </c>
      <c r="K290" s="21"/>
      <c r="L290" s="21"/>
    </row>
    <row r="291" spans="1:12">
      <c r="A291" s="112" t="s">
        <v>92</v>
      </c>
      <c r="B291" s="112"/>
      <c r="C291" s="112"/>
      <c r="D291" s="112"/>
      <c r="E291" s="112"/>
      <c r="F291" s="112"/>
      <c r="G291" s="25"/>
      <c r="H291" s="48"/>
      <c r="I291" s="47"/>
      <c r="J291" s="49">
        <v>0</v>
      </c>
      <c r="K291" s="46"/>
      <c r="L291" s="47"/>
    </row>
    <row r="292" spans="1:12">
      <c r="A292" s="107" t="s">
        <v>93</v>
      </c>
      <c r="B292" s="107"/>
      <c r="C292" s="107"/>
      <c r="D292" s="107"/>
      <c r="E292" s="107"/>
      <c r="F292" s="107"/>
      <c r="G292" s="25"/>
      <c r="H292" s="48"/>
      <c r="I292" s="44"/>
      <c r="J292" s="28"/>
      <c r="K292" s="46"/>
      <c r="L292" s="47"/>
    </row>
    <row r="293" spans="1:12">
      <c r="A293" s="113" t="s">
        <v>94</v>
      </c>
      <c r="B293" s="113"/>
      <c r="C293" s="113"/>
      <c r="D293" s="113"/>
      <c r="E293" s="113"/>
      <c r="F293" s="113"/>
      <c r="G293" s="41"/>
      <c r="H293" s="42"/>
      <c r="I293" s="28"/>
      <c r="J293" s="41"/>
      <c r="K293" s="43"/>
      <c r="L293" s="44"/>
    </row>
    <row r="294" spans="1:1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>
      <c r="A295" s="58" t="s">
        <v>95</v>
      </c>
      <c r="B295" s="58" t="s">
        <v>96</v>
      </c>
      <c r="C295" s="58" t="s">
        <v>97</v>
      </c>
      <c r="D295" s="104" t="s">
        <v>98</v>
      </c>
      <c r="E295" s="104"/>
      <c r="F295" s="104"/>
      <c r="G295" s="58" t="s">
        <v>99</v>
      </c>
      <c r="H295" s="50"/>
      <c r="I295" s="57">
        <f>I272+I293</f>
        <v>4314.7065000000002</v>
      </c>
      <c r="J295" s="57">
        <f>J283+J290+J291+J292</f>
        <v>314.70861629000012</v>
      </c>
      <c r="K295" s="58" t="s">
        <v>100</v>
      </c>
      <c r="L295" s="57">
        <f>L283</f>
        <v>926.99573084999997</v>
      </c>
    </row>
    <row r="296" spans="1:12">
      <c r="A296" s="57">
        <f>32114.9+I272</f>
        <v>36429.606500000002</v>
      </c>
      <c r="B296" s="57">
        <f>29414.9+I273</f>
        <v>33429.606500000002</v>
      </c>
      <c r="C296" s="57">
        <f>1317.78+J274</f>
        <v>1497.6388512000001</v>
      </c>
      <c r="D296" s="114">
        <f>132.35+J290</f>
        <v>176.46739819000007</v>
      </c>
      <c r="E296" s="114"/>
      <c r="F296" s="114"/>
      <c r="G296" s="57">
        <f>30000+I295</f>
        <v>34314.7065</v>
      </c>
      <c r="H296" s="104" t="s">
        <v>101</v>
      </c>
      <c r="I296" s="104"/>
      <c r="J296" s="57">
        <f>I295-J295</f>
        <v>3999.9978837100002</v>
      </c>
      <c r="K296" s="58" t="s">
        <v>102</v>
      </c>
      <c r="L296" s="57">
        <f>5864.92+L295</f>
        <v>6791.9157308499998</v>
      </c>
    </row>
    <row r="297" spans="1:1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4926.9936145600004</v>
      </c>
    </row>
    <row r="301" spans="1:12">
      <c r="A301" s="105" t="s">
        <v>26</v>
      </c>
      <c r="B301" s="105"/>
      <c r="C301" s="105" t="s">
        <v>27</v>
      </c>
      <c r="D301" s="105"/>
      <c r="E301" s="105"/>
      <c r="F301" s="105"/>
      <c r="G301" s="105" t="s">
        <v>28</v>
      </c>
      <c r="H301" s="105"/>
      <c r="I301" s="105"/>
      <c r="J301" s="105" t="s">
        <v>29</v>
      </c>
      <c r="K301" s="105"/>
      <c r="L301" s="105"/>
    </row>
    <row r="302" spans="1:12">
      <c r="A302" s="58" t="s">
        <v>30</v>
      </c>
      <c r="B302" s="104" t="s">
        <v>31</v>
      </c>
      <c r="C302" s="104"/>
      <c r="D302" s="104"/>
      <c r="E302" s="104"/>
      <c r="F302" s="104"/>
      <c r="G302" s="104" t="s">
        <v>32</v>
      </c>
      <c r="H302" s="104"/>
      <c r="I302" s="104"/>
      <c r="J302" s="104"/>
      <c r="K302" s="104"/>
      <c r="L302" s="104"/>
    </row>
    <row r="303" spans="1:12">
      <c r="A303" s="59">
        <v>7</v>
      </c>
      <c r="B303" s="102" t="s">
        <v>112</v>
      </c>
      <c r="C303" s="102"/>
      <c r="D303" s="102"/>
      <c r="E303" s="102"/>
      <c r="F303" s="102"/>
      <c r="G303" s="103">
        <v>42614</v>
      </c>
      <c r="H303" s="103"/>
      <c r="I303" s="103"/>
      <c r="J303" s="103">
        <v>42643</v>
      </c>
      <c r="K303" s="103"/>
      <c r="L303" s="103"/>
    </row>
    <row r="304" spans="1:12">
      <c r="A304" s="58" t="s">
        <v>34</v>
      </c>
      <c r="B304" s="58" t="s">
        <v>35</v>
      </c>
      <c r="C304" s="58" t="s">
        <v>36</v>
      </c>
      <c r="D304" s="58" t="s">
        <v>37</v>
      </c>
      <c r="E304" s="58" t="s">
        <v>38</v>
      </c>
      <c r="F304" s="58" t="s">
        <v>39</v>
      </c>
      <c r="G304" s="104" t="s">
        <v>40</v>
      </c>
      <c r="H304" s="104"/>
      <c r="I304" s="104"/>
      <c r="J304" s="104"/>
      <c r="K304" s="104"/>
      <c r="L304" s="104"/>
    </row>
    <row r="305" spans="1:12">
      <c r="A305" s="17">
        <v>42005</v>
      </c>
      <c r="B305" s="59"/>
      <c r="C305" s="17">
        <v>34565</v>
      </c>
      <c r="D305" s="59" t="s">
        <v>111</v>
      </c>
      <c r="E305" s="59">
        <v>0</v>
      </c>
      <c r="F305" s="59">
        <v>0</v>
      </c>
      <c r="G305" s="102"/>
      <c r="H305" s="102"/>
      <c r="I305" s="102"/>
      <c r="J305" s="102"/>
      <c r="K305" s="102"/>
      <c r="L305" s="102"/>
    </row>
    <row r="306" spans="1:12">
      <c r="A306" s="58" t="s">
        <v>42</v>
      </c>
      <c r="B306" s="58" t="s">
        <v>43</v>
      </c>
      <c r="C306" s="58" t="s">
        <v>44</v>
      </c>
      <c r="D306" s="104" t="s">
        <v>45</v>
      </c>
      <c r="E306" s="104"/>
      <c r="F306" s="104"/>
      <c r="G306" s="104" t="s">
        <v>46</v>
      </c>
      <c r="H306" s="104"/>
      <c r="I306" s="104"/>
      <c r="J306" s="104"/>
      <c r="K306" s="104"/>
      <c r="L306" s="104"/>
    </row>
    <row r="307" spans="1:12">
      <c r="A307" s="59">
        <v>168098097</v>
      </c>
      <c r="B307" s="59"/>
      <c r="C307" s="59"/>
      <c r="D307" s="102" t="s">
        <v>47</v>
      </c>
      <c r="E307" s="102"/>
      <c r="F307" s="102"/>
      <c r="G307" s="102" t="s">
        <v>107</v>
      </c>
      <c r="H307" s="102"/>
      <c r="I307" s="102"/>
      <c r="J307" s="102"/>
      <c r="K307" s="102"/>
      <c r="L307" s="102"/>
    </row>
    <row r="308" spans="1:1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>
      <c r="A311" s="108" t="s">
        <v>49</v>
      </c>
      <c r="B311" s="108"/>
      <c r="C311" s="108"/>
      <c r="D311" s="108"/>
      <c r="E311" s="108"/>
      <c r="F311" s="108"/>
      <c r="G311" s="108" t="s">
        <v>50</v>
      </c>
      <c r="H311" s="108" t="s">
        <v>51</v>
      </c>
      <c r="I311" s="108" t="s">
        <v>52</v>
      </c>
      <c r="J311" s="108"/>
      <c r="K311" s="108" t="s">
        <v>53</v>
      </c>
      <c r="L311" s="108"/>
    </row>
    <row r="312" spans="1:12">
      <c r="A312" s="108"/>
      <c r="B312" s="108"/>
      <c r="C312" s="108"/>
      <c r="D312" s="108"/>
      <c r="E312" s="108"/>
      <c r="F312" s="108"/>
      <c r="G312" s="108"/>
      <c r="H312" s="108"/>
      <c r="I312" s="60" t="s">
        <v>54</v>
      </c>
      <c r="J312" s="60" t="s">
        <v>55</v>
      </c>
      <c r="K312" s="60" t="s">
        <v>56</v>
      </c>
      <c r="L312" s="60" t="s">
        <v>57</v>
      </c>
    </row>
    <row r="313" spans="1:12">
      <c r="A313" s="106" t="s">
        <v>58</v>
      </c>
      <c r="B313" s="106"/>
      <c r="C313" s="106"/>
      <c r="D313" s="106"/>
      <c r="E313" s="106"/>
      <c r="F313" s="106"/>
      <c r="G313" s="21">
        <v>2807.8</v>
      </c>
      <c r="H313" s="22"/>
      <c r="I313" s="21"/>
      <c r="J313" s="21"/>
      <c r="K313" s="21"/>
      <c r="L313" s="21"/>
    </row>
    <row r="314" spans="1:12">
      <c r="A314" s="106" t="s">
        <v>59</v>
      </c>
      <c r="B314" s="106"/>
      <c r="C314" s="106"/>
      <c r="D314" s="106"/>
      <c r="E314" s="106"/>
      <c r="F314" s="106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>
      <c r="A315" s="107" t="s">
        <v>60</v>
      </c>
      <c r="B315" s="107"/>
      <c r="C315" s="107"/>
      <c r="D315" s="107"/>
      <c r="E315" s="107"/>
      <c r="F315" s="107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>
      <c r="A316" s="107" t="s">
        <v>61</v>
      </c>
      <c r="B316" s="107"/>
      <c r="C316" s="107"/>
      <c r="D316" s="107"/>
      <c r="E316" s="107"/>
      <c r="F316" s="107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>
      <c r="A317" s="107" t="s">
        <v>62</v>
      </c>
      <c r="B317" s="107"/>
      <c r="C317" s="107"/>
      <c r="D317" s="107"/>
      <c r="E317" s="107"/>
      <c r="F317" s="107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>
      <c r="A318" s="107" t="s">
        <v>63</v>
      </c>
      <c r="B318" s="107"/>
      <c r="C318" s="107"/>
      <c r="D318" s="107"/>
      <c r="E318" s="107"/>
      <c r="F318" s="107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>
      <c r="A319" s="107" t="s">
        <v>64</v>
      </c>
      <c r="B319" s="107"/>
      <c r="C319" s="107"/>
      <c r="D319" s="107"/>
      <c r="E319" s="107"/>
      <c r="F319" s="107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>
      <c r="A320" s="107" t="s">
        <v>65</v>
      </c>
      <c r="B320" s="107"/>
      <c r="C320" s="107"/>
      <c r="D320" s="107"/>
      <c r="E320" s="107"/>
      <c r="F320" s="107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>
      <c r="A321" s="107" t="s">
        <v>66</v>
      </c>
      <c r="B321" s="107"/>
      <c r="C321" s="107"/>
      <c r="D321" s="107"/>
      <c r="E321" s="107"/>
      <c r="F321" s="107"/>
      <c r="G321" s="29"/>
      <c r="H321" s="30"/>
      <c r="I321" s="30"/>
      <c r="J321" s="25"/>
      <c r="K321" s="26"/>
      <c r="L321" s="26"/>
    </row>
    <row r="322" spans="1:12">
      <c r="A322" s="109">
        <v>0.25</v>
      </c>
      <c r="B322" s="109"/>
      <c r="C322" s="109"/>
      <c r="D322" s="109"/>
      <c r="E322" s="109"/>
      <c r="F322" s="109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>
      <c r="A323" s="109">
        <v>0.5</v>
      </c>
      <c r="B323" s="109"/>
      <c r="C323" s="109"/>
      <c r="D323" s="109"/>
      <c r="E323" s="109"/>
      <c r="F323" s="109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>
      <c r="A324" s="109">
        <v>1</v>
      </c>
      <c r="B324" s="109"/>
      <c r="C324" s="109"/>
      <c r="D324" s="109"/>
      <c r="E324" s="109"/>
      <c r="F324" s="109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>
      <c r="A325" s="106" t="s">
        <v>67</v>
      </c>
      <c r="B325" s="106"/>
      <c r="C325" s="106"/>
      <c r="D325" s="106"/>
      <c r="E325" s="106"/>
      <c r="F325" s="106"/>
      <c r="G325" s="21"/>
      <c r="H325" s="22"/>
      <c r="I325" s="21">
        <f>SUM(I326:I327)</f>
        <v>0</v>
      </c>
      <c r="J325" s="21"/>
      <c r="K325" s="21"/>
      <c r="L325" s="21"/>
    </row>
    <row r="326" spans="1:12">
      <c r="A326" s="107" t="s">
        <v>68</v>
      </c>
      <c r="B326" s="107"/>
      <c r="C326" s="107"/>
      <c r="D326" s="107"/>
      <c r="E326" s="107"/>
      <c r="F326" s="107"/>
      <c r="G326" s="23">
        <f>(G303-A305)/360</f>
        <v>1.6916666666666667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>
      <c r="A327" s="107" t="s">
        <v>69</v>
      </c>
      <c r="B327" s="107"/>
      <c r="C327" s="107"/>
      <c r="D327" s="107"/>
      <c r="E327" s="107"/>
      <c r="F327" s="107"/>
      <c r="G327" s="23"/>
      <c r="H327" s="24"/>
      <c r="I327" s="23"/>
      <c r="J327" s="25"/>
      <c r="K327" s="26"/>
      <c r="L327" s="26"/>
    </row>
    <row r="328" spans="1:12">
      <c r="A328" s="106" t="s">
        <v>70</v>
      </c>
      <c r="B328" s="106"/>
      <c r="C328" s="106"/>
      <c r="D328" s="106"/>
      <c r="E328" s="106"/>
      <c r="F328" s="106"/>
      <c r="G328" s="21"/>
      <c r="H328" s="22"/>
      <c r="I328" s="21">
        <f>SUM(I329:I331)</f>
        <v>0</v>
      </c>
      <c r="J328" s="21"/>
      <c r="K328" s="21"/>
      <c r="L328" s="21"/>
    </row>
    <row r="329" spans="1:12">
      <c r="A329" s="107" t="s">
        <v>71</v>
      </c>
      <c r="B329" s="107"/>
      <c r="C329" s="107"/>
      <c r="D329" s="107"/>
      <c r="E329" s="107"/>
      <c r="F329" s="107"/>
      <c r="G329" s="23"/>
      <c r="H329" s="24"/>
      <c r="I329" s="23"/>
      <c r="J329" s="25"/>
      <c r="K329" s="26"/>
      <c r="L329" s="26"/>
    </row>
    <row r="330" spans="1:12">
      <c r="A330" s="107" t="s">
        <v>72</v>
      </c>
      <c r="B330" s="107"/>
      <c r="C330" s="107"/>
      <c r="D330" s="107"/>
      <c r="E330" s="107"/>
      <c r="F330" s="107"/>
      <c r="G330" s="23"/>
      <c r="H330" s="31">
        <v>0</v>
      </c>
      <c r="I330" s="23"/>
      <c r="J330" s="25"/>
      <c r="K330" s="26"/>
      <c r="L330" s="26"/>
    </row>
    <row r="331" spans="1:12">
      <c r="A331" s="107" t="s">
        <v>73</v>
      </c>
      <c r="B331" s="107"/>
      <c r="C331" s="107"/>
      <c r="D331" s="107"/>
      <c r="E331" s="107"/>
      <c r="F331" s="107"/>
      <c r="G331" s="23"/>
      <c r="H331" s="24"/>
      <c r="I331" s="23"/>
      <c r="J331" s="25"/>
      <c r="K331" s="26"/>
      <c r="L331" s="26"/>
    </row>
    <row r="332" spans="1:12">
      <c r="A332" s="111" t="s">
        <v>74</v>
      </c>
      <c r="B332" s="111"/>
      <c r="C332" s="111"/>
      <c r="D332" s="111"/>
      <c r="E332" s="111"/>
      <c r="F332" s="111"/>
      <c r="G332" s="32"/>
      <c r="H332" s="33"/>
      <c r="I332" s="32">
        <f>I314+I325+I328</f>
        <v>2807.8</v>
      </c>
      <c r="J332" s="33"/>
      <c r="K332" s="33"/>
      <c r="L332" s="33"/>
    </row>
    <row r="333" spans="1:12">
      <c r="A333" s="111" t="s">
        <v>75</v>
      </c>
      <c r="B333" s="111"/>
      <c r="C333" s="111"/>
      <c r="D333" s="111"/>
      <c r="E333" s="111"/>
      <c r="F333" s="111"/>
      <c r="G333" s="32"/>
      <c r="H333" s="33"/>
      <c r="I333" s="32">
        <f>I332-I328</f>
        <v>2807.8</v>
      </c>
      <c r="J333" s="33"/>
      <c r="K333" s="33"/>
      <c r="L333" s="33"/>
    </row>
    <row r="334" spans="1:12">
      <c r="A334" s="107" t="s">
        <v>76</v>
      </c>
      <c r="B334" s="107"/>
      <c r="C334" s="107"/>
      <c r="D334" s="107"/>
      <c r="E334" s="107"/>
      <c r="F334" s="107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>
      <c r="A335" s="107" t="s">
        <v>77</v>
      </c>
      <c r="B335" s="107"/>
      <c r="C335" s="107"/>
      <c r="D335" s="107"/>
      <c r="E335" s="107"/>
      <c r="F335" s="107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>
      <c r="A336" s="107" t="s">
        <v>78</v>
      </c>
      <c r="B336" s="107"/>
      <c r="C336" s="107"/>
      <c r="D336" s="107"/>
      <c r="E336" s="107"/>
      <c r="F336" s="107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>
      <c r="A337" s="107" t="s">
        <v>79</v>
      </c>
      <c r="B337" s="107"/>
      <c r="C337" s="107"/>
      <c r="D337" s="107"/>
      <c r="E337" s="107"/>
      <c r="F337" s="107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>
      <c r="A338" s="107" t="s">
        <v>80</v>
      </c>
      <c r="B338" s="107"/>
      <c r="C338" s="107"/>
      <c r="D338" s="107"/>
      <c r="E338" s="107"/>
      <c r="F338" s="107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>
      <c r="A339" s="107" t="s">
        <v>81</v>
      </c>
      <c r="B339" s="107"/>
      <c r="C339" s="107"/>
      <c r="D339" s="107"/>
      <c r="E339" s="107"/>
      <c r="F339" s="107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>
      <c r="A340" s="107" t="s">
        <v>24</v>
      </c>
      <c r="B340" s="107"/>
      <c r="C340" s="107"/>
      <c r="D340" s="107"/>
      <c r="E340" s="107"/>
      <c r="F340" s="107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>
      <c r="A341" s="110" t="s">
        <v>82</v>
      </c>
      <c r="B341" s="110"/>
      <c r="C341" s="110"/>
      <c r="D341" s="110"/>
      <c r="E341" s="110"/>
      <c r="F341" s="110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>
      <c r="A342" s="110" t="s">
        <v>83</v>
      </c>
      <c r="B342" s="110"/>
      <c r="C342" s="110"/>
      <c r="D342" s="110"/>
      <c r="E342" s="110"/>
      <c r="F342" s="110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>
      <c r="A343" s="106" t="s">
        <v>84</v>
      </c>
      <c r="B343" s="106"/>
      <c r="C343" s="106"/>
      <c r="D343" s="106"/>
      <c r="E343" s="106"/>
      <c r="F343" s="106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>
      <c r="A344" s="107" t="s">
        <v>85</v>
      </c>
      <c r="B344" s="107"/>
      <c r="C344" s="107"/>
      <c r="D344" s="107"/>
      <c r="E344" s="107"/>
      <c r="F344" s="107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>
      <c r="A345" s="111" t="s">
        <v>86</v>
      </c>
      <c r="B345" s="111"/>
      <c r="C345" s="111"/>
      <c r="D345" s="111"/>
      <c r="E345" s="111"/>
      <c r="F345" s="111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>
      <c r="A346" s="107" t="s">
        <v>87</v>
      </c>
      <c r="B346" s="107"/>
      <c r="C346" s="107"/>
      <c r="D346" s="107"/>
      <c r="E346" s="107"/>
      <c r="F346" s="107"/>
      <c r="G346" s="23"/>
      <c r="H346" s="34"/>
      <c r="I346" s="23">
        <f>H346*180/360</f>
        <v>0</v>
      </c>
      <c r="J346" s="23"/>
      <c r="K346" s="46"/>
      <c r="L346" s="47"/>
    </row>
    <row r="347" spans="1:12">
      <c r="A347" s="111" t="s">
        <v>88</v>
      </c>
      <c r="B347" s="111"/>
      <c r="C347" s="111"/>
      <c r="D347" s="111"/>
      <c r="E347" s="111"/>
      <c r="F347" s="111"/>
      <c r="G347" s="32"/>
      <c r="H347" s="33"/>
      <c r="I347" s="32">
        <f>I345-I346</f>
        <v>2056.9942800000003</v>
      </c>
      <c r="J347" s="33"/>
      <c r="K347" s="33"/>
      <c r="L347" s="33"/>
    </row>
    <row r="348" spans="1:12">
      <c r="A348" s="107" t="s">
        <v>89</v>
      </c>
      <c r="B348" s="107"/>
      <c r="C348" s="107"/>
      <c r="D348" s="107"/>
      <c r="E348" s="107"/>
      <c r="F348" s="107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>
      <c r="A349" s="107" t="s">
        <v>90</v>
      </c>
      <c r="B349" s="107"/>
      <c r="C349" s="107"/>
      <c r="D349" s="107"/>
      <c r="E349" s="107"/>
      <c r="F349" s="107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>
      <c r="A350" s="106" t="s">
        <v>91</v>
      </c>
      <c r="B350" s="106"/>
      <c r="C350" s="106"/>
      <c r="D350" s="106"/>
      <c r="E350" s="106"/>
      <c r="F350" s="106"/>
      <c r="G350" s="21"/>
      <c r="H350" s="22"/>
      <c r="I350" s="21"/>
      <c r="J350" s="21">
        <f>J348-J349</f>
        <v>0</v>
      </c>
      <c r="K350" s="21"/>
      <c r="L350" s="21"/>
    </row>
    <row r="351" spans="1:12">
      <c r="A351" s="112" t="s">
        <v>92</v>
      </c>
      <c r="B351" s="112"/>
      <c r="C351" s="112"/>
      <c r="D351" s="112"/>
      <c r="E351" s="112"/>
      <c r="F351" s="112"/>
      <c r="G351" s="25"/>
      <c r="H351" s="48"/>
      <c r="I351" s="47"/>
      <c r="J351" s="49">
        <v>0</v>
      </c>
      <c r="K351" s="46"/>
      <c r="L351" s="47"/>
    </row>
    <row r="352" spans="1:12">
      <c r="A352" s="107" t="s">
        <v>93</v>
      </c>
      <c r="B352" s="107"/>
      <c r="C352" s="107"/>
      <c r="D352" s="107"/>
      <c r="E352" s="107"/>
      <c r="F352" s="107"/>
      <c r="G352" s="25"/>
      <c r="H352" s="48"/>
      <c r="I352" s="44"/>
      <c r="J352" s="28">
        <v>1000</v>
      </c>
      <c r="K352" s="46"/>
      <c r="L352" s="47"/>
    </row>
    <row r="353" spans="1:12">
      <c r="A353" s="113" t="s">
        <v>94</v>
      </c>
      <c r="B353" s="113"/>
      <c r="C353" s="113"/>
      <c r="D353" s="113"/>
      <c r="E353" s="113"/>
      <c r="F353" s="113"/>
      <c r="G353" s="41"/>
      <c r="H353" s="42"/>
      <c r="I353" s="28">
        <f>1-0.55</f>
        <v>0.44999999999999996</v>
      </c>
      <c r="J353" s="41"/>
      <c r="K353" s="43"/>
      <c r="L353" s="44"/>
    </row>
    <row r="354" spans="1:1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>
      <c r="A355" s="58" t="s">
        <v>95</v>
      </c>
      <c r="B355" s="58" t="s">
        <v>96</v>
      </c>
      <c r="C355" s="58" t="s">
        <v>97</v>
      </c>
      <c r="D355" s="104" t="s">
        <v>98</v>
      </c>
      <c r="E355" s="104"/>
      <c r="F355" s="104"/>
      <c r="G355" s="58" t="s">
        <v>99</v>
      </c>
      <c r="H355" s="50"/>
      <c r="I355" s="57">
        <f>I332+I353</f>
        <v>2808.25</v>
      </c>
      <c r="J355" s="57">
        <f>J343+J350+J351+J352</f>
        <v>1189.2457200000001</v>
      </c>
      <c r="K355" s="58" t="s">
        <v>100</v>
      </c>
      <c r="L355" s="57">
        <f>L343</f>
        <v>648.32101999999998</v>
      </c>
    </row>
    <row r="356" spans="1:12">
      <c r="A356" s="57">
        <f>25270.2+I332</f>
        <v>28078</v>
      </c>
      <c r="B356" s="57">
        <f>25270.2+I333</f>
        <v>28078</v>
      </c>
      <c r="C356" s="57">
        <f>1132.11+J334</f>
        <v>1257.8994399999999</v>
      </c>
      <c r="D356" s="114">
        <f>0+J350</f>
        <v>0</v>
      </c>
      <c r="E356" s="114"/>
      <c r="F356" s="114"/>
      <c r="G356" s="57">
        <f>17071.02+I355</f>
        <v>19879.27</v>
      </c>
      <c r="H356" s="104" t="s">
        <v>101</v>
      </c>
      <c r="I356" s="104"/>
      <c r="J356" s="57">
        <f>I355-J355</f>
        <v>1619.0042799999999</v>
      </c>
      <c r="K356" s="58" t="s">
        <v>102</v>
      </c>
      <c r="L356" s="57">
        <f>5834.88+L355</f>
        <v>6483.2010200000004</v>
      </c>
    </row>
    <row r="357" spans="1:1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2267.3253</v>
      </c>
    </row>
    <row r="361" spans="1:12">
      <c r="A361" s="105" t="s">
        <v>26</v>
      </c>
      <c r="B361" s="105"/>
      <c r="C361" s="105" t="s">
        <v>27</v>
      </c>
      <c r="D361" s="105"/>
      <c r="E361" s="105"/>
      <c r="F361" s="105"/>
      <c r="G361" s="105" t="s">
        <v>28</v>
      </c>
      <c r="H361" s="105"/>
      <c r="I361" s="105"/>
      <c r="J361" s="105" t="s">
        <v>29</v>
      </c>
      <c r="K361" s="105"/>
      <c r="L361" s="105"/>
    </row>
    <row r="362" spans="1:12">
      <c r="A362" s="58" t="s">
        <v>30</v>
      </c>
      <c r="B362" s="104" t="s">
        <v>31</v>
      </c>
      <c r="C362" s="104"/>
      <c r="D362" s="104"/>
      <c r="E362" s="104"/>
      <c r="F362" s="104"/>
      <c r="G362" s="104" t="s">
        <v>32</v>
      </c>
      <c r="H362" s="104"/>
      <c r="I362" s="104"/>
      <c r="J362" s="104"/>
      <c r="K362" s="104"/>
      <c r="L362" s="104"/>
    </row>
    <row r="363" spans="1:12">
      <c r="A363" s="59">
        <v>8</v>
      </c>
      <c r="B363" s="102" t="s">
        <v>113</v>
      </c>
      <c r="C363" s="102"/>
      <c r="D363" s="102"/>
      <c r="E363" s="102"/>
      <c r="F363" s="102"/>
      <c r="G363" s="103">
        <v>42614</v>
      </c>
      <c r="H363" s="103"/>
      <c r="I363" s="103"/>
      <c r="J363" s="103">
        <v>42643</v>
      </c>
      <c r="K363" s="103"/>
      <c r="L363" s="103"/>
    </row>
    <row r="364" spans="1:12">
      <c r="A364" s="58" t="s">
        <v>34</v>
      </c>
      <c r="B364" s="58" t="s">
        <v>35</v>
      </c>
      <c r="C364" s="58" t="s">
        <v>36</v>
      </c>
      <c r="D364" s="58" t="s">
        <v>37</v>
      </c>
      <c r="E364" s="58" t="s">
        <v>38</v>
      </c>
      <c r="F364" s="58" t="s">
        <v>39</v>
      </c>
      <c r="G364" s="104" t="s">
        <v>40</v>
      </c>
      <c r="H364" s="104"/>
      <c r="I364" s="104"/>
      <c r="J364" s="104"/>
      <c r="K364" s="104"/>
      <c r="L364" s="104"/>
    </row>
    <row r="365" spans="1:12">
      <c r="A365" s="17">
        <v>42278</v>
      </c>
      <c r="B365" s="59"/>
      <c r="C365" s="17">
        <v>33665</v>
      </c>
      <c r="D365" s="59" t="s">
        <v>111</v>
      </c>
      <c r="E365" s="59">
        <v>0</v>
      </c>
      <c r="F365" s="59">
        <v>0</v>
      </c>
      <c r="G365" s="102"/>
      <c r="H365" s="102"/>
      <c r="I365" s="102"/>
      <c r="J365" s="102"/>
      <c r="K365" s="102"/>
      <c r="L365" s="102"/>
    </row>
    <row r="366" spans="1:12">
      <c r="A366" s="58" t="s">
        <v>42</v>
      </c>
      <c r="B366" s="58" t="s">
        <v>43</v>
      </c>
      <c r="C366" s="58" t="s">
        <v>44</v>
      </c>
      <c r="D366" s="104" t="s">
        <v>45</v>
      </c>
      <c r="E366" s="104"/>
      <c r="F366" s="104"/>
      <c r="G366" s="104" t="s">
        <v>116</v>
      </c>
      <c r="H366" s="104"/>
      <c r="I366" s="104"/>
      <c r="J366" s="104"/>
      <c r="K366" s="104"/>
      <c r="L366" s="104"/>
    </row>
    <row r="367" spans="1:12">
      <c r="A367" s="59">
        <v>164315198</v>
      </c>
      <c r="B367" s="59"/>
      <c r="C367" s="59"/>
      <c r="D367" s="102" t="s">
        <v>47</v>
      </c>
      <c r="E367" s="102"/>
      <c r="F367" s="102"/>
      <c r="G367" s="102" t="s">
        <v>114</v>
      </c>
      <c r="H367" s="102"/>
      <c r="I367" s="102"/>
      <c r="J367" s="102"/>
      <c r="K367" s="102"/>
      <c r="L367" s="102"/>
    </row>
    <row r="368" spans="1:1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>
      <c r="A371" s="108" t="s">
        <v>49</v>
      </c>
      <c r="B371" s="108"/>
      <c r="C371" s="108"/>
      <c r="D371" s="108"/>
      <c r="E371" s="108"/>
      <c r="F371" s="108"/>
      <c r="G371" s="108" t="s">
        <v>50</v>
      </c>
      <c r="H371" s="108" t="s">
        <v>51</v>
      </c>
      <c r="I371" s="108" t="s">
        <v>52</v>
      </c>
      <c r="J371" s="108"/>
      <c r="K371" s="108" t="s">
        <v>53</v>
      </c>
      <c r="L371" s="108"/>
    </row>
    <row r="372" spans="1:12">
      <c r="A372" s="108"/>
      <c r="B372" s="108"/>
      <c r="C372" s="108"/>
      <c r="D372" s="108"/>
      <c r="E372" s="108"/>
      <c r="F372" s="108"/>
      <c r="G372" s="108"/>
      <c r="H372" s="108"/>
      <c r="I372" s="60" t="s">
        <v>54</v>
      </c>
      <c r="J372" s="60" t="s">
        <v>55</v>
      </c>
      <c r="K372" s="60" t="s">
        <v>56</v>
      </c>
      <c r="L372" s="60" t="s">
        <v>57</v>
      </c>
    </row>
    <row r="373" spans="1:12">
      <c r="A373" s="106" t="s">
        <v>58</v>
      </c>
      <c r="B373" s="106"/>
      <c r="C373" s="106"/>
      <c r="D373" s="106"/>
      <c r="E373" s="106"/>
      <c r="F373" s="106"/>
      <c r="G373" s="21">
        <v>3665.6</v>
      </c>
      <c r="H373" s="22"/>
      <c r="I373" s="21"/>
      <c r="J373" s="21"/>
      <c r="K373" s="21"/>
      <c r="L373" s="21"/>
    </row>
    <row r="374" spans="1:12">
      <c r="A374" s="106" t="s">
        <v>59</v>
      </c>
      <c r="B374" s="106"/>
      <c r="C374" s="106"/>
      <c r="D374" s="106"/>
      <c r="E374" s="106"/>
      <c r="F374" s="106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>
      <c r="A375" s="107" t="s">
        <v>60</v>
      </c>
      <c r="B375" s="107"/>
      <c r="C375" s="107"/>
      <c r="D375" s="107"/>
      <c r="E375" s="107"/>
      <c r="F375" s="107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>
      <c r="A376" s="107" t="s">
        <v>61</v>
      </c>
      <c r="B376" s="107"/>
      <c r="C376" s="107"/>
      <c r="D376" s="107"/>
      <c r="E376" s="107"/>
      <c r="F376" s="107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>
      <c r="A377" s="107" t="s">
        <v>62</v>
      </c>
      <c r="B377" s="107"/>
      <c r="C377" s="107"/>
      <c r="D377" s="107"/>
      <c r="E377" s="107"/>
      <c r="F377" s="107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>
      <c r="A378" s="107" t="s">
        <v>63</v>
      </c>
      <c r="B378" s="107"/>
      <c r="C378" s="107"/>
      <c r="D378" s="107"/>
      <c r="E378" s="107"/>
      <c r="F378" s="107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>
      <c r="A379" s="107" t="s">
        <v>64</v>
      </c>
      <c r="B379" s="107"/>
      <c r="C379" s="107"/>
      <c r="D379" s="107"/>
      <c r="E379" s="107"/>
      <c r="F379" s="107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>
      <c r="A380" s="107" t="s">
        <v>65</v>
      </c>
      <c r="B380" s="107"/>
      <c r="C380" s="107"/>
      <c r="D380" s="107"/>
      <c r="E380" s="107"/>
      <c r="F380" s="107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>
      <c r="A381" s="107" t="s">
        <v>66</v>
      </c>
      <c r="B381" s="107"/>
      <c r="C381" s="107"/>
      <c r="D381" s="107"/>
      <c r="E381" s="107"/>
      <c r="F381" s="107"/>
      <c r="G381" s="29"/>
      <c r="H381" s="30"/>
      <c r="I381" s="30"/>
      <c r="J381" s="25"/>
      <c r="K381" s="26"/>
      <c r="L381" s="26"/>
    </row>
    <row r="382" spans="1:12">
      <c r="A382" s="109">
        <v>0.25</v>
      </c>
      <c r="B382" s="109"/>
      <c r="C382" s="109"/>
      <c r="D382" s="109"/>
      <c r="E382" s="109"/>
      <c r="F382" s="109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>
      <c r="A383" s="109">
        <v>0.5</v>
      </c>
      <c r="B383" s="109"/>
      <c r="C383" s="109"/>
      <c r="D383" s="109"/>
      <c r="E383" s="109"/>
      <c r="F383" s="109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>
      <c r="A384" s="109">
        <v>1</v>
      </c>
      <c r="B384" s="109"/>
      <c r="C384" s="109"/>
      <c r="D384" s="109"/>
      <c r="E384" s="109"/>
      <c r="F384" s="109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>
      <c r="A385" s="106" t="s">
        <v>67</v>
      </c>
      <c r="B385" s="106"/>
      <c r="C385" s="106"/>
      <c r="D385" s="106"/>
      <c r="E385" s="106"/>
      <c r="F385" s="106"/>
      <c r="G385" s="21"/>
      <c r="H385" s="22"/>
      <c r="I385" s="21">
        <f>SUM(I386:I387)</f>
        <v>0</v>
      </c>
      <c r="J385" s="21"/>
      <c r="K385" s="21"/>
      <c r="L385" s="21"/>
    </row>
    <row r="386" spans="1:12">
      <c r="A386" s="107" t="s">
        <v>68</v>
      </c>
      <c r="B386" s="107"/>
      <c r="C386" s="107"/>
      <c r="D386" s="107"/>
      <c r="E386" s="107"/>
      <c r="F386" s="107"/>
      <c r="G386" s="23">
        <f>(G363-A365)/360</f>
        <v>0.93333333333333335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>
      <c r="A387" s="107" t="s">
        <v>69</v>
      </c>
      <c r="B387" s="107"/>
      <c r="C387" s="107"/>
      <c r="D387" s="107"/>
      <c r="E387" s="107"/>
      <c r="F387" s="107"/>
      <c r="G387" s="23"/>
      <c r="H387" s="24"/>
      <c r="I387" s="23"/>
      <c r="J387" s="25"/>
      <c r="K387" s="26"/>
      <c r="L387" s="26"/>
    </row>
    <row r="388" spans="1:12">
      <c r="A388" s="106" t="s">
        <v>70</v>
      </c>
      <c r="B388" s="106"/>
      <c r="C388" s="106"/>
      <c r="D388" s="106"/>
      <c r="E388" s="106"/>
      <c r="F388" s="106"/>
      <c r="G388" s="21"/>
      <c r="H388" s="22"/>
      <c r="I388" s="21">
        <f>SUM(I389:I391)</f>
        <v>600</v>
      </c>
      <c r="J388" s="21"/>
      <c r="K388" s="21"/>
      <c r="L388" s="21"/>
    </row>
    <row r="389" spans="1:12">
      <c r="A389" s="107" t="s">
        <v>71</v>
      </c>
      <c r="B389" s="107"/>
      <c r="C389" s="107"/>
      <c r="D389" s="107"/>
      <c r="E389" s="107"/>
      <c r="F389" s="107"/>
      <c r="G389" s="23"/>
      <c r="H389" s="24"/>
      <c r="I389" s="23">
        <v>600</v>
      </c>
      <c r="J389" s="25"/>
      <c r="K389" s="26"/>
      <c r="L389" s="26"/>
    </row>
    <row r="390" spans="1:12">
      <c r="A390" s="107" t="s">
        <v>72</v>
      </c>
      <c r="B390" s="107"/>
      <c r="C390" s="107"/>
      <c r="D390" s="107"/>
      <c r="E390" s="107"/>
      <c r="F390" s="107"/>
      <c r="G390" s="23"/>
      <c r="H390" s="31">
        <v>0</v>
      </c>
      <c r="I390" s="23"/>
      <c r="J390" s="25"/>
      <c r="K390" s="26"/>
      <c r="L390" s="26"/>
    </row>
    <row r="391" spans="1:12">
      <c r="A391" s="107" t="s">
        <v>73</v>
      </c>
      <c r="B391" s="107"/>
      <c r="C391" s="107"/>
      <c r="D391" s="107"/>
      <c r="E391" s="107"/>
      <c r="F391" s="107"/>
      <c r="G391" s="23"/>
      <c r="H391" s="24"/>
      <c r="I391" s="23"/>
      <c r="J391" s="25"/>
      <c r="K391" s="26"/>
      <c r="L391" s="26"/>
    </row>
    <row r="392" spans="1:12">
      <c r="A392" s="111" t="s">
        <v>74</v>
      </c>
      <c r="B392" s="111"/>
      <c r="C392" s="111"/>
      <c r="D392" s="111"/>
      <c r="E392" s="111"/>
      <c r="F392" s="111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>
      <c r="A393" s="111" t="s">
        <v>75</v>
      </c>
      <c r="B393" s="111"/>
      <c r="C393" s="111"/>
      <c r="D393" s="111"/>
      <c r="E393" s="111"/>
      <c r="F393" s="111"/>
      <c r="G393" s="32"/>
      <c r="H393" s="33"/>
      <c r="I393" s="32">
        <f>I392-I388</f>
        <v>3665.6000000000004</v>
      </c>
      <c r="J393" s="33"/>
      <c r="K393" s="33"/>
      <c r="L393" s="33"/>
    </row>
    <row r="394" spans="1:12">
      <c r="A394" s="107" t="s">
        <v>76</v>
      </c>
      <c r="B394" s="107"/>
      <c r="C394" s="107"/>
      <c r="D394" s="107"/>
      <c r="E394" s="107"/>
      <c r="F394" s="107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>
      <c r="A395" s="107" t="s">
        <v>77</v>
      </c>
      <c r="B395" s="107"/>
      <c r="C395" s="107"/>
      <c r="D395" s="107"/>
      <c r="E395" s="107"/>
      <c r="F395" s="107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>
      <c r="A396" s="107" t="s">
        <v>78</v>
      </c>
      <c r="B396" s="107"/>
      <c r="C396" s="107"/>
      <c r="D396" s="107"/>
      <c r="E396" s="107"/>
      <c r="F396" s="107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>
      <c r="A397" s="107" t="s">
        <v>79</v>
      </c>
      <c r="B397" s="107"/>
      <c r="C397" s="107"/>
      <c r="D397" s="107"/>
      <c r="E397" s="107"/>
      <c r="F397" s="107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>
      <c r="A398" s="107" t="s">
        <v>80</v>
      </c>
      <c r="B398" s="107"/>
      <c r="C398" s="107"/>
      <c r="D398" s="107"/>
      <c r="E398" s="107"/>
      <c r="F398" s="107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>
      <c r="A399" s="107" t="s">
        <v>81</v>
      </c>
      <c r="B399" s="107"/>
      <c r="C399" s="107"/>
      <c r="D399" s="107"/>
      <c r="E399" s="107"/>
      <c r="F399" s="107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>
      <c r="A400" s="107" t="s">
        <v>24</v>
      </c>
      <c r="B400" s="107"/>
      <c r="C400" s="107"/>
      <c r="D400" s="107"/>
      <c r="E400" s="107"/>
      <c r="F400" s="107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>
      <c r="A401" s="110" t="s">
        <v>82</v>
      </c>
      <c r="B401" s="110"/>
      <c r="C401" s="110"/>
      <c r="D401" s="110"/>
      <c r="E401" s="110"/>
      <c r="F401" s="110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>
      <c r="A402" s="110" t="s">
        <v>83</v>
      </c>
      <c r="B402" s="110"/>
      <c r="C402" s="110"/>
      <c r="D402" s="110"/>
      <c r="E402" s="110"/>
      <c r="F402" s="110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>
      <c r="A403" s="106" t="s">
        <v>84</v>
      </c>
      <c r="B403" s="106"/>
      <c r="C403" s="106"/>
      <c r="D403" s="106"/>
      <c r="E403" s="106"/>
      <c r="F403" s="106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>
      <c r="A404" s="107" t="s">
        <v>85</v>
      </c>
      <c r="B404" s="107"/>
      <c r="C404" s="107"/>
      <c r="D404" s="107"/>
      <c r="E404" s="107"/>
      <c r="F404" s="107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>
      <c r="A405" s="111" t="s">
        <v>86</v>
      </c>
      <c r="B405" s="111"/>
      <c r="C405" s="111"/>
      <c r="D405" s="111"/>
      <c r="E405" s="111"/>
      <c r="F405" s="111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>
      <c r="A406" s="107" t="s">
        <v>87</v>
      </c>
      <c r="B406" s="107"/>
      <c r="C406" s="107"/>
      <c r="D406" s="107"/>
      <c r="E406" s="107"/>
      <c r="F406" s="107"/>
      <c r="G406" s="23"/>
      <c r="H406" s="34"/>
      <c r="I406" s="23">
        <f>H406*180/360</f>
        <v>0</v>
      </c>
      <c r="J406" s="23"/>
      <c r="K406" s="46"/>
      <c r="L406" s="47"/>
    </row>
    <row r="407" spans="1:12">
      <c r="A407" s="111" t="s">
        <v>115</v>
      </c>
      <c r="B407" s="111"/>
      <c r="C407" s="111"/>
      <c r="D407" s="111"/>
      <c r="E407" s="111"/>
      <c r="F407" s="111"/>
      <c r="G407" s="32"/>
      <c r="H407" s="33"/>
      <c r="I407" s="32">
        <f>I405-I406</f>
        <v>2685.4185600000001</v>
      </c>
      <c r="J407" s="33"/>
      <c r="K407" s="33"/>
      <c r="L407" s="33"/>
    </row>
    <row r="408" spans="1:12">
      <c r="A408" s="107" t="s">
        <v>89</v>
      </c>
      <c r="B408" s="107"/>
      <c r="C408" s="107"/>
      <c r="D408" s="107"/>
      <c r="E408" s="107"/>
      <c r="F408" s="107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>
      <c r="A409" s="107" t="s">
        <v>90</v>
      </c>
      <c r="B409" s="107"/>
      <c r="C409" s="107"/>
      <c r="D409" s="107"/>
      <c r="E409" s="107"/>
      <c r="F409" s="107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>
      <c r="A410" s="106" t="s">
        <v>91</v>
      </c>
      <c r="B410" s="106"/>
      <c r="C410" s="106"/>
      <c r="D410" s="106"/>
      <c r="E410" s="106"/>
      <c r="F410" s="106"/>
      <c r="G410" s="21"/>
      <c r="H410" s="22"/>
      <c r="I410" s="21"/>
      <c r="J410" s="21">
        <f>J408-J409</f>
        <v>18.541855999999996</v>
      </c>
      <c r="K410" s="21"/>
      <c r="L410" s="21"/>
    </row>
    <row r="411" spans="1:12">
      <c r="A411" s="112" t="s">
        <v>92</v>
      </c>
      <c r="B411" s="112"/>
      <c r="C411" s="112"/>
      <c r="D411" s="112"/>
      <c r="E411" s="112"/>
      <c r="F411" s="112"/>
      <c r="G411" s="25"/>
      <c r="H411" s="48"/>
      <c r="I411" s="47"/>
      <c r="J411" s="49">
        <v>0</v>
      </c>
      <c r="K411" s="46"/>
      <c r="L411" s="47"/>
    </row>
    <row r="412" spans="1:12">
      <c r="A412" s="107" t="s">
        <v>93</v>
      </c>
      <c r="B412" s="107"/>
      <c r="C412" s="107"/>
      <c r="D412" s="107"/>
      <c r="E412" s="107"/>
      <c r="F412" s="107"/>
      <c r="G412" s="25"/>
      <c r="H412" s="48"/>
      <c r="I412" s="44"/>
      <c r="J412" s="28">
        <v>0</v>
      </c>
      <c r="K412" s="46"/>
      <c r="L412" s="47"/>
    </row>
    <row r="413" spans="1:12">
      <c r="A413" s="113" t="s">
        <v>94</v>
      </c>
      <c r="B413" s="113"/>
      <c r="C413" s="113"/>
      <c r="D413" s="113"/>
      <c r="E413" s="113"/>
      <c r="F413" s="113"/>
      <c r="G413" s="41"/>
      <c r="H413" s="42"/>
      <c r="I413" s="28"/>
      <c r="J413" s="41"/>
      <c r="K413" s="43"/>
      <c r="L413" s="44"/>
    </row>
    <row r="414" spans="1:1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>
      <c r="A415" s="58" t="s">
        <v>95</v>
      </c>
      <c r="B415" s="58" t="s">
        <v>96</v>
      </c>
      <c r="C415" s="58" t="s">
        <v>97</v>
      </c>
      <c r="D415" s="104" t="s">
        <v>98</v>
      </c>
      <c r="E415" s="104"/>
      <c r="F415" s="104"/>
      <c r="G415" s="58" t="s">
        <v>99</v>
      </c>
      <c r="H415" s="50"/>
      <c r="I415" s="57">
        <f>I392+I413</f>
        <v>4265.6000000000004</v>
      </c>
      <c r="J415" s="57">
        <f>J403+J410+J411+J412</f>
        <v>265.60329600000006</v>
      </c>
      <c r="K415" s="58" t="s">
        <v>100</v>
      </c>
      <c r="L415" s="57">
        <f>L403</f>
        <v>846.38704000000007</v>
      </c>
    </row>
    <row r="416" spans="1:12">
      <c r="A416" s="57">
        <f>38390.4+I392</f>
        <v>42656</v>
      </c>
      <c r="B416" s="57">
        <f>32990.4+I393</f>
        <v>36656</v>
      </c>
      <c r="C416" s="57">
        <f>1477.98+J394</f>
        <v>1642.1988800000001</v>
      </c>
      <c r="D416" s="114">
        <f>166.87+J410</f>
        <v>185.411856</v>
      </c>
      <c r="E416" s="114"/>
      <c r="F416" s="114"/>
      <c r="G416" s="57">
        <f>36000+I415</f>
        <v>40265.599999999999</v>
      </c>
      <c r="H416" s="104" t="s">
        <v>101</v>
      </c>
      <c r="I416" s="104"/>
      <c r="J416" s="57">
        <f>I415-J415</f>
        <v>3999.9967040000001</v>
      </c>
      <c r="K416" s="58" t="s">
        <v>102</v>
      </c>
      <c r="L416" s="57">
        <f>8246.37+L415</f>
        <v>9092.7570400000004</v>
      </c>
    </row>
    <row r="417" spans="1:1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17"/>
  <sheetViews>
    <sheetView workbookViewId="0">
      <selection activeCell="L299" sqref="L299"/>
    </sheetView>
  </sheetViews>
  <sheetFormatPr baseColWidth="10" defaultRowHeight="15"/>
  <sheetData>
    <row r="1" spans="1:12">
      <c r="A1" s="105" t="s">
        <v>26</v>
      </c>
      <c r="B1" s="105"/>
      <c r="C1" s="105" t="s">
        <v>27</v>
      </c>
      <c r="D1" s="105"/>
      <c r="E1" s="105"/>
      <c r="F1" s="105"/>
      <c r="G1" s="105" t="s">
        <v>28</v>
      </c>
      <c r="H1" s="105"/>
      <c r="I1" s="105"/>
      <c r="J1" s="105" t="s">
        <v>29</v>
      </c>
      <c r="K1" s="105"/>
      <c r="L1" s="105"/>
    </row>
    <row r="2" spans="1:12">
      <c r="A2" s="13" t="s">
        <v>30</v>
      </c>
      <c r="B2" s="104" t="s">
        <v>31</v>
      </c>
      <c r="C2" s="104"/>
      <c r="D2" s="104"/>
      <c r="E2" s="104"/>
      <c r="F2" s="104"/>
      <c r="G2" s="104" t="s">
        <v>32</v>
      </c>
      <c r="H2" s="104"/>
      <c r="I2" s="104"/>
      <c r="J2" s="104"/>
      <c r="K2" s="104"/>
      <c r="L2" s="104"/>
    </row>
    <row r="3" spans="1:12">
      <c r="A3" s="15">
        <v>1</v>
      </c>
      <c r="B3" s="102" t="s">
        <v>33</v>
      </c>
      <c r="C3" s="102"/>
      <c r="D3" s="102"/>
      <c r="E3" s="102"/>
      <c r="F3" s="102"/>
      <c r="G3" s="103">
        <v>42644</v>
      </c>
      <c r="H3" s="103"/>
      <c r="I3" s="103"/>
      <c r="J3" s="103">
        <v>42674</v>
      </c>
      <c r="K3" s="103"/>
      <c r="L3" s="103"/>
    </row>
    <row r="4" spans="1:12">
      <c r="A4" s="13" t="s">
        <v>34</v>
      </c>
      <c r="B4" s="13" t="s">
        <v>35</v>
      </c>
      <c r="C4" s="13" t="s">
        <v>36</v>
      </c>
      <c r="D4" s="13" t="s">
        <v>37</v>
      </c>
      <c r="E4" s="13" t="s">
        <v>38</v>
      </c>
      <c r="F4" s="13" t="s">
        <v>39</v>
      </c>
      <c r="G4" s="104" t="s">
        <v>40</v>
      </c>
      <c r="H4" s="104"/>
      <c r="I4" s="104"/>
      <c r="J4" s="104"/>
      <c r="K4" s="104"/>
      <c r="L4" s="104"/>
    </row>
    <row r="5" spans="1:12">
      <c r="A5" s="17">
        <v>41501</v>
      </c>
      <c r="B5" s="15"/>
      <c r="C5" s="17">
        <v>24624</v>
      </c>
      <c r="D5" s="15" t="s">
        <v>41</v>
      </c>
      <c r="E5" s="15">
        <v>0</v>
      </c>
      <c r="F5" s="15">
        <v>0</v>
      </c>
      <c r="G5" s="102"/>
      <c r="H5" s="102"/>
      <c r="I5" s="102"/>
      <c r="J5" s="102"/>
      <c r="K5" s="102"/>
      <c r="L5" s="102"/>
    </row>
    <row r="6" spans="1:12">
      <c r="A6" s="13" t="s">
        <v>42</v>
      </c>
      <c r="B6" s="13" t="s">
        <v>43</v>
      </c>
      <c r="C6" s="13" t="s">
        <v>44</v>
      </c>
      <c r="D6" s="104" t="s">
        <v>45</v>
      </c>
      <c r="E6" s="104"/>
      <c r="F6" s="104"/>
      <c r="G6" s="104" t="s">
        <v>46</v>
      </c>
      <c r="H6" s="104"/>
      <c r="I6" s="104"/>
      <c r="J6" s="104"/>
      <c r="K6" s="104"/>
      <c r="L6" s="104"/>
    </row>
    <row r="7" spans="1:12">
      <c r="A7" s="15">
        <v>189838836</v>
      </c>
      <c r="B7" s="15"/>
      <c r="C7" s="15"/>
      <c r="D7" s="102" t="s">
        <v>47</v>
      </c>
      <c r="E7" s="102"/>
      <c r="F7" s="102"/>
      <c r="G7" s="102" t="s">
        <v>48</v>
      </c>
      <c r="H7" s="102"/>
      <c r="I7" s="102"/>
      <c r="J7" s="102"/>
      <c r="K7" s="102"/>
      <c r="L7" s="102"/>
    </row>
    <row r="8" spans="1:1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108" t="s">
        <v>49</v>
      </c>
      <c r="B11" s="108"/>
      <c r="C11" s="108"/>
      <c r="D11" s="108"/>
      <c r="E11" s="108"/>
      <c r="F11" s="108"/>
      <c r="G11" s="108" t="s">
        <v>50</v>
      </c>
      <c r="H11" s="108" t="s">
        <v>51</v>
      </c>
      <c r="I11" s="108" t="s">
        <v>52</v>
      </c>
      <c r="J11" s="108"/>
      <c r="K11" s="108" t="s">
        <v>53</v>
      </c>
      <c r="L11" s="108"/>
    </row>
    <row r="12" spans="1:12">
      <c r="A12" s="108"/>
      <c r="B12" s="108"/>
      <c r="C12" s="108"/>
      <c r="D12" s="108"/>
      <c r="E12" s="108"/>
      <c r="F12" s="108"/>
      <c r="G12" s="108"/>
      <c r="H12" s="108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>
      <c r="A13" s="106" t="s">
        <v>58</v>
      </c>
      <c r="B13" s="106"/>
      <c r="C13" s="106"/>
      <c r="D13" s="106"/>
      <c r="E13" s="106"/>
      <c r="F13" s="106"/>
      <c r="G13" s="21">
        <v>12255.93</v>
      </c>
      <c r="H13" s="22"/>
      <c r="I13" s="21"/>
      <c r="J13" s="21"/>
      <c r="K13" s="21"/>
      <c r="L13" s="21"/>
    </row>
    <row r="14" spans="1:12">
      <c r="A14" s="106" t="s">
        <v>59</v>
      </c>
      <c r="B14" s="106"/>
      <c r="C14" s="106"/>
      <c r="D14" s="106"/>
      <c r="E14" s="106"/>
      <c r="F14" s="106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>
      <c r="A15" s="107" t="s">
        <v>60</v>
      </c>
      <c r="B15" s="107"/>
      <c r="C15" s="107"/>
      <c r="D15" s="107"/>
      <c r="E15" s="107"/>
      <c r="F15" s="107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>
      <c r="A16" s="107" t="s">
        <v>61</v>
      </c>
      <c r="B16" s="107"/>
      <c r="C16" s="107"/>
      <c r="D16" s="107"/>
      <c r="E16" s="107"/>
      <c r="F16" s="107"/>
      <c r="G16" s="23"/>
      <c r="H16" s="24">
        <v>0</v>
      </c>
      <c r="I16" s="23">
        <f>G13/26*H16</f>
        <v>0</v>
      </c>
      <c r="J16" s="25"/>
      <c r="K16" s="26"/>
      <c r="L16" s="26"/>
    </row>
    <row r="17" spans="1:12">
      <c r="A17" s="107" t="s">
        <v>62</v>
      </c>
      <c r="B17" s="107"/>
      <c r="C17" s="107"/>
      <c r="D17" s="107"/>
      <c r="E17" s="107"/>
      <c r="F17" s="107"/>
      <c r="G17" s="23"/>
      <c r="H17" s="24">
        <v>0</v>
      </c>
      <c r="I17" s="23"/>
      <c r="J17" s="27">
        <f>G13/26*H17</f>
        <v>0</v>
      </c>
      <c r="K17" s="26"/>
      <c r="L17" s="26"/>
    </row>
    <row r="18" spans="1:12">
      <c r="A18" s="107" t="s">
        <v>63</v>
      </c>
      <c r="B18" s="107"/>
      <c r="C18" s="107"/>
      <c r="D18" s="107"/>
      <c r="E18" s="107"/>
      <c r="F18" s="107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>
      <c r="A19" s="107" t="s">
        <v>64</v>
      </c>
      <c r="B19" s="107"/>
      <c r="C19" s="107"/>
      <c r="D19" s="107"/>
      <c r="E19" s="107"/>
      <c r="F19" s="107"/>
      <c r="G19" s="23"/>
      <c r="H19" s="24">
        <v>0</v>
      </c>
      <c r="I19" s="23">
        <f>G13/26*H19</f>
        <v>0</v>
      </c>
      <c r="J19" s="25"/>
      <c r="K19" s="26"/>
      <c r="L19" s="26"/>
    </row>
    <row r="20" spans="1:12">
      <c r="A20" s="107" t="s">
        <v>65</v>
      </c>
      <c r="B20" s="107"/>
      <c r="C20" s="107"/>
      <c r="D20" s="107"/>
      <c r="E20" s="107"/>
      <c r="F20" s="107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>
      <c r="A21" s="107" t="s">
        <v>66</v>
      </c>
      <c r="B21" s="107"/>
      <c r="C21" s="107"/>
      <c r="D21" s="107"/>
      <c r="E21" s="107"/>
      <c r="F21" s="107"/>
      <c r="G21" s="29"/>
      <c r="H21" s="30"/>
      <c r="I21" s="30"/>
      <c r="J21" s="25"/>
      <c r="K21" s="26"/>
      <c r="L21" s="26"/>
    </row>
    <row r="22" spans="1:12">
      <c r="A22" s="109">
        <v>0.25</v>
      </c>
      <c r="B22" s="109"/>
      <c r="C22" s="109"/>
      <c r="D22" s="109"/>
      <c r="E22" s="109"/>
      <c r="F22" s="109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>
      <c r="A23" s="109">
        <v>0.5</v>
      </c>
      <c r="B23" s="109"/>
      <c r="C23" s="109"/>
      <c r="D23" s="109"/>
      <c r="E23" s="109"/>
      <c r="F23" s="109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>
      <c r="A24" s="109">
        <v>1</v>
      </c>
      <c r="B24" s="109"/>
      <c r="C24" s="109"/>
      <c r="D24" s="109"/>
      <c r="E24" s="109"/>
      <c r="F24" s="109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>
      <c r="A25" s="106" t="s">
        <v>67</v>
      </c>
      <c r="B25" s="106"/>
      <c r="C25" s="106"/>
      <c r="D25" s="106"/>
      <c r="E25" s="106"/>
      <c r="F25" s="106"/>
      <c r="G25" s="21"/>
      <c r="H25" s="22"/>
      <c r="I25" s="21">
        <f>SUM(I26:I27)</f>
        <v>612.79650000000004</v>
      </c>
      <c r="J25" s="21"/>
      <c r="K25" s="21"/>
      <c r="L25" s="21"/>
    </row>
    <row r="26" spans="1:12">
      <c r="A26" s="107" t="s">
        <v>68</v>
      </c>
      <c r="B26" s="107"/>
      <c r="C26" s="107"/>
      <c r="D26" s="107"/>
      <c r="E26" s="107"/>
      <c r="F26" s="107"/>
      <c r="G26" s="23">
        <f>(G3-A5)/360</f>
        <v>3.1749999999999998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>
      <c r="A27" s="107" t="s">
        <v>69</v>
      </c>
      <c r="B27" s="107"/>
      <c r="C27" s="107"/>
      <c r="D27" s="107"/>
      <c r="E27" s="107"/>
      <c r="F27" s="107"/>
      <c r="G27" s="23"/>
      <c r="H27" s="24"/>
      <c r="I27" s="23"/>
      <c r="J27" s="25"/>
      <c r="K27" s="26"/>
      <c r="L27" s="26"/>
    </row>
    <row r="28" spans="1:12">
      <c r="A28" s="106" t="s">
        <v>70</v>
      </c>
      <c r="B28" s="106"/>
      <c r="C28" s="106"/>
      <c r="D28" s="106"/>
      <c r="E28" s="106"/>
      <c r="F28" s="106"/>
      <c r="G28" s="21"/>
      <c r="H28" s="22"/>
      <c r="I28" s="21">
        <f>SUM(I29:I31)</f>
        <v>5000</v>
      </c>
      <c r="J28" s="21"/>
      <c r="K28" s="21"/>
      <c r="L28" s="21"/>
    </row>
    <row r="29" spans="1:12">
      <c r="A29" s="107" t="s">
        <v>71</v>
      </c>
      <c r="B29" s="107"/>
      <c r="C29" s="107"/>
      <c r="D29" s="107"/>
      <c r="E29" s="107"/>
      <c r="F29" s="107"/>
      <c r="G29" s="23"/>
      <c r="H29" s="24"/>
      <c r="I29" s="23">
        <v>2500</v>
      </c>
      <c r="J29" s="25"/>
      <c r="K29" s="26"/>
      <c r="L29" s="26"/>
    </row>
    <row r="30" spans="1:12">
      <c r="A30" s="107" t="s">
        <v>72</v>
      </c>
      <c r="B30" s="107"/>
      <c r="C30" s="107"/>
      <c r="D30" s="107"/>
      <c r="E30" s="107"/>
      <c r="F30" s="107"/>
      <c r="G30" s="23"/>
      <c r="H30" s="31">
        <v>0</v>
      </c>
      <c r="I30" s="23">
        <v>2500</v>
      </c>
      <c r="J30" s="25"/>
      <c r="K30" s="26"/>
      <c r="L30" s="26"/>
    </row>
    <row r="31" spans="1:12">
      <c r="A31" s="107" t="s">
        <v>73</v>
      </c>
      <c r="B31" s="107"/>
      <c r="C31" s="107"/>
      <c r="D31" s="107"/>
      <c r="E31" s="107"/>
      <c r="F31" s="107"/>
      <c r="G31" s="23"/>
      <c r="H31" s="24"/>
      <c r="I31" s="23"/>
      <c r="J31" s="25"/>
      <c r="K31" s="26"/>
      <c r="L31" s="26"/>
    </row>
    <row r="32" spans="1:12">
      <c r="A32" s="111" t="s">
        <v>74</v>
      </c>
      <c r="B32" s="111"/>
      <c r="C32" s="111"/>
      <c r="D32" s="111"/>
      <c r="E32" s="111"/>
      <c r="F32" s="111"/>
      <c r="G32" s="32"/>
      <c r="H32" s="33"/>
      <c r="I32" s="32">
        <f>I14+I25+I28</f>
        <v>17868.726500000001</v>
      </c>
      <c r="J32" s="33"/>
      <c r="K32" s="33"/>
      <c r="L32" s="33"/>
    </row>
    <row r="33" spans="1:12">
      <c r="A33" s="111" t="s">
        <v>75</v>
      </c>
      <c r="B33" s="111"/>
      <c r="C33" s="111"/>
      <c r="D33" s="111"/>
      <c r="E33" s="111"/>
      <c r="F33" s="111"/>
      <c r="G33" s="32"/>
      <c r="H33" s="33"/>
      <c r="I33" s="32">
        <f>I32-I28</f>
        <v>12868.726500000001</v>
      </c>
      <c r="J33" s="33"/>
      <c r="K33" s="33"/>
      <c r="L33" s="33"/>
    </row>
    <row r="34" spans="1:12">
      <c r="A34" s="107" t="s">
        <v>76</v>
      </c>
      <c r="B34" s="107"/>
      <c r="C34" s="107"/>
      <c r="D34" s="107"/>
      <c r="E34" s="107"/>
      <c r="F34" s="107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>
      <c r="A35" s="107" t="s">
        <v>77</v>
      </c>
      <c r="B35" s="107"/>
      <c r="C35" s="107"/>
      <c r="D35" s="107"/>
      <c r="E35" s="107"/>
      <c r="F35" s="107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>
      <c r="A36" s="107" t="s">
        <v>78</v>
      </c>
      <c r="B36" s="107"/>
      <c r="C36" s="107"/>
      <c r="D36" s="107"/>
      <c r="E36" s="107"/>
      <c r="F36" s="107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>
      <c r="A37" s="107" t="s">
        <v>79</v>
      </c>
      <c r="B37" s="107"/>
      <c r="C37" s="107"/>
      <c r="D37" s="107"/>
      <c r="E37" s="107"/>
      <c r="F37" s="107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>
      <c r="A38" s="107" t="s">
        <v>80</v>
      </c>
      <c r="B38" s="107"/>
      <c r="C38" s="107"/>
      <c r="D38" s="107"/>
      <c r="E38" s="107"/>
      <c r="F38" s="107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>
      <c r="A39" s="107" t="s">
        <v>81</v>
      </c>
      <c r="B39" s="107"/>
      <c r="C39" s="107"/>
      <c r="D39" s="107"/>
      <c r="E39" s="107"/>
      <c r="F39" s="107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>
      <c r="A40" s="107" t="s">
        <v>24</v>
      </c>
      <c r="B40" s="107"/>
      <c r="C40" s="107"/>
      <c r="D40" s="107"/>
      <c r="E40" s="107"/>
      <c r="F40" s="107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>
      <c r="A41" s="110" t="s">
        <v>82</v>
      </c>
      <c r="B41" s="110"/>
      <c r="C41" s="110"/>
      <c r="D41" s="110"/>
      <c r="E41" s="110"/>
      <c r="F41" s="110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>
      <c r="A42" s="110" t="s">
        <v>83</v>
      </c>
      <c r="B42" s="110"/>
      <c r="C42" s="110"/>
      <c r="D42" s="110"/>
      <c r="E42" s="110"/>
      <c r="F42" s="110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>
      <c r="A43" s="106" t="s">
        <v>84</v>
      </c>
      <c r="B43" s="106"/>
      <c r="C43" s="106"/>
      <c r="D43" s="106"/>
      <c r="E43" s="106"/>
      <c r="F43" s="106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>
      <c r="A44" s="107" t="s">
        <v>85</v>
      </c>
      <c r="B44" s="107"/>
      <c r="C44" s="107"/>
      <c r="D44" s="107"/>
      <c r="E44" s="107"/>
      <c r="F44" s="107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>
      <c r="A45" s="111" t="s">
        <v>86</v>
      </c>
      <c r="B45" s="111"/>
      <c r="C45" s="111"/>
      <c r="D45" s="111"/>
      <c r="E45" s="111"/>
      <c r="F45" s="111"/>
      <c r="G45" s="32"/>
      <c r="H45" s="33"/>
      <c r="I45" s="32">
        <f>I33-J43-J44</f>
        <v>9423.0314861000006</v>
      </c>
      <c r="J45" s="33"/>
      <c r="K45" s="33"/>
      <c r="L45" s="33"/>
    </row>
    <row r="46" spans="1:12">
      <c r="A46" s="107" t="s">
        <v>87</v>
      </c>
      <c r="B46" s="107"/>
      <c r="C46" s="107"/>
      <c r="D46" s="107"/>
      <c r="E46" s="107"/>
      <c r="F46" s="107"/>
      <c r="G46" s="23"/>
      <c r="H46" s="34"/>
      <c r="I46" s="23">
        <f>H46*180/360</f>
        <v>0</v>
      </c>
      <c r="J46" s="23"/>
      <c r="K46" s="46"/>
      <c r="L46" s="47"/>
    </row>
    <row r="47" spans="1:12">
      <c r="A47" s="111" t="s">
        <v>88</v>
      </c>
      <c r="B47" s="111"/>
      <c r="C47" s="111"/>
      <c r="D47" s="111"/>
      <c r="E47" s="111"/>
      <c r="F47" s="111"/>
      <c r="G47" s="32"/>
      <c r="H47" s="33"/>
      <c r="I47" s="32">
        <f>I45-I46</f>
        <v>9423.0314861000006</v>
      </c>
      <c r="J47" s="33"/>
      <c r="K47" s="33"/>
      <c r="L47" s="33"/>
    </row>
    <row r="48" spans="1:12">
      <c r="A48" s="107" t="s">
        <v>89</v>
      </c>
      <c r="B48" s="107"/>
      <c r="C48" s="107"/>
      <c r="D48" s="107"/>
      <c r="E48" s="107"/>
      <c r="F48" s="107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>
      <c r="A49" s="107" t="s">
        <v>90</v>
      </c>
      <c r="B49" s="107"/>
      <c r="C49" s="107"/>
      <c r="D49" s="107"/>
      <c r="E49" s="107"/>
      <c r="F49" s="107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>
      <c r="A50" s="106" t="s">
        <v>91</v>
      </c>
      <c r="B50" s="106"/>
      <c r="C50" s="106"/>
      <c r="D50" s="106"/>
      <c r="E50" s="106"/>
      <c r="F50" s="106"/>
      <c r="G50" s="21"/>
      <c r="H50" s="22"/>
      <c r="I50" s="21"/>
      <c r="J50" s="21">
        <f>J48-J49</f>
        <v>1770.4973719406673</v>
      </c>
      <c r="K50" s="21"/>
      <c r="L50" s="21"/>
    </row>
    <row r="51" spans="1:12">
      <c r="A51" s="112" t="s">
        <v>92</v>
      </c>
      <c r="B51" s="112"/>
      <c r="C51" s="112"/>
      <c r="D51" s="112"/>
      <c r="E51" s="112"/>
      <c r="F51" s="112"/>
      <c r="G51" s="25"/>
      <c r="H51" s="48"/>
      <c r="I51" s="47"/>
      <c r="J51" s="49">
        <v>0</v>
      </c>
      <c r="K51" s="46"/>
      <c r="L51" s="47"/>
    </row>
    <row r="52" spans="1:12">
      <c r="A52" s="107" t="s">
        <v>93</v>
      </c>
      <c r="B52" s="107"/>
      <c r="C52" s="107"/>
      <c r="D52" s="107"/>
      <c r="E52" s="107"/>
      <c r="F52" s="107"/>
      <c r="G52" s="25"/>
      <c r="H52" s="48"/>
      <c r="I52" s="44"/>
      <c r="J52" s="28">
        <v>0</v>
      </c>
      <c r="K52" s="46"/>
      <c r="L52" s="47"/>
    </row>
    <row r="53" spans="1:12">
      <c r="A53" s="113" t="s">
        <v>94</v>
      </c>
      <c r="B53" s="113"/>
      <c r="C53" s="113"/>
      <c r="D53" s="113"/>
      <c r="E53" s="113"/>
      <c r="F53" s="113"/>
      <c r="G53" s="41"/>
      <c r="H53" s="42"/>
      <c r="I53" s="28">
        <f>1-0.53</f>
        <v>0.47</v>
      </c>
      <c r="J53" s="41"/>
      <c r="K53" s="43"/>
      <c r="L53" s="44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13" t="s">
        <v>95</v>
      </c>
      <c r="B55" s="13" t="s">
        <v>96</v>
      </c>
      <c r="C55" s="13" t="s">
        <v>97</v>
      </c>
      <c r="D55" s="104" t="s">
        <v>98</v>
      </c>
      <c r="E55" s="104"/>
      <c r="F55" s="104"/>
      <c r="G55" s="13" t="s">
        <v>99</v>
      </c>
      <c r="H55" s="50"/>
      <c r="I55" s="51">
        <f>I32+I53</f>
        <v>17869.196500000002</v>
      </c>
      <c r="J55" s="51">
        <f>J43+J50+J51+J52</f>
        <v>2716.1923858406672</v>
      </c>
      <c r="K55" s="13" t="s">
        <v>100</v>
      </c>
      <c r="L55" s="51">
        <f>L43</f>
        <v>2354.57730915</v>
      </c>
    </row>
    <row r="56" spans="1:12">
      <c r="A56" s="51">
        <f>156411.11+I32</f>
        <v>174279.83649999998</v>
      </c>
      <c r="B56" s="51">
        <f>111411.11+I33</f>
        <v>124279.8365</v>
      </c>
      <c r="C56" s="51">
        <f>2419.2+J34</f>
        <v>2688</v>
      </c>
      <c r="D56" s="114">
        <f>14978.83+J50</f>
        <v>16749.327371940668</v>
      </c>
      <c r="E56" s="114"/>
      <c r="F56" s="114"/>
      <c r="G56" s="51">
        <f>133157+I55</f>
        <v>151026.19649999999</v>
      </c>
      <c r="H56" s="104" t="s">
        <v>101</v>
      </c>
      <c r="I56" s="104"/>
      <c r="J56" s="51">
        <f>I55-J55</f>
        <v>15153.004114159336</v>
      </c>
      <c r="K56" s="13" t="s">
        <v>102</v>
      </c>
      <c r="L56" s="51">
        <f>20499.47+L55</f>
        <v>22854.047309150003</v>
      </c>
    </row>
    <row r="57" spans="1:1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>
      <c r="A61" s="124" t="s">
        <v>26</v>
      </c>
      <c r="B61" s="125"/>
      <c r="C61" s="124" t="s">
        <v>27</v>
      </c>
      <c r="D61" s="126"/>
      <c r="E61" s="126"/>
      <c r="F61" s="125"/>
      <c r="G61" s="124" t="s">
        <v>28</v>
      </c>
      <c r="H61" s="126"/>
      <c r="I61" s="125"/>
      <c r="J61" s="124" t="s">
        <v>29</v>
      </c>
      <c r="K61" s="126"/>
      <c r="L61" s="125"/>
    </row>
    <row r="62" spans="1:12">
      <c r="A62" s="58" t="s">
        <v>30</v>
      </c>
      <c r="B62" s="115" t="s">
        <v>31</v>
      </c>
      <c r="C62" s="116"/>
      <c r="D62" s="116"/>
      <c r="E62" s="116"/>
      <c r="F62" s="117"/>
      <c r="G62" s="115" t="s">
        <v>32</v>
      </c>
      <c r="H62" s="116"/>
      <c r="I62" s="116"/>
      <c r="J62" s="116"/>
      <c r="K62" s="116"/>
      <c r="L62" s="117"/>
    </row>
    <row r="63" spans="1:12">
      <c r="A63" s="59">
        <v>3</v>
      </c>
      <c r="B63" s="118" t="s">
        <v>104</v>
      </c>
      <c r="C63" s="119"/>
      <c r="D63" s="119"/>
      <c r="E63" s="119"/>
      <c r="F63" s="120"/>
      <c r="G63" s="121">
        <v>42644</v>
      </c>
      <c r="H63" s="122"/>
      <c r="I63" s="123"/>
      <c r="J63" s="121">
        <v>42674</v>
      </c>
      <c r="K63" s="122"/>
      <c r="L63" s="123"/>
    </row>
    <row r="64" spans="1:12">
      <c r="A64" s="58" t="s">
        <v>34</v>
      </c>
      <c r="B64" s="58" t="s">
        <v>35</v>
      </c>
      <c r="C64" s="58" t="s">
        <v>36</v>
      </c>
      <c r="D64" s="58" t="s">
        <v>37</v>
      </c>
      <c r="E64" s="58" t="s">
        <v>38</v>
      </c>
      <c r="F64" s="58" t="s">
        <v>39</v>
      </c>
      <c r="G64" s="115" t="s">
        <v>40</v>
      </c>
      <c r="H64" s="116"/>
      <c r="I64" s="116"/>
      <c r="J64" s="116"/>
      <c r="K64" s="116"/>
      <c r="L64" s="117"/>
    </row>
    <row r="65" spans="1:12">
      <c r="A65" s="17">
        <v>41791</v>
      </c>
      <c r="B65" s="59"/>
      <c r="C65" s="17">
        <v>24557</v>
      </c>
      <c r="D65" s="59" t="s">
        <v>41</v>
      </c>
      <c r="E65" s="59">
        <v>0</v>
      </c>
      <c r="F65" s="59">
        <v>0</v>
      </c>
      <c r="G65" s="118"/>
      <c r="H65" s="119"/>
      <c r="I65" s="119"/>
      <c r="J65" s="119"/>
      <c r="K65" s="119"/>
      <c r="L65" s="120"/>
    </row>
    <row r="66" spans="1:12">
      <c r="A66" s="58" t="s">
        <v>42</v>
      </c>
      <c r="B66" s="58" t="s">
        <v>43</v>
      </c>
      <c r="C66" s="58" t="s">
        <v>44</v>
      </c>
      <c r="D66" s="115" t="s">
        <v>45</v>
      </c>
      <c r="E66" s="116"/>
      <c r="F66" s="117"/>
      <c r="G66" s="115" t="s">
        <v>46</v>
      </c>
      <c r="H66" s="116"/>
      <c r="I66" s="116"/>
      <c r="J66" s="116"/>
      <c r="K66" s="116"/>
      <c r="L66" s="117"/>
    </row>
    <row r="67" spans="1:12">
      <c r="A67" s="59">
        <v>141034737</v>
      </c>
      <c r="B67" s="59"/>
      <c r="C67" s="59"/>
      <c r="D67" s="118" t="s">
        <v>47</v>
      </c>
      <c r="E67" s="119"/>
      <c r="F67" s="120"/>
      <c r="G67" s="118" t="s">
        <v>105</v>
      </c>
      <c r="H67" s="119"/>
      <c r="I67" s="119"/>
      <c r="J67" s="119"/>
      <c r="K67" s="119"/>
      <c r="L67" s="120"/>
    </row>
    <row r="68" spans="1:1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>
      <c r="A71" s="135" t="s">
        <v>49</v>
      </c>
      <c r="B71" s="136"/>
      <c r="C71" s="136"/>
      <c r="D71" s="136"/>
      <c r="E71" s="136"/>
      <c r="F71" s="137"/>
      <c r="G71" s="141" t="s">
        <v>50</v>
      </c>
      <c r="H71" s="141" t="s">
        <v>51</v>
      </c>
      <c r="I71" s="143" t="s">
        <v>52</v>
      </c>
      <c r="J71" s="144"/>
      <c r="K71" s="143" t="s">
        <v>53</v>
      </c>
      <c r="L71" s="144"/>
    </row>
    <row r="72" spans="1:12">
      <c r="A72" s="138"/>
      <c r="B72" s="139"/>
      <c r="C72" s="139"/>
      <c r="D72" s="139"/>
      <c r="E72" s="139"/>
      <c r="F72" s="140"/>
      <c r="G72" s="142"/>
      <c r="H72" s="142"/>
      <c r="I72" s="60" t="s">
        <v>54</v>
      </c>
      <c r="J72" s="60" t="s">
        <v>55</v>
      </c>
      <c r="K72" s="60" t="s">
        <v>56</v>
      </c>
      <c r="L72" s="60" t="s">
        <v>57</v>
      </c>
    </row>
    <row r="73" spans="1:12">
      <c r="A73" s="127" t="s">
        <v>58</v>
      </c>
      <c r="B73" s="128"/>
      <c r="C73" s="128"/>
      <c r="D73" s="128"/>
      <c r="E73" s="128"/>
      <c r="F73" s="129"/>
      <c r="G73" s="21">
        <v>100000</v>
      </c>
      <c r="H73" s="22"/>
      <c r="I73" s="21"/>
      <c r="J73" s="21"/>
      <c r="K73" s="21"/>
      <c r="L73" s="21"/>
    </row>
    <row r="74" spans="1:12">
      <c r="A74" s="127" t="s">
        <v>59</v>
      </c>
      <c r="B74" s="128"/>
      <c r="C74" s="128"/>
      <c r="D74" s="128"/>
      <c r="E74" s="128"/>
      <c r="F74" s="129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>
      <c r="A75" s="130" t="s">
        <v>60</v>
      </c>
      <c r="B75" s="131"/>
      <c r="C75" s="131"/>
      <c r="D75" s="131"/>
      <c r="E75" s="131"/>
      <c r="F75" s="132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>
      <c r="A76" s="110" t="s">
        <v>61</v>
      </c>
      <c r="B76" s="133"/>
      <c r="C76" s="133"/>
      <c r="D76" s="133"/>
      <c r="E76" s="133"/>
      <c r="F76" s="134"/>
      <c r="G76" s="23"/>
      <c r="H76" s="24">
        <v>0</v>
      </c>
      <c r="I76" s="23">
        <f>G73/26*H76</f>
        <v>0</v>
      </c>
      <c r="J76" s="25"/>
      <c r="K76" s="26"/>
      <c r="L76" s="26"/>
    </row>
    <row r="77" spans="1:12">
      <c r="A77" s="110" t="s">
        <v>62</v>
      </c>
      <c r="B77" s="133"/>
      <c r="C77" s="133"/>
      <c r="D77" s="133"/>
      <c r="E77" s="133"/>
      <c r="F77" s="134"/>
      <c r="G77" s="23"/>
      <c r="H77" s="24">
        <v>0</v>
      </c>
      <c r="I77" s="23"/>
      <c r="J77" s="27">
        <f>G73/26*H77</f>
        <v>0</v>
      </c>
      <c r="K77" s="26"/>
      <c r="L77" s="26"/>
    </row>
    <row r="78" spans="1:12">
      <c r="A78" s="110" t="s">
        <v>63</v>
      </c>
      <c r="B78" s="133"/>
      <c r="C78" s="133"/>
      <c r="D78" s="133"/>
      <c r="E78" s="133"/>
      <c r="F78" s="134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>
      <c r="A79" s="110" t="s">
        <v>64</v>
      </c>
      <c r="B79" s="133"/>
      <c r="C79" s="133"/>
      <c r="D79" s="133"/>
      <c r="E79" s="133"/>
      <c r="F79" s="134"/>
      <c r="G79" s="23"/>
      <c r="H79" s="24">
        <v>0</v>
      </c>
      <c r="I79" s="23">
        <f>G73/26*H79</f>
        <v>0</v>
      </c>
      <c r="J79" s="25"/>
      <c r="K79" s="26"/>
      <c r="L79" s="26"/>
    </row>
    <row r="80" spans="1:12">
      <c r="A80" s="110" t="s">
        <v>65</v>
      </c>
      <c r="B80" s="133"/>
      <c r="C80" s="133"/>
      <c r="D80" s="133"/>
      <c r="E80" s="133"/>
      <c r="F80" s="134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>
      <c r="A81" s="110" t="s">
        <v>66</v>
      </c>
      <c r="B81" s="133"/>
      <c r="C81" s="133"/>
      <c r="D81" s="133"/>
      <c r="E81" s="133"/>
      <c r="F81" s="134"/>
      <c r="G81" s="29"/>
      <c r="H81" s="30"/>
      <c r="I81" s="30"/>
      <c r="J81" s="25"/>
      <c r="K81" s="26"/>
      <c r="L81" s="26"/>
    </row>
    <row r="82" spans="1:12">
      <c r="A82" s="148">
        <v>0.25</v>
      </c>
      <c r="B82" s="149"/>
      <c r="C82" s="149"/>
      <c r="D82" s="149"/>
      <c r="E82" s="149"/>
      <c r="F82" s="150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>
      <c r="A83" s="148">
        <v>0.5</v>
      </c>
      <c r="B83" s="149"/>
      <c r="C83" s="149"/>
      <c r="D83" s="149"/>
      <c r="E83" s="149"/>
      <c r="F83" s="150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>
      <c r="A84" s="151">
        <v>1</v>
      </c>
      <c r="B84" s="152"/>
      <c r="C84" s="152"/>
      <c r="D84" s="152"/>
      <c r="E84" s="152"/>
      <c r="F84" s="153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>
      <c r="A85" s="127" t="s">
        <v>67</v>
      </c>
      <c r="B85" s="128"/>
      <c r="C85" s="128"/>
      <c r="D85" s="128"/>
      <c r="E85" s="128"/>
      <c r="F85" s="129"/>
      <c r="G85" s="21"/>
      <c r="H85" s="22"/>
      <c r="I85" s="21">
        <f>SUM(I86:I87)</f>
        <v>5000</v>
      </c>
      <c r="J85" s="21"/>
      <c r="K85" s="21"/>
      <c r="L85" s="21"/>
    </row>
    <row r="86" spans="1:12">
      <c r="A86" s="130" t="s">
        <v>68</v>
      </c>
      <c r="B86" s="131"/>
      <c r="C86" s="131"/>
      <c r="D86" s="131"/>
      <c r="E86" s="131"/>
      <c r="F86" s="132"/>
      <c r="G86" s="23">
        <f>(G63-A65)/360</f>
        <v>2.3694444444444445</v>
      </c>
      <c r="H86" s="31">
        <f>IF(G86&lt;2,0,IF(AND(G86&gt;2,G86&lt;5),[1]Taux!A$33,IF(AND(G86&lt;12,G86&gt;5),[1]Taux!A$34,IF(AND(G86&gt;12,G86&lt;20),[1]Taux!A$35,IF(AND(G86&lt;25,G86&gt;20),[1]Taux!A$36,IF(G86&gt;25,[1]Taux!A$37))))))</f>
        <v>0.05</v>
      </c>
      <c r="I86" s="23">
        <f>I74*H86</f>
        <v>5000</v>
      </c>
      <c r="J86" s="25"/>
      <c r="K86" s="26"/>
      <c r="L86" s="26"/>
    </row>
    <row r="87" spans="1:12">
      <c r="A87" s="145" t="s">
        <v>69</v>
      </c>
      <c r="B87" s="146"/>
      <c r="C87" s="146"/>
      <c r="D87" s="146"/>
      <c r="E87" s="146"/>
      <c r="F87" s="147"/>
      <c r="G87" s="23"/>
      <c r="H87" s="24"/>
      <c r="I87" s="23"/>
      <c r="J87" s="25"/>
      <c r="K87" s="26"/>
      <c r="L87" s="26"/>
    </row>
    <row r="88" spans="1:12">
      <c r="A88" s="127" t="s">
        <v>70</v>
      </c>
      <c r="B88" s="128"/>
      <c r="C88" s="128"/>
      <c r="D88" s="128"/>
      <c r="E88" s="128"/>
      <c r="F88" s="129"/>
      <c r="G88" s="21"/>
      <c r="H88" s="22"/>
      <c r="I88" s="21">
        <f>SUM(I89:I91)</f>
        <v>6000</v>
      </c>
      <c r="J88" s="21"/>
      <c r="K88" s="21"/>
      <c r="L88" s="21"/>
    </row>
    <row r="89" spans="1:12">
      <c r="A89" s="130" t="s">
        <v>71</v>
      </c>
      <c r="B89" s="131"/>
      <c r="C89" s="131"/>
      <c r="D89" s="131"/>
      <c r="E89" s="131"/>
      <c r="F89" s="132"/>
      <c r="G89" s="23"/>
      <c r="H89" s="24"/>
      <c r="I89" s="23">
        <v>3000</v>
      </c>
      <c r="J89" s="25"/>
      <c r="K89" s="26"/>
      <c r="L89" s="26"/>
    </row>
    <row r="90" spans="1:12">
      <c r="A90" s="110" t="s">
        <v>72</v>
      </c>
      <c r="B90" s="133"/>
      <c r="C90" s="133"/>
      <c r="D90" s="133"/>
      <c r="E90" s="133"/>
      <c r="F90" s="134"/>
      <c r="G90" s="23"/>
      <c r="H90" s="31"/>
      <c r="I90" s="23">
        <v>3000</v>
      </c>
      <c r="J90" s="25"/>
      <c r="K90" s="26"/>
      <c r="L90" s="26"/>
    </row>
    <row r="91" spans="1:12">
      <c r="A91" s="145" t="s">
        <v>73</v>
      </c>
      <c r="B91" s="146"/>
      <c r="C91" s="146"/>
      <c r="D91" s="146"/>
      <c r="E91" s="146"/>
      <c r="F91" s="147"/>
      <c r="G91" s="23"/>
      <c r="H91" s="24"/>
      <c r="I91" s="23"/>
      <c r="J91" s="25"/>
      <c r="K91" s="26"/>
      <c r="L91" s="26"/>
    </row>
    <row r="92" spans="1:12">
      <c r="A92" s="111" t="s">
        <v>74</v>
      </c>
      <c r="B92" s="154"/>
      <c r="C92" s="154"/>
      <c r="D92" s="154"/>
      <c r="E92" s="154"/>
      <c r="F92" s="155"/>
      <c r="G92" s="32"/>
      <c r="H92" s="33"/>
      <c r="I92" s="32">
        <f>I74+I85+I88</f>
        <v>111000</v>
      </c>
      <c r="J92" s="33"/>
      <c r="K92" s="33"/>
      <c r="L92" s="33"/>
    </row>
    <row r="93" spans="1:12">
      <c r="A93" s="111" t="s">
        <v>75</v>
      </c>
      <c r="B93" s="154"/>
      <c r="C93" s="154"/>
      <c r="D93" s="154"/>
      <c r="E93" s="154"/>
      <c r="F93" s="155"/>
      <c r="G93" s="32"/>
      <c r="H93" s="33"/>
      <c r="I93" s="32">
        <f>I92-I88</f>
        <v>105000</v>
      </c>
      <c r="J93" s="33"/>
      <c r="K93" s="33"/>
      <c r="L93" s="33"/>
    </row>
    <row r="94" spans="1:12">
      <c r="A94" s="130" t="s">
        <v>76</v>
      </c>
      <c r="B94" s="131"/>
      <c r="C94" s="131"/>
      <c r="D94" s="131"/>
      <c r="E94" s="131"/>
      <c r="F94" s="132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>
      <c r="A95" s="110" t="s">
        <v>77</v>
      </c>
      <c r="B95" s="133"/>
      <c r="C95" s="133"/>
      <c r="D95" s="133"/>
      <c r="E95" s="133"/>
      <c r="F95" s="134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>
      <c r="A96" s="110" t="s">
        <v>78</v>
      </c>
      <c r="B96" s="133"/>
      <c r="C96" s="133"/>
      <c r="D96" s="133"/>
      <c r="E96" s="133"/>
      <c r="F96" s="134"/>
      <c r="G96" s="23"/>
      <c r="H96" s="34">
        <v>0.25</v>
      </c>
      <c r="I96" s="23"/>
      <c r="J96" s="23">
        <f>I93*H96</f>
        <v>26250</v>
      </c>
      <c r="K96" s="35">
        <v>0.06</v>
      </c>
      <c r="L96" s="23">
        <f>I93*K96</f>
        <v>6300</v>
      </c>
    </row>
    <row r="97" spans="1:12">
      <c r="A97" s="110" t="s">
        <v>79</v>
      </c>
      <c r="B97" s="133"/>
      <c r="C97" s="133"/>
      <c r="D97" s="133"/>
      <c r="E97" s="133"/>
      <c r="F97" s="134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>
      <c r="A98" s="110" t="s">
        <v>80</v>
      </c>
      <c r="B98" s="133"/>
      <c r="C98" s="133"/>
      <c r="D98" s="133"/>
      <c r="E98" s="133"/>
      <c r="F98" s="134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>
      <c r="A99" s="110" t="s">
        <v>81</v>
      </c>
      <c r="B99" s="133"/>
      <c r="C99" s="133"/>
      <c r="D99" s="133"/>
      <c r="E99" s="133"/>
      <c r="F99" s="134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>
      <c r="A100" s="110" t="s">
        <v>24</v>
      </c>
      <c r="B100" s="133"/>
      <c r="C100" s="133"/>
      <c r="D100" s="133"/>
      <c r="E100" s="133"/>
      <c r="F100" s="134"/>
      <c r="G100" s="23"/>
      <c r="H100" s="34" t="str">
        <f>[1]Taux!D$7</f>
        <v>2,26%</v>
      </c>
      <c r="I100" s="23"/>
      <c r="J100" s="23">
        <f>I93*H100</f>
        <v>2373</v>
      </c>
      <c r="K100" s="34" t="str">
        <f>[1]Taux!C$7</f>
        <v>4,11%</v>
      </c>
      <c r="L100" s="23">
        <f>I93*K100</f>
        <v>4315.5</v>
      </c>
    </row>
    <row r="101" spans="1:12">
      <c r="A101" s="110" t="s">
        <v>82</v>
      </c>
      <c r="B101" s="133"/>
      <c r="C101" s="133"/>
      <c r="D101" s="133"/>
      <c r="E101" s="133"/>
      <c r="F101" s="134"/>
      <c r="G101" s="37"/>
      <c r="H101" s="38"/>
      <c r="I101" s="39"/>
      <c r="J101" s="40"/>
      <c r="K101" s="34" t="str">
        <f>[1]Taux!C$4</f>
        <v>6,40%</v>
      </c>
      <c r="L101" s="23">
        <f>I93*K101</f>
        <v>6720</v>
      </c>
    </row>
    <row r="102" spans="1:12">
      <c r="A102" s="145" t="s">
        <v>83</v>
      </c>
      <c r="B102" s="146"/>
      <c r="C102" s="146"/>
      <c r="D102" s="146"/>
      <c r="E102" s="146"/>
      <c r="F102" s="147"/>
      <c r="G102" s="41"/>
      <c r="H102" s="42"/>
      <c r="I102" s="43"/>
      <c r="J102" s="44"/>
      <c r="K102" s="34" t="str">
        <f>[1]Taux!C$8</f>
        <v>1,6 %</v>
      </c>
      <c r="L102" s="23">
        <f>I93*K102</f>
        <v>1680</v>
      </c>
    </row>
    <row r="103" spans="1:12">
      <c r="A103" s="127" t="s">
        <v>84</v>
      </c>
      <c r="B103" s="128"/>
      <c r="C103" s="128"/>
      <c r="D103" s="128"/>
      <c r="E103" s="128"/>
      <c r="F103" s="129"/>
      <c r="G103" s="21"/>
      <c r="H103" s="22"/>
      <c r="I103" s="22"/>
      <c r="J103" s="21">
        <f>SUM(J94:J100)</f>
        <v>28891.8</v>
      </c>
      <c r="K103" s="21"/>
      <c r="L103" s="21">
        <f>SUM(L94:L102)</f>
        <v>19554.3</v>
      </c>
    </row>
    <row r="104" spans="1:12">
      <c r="A104" s="156" t="s">
        <v>85</v>
      </c>
      <c r="B104" s="157"/>
      <c r="C104" s="157"/>
      <c r="D104" s="157"/>
      <c r="E104" s="157"/>
      <c r="F104" s="158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>
      <c r="A105" s="111" t="s">
        <v>86</v>
      </c>
      <c r="B105" s="154"/>
      <c r="C105" s="154"/>
      <c r="D105" s="154"/>
      <c r="E105" s="154"/>
      <c r="F105" s="155"/>
      <c r="G105" s="32"/>
      <c r="H105" s="33"/>
      <c r="I105" s="32">
        <f>I93-J103-J104</f>
        <v>73608.2</v>
      </c>
      <c r="J105" s="33"/>
      <c r="K105" s="33"/>
      <c r="L105" s="33"/>
    </row>
    <row r="106" spans="1:12">
      <c r="A106" s="156" t="s">
        <v>87</v>
      </c>
      <c r="B106" s="157"/>
      <c r="C106" s="157"/>
      <c r="D106" s="157"/>
      <c r="E106" s="157"/>
      <c r="F106" s="158"/>
      <c r="G106" s="23"/>
      <c r="H106" s="34"/>
      <c r="I106" s="23">
        <f>H106*180/360</f>
        <v>0</v>
      </c>
      <c r="J106" s="23"/>
      <c r="K106" s="46"/>
      <c r="L106" s="47"/>
    </row>
    <row r="107" spans="1:12">
      <c r="A107" s="111" t="s">
        <v>88</v>
      </c>
      <c r="B107" s="154"/>
      <c r="C107" s="154"/>
      <c r="D107" s="154"/>
      <c r="E107" s="154"/>
      <c r="F107" s="155"/>
      <c r="G107" s="32"/>
      <c r="H107" s="33"/>
      <c r="I107" s="32">
        <f>I105-I106</f>
        <v>73608.2</v>
      </c>
      <c r="J107" s="33"/>
      <c r="K107" s="33"/>
      <c r="L107" s="33"/>
    </row>
    <row r="108" spans="1:12">
      <c r="A108" s="130" t="s">
        <v>89</v>
      </c>
      <c r="B108" s="131"/>
      <c r="C108" s="131"/>
      <c r="D108" s="131"/>
      <c r="E108" s="131"/>
      <c r="F108" s="132"/>
      <c r="G108" s="25"/>
      <c r="H108" s="48"/>
      <c r="I108" s="40"/>
      <c r="J108" s="23">
        <f>IF(AND(I107&gt;0,I107&lt;2500),I107*[1]Taux!C$15-[1]Taux!I$15,IF(AND(I107&gt;2500,I107&lt;4166.67),I107*[1]Taux!C$16-[1]Taux!I$16,IF(AND(I107&gt;4166.67,I107&lt;5000),I107*[1]Taux!C$17-[1]Taux!I$17,IF(AND(I107&gt;5000,I107&lt;6666.67),I107*[1]Taux!C$18-[1]Taux!I$18,IF(AND(I107&gt;6666.67,I107&lt;15000),I107*[1]Taux!C$19-[1]Taux!I$19,IF(I107&gt;15000,I107*[1]Taux!C$20-[1]Taux!I$20))))))</f>
        <v>25937.782666666666</v>
      </c>
      <c r="K108" s="46"/>
      <c r="L108" s="47"/>
    </row>
    <row r="109" spans="1:12">
      <c r="A109" s="145" t="s">
        <v>90</v>
      </c>
      <c r="B109" s="146"/>
      <c r="C109" s="146"/>
      <c r="D109" s="146"/>
      <c r="E109" s="146"/>
      <c r="F109" s="147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>
      <c r="A110" s="127" t="s">
        <v>91</v>
      </c>
      <c r="B110" s="128"/>
      <c r="C110" s="128"/>
      <c r="D110" s="128"/>
      <c r="E110" s="128"/>
      <c r="F110" s="129"/>
      <c r="G110" s="21"/>
      <c r="H110" s="22"/>
      <c r="I110" s="21"/>
      <c r="J110" s="21">
        <f>J108-J109</f>
        <v>25937.782666666666</v>
      </c>
      <c r="K110" s="21"/>
      <c r="L110" s="21"/>
    </row>
    <row r="111" spans="1:12">
      <c r="A111" s="130" t="s">
        <v>92</v>
      </c>
      <c r="B111" s="131"/>
      <c r="C111" s="131"/>
      <c r="D111" s="131"/>
      <c r="E111" s="131"/>
      <c r="F111" s="132"/>
      <c r="G111" s="25"/>
      <c r="H111" s="48"/>
      <c r="I111" s="47"/>
      <c r="J111" s="49">
        <v>0</v>
      </c>
      <c r="K111" s="46"/>
      <c r="L111" s="47"/>
    </row>
    <row r="112" spans="1:12">
      <c r="A112" s="110" t="s">
        <v>93</v>
      </c>
      <c r="B112" s="133"/>
      <c r="C112" s="133"/>
      <c r="D112" s="133"/>
      <c r="E112" s="133"/>
      <c r="F112" s="134"/>
      <c r="G112" s="25"/>
      <c r="H112" s="48"/>
      <c r="I112" s="44"/>
      <c r="J112" s="28">
        <v>0</v>
      </c>
      <c r="K112" s="46"/>
      <c r="L112" s="47"/>
    </row>
    <row r="113" spans="1:13">
      <c r="A113" s="145" t="s">
        <v>94</v>
      </c>
      <c r="B113" s="146"/>
      <c r="C113" s="146"/>
      <c r="D113" s="146"/>
      <c r="E113" s="146"/>
      <c r="F113" s="147"/>
      <c r="G113" s="41"/>
      <c r="H113" s="42"/>
      <c r="I113" s="28">
        <f>1-0.42</f>
        <v>0.58000000000000007</v>
      </c>
      <c r="J113" s="41"/>
      <c r="K113" s="43"/>
      <c r="L113" s="44"/>
    </row>
    <row r="114" spans="1:1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>
      <c r="A115" s="58" t="s">
        <v>95</v>
      </c>
      <c r="B115" s="58" t="s">
        <v>96</v>
      </c>
      <c r="C115" s="58" t="s">
        <v>97</v>
      </c>
      <c r="D115" s="115" t="s">
        <v>98</v>
      </c>
      <c r="E115" s="116"/>
      <c r="F115" s="117"/>
      <c r="G115" s="58" t="s">
        <v>99</v>
      </c>
      <c r="H115" s="50"/>
      <c r="I115" s="57">
        <f>I92+I113</f>
        <v>111000.58</v>
      </c>
      <c r="J115" s="57">
        <f>J103+J110+J111+J112</f>
        <v>54829.582666666669</v>
      </c>
      <c r="K115" s="58" t="s">
        <v>100</v>
      </c>
      <c r="L115" s="57">
        <f>L103</f>
        <v>19554.3</v>
      </c>
    </row>
    <row r="116" spans="1:13">
      <c r="A116" s="57">
        <f>974000+I92</f>
        <v>1085000</v>
      </c>
      <c r="B116" s="57">
        <f>920000+I93</f>
        <v>1025000</v>
      </c>
      <c r="C116" s="57">
        <f>2419.2+J94</f>
        <v>2688</v>
      </c>
      <c r="D116" s="159">
        <f>226529.75+J110</f>
        <v>252467.53266666667</v>
      </c>
      <c r="E116" s="160"/>
      <c r="F116" s="161"/>
      <c r="G116" s="57">
        <f>494263.97+I115</f>
        <v>605264.54999999993</v>
      </c>
      <c r="H116" s="115" t="s">
        <v>101</v>
      </c>
      <c r="I116" s="117"/>
      <c r="J116" s="57">
        <f>I115-J115</f>
        <v>56170.997333333333</v>
      </c>
      <c r="K116" s="58" t="s">
        <v>102</v>
      </c>
      <c r="L116" s="57">
        <f>171461.2+L115</f>
        <v>191015.5</v>
      </c>
    </row>
    <row r="117" spans="1: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75725.297333333336</v>
      </c>
    </row>
    <row r="118" spans="1: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>
      <c r="A121" s="124" t="s">
        <v>26</v>
      </c>
      <c r="B121" s="125"/>
      <c r="C121" s="124" t="s">
        <v>27</v>
      </c>
      <c r="D121" s="126"/>
      <c r="E121" s="126"/>
      <c r="F121" s="125"/>
      <c r="G121" s="124" t="s">
        <v>28</v>
      </c>
      <c r="H121" s="126"/>
      <c r="I121" s="125"/>
      <c r="J121" s="124" t="s">
        <v>29</v>
      </c>
      <c r="K121" s="126"/>
      <c r="L121" s="125"/>
    </row>
    <row r="122" spans="1:13">
      <c r="A122" s="58" t="s">
        <v>30</v>
      </c>
      <c r="B122" s="115" t="s">
        <v>31</v>
      </c>
      <c r="C122" s="116"/>
      <c r="D122" s="116"/>
      <c r="E122" s="116"/>
      <c r="F122" s="117"/>
      <c r="G122" s="115" t="s">
        <v>32</v>
      </c>
      <c r="H122" s="116"/>
      <c r="I122" s="116"/>
      <c r="J122" s="116"/>
      <c r="K122" s="116"/>
      <c r="L122" s="117"/>
    </row>
    <row r="123" spans="1:13">
      <c r="A123" s="59">
        <v>4</v>
      </c>
      <c r="B123" s="118" t="s">
        <v>106</v>
      </c>
      <c r="C123" s="119"/>
      <c r="D123" s="119"/>
      <c r="E123" s="119"/>
      <c r="F123" s="120"/>
      <c r="G123" s="121">
        <v>42644</v>
      </c>
      <c r="H123" s="122"/>
      <c r="I123" s="123"/>
      <c r="J123" s="121">
        <v>42674</v>
      </c>
      <c r="K123" s="122"/>
      <c r="L123" s="123"/>
    </row>
    <row r="124" spans="1:13">
      <c r="A124" s="58" t="s">
        <v>34</v>
      </c>
      <c r="B124" s="58" t="s">
        <v>35</v>
      </c>
      <c r="C124" s="58" t="s">
        <v>36</v>
      </c>
      <c r="D124" s="58" t="s">
        <v>37</v>
      </c>
      <c r="E124" s="58" t="s">
        <v>38</v>
      </c>
      <c r="F124" s="58" t="s">
        <v>39</v>
      </c>
      <c r="G124" s="115" t="s">
        <v>40</v>
      </c>
      <c r="H124" s="116"/>
      <c r="I124" s="116"/>
      <c r="J124" s="116"/>
      <c r="K124" s="116"/>
      <c r="L124" s="117"/>
    </row>
    <row r="125" spans="1:13">
      <c r="A125" s="17">
        <v>41791</v>
      </c>
      <c r="B125" s="59"/>
      <c r="C125" s="17">
        <v>28152</v>
      </c>
      <c r="D125" s="59" t="s">
        <v>41</v>
      </c>
      <c r="E125" s="59">
        <v>0</v>
      </c>
      <c r="F125" s="59">
        <v>0</v>
      </c>
      <c r="G125" s="118"/>
      <c r="H125" s="119"/>
      <c r="I125" s="119"/>
      <c r="J125" s="119"/>
      <c r="K125" s="119"/>
      <c r="L125" s="120"/>
    </row>
    <row r="126" spans="1:13">
      <c r="A126" s="58" t="s">
        <v>42</v>
      </c>
      <c r="B126" s="58" t="s">
        <v>43</v>
      </c>
      <c r="C126" s="58" t="s">
        <v>44</v>
      </c>
      <c r="D126" s="115" t="s">
        <v>45</v>
      </c>
      <c r="E126" s="116"/>
      <c r="F126" s="117"/>
      <c r="G126" s="115" t="s">
        <v>46</v>
      </c>
      <c r="H126" s="116"/>
      <c r="I126" s="116"/>
      <c r="J126" s="116"/>
      <c r="K126" s="116"/>
      <c r="L126" s="117"/>
    </row>
    <row r="127" spans="1:13">
      <c r="A127" s="59">
        <v>123952551</v>
      </c>
      <c r="B127" s="59"/>
      <c r="C127" s="59"/>
      <c r="D127" s="118" t="s">
        <v>47</v>
      </c>
      <c r="E127" s="119"/>
      <c r="F127" s="120"/>
      <c r="G127" s="118" t="s">
        <v>107</v>
      </c>
      <c r="H127" s="119"/>
      <c r="I127" s="119"/>
      <c r="J127" s="119"/>
      <c r="K127" s="119"/>
      <c r="L127" s="120"/>
    </row>
    <row r="128" spans="1: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>
      <c r="A131" s="135" t="s">
        <v>49</v>
      </c>
      <c r="B131" s="136"/>
      <c r="C131" s="136"/>
      <c r="D131" s="136"/>
      <c r="E131" s="136"/>
      <c r="F131" s="137"/>
      <c r="G131" s="141" t="s">
        <v>50</v>
      </c>
      <c r="H131" s="141" t="s">
        <v>51</v>
      </c>
      <c r="I131" s="143" t="s">
        <v>52</v>
      </c>
      <c r="J131" s="144"/>
      <c r="K131" s="143" t="s">
        <v>53</v>
      </c>
      <c r="L131" s="144"/>
    </row>
    <row r="132" spans="1:12">
      <c r="A132" s="138"/>
      <c r="B132" s="139"/>
      <c r="C132" s="139"/>
      <c r="D132" s="139"/>
      <c r="E132" s="139"/>
      <c r="F132" s="140"/>
      <c r="G132" s="142"/>
      <c r="H132" s="142"/>
      <c r="I132" s="60" t="s">
        <v>54</v>
      </c>
      <c r="J132" s="60" t="s">
        <v>55</v>
      </c>
      <c r="K132" s="60" t="s">
        <v>56</v>
      </c>
      <c r="L132" s="60" t="s">
        <v>57</v>
      </c>
    </row>
    <row r="133" spans="1:12">
      <c r="A133" s="127" t="s">
        <v>58</v>
      </c>
      <c r="B133" s="128"/>
      <c r="C133" s="128"/>
      <c r="D133" s="128"/>
      <c r="E133" s="128"/>
      <c r="F133" s="129"/>
      <c r="G133" s="21">
        <v>90000</v>
      </c>
      <c r="H133" s="22"/>
      <c r="I133" s="21"/>
      <c r="J133" s="21"/>
      <c r="K133" s="21"/>
      <c r="L133" s="21"/>
    </row>
    <row r="134" spans="1:12">
      <c r="A134" s="127" t="s">
        <v>59</v>
      </c>
      <c r="B134" s="128"/>
      <c r="C134" s="128"/>
      <c r="D134" s="128"/>
      <c r="E134" s="128"/>
      <c r="F134" s="129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>
      <c r="A135" s="130" t="s">
        <v>60</v>
      </c>
      <c r="B135" s="131"/>
      <c r="C135" s="131"/>
      <c r="D135" s="131"/>
      <c r="E135" s="131"/>
      <c r="F135" s="132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>
      <c r="A136" s="110" t="s">
        <v>61</v>
      </c>
      <c r="B136" s="133"/>
      <c r="C136" s="133"/>
      <c r="D136" s="133"/>
      <c r="E136" s="133"/>
      <c r="F136" s="134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>
      <c r="A137" s="110" t="s">
        <v>62</v>
      </c>
      <c r="B137" s="133"/>
      <c r="C137" s="133"/>
      <c r="D137" s="133"/>
      <c r="E137" s="133"/>
      <c r="F137" s="134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>
      <c r="A138" s="110" t="s">
        <v>63</v>
      </c>
      <c r="B138" s="133"/>
      <c r="C138" s="133"/>
      <c r="D138" s="133"/>
      <c r="E138" s="133"/>
      <c r="F138" s="134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>
      <c r="A139" s="110" t="s">
        <v>64</v>
      </c>
      <c r="B139" s="133"/>
      <c r="C139" s="133"/>
      <c r="D139" s="133"/>
      <c r="E139" s="133"/>
      <c r="F139" s="134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>
      <c r="A140" s="110" t="s">
        <v>65</v>
      </c>
      <c r="B140" s="133"/>
      <c r="C140" s="133"/>
      <c r="D140" s="133"/>
      <c r="E140" s="133"/>
      <c r="F140" s="134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>
      <c r="A141" s="110" t="s">
        <v>66</v>
      </c>
      <c r="B141" s="133"/>
      <c r="C141" s="133"/>
      <c r="D141" s="133"/>
      <c r="E141" s="133"/>
      <c r="F141" s="134"/>
      <c r="G141" s="29"/>
      <c r="H141" s="30"/>
      <c r="I141" s="30"/>
      <c r="J141" s="25"/>
      <c r="K141" s="26"/>
      <c r="L141" s="26"/>
    </row>
    <row r="142" spans="1:12">
      <c r="A142" s="148">
        <v>0.25</v>
      </c>
      <c r="B142" s="149"/>
      <c r="C142" s="149"/>
      <c r="D142" s="149"/>
      <c r="E142" s="149"/>
      <c r="F142" s="150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>
      <c r="A143" s="148">
        <v>0.5</v>
      </c>
      <c r="B143" s="149"/>
      <c r="C143" s="149"/>
      <c r="D143" s="149"/>
      <c r="E143" s="149"/>
      <c r="F143" s="150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>
      <c r="A144" s="151">
        <v>1</v>
      </c>
      <c r="B144" s="152"/>
      <c r="C144" s="152"/>
      <c r="D144" s="152"/>
      <c r="E144" s="152"/>
      <c r="F144" s="153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>
      <c r="A145" s="127" t="s">
        <v>67</v>
      </c>
      <c r="B145" s="128"/>
      <c r="C145" s="128"/>
      <c r="D145" s="128"/>
      <c r="E145" s="128"/>
      <c r="F145" s="129"/>
      <c r="G145" s="21"/>
      <c r="H145" s="22"/>
      <c r="I145" s="21">
        <f>SUM(I146:I147)</f>
        <v>4500</v>
      </c>
      <c r="J145" s="21"/>
      <c r="K145" s="21"/>
      <c r="L145" s="21"/>
    </row>
    <row r="146" spans="1:12">
      <c r="A146" s="130" t="s">
        <v>68</v>
      </c>
      <c r="B146" s="131"/>
      <c r="C146" s="131"/>
      <c r="D146" s="131"/>
      <c r="E146" s="131"/>
      <c r="F146" s="132"/>
      <c r="G146" s="23">
        <f>(G123-A125)/360</f>
        <v>2.3694444444444445</v>
      </c>
      <c r="H146" s="31">
        <f>IF(G146&lt;2,0,IF(AND(G146&gt;2,G146&lt;5),[1]Taux!A$33,IF(AND(G146&lt;12,G146&gt;5),[1]Taux!A$34,IF(AND(G146&gt;12,G146&lt;20),[1]Taux!A$35,IF(AND(G146&lt;25,G146&gt;20),[1]Taux!A$36,IF(G146&gt;25,[1]Taux!A$37))))))</f>
        <v>0.05</v>
      </c>
      <c r="I146" s="23">
        <f>I134*H146</f>
        <v>4500</v>
      </c>
      <c r="J146" s="25"/>
      <c r="K146" s="26"/>
      <c r="L146" s="26"/>
    </row>
    <row r="147" spans="1:12">
      <c r="A147" s="145" t="s">
        <v>69</v>
      </c>
      <c r="B147" s="146"/>
      <c r="C147" s="146"/>
      <c r="D147" s="146"/>
      <c r="E147" s="146"/>
      <c r="F147" s="147"/>
      <c r="G147" s="23"/>
      <c r="H147" s="24"/>
      <c r="I147" s="23"/>
      <c r="J147" s="25"/>
      <c r="K147" s="26"/>
      <c r="L147" s="26"/>
    </row>
    <row r="148" spans="1:12">
      <c r="A148" s="127" t="s">
        <v>70</v>
      </c>
      <c r="B148" s="128"/>
      <c r="C148" s="128"/>
      <c r="D148" s="128"/>
      <c r="E148" s="128"/>
      <c r="F148" s="129"/>
      <c r="G148" s="21"/>
      <c r="H148" s="22"/>
      <c r="I148" s="21">
        <f>SUM(I149:I151)</f>
        <v>6000</v>
      </c>
      <c r="J148" s="21"/>
      <c r="K148" s="21"/>
      <c r="L148" s="21"/>
    </row>
    <row r="149" spans="1:12">
      <c r="A149" s="130" t="s">
        <v>71</v>
      </c>
      <c r="B149" s="131"/>
      <c r="C149" s="131"/>
      <c r="D149" s="131"/>
      <c r="E149" s="131"/>
      <c r="F149" s="132"/>
      <c r="G149" s="23"/>
      <c r="H149" s="24"/>
      <c r="I149" s="23">
        <v>3000</v>
      </c>
      <c r="J149" s="25"/>
      <c r="K149" s="26"/>
      <c r="L149" s="26"/>
    </row>
    <row r="150" spans="1:12">
      <c r="A150" s="110" t="s">
        <v>72</v>
      </c>
      <c r="B150" s="133"/>
      <c r="C150" s="133"/>
      <c r="D150" s="133"/>
      <c r="E150" s="133"/>
      <c r="F150" s="134"/>
      <c r="G150" s="23"/>
      <c r="H150" s="31"/>
      <c r="I150" s="23">
        <v>3000</v>
      </c>
      <c r="J150" s="25"/>
      <c r="K150" s="26"/>
      <c r="L150" s="26"/>
    </row>
    <row r="151" spans="1:12">
      <c r="A151" s="145" t="s">
        <v>73</v>
      </c>
      <c r="B151" s="146"/>
      <c r="C151" s="146"/>
      <c r="D151" s="146"/>
      <c r="E151" s="146"/>
      <c r="F151" s="147"/>
      <c r="G151" s="23"/>
      <c r="H151" s="24"/>
      <c r="I151" s="23"/>
      <c r="J151" s="25"/>
      <c r="K151" s="26"/>
      <c r="L151" s="26"/>
    </row>
    <row r="152" spans="1:12">
      <c r="A152" s="111" t="s">
        <v>74</v>
      </c>
      <c r="B152" s="154"/>
      <c r="C152" s="154"/>
      <c r="D152" s="154"/>
      <c r="E152" s="154"/>
      <c r="F152" s="155"/>
      <c r="G152" s="32"/>
      <c r="H152" s="33"/>
      <c r="I152" s="32">
        <f>I134+I145+I148</f>
        <v>100500</v>
      </c>
      <c r="J152" s="33"/>
      <c r="K152" s="33"/>
      <c r="L152" s="33"/>
    </row>
    <row r="153" spans="1:12">
      <c r="A153" s="111" t="s">
        <v>75</v>
      </c>
      <c r="B153" s="154"/>
      <c r="C153" s="154"/>
      <c r="D153" s="154"/>
      <c r="E153" s="154"/>
      <c r="F153" s="155"/>
      <c r="G153" s="32"/>
      <c r="H153" s="33"/>
      <c r="I153" s="32">
        <f>I152-I148</f>
        <v>94500</v>
      </c>
      <c r="J153" s="33"/>
      <c r="K153" s="33"/>
      <c r="L153" s="33"/>
    </row>
    <row r="154" spans="1:12">
      <c r="A154" s="130" t="s">
        <v>76</v>
      </c>
      <c r="B154" s="131"/>
      <c r="C154" s="131"/>
      <c r="D154" s="131"/>
      <c r="E154" s="131"/>
      <c r="F154" s="132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>
      <c r="A155" s="110" t="s">
        <v>77</v>
      </c>
      <c r="B155" s="133"/>
      <c r="C155" s="133"/>
      <c r="D155" s="133"/>
      <c r="E155" s="133"/>
      <c r="F155" s="134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>
      <c r="A156" s="110" t="s">
        <v>78</v>
      </c>
      <c r="B156" s="133"/>
      <c r="C156" s="133"/>
      <c r="D156" s="133"/>
      <c r="E156" s="133"/>
      <c r="F156" s="134"/>
      <c r="G156" s="23"/>
      <c r="H156" s="34">
        <v>0.5</v>
      </c>
      <c r="I156" s="23"/>
      <c r="J156" s="23">
        <f>I153*H156</f>
        <v>47250</v>
      </c>
      <c r="K156" s="35">
        <v>0.06</v>
      </c>
      <c r="L156" s="23">
        <f>I153*K156</f>
        <v>5670</v>
      </c>
    </row>
    <row r="157" spans="1:12">
      <c r="A157" s="110" t="s">
        <v>79</v>
      </c>
      <c r="B157" s="133"/>
      <c r="C157" s="133"/>
      <c r="D157" s="133"/>
      <c r="E157" s="133"/>
      <c r="F157" s="134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>
      <c r="A158" s="110" t="s">
        <v>80</v>
      </c>
      <c r="B158" s="133"/>
      <c r="C158" s="133"/>
      <c r="D158" s="133"/>
      <c r="E158" s="133"/>
      <c r="F158" s="134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>
      <c r="A159" s="110" t="s">
        <v>81</v>
      </c>
      <c r="B159" s="133"/>
      <c r="C159" s="133"/>
      <c r="D159" s="133"/>
      <c r="E159" s="133"/>
      <c r="F159" s="134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>
      <c r="A160" s="110" t="s">
        <v>24</v>
      </c>
      <c r="B160" s="133"/>
      <c r="C160" s="133"/>
      <c r="D160" s="133"/>
      <c r="E160" s="133"/>
      <c r="F160" s="134"/>
      <c r="G160" s="23"/>
      <c r="H160" s="34" t="str">
        <f>[1]Taux!D$7</f>
        <v>2,26%</v>
      </c>
      <c r="I160" s="23"/>
      <c r="J160" s="23">
        <f>I153*H160</f>
        <v>2135.6999999999998</v>
      </c>
      <c r="K160" s="34" t="str">
        <f>[1]Taux!C$7</f>
        <v>4,11%</v>
      </c>
      <c r="L160" s="23">
        <f>I153*K160</f>
        <v>3883.95</v>
      </c>
    </row>
    <row r="161" spans="1:12">
      <c r="A161" s="110" t="s">
        <v>82</v>
      </c>
      <c r="B161" s="133"/>
      <c r="C161" s="133"/>
      <c r="D161" s="133"/>
      <c r="E161" s="133"/>
      <c r="F161" s="134"/>
      <c r="G161" s="37"/>
      <c r="H161" s="38"/>
      <c r="I161" s="39"/>
      <c r="J161" s="40"/>
      <c r="K161" s="34" t="str">
        <f>[1]Taux!C$4</f>
        <v>6,40%</v>
      </c>
      <c r="L161" s="23">
        <f>I153*K161</f>
        <v>6048</v>
      </c>
    </row>
    <row r="162" spans="1:12">
      <c r="A162" s="145" t="s">
        <v>83</v>
      </c>
      <c r="B162" s="146"/>
      <c r="C162" s="146"/>
      <c r="D162" s="146"/>
      <c r="E162" s="146"/>
      <c r="F162" s="147"/>
      <c r="G162" s="41"/>
      <c r="H162" s="42"/>
      <c r="I162" s="43"/>
      <c r="J162" s="44"/>
      <c r="K162" s="34" t="str">
        <f>[1]Taux!C$8</f>
        <v>1,6 %</v>
      </c>
      <c r="L162" s="23">
        <f>I153*K162</f>
        <v>1512</v>
      </c>
    </row>
    <row r="163" spans="1:12">
      <c r="A163" s="127" t="s">
        <v>84</v>
      </c>
      <c r="B163" s="128"/>
      <c r="C163" s="128"/>
      <c r="D163" s="128"/>
      <c r="E163" s="128"/>
      <c r="F163" s="129"/>
      <c r="G163" s="21"/>
      <c r="H163" s="22"/>
      <c r="I163" s="22"/>
      <c r="J163" s="21">
        <f>SUM(J154:J160)</f>
        <v>49654.5</v>
      </c>
      <c r="K163" s="21"/>
      <c r="L163" s="21">
        <f>SUM(L154:L162)</f>
        <v>17652.75</v>
      </c>
    </row>
    <row r="164" spans="1:12">
      <c r="A164" s="156" t="s">
        <v>85</v>
      </c>
      <c r="B164" s="157"/>
      <c r="C164" s="157"/>
      <c r="D164" s="157"/>
      <c r="E164" s="157"/>
      <c r="F164" s="158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>
      <c r="A165" s="111" t="s">
        <v>86</v>
      </c>
      <c r="B165" s="154"/>
      <c r="C165" s="154"/>
      <c r="D165" s="154"/>
      <c r="E165" s="154"/>
      <c r="F165" s="155"/>
      <c r="G165" s="32"/>
      <c r="H165" s="33"/>
      <c r="I165" s="32">
        <f>I153-J163-J164</f>
        <v>42345.5</v>
      </c>
      <c r="J165" s="33"/>
      <c r="K165" s="33"/>
      <c r="L165" s="33"/>
    </row>
    <row r="166" spans="1:12">
      <c r="A166" s="156" t="s">
        <v>87</v>
      </c>
      <c r="B166" s="157"/>
      <c r="C166" s="157"/>
      <c r="D166" s="157"/>
      <c r="E166" s="157"/>
      <c r="F166" s="158"/>
      <c r="G166" s="23"/>
      <c r="H166" s="34"/>
      <c r="I166" s="23">
        <f>H166*180/360</f>
        <v>0</v>
      </c>
      <c r="J166" s="23"/>
      <c r="K166" s="46"/>
      <c r="L166" s="47"/>
    </row>
    <row r="167" spans="1:12">
      <c r="A167" s="111" t="s">
        <v>88</v>
      </c>
      <c r="B167" s="154"/>
      <c r="C167" s="154"/>
      <c r="D167" s="154"/>
      <c r="E167" s="154"/>
      <c r="F167" s="155"/>
      <c r="G167" s="32"/>
      <c r="H167" s="33"/>
      <c r="I167" s="32">
        <f>I165-I166</f>
        <v>42345.5</v>
      </c>
      <c r="J167" s="33"/>
      <c r="K167" s="33"/>
      <c r="L167" s="33"/>
    </row>
    <row r="168" spans="1:12">
      <c r="A168" s="130" t="s">
        <v>89</v>
      </c>
      <c r="B168" s="131"/>
      <c r="C168" s="131"/>
      <c r="D168" s="131"/>
      <c r="E168" s="131"/>
      <c r="F168" s="132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14057.956666666667</v>
      </c>
      <c r="K168" s="46"/>
      <c r="L168" s="47"/>
    </row>
    <row r="169" spans="1:12">
      <c r="A169" s="145" t="s">
        <v>90</v>
      </c>
      <c r="B169" s="146"/>
      <c r="C169" s="146"/>
      <c r="D169" s="146"/>
      <c r="E169" s="146"/>
      <c r="F169" s="147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>
      <c r="A170" s="127" t="s">
        <v>91</v>
      </c>
      <c r="B170" s="128"/>
      <c r="C170" s="128"/>
      <c r="D170" s="128"/>
      <c r="E170" s="128"/>
      <c r="F170" s="129"/>
      <c r="G170" s="21"/>
      <c r="H170" s="22"/>
      <c r="I170" s="21"/>
      <c r="J170" s="21">
        <f>J168-J169</f>
        <v>14057.956666666667</v>
      </c>
      <c r="K170" s="21"/>
      <c r="L170" s="21"/>
    </row>
    <row r="171" spans="1:12">
      <c r="A171" s="130" t="s">
        <v>92</v>
      </c>
      <c r="B171" s="131"/>
      <c r="C171" s="131"/>
      <c r="D171" s="131"/>
      <c r="E171" s="131"/>
      <c r="F171" s="132"/>
      <c r="G171" s="25"/>
      <c r="H171" s="48"/>
      <c r="I171" s="47"/>
      <c r="J171" s="49">
        <v>0</v>
      </c>
      <c r="K171" s="46"/>
      <c r="L171" s="47"/>
    </row>
    <row r="172" spans="1:12">
      <c r="A172" s="110" t="s">
        <v>93</v>
      </c>
      <c r="B172" s="133"/>
      <c r="C172" s="133"/>
      <c r="D172" s="133"/>
      <c r="E172" s="133"/>
      <c r="F172" s="134"/>
      <c r="G172" s="25"/>
      <c r="H172" s="48"/>
      <c r="I172" s="44"/>
      <c r="J172" s="28">
        <v>0</v>
      </c>
      <c r="K172" s="46"/>
      <c r="L172" s="47"/>
    </row>
    <row r="173" spans="1:12">
      <c r="A173" s="145" t="s">
        <v>94</v>
      </c>
      <c r="B173" s="146"/>
      <c r="C173" s="146"/>
      <c r="D173" s="146"/>
      <c r="E173" s="146"/>
      <c r="F173" s="147"/>
      <c r="G173" s="41"/>
      <c r="H173" s="42"/>
      <c r="I173" s="28">
        <f>1-0.54</f>
        <v>0.45999999999999996</v>
      </c>
      <c r="J173" s="41"/>
      <c r="K173" s="43"/>
      <c r="L173" s="44"/>
    </row>
    <row r="174" spans="1:1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>
      <c r="A175" s="58" t="s">
        <v>95</v>
      </c>
      <c r="B175" s="58" t="s">
        <v>96</v>
      </c>
      <c r="C175" s="58" t="s">
        <v>97</v>
      </c>
      <c r="D175" s="115" t="s">
        <v>98</v>
      </c>
      <c r="E175" s="116"/>
      <c r="F175" s="117"/>
      <c r="G175" s="58" t="s">
        <v>99</v>
      </c>
      <c r="H175" s="50"/>
      <c r="I175" s="57">
        <f>I152+I173</f>
        <v>100500.46</v>
      </c>
      <c r="J175" s="57">
        <f>J163+J170+J171+J172</f>
        <v>63712.456666666665</v>
      </c>
      <c r="K175" s="58" t="s">
        <v>100</v>
      </c>
      <c r="L175" s="57">
        <f>L163</f>
        <v>17652.75</v>
      </c>
    </row>
    <row r="176" spans="1:12">
      <c r="A176" s="57">
        <f>882000+I152</f>
        <v>982500</v>
      </c>
      <c r="B176" s="57">
        <f>828000+I153</f>
        <v>922500</v>
      </c>
      <c r="C176" s="57">
        <f>2419.2+J154</f>
        <v>2688</v>
      </c>
      <c r="D176" s="159">
        <f>122440.83+J170</f>
        <v>136498.78666666668</v>
      </c>
      <c r="E176" s="160"/>
      <c r="F176" s="161"/>
      <c r="G176" s="57">
        <f>324432+I175</f>
        <v>424932.46</v>
      </c>
      <c r="H176" s="115" t="s">
        <v>101</v>
      </c>
      <c r="I176" s="117"/>
      <c r="J176" s="57">
        <f>I175-J175</f>
        <v>36788.003333333341</v>
      </c>
      <c r="K176" s="58" t="s">
        <v>102</v>
      </c>
      <c r="L176" s="57">
        <f>154800+L175</f>
        <v>172452.75</v>
      </c>
    </row>
    <row r="177" spans="1:1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54440.753333333341</v>
      </c>
    </row>
    <row r="181" spans="1:12">
      <c r="A181" s="124" t="s">
        <v>26</v>
      </c>
      <c r="B181" s="125"/>
      <c r="C181" s="124" t="s">
        <v>27</v>
      </c>
      <c r="D181" s="126"/>
      <c r="E181" s="126"/>
      <c r="F181" s="125"/>
      <c r="G181" s="124" t="s">
        <v>28</v>
      </c>
      <c r="H181" s="126"/>
      <c r="I181" s="125"/>
      <c r="J181" s="124" t="s">
        <v>29</v>
      </c>
      <c r="K181" s="126"/>
      <c r="L181" s="125"/>
    </row>
    <row r="182" spans="1:12">
      <c r="A182" s="14" t="s">
        <v>30</v>
      </c>
      <c r="B182" s="115" t="s">
        <v>31</v>
      </c>
      <c r="C182" s="116"/>
      <c r="D182" s="116"/>
      <c r="E182" s="116"/>
      <c r="F182" s="117"/>
      <c r="G182" s="115" t="s">
        <v>32</v>
      </c>
      <c r="H182" s="116"/>
      <c r="I182" s="116"/>
      <c r="J182" s="116"/>
      <c r="K182" s="116"/>
      <c r="L182" s="117"/>
    </row>
    <row r="183" spans="1:12">
      <c r="A183" s="16">
        <v>5</v>
      </c>
      <c r="B183" s="118" t="s">
        <v>108</v>
      </c>
      <c r="C183" s="119"/>
      <c r="D183" s="119"/>
      <c r="E183" s="119"/>
      <c r="F183" s="120"/>
      <c r="G183" s="121">
        <v>42644</v>
      </c>
      <c r="H183" s="122"/>
      <c r="I183" s="123"/>
      <c r="J183" s="121">
        <v>42674</v>
      </c>
      <c r="K183" s="122"/>
      <c r="L183" s="123"/>
    </row>
    <row r="184" spans="1:12">
      <c r="A184" s="14" t="s">
        <v>34</v>
      </c>
      <c r="B184" s="14" t="s">
        <v>35</v>
      </c>
      <c r="C184" s="14" t="s">
        <v>36</v>
      </c>
      <c r="D184" s="14" t="s">
        <v>37</v>
      </c>
      <c r="E184" s="14" t="s">
        <v>38</v>
      </c>
      <c r="F184" s="14" t="s">
        <v>39</v>
      </c>
      <c r="G184" s="115" t="s">
        <v>40</v>
      </c>
      <c r="H184" s="116"/>
      <c r="I184" s="116"/>
      <c r="J184" s="116"/>
      <c r="K184" s="116"/>
      <c r="L184" s="117"/>
    </row>
    <row r="185" spans="1:12">
      <c r="A185" s="17">
        <v>41791</v>
      </c>
      <c r="B185" s="16"/>
      <c r="C185" s="17">
        <v>21792</v>
      </c>
      <c r="D185" s="16" t="s">
        <v>41</v>
      </c>
      <c r="E185" s="16">
        <v>2</v>
      </c>
      <c r="F185" s="16">
        <v>3</v>
      </c>
      <c r="G185" s="118"/>
      <c r="H185" s="119"/>
      <c r="I185" s="119"/>
      <c r="J185" s="119"/>
      <c r="K185" s="119"/>
      <c r="L185" s="120"/>
    </row>
    <row r="186" spans="1:12">
      <c r="A186" s="14" t="s">
        <v>42</v>
      </c>
      <c r="B186" s="14" t="s">
        <v>43</v>
      </c>
      <c r="C186" s="14" t="s">
        <v>44</v>
      </c>
      <c r="D186" s="115" t="s">
        <v>45</v>
      </c>
      <c r="E186" s="116"/>
      <c r="F186" s="117"/>
      <c r="G186" s="115" t="s">
        <v>46</v>
      </c>
      <c r="H186" s="116"/>
      <c r="I186" s="116"/>
      <c r="J186" s="116"/>
      <c r="K186" s="116"/>
      <c r="L186" s="117"/>
    </row>
    <row r="187" spans="1:12">
      <c r="A187" s="16">
        <v>132944135</v>
      </c>
      <c r="B187" s="16"/>
      <c r="C187" s="16"/>
      <c r="D187" s="118" t="s">
        <v>47</v>
      </c>
      <c r="E187" s="119"/>
      <c r="F187" s="120"/>
      <c r="G187" s="118" t="s">
        <v>109</v>
      </c>
      <c r="H187" s="119"/>
      <c r="I187" s="119"/>
      <c r="J187" s="119"/>
      <c r="K187" s="119"/>
      <c r="L187" s="120"/>
    </row>
    <row r="188" spans="1:1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>
      <c r="A191" s="135" t="s">
        <v>49</v>
      </c>
      <c r="B191" s="136"/>
      <c r="C191" s="136"/>
      <c r="D191" s="136"/>
      <c r="E191" s="136"/>
      <c r="F191" s="137"/>
      <c r="G191" s="141" t="s">
        <v>50</v>
      </c>
      <c r="H191" s="141" t="s">
        <v>51</v>
      </c>
      <c r="I191" s="143" t="s">
        <v>52</v>
      </c>
      <c r="J191" s="144"/>
      <c r="K191" s="143" t="s">
        <v>53</v>
      </c>
      <c r="L191" s="144"/>
    </row>
    <row r="192" spans="1:12">
      <c r="A192" s="138"/>
      <c r="B192" s="139"/>
      <c r="C192" s="139"/>
      <c r="D192" s="139"/>
      <c r="E192" s="139"/>
      <c r="F192" s="140"/>
      <c r="G192" s="142"/>
      <c r="H192" s="142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>
      <c r="A193" s="127" t="s">
        <v>58</v>
      </c>
      <c r="B193" s="128"/>
      <c r="C193" s="128"/>
      <c r="D193" s="128"/>
      <c r="E193" s="128"/>
      <c r="F193" s="129"/>
      <c r="G193" s="21">
        <v>12125.57</v>
      </c>
      <c r="H193" s="22"/>
      <c r="I193" s="21"/>
      <c r="J193" s="21"/>
      <c r="K193" s="21"/>
      <c r="L193" s="21"/>
    </row>
    <row r="194" spans="1:12">
      <c r="A194" s="127" t="s">
        <v>59</v>
      </c>
      <c r="B194" s="128"/>
      <c r="C194" s="128"/>
      <c r="D194" s="128"/>
      <c r="E194" s="128"/>
      <c r="F194" s="129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>
      <c r="A195" s="130" t="s">
        <v>60</v>
      </c>
      <c r="B195" s="131"/>
      <c r="C195" s="131"/>
      <c r="D195" s="131"/>
      <c r="E195" s="131"/>
      <c r="F195" s="132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>
      <c r="A196" s="110" t="s">
        <v>61</v>
      </c>
      <c r="B196" s="133"/>
      <c r="C196" s="133"/>
      <c r="D196" s="133"/>
      <c r="E196" s="133"/>
      <c r="F196" s="134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>
      <c r="A197" s="110" t="s">
        <v>62</v>
      </c>
      <c r="B197" s="133"/>
      <c r="C197" s="133"/>
      <c r="D197" s="133"/>
      <c r="E197" s="133"/>
      <c r="F197" s="134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>
      <c r="A198" s="110" t="s">
        <v>63</v>
      </c>
      <c r="B198" s="133"/>
      <c r="C198" s="133"/>
      <c r="D198" s="133"/>
      <c r="E198" s="133"/>
      <c r="F198" s="134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>
      <c r="A199" s="110" t="s">
        <v>64</v>
      </c>
      <c r="B199" s="133"/>
      <c r="C199" s="133"/>
      <c r="D199" s="133"/>
      <c r="E199" s="133"/>
      <c r="F199" s="134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>
      <c r="A200" s="110" t="s">
        <v>65</v>
      </c>
      <c r="B200" s="133"/>
      <c r="C200" s="133"/>
      <c r="D200" s="133"/>
      <c r="E200" s="133"/>
      <c r="F200" s="134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>
      <c r="A201" s="110" t="s">
        <v>66</v>
      </c>
      <c r="B201" s="133"/>
      <c r="C201" s="133"/>
      <c r="D201" s="133"/>
      <c r="E201" s="133"/>
      <c r="F201" s="134"/>
      <c r="G201" s="29"/>
      <c r="H201" s="30"/>
      <c r="I201" s="30"/>
      <c r="J201" s="25"/>
      <c r="K201" s="26"/>
      <c r="L201" s="26"/>
    </row>
    <row r="202" spans="1:12">
      <c r="A202" s="148">
        <v>0.25</v>
      </c>
      <c r="B202" s="149"/>
      <c r="C202" s="149"/>
      <c r="D202" s="149"/>
      <c r="E202" s="149"/>
      <c r="F202" s="150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>
      <c r="A203" s="148">
        <v>0.5</v>
      </c>
      <c r="B203" s="149"/>
      <c r="C203" s="149"/>
      <c r="D203" s="149"/>
      <c r="E203" s="149"/>
      <c r="F203" s="150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>
      <c r="A204" s="151">
        <v>1</v>
      </c>
      <c r="B204" s="152"/>
      <c r="C204" s="152"/>
      <c r="D204" s="152"/>
      <c r="E204" s="152"/>
      <c r="F204" s="153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>
      <c r="A205" s="127" t="s">
        <v>67</v>
      </c>
      <c r="B205" s="128"/>
      <c r="C205" s="128"/>
      <c r="D205" s="128"/>
      <c r="E205" s="128"/>
      <c r="F205" s="129"/>
      <c r="G205" s="21"/>
      <c r="H205" s="22"/>
      <c r="I205" s="21">
        <f>SUM(I206:I207)</f>
        <v>606.27850000000001</v>
      </c>
      <c r="J205" s="21"/>
      <c r="K205" s="21"/>
      <c r="L205" s="21"/>
    </row>
    <row r="206" spans="1:12">
      <c r="A206" s="130" t="s">
        <v>68</v>
      </c>
      <c r="B206" s="131"/>
      <c r="C206" s="131"/>
      <c r="D206" s="131"/>
      <c r="E206" s="131"/>
      <c r="F206" s="132"/>
      <c r="G206" s="23">
        <f>(G183-A185)/360</f>
        <v>2.3694444444444445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0.05</v>
      </c>
      <c r="I206" s="23">
        <f>I194*H206</f>
        <v>606.27850000000001</v>
      </c>
      <c r="J206" s="25"/>
      <c r="K206" s="26"/>
      <c r="L206" s="26"/>
    </row>
    <row r="207" spans="1:12">
      <c r="A207" s="145" t="s">
        <v>69</v>
      </c>
      <c r="B207" s="146"/>
      <c r="C207" s="146"/>
      <c r="D207" s="146"/>
      <c r="E207" s="146"/>
      <c r="F207" s="147"/>
      <c r="G207" s="23"/>
      <c r="H207" s="24"/>
      <c r="I207" s="23"/>
      <c r="J207" s="25"/>
      <c r="K207" s="26"/>
      <c r="L207" s="26"/>
    </row>
    <row r="208" spans="1:12">
      <c r="A208" s="127" t="s">
        <v>70</v>
      </c>
      <c r="B208" s="128"/>
      <c r="C208" s="128"/>
      <c r="D208" s="128"/>
      <c r="E208" s="128"/>
      <c r="F208" s="129"/>
      <c r="G208" s="21"/>
      <c r="H208" s="22"/>
      <c r="I208" s="21">
        <f>SUM(I209:I211)</f>
        <v>5000</v>
      </c>
      <c r="J208" s="21"/>
      <c r="K208" s="21"/>
      <c r="L208" s="21"/>
    </row>
    <row r="209" spans="1:12">
      <c r="A209" s="130" t="s">
        <v>71</v>
      </c>
      <c r="B209" s="131"/>
      <c r="C209" s="131"/>
      <c r="D209" s="131"/>
      <c r="E209" s="131"/>
      <c r="F209" s="132"/>
      <c r="G209" s="23"/>
      <c r="H209" s="24"/>
      <c r="I209" s="23">
        <v>2500</v>
      </c>
      <c r="J209" s="25"/>
      <c r="K209" s="26"/>
      <c r="L209" s="26"/>
    </row>
    <row r="210" spans="1:12">
      <c r="A210" s="110" t="s">
        <v>72</v>
      </c>
      <c r="B210" s="133"/>
      <c r="C210" s="133"/>
      <c r="D210" s="133"/>
      <c r="E210" s="133"/>
      <c r="F210" s="134"/>
      <c r="G210" s="23"/>
      <c r="H210" s="31">
        <v>0</v>
      </c>
      <c r="I210" s="23">
        <v>2500</v>
      </c>
      <c r="J210" s="25"/>
      <c r="K210" s="26"/>
      <c r="L210" s="26"/>
    </row>
    <row r="211" spans="1:12">
      <c r="A211" s="145" t="s">
        <v>73</v>
      </c>
      <c r="B211" s="146"/>
      <c r="C211" s="146"/>
      <c r="D211" s="146"/>
      <c r="E211" s="146"/>
      <c r="F211" s="147"/>
      <c r="G211" s="23"/>
      <c r="H211" s="24"/>
      <c r="I211" s="23"/>
      <c r="J211" s="25"/>
      <c r="K211" s="26"/>
      <c r="L211" s="26"/>
    </row>
    <row r="212" spans="1:12">
      <c r="A212" s="111" t="s">
        <v>74</v>
      </c>
      <c r="B212" s="154"/>
      <c r="C212" s="154"/>
      <c r="D212" s="154"/>
      <c r="E212" s="154"/>
      <c r="F212" s="155"/>
      <c r="G212" s="32"/>
      <c r="H212" s="33"/>
      <c r="I212" s="32">
        <f>I194+I205+I208</f>
        <v>17731.8485</v>
      </c>
      <c r="J212" s="33"/>
      <c r="K212" s="33"/>
      <c r="L212" s="33"/>
    </row>
    <row r="213" spans="1:12">
      <c r="A213" s="111" t="s">
        <v>75</v>
      </c>
      <c r="B213" s="154"/>
      <c r="C213" s="154"/>
      <c r="D213" s="154"/>
      <c r="E213" s="154"/>
      <c r="F213" s="155"/>
      <c r="G213" s="32"/>
      <c r="H213" s="33"/>
      <c r="I213" s="32">
        <f>I212-I208</f>
        <v>12731.8485</v>
      </c>
      <c r="J213" s="33"/>
      <c r="K213" s="33"/>
      <c r="L213" s="33"/>
    </row>
    <row r="214" spans="1:12">
      <c r="A214" s="130" t="s">
        <v>76</v>
      </c>
      <c r="B214" s="131"/>
      <c r="C214" s="131"/>
      <c r="D214" s="131"/>
      <c r="E214" s="131"/>
      <c r="F214" s="132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>
      <c r="A215" s="110" t="s">
        <v>77</v>
      </c>
      <c r="B215" s="133"/>
      <c r="C215" s="133"/>
      <c r="D215" s="133"/>
      <c r="E215" s="133"/>
      <c r="F215" s="134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>
      <c r="A216" s="110" t="s">
        <v>78</v>
      </c>
      <c r="B216" s="133"/>
      <c r="C216" s="133"/>
      <c r="D216" s="133"/>
      <c r="E216" s="133"/>
      <c r="F216" s="134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>
      <c r="A217" s="110" t="s">
        <v>79</v>
      </c>
      <c r="B217" s="133"/>
      <c r="C217" s="133"/>
      <c r="D217" s="133"/>
      <c r="E217" s="133"/>
      <c r="F217" s="134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>
      <c r="A218" s="110" t="s">
        <v>80</v>
      </c>
      <c r="B218" s="133"/>
      <c r="C218" s="133"/>
      <c r="D218" s="133"/>
      <c r="E218" s="133"/>
      <c r="F218" s="134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>
      <c r="A219" s="110" t="s">
        <v>81</v>
      </c>
      <c r="B219" s="133"/>
      <c r="C219" s="133"/>
      <c r="D219" s="133"/>
      <c r="E219" s="133"/>
      <c r="F219" s="134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>
      <c r="A220" s="110" t="s">
        <v>24</v>
      </c>
      <c r="B220" s="133"/>
      <c r="C220" s="133"/>
      <c r="D220" s="133"/>
      <c r="E220" s="133"/>
      <c r="F220" s="134"/>
      <c r="G220" s="23"/>
      <c r="H220" s="34" t="str">
        <f>[1]Taux!D$7</f>
        <v>2,26%</v>
      </c>
      <c r="I220" s="23"/>
      <c r="J220" s="23">
        <f>I213*H220</f>
        <v>287.73977609999997</v>
      </c>
      <c r="K220" s="34" t="str">
        <f>[1]Taux!C$7</f>
        <v>4,11%</v>
      </c>
      <c r="L220" s="23">
        <f>I213*K220</f>
        <v>523.27897335</v>
      </c>
    </row>
    <row r="221" spans="1:12">
      <c r="A221" s="110" t="s">
        <v>82</v>
      </c>
      <c r="B221" s="133"/>
      <c r="C221" s="133"/>
      <c r="D221" s="133"/>
      <c r="E221" s="133"/>
      <c r="F221" s="134"/>
      <c r="G221" s="37"/>
      <c r="H221" s="38"/>
      <c r="I221" s="39"/>
      <c r="J221" s="40"/>
      <c r="K221" s="34" t="str">
        <f>[1]Taux!C$4</f>
        <v>6,40%</v>
      </c>
      <c r="L221" s="23">
        <f>I213*K221</f>
        <v>814.83830399999999</v>
      </c>
    </row>
    <row r="222" spans="1:12">
      <c r="A222" s="145" t="s">
        <v>83</v>
      </c>
      <c r="B222" s="146"/>
      <c r="C222" s="146"/>
      <c r="D222" s="146"/>
      <c r="E222" s="146"/>
      <c r="F222" s="147"/>
      <c r="G222" s="41"/>
      <c r="H222" s="42"/>
      <c r="I222" s="43"/>
      <c r="J222" s="44"/>
      <c r="K222" s="34" t="str">
        <f>[1]Taux!C$8</f>
        <v>1,6 %</v>
      </c>
      <c r="L222" s="23">
        <f>I213*K222</f>
        <v>203.709576</v>
      </c>
    </row>
    <row r="223" spans="1:12">
      <c r="A223" s="127" t="s">
        <v>84</v>
      </c>
      <c r="B223" s="128"/>
      <c r="C223" s="128"/>
      <c r="D223" s="128"/>
      <c r="E223" s="128"/>
      <c r="F223" s="129"/>
      <c r="G223" s="21"/>
      <c r="H223" s="22"/>
      <c r="I223" s="22"/>
      <c r="J223" s="21">
        <f>SUM(J214:J220)</f>
        <v>556.53977609999993</v>
      </c>
      <c r="K223" s="21"/>
      <c r="L223" s="21">
        <f>SUM(L214:L222)</f>
        <v>2080.6268533500001</v>
      </c>
    </row>
    <row r="224" spans="1:12">
      <c r="A224" s="156" t="s">
        <v>85</v>
      </c>
      <c r="B224" s="157"/>
      <c r="C224" s="157"/>
      <c r="D224" s="157"/>
      <c r="E224" s="157"/>
      <c r="F224" s="158"/>
      <c r="G224" s="23"/>
      <c r="H224" s="45">
        <v>0.2</v>
      </c>
      <c r="I224" s="23"/>
      <c r="J224" s="23">
        <f>IF(I213*H224&lt;2500,I213*H224,2500)</f>
        <v>2500</v>
      </c>
      <c r="K224" s="46"/>
      <c r="L224" s="47"/>
    </row>
    <row r="225" spans="1:12">
      <c r="A225" s="111" t="s">
        <v>86</v>
      </c>
      <c r="B225" s="154"/>
      <c r="C225" s="154"/>
      <c r="D225" s="154"/>
      <c r="E225" s="154"/>
      <c r="F225" s="155"/>
      <c r="G225" s="32"/>
      <c r="H225" s="33"/>
      <c r="I225" s="32">
        <f>I213-J223-J224</f>
        <v>9675.3087238999997</v>
      </c>
      <c r="J225" s="33"/>
      <c r="K225" s="33"/>
      <c r="L225" s="33"/>
    </row>
    <row r="226" spans="1:12">
      <c r="A226" s="156" t="s">
        <v>87</v>
      </c>
      <c r="B226" s="157"/>
      <c r="C226" s="157"/>
      <c r="D226" s="157"/>
      <c r="E226" s="157"/>
      <c r="F226" s="158"/>
      <c r="G226" s="23"/>
      <c r="H226" s="34"/>
      <c r="I226" s="23">
        <f>H226*180/360</f>
        <v>0</v>
      </c>
      <c r="J226" s="23"/>
      <c r="K226" s="46"/>
      <c r="L226" s="47"/>
    </row>
    <row r="227" spans="1:12">
      <c r="A227" s="111" t="s">
        <v>88</v>
      </c>
      <c r="B227" s="154"/>
      <c r="C227" s="154"/>
      <c r="D227" s="154"/>
      <c r="E227" s="154"/>
      <c r="F227" s="155"/>
      <c r="G227" s="32"/>
      <c r="H227" s="33"/>
      <c r="I227" s="32">
        <f>I225-I226</f>
        <v>9675.3087238999997</v>
      </c>
      <c r="J227" s="33"/>
      <c r="K227" s="33"/>
      <c r="L227" s="33"/>
    </row>
    <row r="228" spans="1:12">
      <c r="A228" s="130" t="s">
        <v>89</v>
      </c>
      <c r="B228" s="131"/>
      <c r="C228" s="131"/>
      <c r="D228" s="131"/>
      <c r="E228" s="131"/>
      <c r="F228" s="132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1856.2716327926667</v>
      </c>
      <c r="K228" s="46"/>
      <c r="L228" s="47"/>
    </row>
    <row r="229" spans="1:12">
      <c r="A229" s="145" t="s">
        <v>90</v>
      </c>
      <c r="B229" s="146"/>
      <c r="C229" s="146"/>
      <c r="D229" s="146"/>
      <c r="E229" s="146"/>
      <c r="F229" s="147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>
      <c r="A230" s="127" t="s">
        <v>91</v>
      </c>
      <c r="B230" s="128"/>
      <c r="C230" s="128"/>
      <c r="D230" s="128"/>
      <c r="E230" s="128"/>
      <c r="F230" s="129"/>
      <c r="G230" s="21"/>
      <c r="H230" s="22"/>
      <c r="I230" s="21"/>
      <c r="J230" s="21">
        <f>J228-J229</f>
        <v>1766.2716327926667</v>
      </c>
      <c r="K230" s="21"/>
      <c r="L230" s="21"/>
    </row>
    <row r="231" spans="1:12">
      <c r="A231" s="130" t="s">
        <v>92</v>
      </c>
      <c r="B231" s="131"/>
      <c r="C231" s="131"/>
      <c r="D231" s="131"/>
      <c r="E231" s="131"/>
      <c r="F231" s="132"/>
      <c r="G231" s="25"/>
      <c r="H231" s="48"/>
      <c r="I231" s="47"/>
      <c r="J231" s="49">
        <v>0</v>
      </c>
      <c r="K231" s="46"/>
      <c r="L231" s="47"/>
    </row>
    <row r="232" spans="1:12">
      <c r="A232" s="110" t="s">
        <v>93</v>
      </c>
      <c r="B232" s="133"/>
      <c r="C232" s="133"/>
      <c r="D232" s="133"/>
      <c r="E232" s="133"/>
      <c r="F232" s="134"/>
      <c r="G232" s="25"/>
      <c r="H232" s="48"/>
      <c r="I232" s="44"/>
      <c r="J232" s="28">
        <v>0</v>
      </c>
      <c r="K232" s="46"/>
      <c r="L232" s="47"/>
    </row>
    <row r="233" spans="1:12">
      <c r="A233" s="145" t="s">
        <v>94</v>
      </c>
      <c r="B233" s="146"/>
      <c r="C233" s="146"/>
      <c r="D233" s="146"/>
      <c r="E233" s="146"/>
      <c r="F233" s="147"/>
      <c r="G233" s="41"/>
      <c r="H233" s="42"/>
      <c r="I233" s="28">
        <f>1-0.04</f>
        <v>0.96</v>
      </c>
      <c r="J233" s="41"/>
      <c r="K233" s="43"/>
      <c r="L233" s="44"/>
    </row>
    <row r="234" spans="1:1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>
      <c r="A235" s="14" t="s">
        <v>95</v>
      </c>
      <c r="B235" s="14" t="s">
        <v>96</v>
      </c>
      <c r="C235" s="14" t="s">
        <v>97</v>
      </c>
      <c r="D235" s="115" t="s">
        <v>98</v>
      </c>
      <c r="E235" s="116"/>
      <c r="F235" s="117"/>
      <c r="G235" s="14" t="s">
        <v>99</v>
      </c>
      <c r="H235" s="50"/>
      <c r="I235" s="52">
        <f>I212+I233</f>
        <v>17732.808499999999</v>
      </c>
      <c r="J235" s="52">
        <f>J223+J230+J231+J232</f>
        <v>2322.8114088926668</v>
      </c>
      <c r="K235" s="14" t="s">
        <v>100</v>
      </c>
      <c r="L235" s="52">
        <f>L223</f>
        <v>2080.6268533500001</v>
      </c>
    </row>
    <row r="236" spans="1:12">
      <c r="A236" s="52">
        <f>156555.24+I212</f>
        <v>174287.08849999998</v>
      </c>
      <c r="B236" s="52">
        <f>111555.24+I213</f>
        <v>124287.08850000001</v>
      </c>
      <c r="C236" s="52">
        <f>2419.2+J214</f>
        <v>2688</v>
      </c>
      <c r="D236" s="159">
        <f>15016.37+J230</f>
        <v>16782.641632792667</v>
      </c>
      <c r="E236" s="160"/>
      <c r="F236" s="161"/>
      <c r="G236" s="52">
        <f>136602.47+I235</f>
        <v>154335.27850000001</v>
      </c>
      <c r="H236" s="115" t="s">
        <v>101</v>
      </c>
      <c r="I236" s="117"/>
      <c r="J236" s="52">
        <f>I235-J235</f>
        <v>15409.997091107332</v>
      </c>
      <c r="K236" s="14" t="s">
        <v>102</v>
      </c>
      <c r="L236" s="52">
        <f>20589.65+L235</f>
        <v>22670.276853350002</v>
      </c>
    </row>
    <row r="237" spans="1:1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17490.623944457333</v>
      </c>
    </row>
    <row r="241" spans="1:12">
      <c r="A241" s="124" t="s">
        <v>26</v>
      </c>
      <c r="B241" s="125"/>
      <c r="C241" s="124" t="s">
        <v>27</v>
      </c>
      <c r="D241" s="126"/>
      <c r="E241" s="126"/>
      <c r="F241" s="125"/>
      <c r="G241" s="124" t="s">
        <v>28</v>
      </c>
      <c r="H241" s="126"/>
      <c r="I241" s="125"/>
      <c r="J241" s="124" t="s">
        <v>29</v>
      </c>
      <c r="K241" s="126"/>
      <c r="L241" s="125"/>
    </row>
    <row r="242" spans="1:12">
      <c r="A242" s="14" t="s">
        <v>30</v>
      </c>
      <c r="B242" s="115" t="s">
        <v>31</v>
      </c>
      <c r="C242" s="116"/>
      <c r="D242" s="116"/>
      <c r="E242" s="116"/>
      <c r="F242" s="117"/>
      <c r="G242" s="115" t="s">
        <v>32</v>
      </c>
      <c r="H242" s="116"/>
      <c r="I242" s="116"/>
      <c r="J242" s="116"/>
      <c r="K242" s="116"/>
      <c r="L242" s="117"/>
    </row>
    <row r="243" spans="1:12">
      <c r="A243" s="16">
        <v>6</v>
      </c>
      <c r="B243" s="118" t="s">
        <v>110</v>
      </c>
      <c r="C243" s="119"/>
      <c r="D243" s="119"/>
      <c r="E243" s="119"/>
      <c r="F243" s="120"/>
      <c r="G243" s="121">
        <v>42644</v>
      </c>
      <c r="H243" s="122"/>
      <c r="I243" s="123"/>
      <c r="J243" s="121">
        <v>42674</v>
      </c>
      <c r="K243" s="122"/>
      <c r="L243" s="123"/>
    </row>
    <row r="244" spans="1:12">
      <c r="A244" s="14" t="s">
        <v>34</v>
      </c>
      <c r="B244" s="14" t="s">
        <v>35</v>
      </c>
      <c r="C244" s="14" t="s">
        <v>36</v>
      </c>
      <c r="D244" s="14" t="s">
        <v>37</v>
      </c>
      <c r="E244" s="14" t="s">
        <v>38</v>
      </c>
      <c r="F244" s="14" t="s">
        <v>39</v>
      </c>
      <c r="G244" s="115" t="s">
        <v>40</v>
      </c>
      <c r="H244" s="116"/>
      <c r="I244" s="116"/>
      <c r="J244" s="116"/>
      <c r="K244" s="116"/>
      <c r="L244" s="117"/>
    </row>
    <row r="245" spans="1:12">
      <c r="A245" s="17">
        <v>41821</v>
      </c>
      <c r="B245" s="16"/>
      <c r="C245" s="17">
        <v>31573</v>
      </c>
      <c r="D245" s="16" t="s">
        <v>111</v>
      </c>
      <c r="E245" s="16">
        <v>0</v>
      </c>
      <c r="F245" s="16">
        <v>0</v>
      </c>
      <c r="G245" s="118"/>
      <c r="H245" s="119"/>
      <c r="I245" s="119"/>
      <c r="J245" s="119"/>
      <c r="K245" s="119"/>
      <c r="L245" s="120"/>
    </row>
    <row r="246" spans="1:12">
      <c r="A246" s="14" t="s">
        <v>42</v>
      </c>
      <c r="B246" s="14" t="s">
        <v>43</v>
      </c>
      <c r="C246" s="14" t="s">
        <v>44</v>
      </c>
      <c r="D246" s="115" t="s">
        <v>45</v>
      </c>
      <c r="E246" s="116"/>
      <c r="F246" s="117"/>
      <c r="G246" s="115" t="s">
        <v>46</v>
      </c>
      <c r="H246" s="116"/>
      <c r="I246" s="116"/>
      <c r="J246" s="116"/>
      <c r="K246" s="116"/>
      <c r="L246" s="117"/>
    </row>
    <row r="247" spans="1:12">
      <c r="A247" s="16">
        <v>195441186</v>
      </c>
      <c r="B247" s="16"/>
      <c r="C247" s="16"/>
      <c r="D247" s="118" t="s">
        <v>47</v>
      </c>
      <c r="E247" s="119"/>
      <c r="F247" s="120"/>
      <c r="G247" s="118" t="s">
        <v>107</v>
      </c>
      <c r="H247" s="119"/>
      <c r="I247" s="119"/>
      <c r="J247" s="119"/>
      <c r="K247" s="119"/>
      <c r="L247" s="120"/>
    </row>
    <row r="248" spans="1:1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>
      <c r="A251" s="135" t="s">
        <v>49</v>
      </c>
      <c r="B251" s="136"/>
      <c r="C251" s="136"/>
      <c r="D251" s="136"/>
      <c r="E251" s="136"/>
      <c r="F251" s="137"/>
      <c r="G251" s="141" t="s">
        <v>50</v>
      </c>
      <c r="H251" s="141" t="s">
        <v>51</v>
      </c>
      <c r="I251" s="143" t="s">
        <v>52</v>
      </c>
      <c r="J251" s="144"/>
      <c r="K251" s="143" t="s">
        <v>53</v>
      </c>
      <c r="L251" s="144"/>
    </row>
    <row r="252" spans="1:12">
      <c r="A252" s="138"/>
      <c r="B252" s="139"/>
      <c r="C252" s="139"/>
      <c r="D252" s="139"/>
      <c r="E252" s="139"/>
      <c r="F252" s="140"/>
      <c r="G252" s="142"/>
      <c r="H252" s="142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>
      <c r="A253" s="127" t="s">
        <v>58</v>
      </c>
      <c r="B253" s="128"/>
      <c r="C253" s="128"/>
      <c r="D253" s="128"/>
      <c r="E253" s="128"/>
      <c r="F253" s="129"/>
      <c r="G253" s="21">
        <v>3823.53</v>
      </c>
      <c r="H253" s="22"/>
      <c r="I253" s="21"/>
      <c r="J253" s="21"/>
      <c r="K253" s="21"/>
      <c r="L253" s="21"/>
    </row>
    <row r="254" spans="1:12">
      <c r="A254" s="127" t="s">
        <v>59</v>
      </c>
      <c r="B254" s="128"/>
      <c r="C254" s="128"/>
      <c r="D254" s="128"/>
      <c r="E254" s="128"/>
      <c r="F254" s="129"/>
      <c r="G254" s="21"/>
      <c r="H254" s="21"/>
      <c r="I254" s="21">
        <f>IF(I255+I256-J257-J258+I259+I262+I263+I264+I260&lt;G253,I255+I256-J257-J258+I259+I262+I263+I264+I260,G253)</f>
        <v>3823.53</v>
      </c>
      <c r="J254" s="21"/>
      <c r="K254" s="21"/>
      <c r="L254" s="21"/>
    </row>
    <row r="255" spans="1:12">
      <c r="A255" s="130" t="s">
        <v>60</v>
      </c>
      <c r="B255" s="131"/>
      <c r="C255" s="131"/>
      <c r="D255" s="131"/>
      <c r="E255" s="131"/>
      <c r="F255" s="132"/>
      <c r="G255" s="23"/>
      <c r="H255" s="24">
        <v>26</v>
      </c>
      <c r="I255" s="23">
        <f>G253/26*H255</f>
        <v>3823.53</v>
      </c>
      <c r="J255" s="25"/>
      <c r="K255" s="26"/>
      <c r="L255" s="26"/>
    </row>
    <row r="256" spans="1:12">
      <c r="A256" s="110" t="s">
        <v>61</v>
      </c>
      <c r="B256" s="133"/>
      <c r="C256" s="133"/>
      <c r="D256" s="133"/>
      <c r="E256" s="133"/>
      <c r="F256" s="134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>
      <c r="A257" s="110" t="s">
        <v>62</v>
      </c>
      <c r="B257" s="133"/>
      <c r="C257" s="133"/>
      <c r="D257" s="133"/>
      <c r="E257" s="133"/>
      <c r="F257" s="134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>
      <c r="A258" s="110" t="s">
        <v>63</v>
      </c>
      <c r="B258" s="133"/>
      <c r="C258" s="133"/>
      <c r="D258" s="133"/>
      <c r="E258" s="133"/>
      <c r="F258" s="134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>
      <c r="A259" s="110" t="s">
        <v>64</v>
      </c>
      <c r="B259" s="133"/>
      <c r="C259" s="133"/>
      <c r="D259" s="133"/>
      <c r="E259" s="133"/>
      <c r="F259" s="134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>
      <c r="A260" s="110" t="s">
        <v>65</v>
      </c>
      <c r="B260" s="133"/>
      <c r="C260" s="133"/>
      <c r="D260" s="133"/>
      <c r="E260" s="133"/>
      <c r="F260" s="134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>
      <c r="A261" s="110" t="s">
        <v>66</v>
      </c>
      <c r="B261" s="133"/>
      <c r="C261" s="133"/>
      <c r="D261" s="133"/>
      <c r="E261" s="133"/>
      <c r="F261" s="134"/>
      <c r="G261" s="29"/>
      <c r="H261" s="30"/>
      <c r="I261" s="30"/>
      <c r="J261" s="25"/>
      <c r="K261" s="26"/>
      <c r="L261" s="26"/>
    </row>
    <row r="262" spans="1:12">
      <c r="A262" s="148">
        <v>0.25</v>
      </c>
      <c r="B262" s="149"/>
      <c r="C262" s="149"/>
      <c r="D262" s="149"/>
      <c r="E262" s="149"/>
      <c r="F262" s="150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>
      <c r="A263" s="148">
        <v>0.5</v>
      </c>
      <c r="B263" s="149"/>
      <c r="C263" s="149"/>
      <c r="D263" s="149"/>
      <c r="E263" s="149"/>
      <c r="F263" s="150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>
      <c r="A264" s="151">
        <v>1</v>
      </c>
      <c r="B264" s="152"/>
      <c r="C264" s="152"/>
      <c r="D264" s="152"/>
      <c r="E264" s="152"/>
      <c r="F264" s="153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>
      <c r="A265" s="127" t="s">
        <v>67</v>
      </c>
      <c r="B265" s="128"/>
      <c r="C265" s="128"/>
      <c r="D265" s="128"/>
      <c r="E265" s="128"/>
      <c r="F265" s="129"/>
      <c r="G265" s="21"/>
      <c r="H265" s="22"/>
      <c r="I265" s="21">
        <f>SUM(I266:I267)</f>
        <v>191.17650000000003</v>
      </c>
      <c r="J265" s="21"/>
      <c r="K265" s="21"/>
      <c r="L265" s="21"/>
    </row>
    <row r="266" spans="1:12">
      <c r="A266" s="130" t="s">
        <v>68</v>
      </c>
      <c r="B266" s="131"/>
      <c r="C266" s="131"/>
      <c r="D266" s="131"/>
      <c r="E266" s="131"/>
      <c r="F266" s="132"/>
      <c r="G266" s="23">
        <f>(G243-A245)/360</f>
        <v>2.286111111111111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0.05</v>
      </c>
      <c r="I266" s="23">
        <f>I254*H266</f>
        <v>191.17650000000003</v>
      </c>
      <c r="J266" s="25"/>
      <c r="K266" s="26"/>
      <c r="L266" s="26"/>
    </row>
    <row r="267" spans="1:12">
      <c r="A267" s="145" t="s">
        <v>69</v>
      </c>
      <c r="B267" s="146"/>
      <c r="C267" s="146"/>
      <c r="D267" s="146"/>
      <c r="E267" s="146"/>
      <c r="F267" s="147"/>
      <c r="G267" s="23"/>
      <c r="H267" s="24"/>
      <c r="I267" s="23"/>
      <c r="J267" s="25"/>
      <c r="K267" s="26"/>
      <c r="L267" s="26"/>
    </row>
    <row r="268" spans="1:12">
      <c r="A268" s="127" t="s">
        <v>70</v>
      </c>
      <c r="B268" s="128"/>
      <c r="C268" s="128"/>
      <c r="D268" s="128"/>
      <c r="E268" s="128"/>
      <c r="F268" s="129"/>
      <c r="G268" s="21"/>
      <c r="H268" s="22"/>
      <c r="I268" s="21">
        <f>SUM(I269:I271)</f>
        <v>300</v>
      </c>
      <c r="J268" s="21"/>
      <c r="K268" s="21"/>
      <c r="L268" s="21"/>
    </row>
    <row r="269" spans="1:12">
      <c r="A269" s="130" t="s">
        <v>71</v>
      </c>
      <c r="B269" s="131"/>
      <c r="C269" s="131"/>
      <c r="D269" s="131"/>
      <c r="E269" s="131"/>
      <c r="F269" s="132"/>
      <c r="G269" s="23"/>
      <c r="H269" s="24"/>
      <c r="I269" s="23">
        <v>300</v>
      </c>
      <c r="J269" s="25"/>
      <c r="K269" s="26"/>
      <c r="L269" s="26"/>
    </row>
    <row r="270" spans="1:12">
      <c r="A270" s="110" t="s">
        <v>72</v>
      </c>
      <c r="B270" s="133"/>
      <c r="C270" s="133"/>
      <c r="D270" s="133"/>
      <c r="E270" s="133"/>
      <c r="F270" s="134"/>
      <c r="G270" s="23"/>
      <c r="H270" s="31">
        <v>0</v>
      </c>
      <c r="I270" s="23"/>
      <c r="J270" s="25"/>
      <c r="K270" s="26"/>
      <c r="L270" s="26"/>
    </row>
    <row r="271" spans="1:12">
      <c r="A271" s="145" t="s">
        <v>73</v>
      </c>
      <c r="B271" s="146"/>
      <c r="C271" s="146"/>
      <c r="D271" s="146"/>
      <c r="E271" s="146"/>
      <c r="F271" s="147"/>
      <c r="G271" s="23"/>
      <c r="H271" s="24"/>
      <c r="I271" s="23"/>
      <c r="J271" s="25"/>
      <c r="K271" s="26"/>
      <c r="L271" s="26"/>
    </row>
    <row r="272" spans="1:12">
      <c r="A272" s="111" t="s">
        <v>74</v>
      </c>
      <c r="B272" s="154"/>
      <c r="C272" s="154"/>
      <c r="D272" s="154"/>
      <c r="E272" s="154"/>
      <c r="F272" s="155"/>
      <c r="G272" s="32"/>
      <c r="H272" s="33"/>
      <c r="I272" s="32">
        <f>I254+I265+I268</f>
        <v>4314.7065000000002</v>
      </c>
      <c r="J272" s="33"/>
      <c r="K272" s="33"/>
      <c r="L272" s="33"/>
    </row>
    <row r="273" spans="1:12">
      <c r="A273" s="111" t="s">
        <v>75</v>
      </c>
      <c r="B273" s="154"/>
      <c r="C273" s="154"/>
      <c r="D273" s="154"/>
      <c r="E273" s="154"/>
      <c r="F273" s="155"/>
      <c r="G273" s="32"/>
      <c r="H273" s="33"/>
      <c r="I273" s="32">
        <f>I272-I268</f>
        <v>4014.7065000000002</v>
      </c>
      <c r="J273" s="33"/>
      <c r="K273" s="33"/>
      <c r="L273" s="33"/>
    </row>
    <row r="274" spans="1:12">
      <c r="A274" s="130" t="s">
        <v>76</v>
      </c>
      <c r="B274" s="131"/>
      <c r="C274" s="131"/>
      <c r="D274" s="131"/>
      <c r="E274" s="131"/>
      <c r="F274" s="132"/>
      <c r="G274" s="23"/>
      <c r="H274" s="34">
        <f>[1]Taux!D$5+[1]Taux!D$6</f>
        <v>4.4800000000000006E-2</v>
      </c>
      <c r="I274" s="23"/>
      <c r="J274" s="23">
        <f>IF(I273&lt;6000,I273*H274,6000*H274)</f>
        <v>179.85885120000003</v>
      </c>
      <c r="K274" s="35">
        <f>[1]Taux!C$5+[1]Taux!C$6</f>
        <v>8.9799999999999991E-2</v>
      </c>
      <c r="L274" s="23">
        <f>IF(I273&lt;6000,I273*K274,6000*K274)</f>
        <v>360.52064369999999</v>
      </c>
    </row>
    <row r="275" spans="1:12">
      <c r="A275" s="110" t="s">
        <v>77</v>
      </c>
      <c r="B275" s="133"/>
      <c r="C275" s="133"/>
      <c r="D275" s="133"/>
      <c r="E275" s="133"/>
      <c r="F275" s="134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>
      <c r="A276" s="110" t="s">
        <v>78</v>
      </c>
      <c r="B276" s="133"/>
      <c r="C276" s="133"/>
      <c r="D276" s="133"/>
      <c r="E276" s="133"/>
      <c r="F276" s="134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80.29413000000001</v>
      </c>
    </row>
    <row r="277" spans="1:12">
      <c r="A277" s="110" t="s">
        <v>79</v>
      </c>
      <c r="B277" s="133"/>
      <c r="C277" s="133"/>
      <c r="D277" s="133"/>
      <c r="E277" s="133"/>
      <c r="F277" s="134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>
      <c r="A278" s="110" t="s">
        <v>80</v>
      </c>
      <c r="B278" s="133"/>
      <c r="C278" s="133"/>
      <c r="D278" s="133"/>
      <c r="E278" s="133"/>
      <c r="F278" s="134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>
      <c r="A279" s="110" t="s">
        <v>81</v>
      </c>
      <c r="B279" s="133"/>
      <c r="C279" s="133"/>
      <c r="D279" s="133"/>
      <c r="E279" s="133"/>
      <c r="F279" s="134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>
      <c r="A280" s="110" t="s">
        <v>24</v>
      </c>
      <c r="B280" s="133"/>
      <c r="C280" s="133"/>
      <c r="D280" s="133"/>
      <c r="E280" s="133"/>
      <c r="F280" s="134"/>
      <c r="G280" s="23"/>
      <c r="H280" s="34" t="str">
        <f>[1]Taux!D$7</f>
        <v>2,26%</v>
      </c>
      <c r="I280" s="23"/>
      <c r="J280" s="23">
        <f>I273*H280</f>
        <v>90.732366900000002</v>
      </c>
      <c r="K280" s="34" t="str">
        <f>[1]Taux!C$7</f>
        <v>4,11%</v>
      </c>
      <c r="L280" s="23">
        <f>I273*K280</f>
        <v>165.00443715</v>
      </c>
    </row>
    <row r="281" spans="1:12">
      <c r="A281" s="110" t="s">
        <v>82</v>
      </c>
      <c r="B281" s="133"/>
      <c r="C281" s="133"/>
      <c r="D281" s="133"/>
      <c r="E281" s="133"/>
      <c r="F281" s="134"/>
      <c r="G281" s="37"/>
      <c r="H281" s="38"/>
      <c r="I281" s="39"/>
      <c r="J281" s="40"/>
      <c r="K281" s="34" t="str">
        <f>[1]Taux!C$4</f>
        <v>6,40%</v>
      </c>
      <c r="L281" s="23">
        <f>I273*K281</f>
        <v>256.941216</v>
      </c>
    </row>
    <row r="282" spans="1:12">
      <c r="A282" s="145" t="s">
        <v>83</v>
      </c>
      <c r="B282" s="146"/>
      <c r="C282" s="146"/>
      <c r="D282" s="146"/>
      <c r="E282" s="146"/>
      <c r="F282" s="147"/>
      <c r="G282" s="41"/>
      <c r="H282" s="42"/>
      <c r="I282" s="43"/>
      <c r="J282" s="44"/>
      <c r="K282" s="34" t="str">
        <f>[1]Taux!C$8</f>
        <v>1,6 %</v>
      </c>
      <c r="L282" s="23">
        <f>I273*K282</f>
        <v>64.235303999999999</v>
      </c>
    </row>
    <row r="283" spans="1:12">
      <c r="A283" s="127" t="s">
        <v>84</v>
      </c>
      <c r="B283" s="128"/>
      <c r="C283" s="128"/>
      <c r="D283" s="128"/>
      <c r="E283" s="128"/>
      <c r="F283" s="129"/>
      <c r="G283" s="21"/>
      <c r="H283" s="22"/>
      <c r="I283" s="22"/>
      <c r="J283" s="21">
        <f>SUM(J274:J280)</f>
        <v>270.59121810000005</v>
      </c>
      <c r="K283" s="21"/>
      <c r="L283" s="21">
        <f>SUM(L274:L282)</f>
        <v>926.99573084999997</v>
      </c>
    </row>
    <row r="284" spans="1:12">
      <c r="A284" s="156" t="s">
        <v>85</v>
      </c>
      <c r="B284" s="157"/>
      <c r="C284" s="157"/>
      <c r="D284" s="157"/>
      <c r="E284" s="157"/>
      <c r="F284" s="158"/>
      <c r="G284" s="23"/>
      <c r="H284" s="45">
        <v>0.2</v>
      </c>
      <c r="I284" s="23"/>
      <c r="J284" s="23">
        <f>IF(I273*H284&lt;2500,I273*H284,2500)</f>
        <v>802.94130000000007</v>
      </c>
      <c r="K284" s="46"/>
      <c r="L284" s="47"/>
    </row>
    <row r="285" spans="1:12">
      <c r="A285" s="111" t="s">
        <v>86</v>
      </c>
      <c r="B285" s="154"/>
      <c r="C285" s="154"/>
      <c r="D285" s="154"/>
      <c r="E285" s="154"/>
      <c r="F285" s="155"/>
      <c r="G285" s="32"/>
      <c r="H285" s="33"/>
      <c r="I285" s="32">
        <f>I273-J283-J284</f>
        <v>2941.1739819000004</v>
      </c>
      <c r="J285" s="33"/>
      <c r="K285" s="33"/>
      <c r="L285" s="33"/>
    </row>
    <row r="286" spans="1:12">
      <c r="A286" s="156" t="s">
        <v>87</v>
      </c>
      <c r="B286" s="157"/>
      <c r="C286" s="157"/>
      <c r="D286" s="157"/>
      <c r="E286" s="157"/>
      <c r="F286" s="158"/>
      <c r="G286" s="23"/>
      <c r="H286" s="34"/>
      <c r="I286" s="23">
        <f>H286*180/360</f>
        <v>0</v>
      </c>
      <c r="J286" s="23"/>
      <c r="K286" s="46"/>
      <c r="L286" s="47"/>
    </row>
    <row r="287" spans="1:12">
      <c r="A287" s="111" t="s">
        <v>88</v>
      </c>
      <c r="B287" s="154"/>
      <c r="C287" s="154"/>
      <c r="D287" s="154"/>
      <c r="E287" s="154"/>
      <c r="F287" s="155"/>
      <c r="G287" s="32"/>
      <c r="H287" s="33"/>
      <c r="I287" s="32">
        <f>I285-I286</f>
        <v>2941.1739819000004</v>
      </c>
      <c r="J287" s="33"/>
      <c r="K287" s="33"/>
      <c r="L287" s="33"/>
    </row>
    <row r="288" spans="1:12">
      <c r="A288" s="130" t="s">
        <v>89</v>
      </c>
      <c r="B288" s="131"/>
      <c r="C288" s="131"/>
      <c r="D288" s="131"/>
      <c r="E288" s="131"/>
      <c r="F288" s="132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44.117398190000074</v>
      </c>
      <c r="K288" s="46"/>
      <c r="L288" s="47"/>
    </row>
    <row r="289" spans="1:12">
      <c r="A289" s="145" t="s">
        <v>90</v>
      </c>
      <c r="B289" s="146"/>
      <c r="C289" s="146"/>
      <c r="D289" s="146"/>
      <c r="E289" s="146"/>
      <c r="F289" s="147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>
      <c r="A290" s="127" t="s">
        <v>91</v>
      </c>
      <c r="B290" s="128"/>
      <c r="C290" s="128"/>
      <c r="D290" s="128"/>
      <c r="E290" s="128"/>
      <c r="F290" s="129"/>
      <c r="G290" s="21"/>
      <c r="H290" s="22"/>
      <c r="I290" s="21"/>
      <c r="J290" s="21">
        <f>J288-J289</f>
        <v>44.117398190000074</v>
      </c>
      <c r="K290" s="21"/>
      <c r="L290" s="21"/>
    </row>
    <row r="291" spans="1:12">
      <c r="A291" s="130" t="s">
        <v>92</v>
      </c>
      <c r="B291" s="131"/>
      <c r="C291" s="131"/>
      <c r="D291" s="131"/>
      <c r="E291" s="131"/>
      <c r="F291" s="132"/>
      <c r="G291" s="25"/>
      <c r="H291" s="48"/>
      <c r="I291" s="47"/>
      <c r="J291" s="49">
        <v>0</v>
      </c>
      <c r="K291" s="46"/>
      <c r="L291" s="47"/>
    </row>
    <row r="292" spans="1:12">
      <c r="A292" s="110" t="s">
        <v>93</v>
      </c>
      <c r="B292" s="133"/>
      <c r="C292" s="133"/>
      <c r="D292" s="133"/>
      <c r="E292" s="133"/>
      <c r="F292" s="134"/>
      <c r="G292" s="25"/>
      <c r="H292" s="48"/>
      <c r="I292" s="44"/>
      <c r="J292" s="28"/>
      <c r="K292" s="46"/>
      <c r="L292" s="47"/>
    </row>
    <row r="293" spans="1:12">
      <c r="A293" s="145" t="s">
        <v>94</v>
      </c>
      <c r="B293" s="146"/>
      <c r="C293" s="146"/>
      <c r="D293" s="146"/>
      <c r="E293" s="146"/>
      <c r="F293" s="147"/>
      <c r="G293" s="41"/>
      <c r="H293" s="42"/>
      <c r="I293" s="28"/>
      <c r="J293" s="41"/>
      <c r="K293" s="43"/>
      <c r="L293" s="44"/>
    </row>
    <row r="294" spans="1:1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>
      <c r="A295" s="14" t="s">
        <v>95</v>
      </c>
      <c r="B295" s="14" t="s">
        <v>96</v>
      </c>
      <c r="C295" s="14" t="s">
        <v>97</v>
      </c>
      <c r="D295" s="115" t="s">
        <v>98</v>
      </c>
      <c r="E295" s="116"/>
      <c r="F295" s="117"/>
      <c r="G295" s="14" t="s">
        <v>99</v>
      </c>
      <c r="H295" s="50"/>
      <c r="I295" s="52">
        <f>I272+I293</f>
        <v>4314.7065000000002</v>
      </c>
      <c r="J295" s="52">
        <f>J283+J290+J291+J292</f>
        <v>314.70861629000012</v>
      </c>
      <c r="K295" s="14" t="s">
        <v>100</v>
      </c>
      <c r="L295" s="52">
        <f>L283</f>
        <v>926.99573084999997</v>
      </c>
    </row>
    <row r="296" spans="1:12">
      <c r="A296" s="52">
        <f>32114.9+I272</f>
        <v>36429.606500000002</v>
      </c>
      <c r="B296" s="52">
        <f>29414.9+I273</f>
        <v>33429.606500000002</v>
      </c>
      <c r="C296" s="52">
        <f>1317.78+J274</f>
        <v>1497.6388512000001</v>
      </c>
      <c r="D296" s="159">
        <f>132.35+J290</f>
        <v>176.46739819000007</v>
      </c>
      <c r="E296" s="160"/>
      <c r="F296" s="161"/>
      <c r="G296" s="52">
        <f>30000+I295</f>
        <v>34314.7065</v>
      </c>
      <c r="H296" s="115" t="s">
        <v>101</v>
      </c>
      <c r="I296" s="117"/>
      <c r="J296" s="52">
        <f>I295-J295</f>
        <v>3999.9978837100002</v>
      </c>
      <c r="K296" s="14" t="s">
        <v>102</v>
      </c>
      <c r="L296" s="52">
        <f>5864.92+L295</f>
        <v>6791.9157308499998</v>
      </c>
    </row>
    <row r="297" spans="1:1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4926.9936145600004</v>
      </c>
    </row>
    <row r="301" spans="1:12">
      <c r="A301" s="124" t="s">
        <v>26</v>
      </c>
      <c r="B301" s="125"/>
      <c r="C301" s="124" t="s">
        <v>27</v>
      </c>
      <c r="D301" s="126"/>
      <c r="E301" s="126"/>
      <c r="F301" s="125"/>
      <c r="G301" s="124" t="s">
        <v>28</v>
      </c>
      <c r="H301" s="126"/>
      <c r="I301" s="125"/>
      <c r="J301" s="124" t="s">
        <v>29</v>
      </c>
      <c r="K301" s="126"/>
      <c r="L301" s="125"/>
    </row>
    <row r="302" spans="1:12">
      <c r="A302" s="14" t="s">
        <v>30</v>
      </c>
      <c r="B302" s="115" t="s">
        <v>31</v>
      </c>
      <c r="C302" s="116"/>
      <c r="D302" s="116"/>
      <c r="E302" s="116"/>
      <c r="F302" s="117"/>
      <c r="G302" s="115" t="s">
        <v>32</v>
      </c>
      <c r="H302" s="116"/>
      <c r="I302" s="116"/>
      <c r="J302" s="116"/>
      <c r="K302" s="116"/>
      <c r="L302" s="117"/>
    </row>
    <row r="303" spans="1:12">
      <c r="A303" s="16">
        <v>7</v>
      </c>
      <c r="B303" s="118" t="s">
        <v>112</v>
      </c>
      <c r="C303" s="119"/>
      <c r="D303" s="119"/>
      <c r="E303" s="119"/>
      <c r="F303" s="120"/>
      <c r="G303" s="121">
        <v>42644</v>
      </c>
      <c r="H303" s="122"/>
      <c r="I303" s="123"/>
      <c r="J303" s="121">
        <v>42674</v>
      </c>
      <c r="K303" s="122"/>
      <c r="L303" s="123"/>
    </row>
    <row r="304" spans="1:12">
      <c r="A304" s="14" t="s">
        <v>34</v>
      </c>
      <c r="B304" s="14" t="s">
        <v>35</v>
      </c>
      <c r="C304" s="14" t="s">
        <v>36</v>
      </c>
      <c r="D304" s="14" t="s">
        <v>37</v>
      </c>
      <c r="E304" s="14" t="s">
        <v>38</v>
      </c>
      <c r="F304" s="14" t="s">
        <v>39</v>
      </c>
      <c r="G304" s="115" t="s">
        <v>40</v>
      </c>
      <c r="H304" s="116"/>
      <c r="I304" s="116"/>
      <c r="J304" s="116"/>
      <c r="K304" s="116"/>
      <c r="L304" s="117"/>
    </row>
    <row r="305" spans="1:12">
      <c r="A305" s="17">
        <v>42005</v>
      </c>
      <c r="B305" s="16"/>
      <c r="C305" s="17">
        <v>34565</v>
      </c>
      <c r="D305" s="16" t="s">
        <v>111</v>
      </c>
      <c r="E305" s="16">
        <v>0</v>
      </c>
      <c r="F305" s="16">
        <v>0</v>
      </c>
      <c r="G305" s="118"/>
      <c r="H305" s="119"/>
      <c r="I305" s="119"/>
      <c r="J305" s="119"/>
      <c r="K305" s="119"/>
      <c r="L305" s="120"/>
    </row>
    <row r="306" spans="1:12">
      <c r="A306" s="14" t="s">
        <v>42</v>
      </c>
      <c r="B306" s="14" t="s">
        <v>43</v>
      </c>
      <c r="C306" s="14" t="s">
        <v>44</v>
      </c>
      <c r="D306" s="115" t="s">
        <v>45</v>
      </c>
      <c r="E306" s="116"/>
      <c r="F306" s="117"/>
      <c r="G306" s="115" t="s">
        <v>46</v>
      </c>
      <c r="H306" s="116"/>
      <c r="I306" s="116"/>
      <c r="J306" s="116"/>
      <c r="K306" s="116"/>
      <c r="L306" s="117"/>
    </row>
    <row r="307" spans="1:12">
      <c r="A307" s="16">
        <v>168098097</v>
      </c>
      <c r="B307" s="16"/>
      <c r="C307" s="16"/>
      <c r="D307" s="118" t="s">
        <v>47</v>
      </c>
      <c r="E307" s="119"/>
      <c r="F307" s="120"/>
      <c r="G307" s="118" t="s">
        <v>107</v>
      </c>
      <c r="H307" s="119"/>
      <c r="I307" s="119"/>
      <c r="J307" s="119"/>
      <c r="K307" s="119"/>
      <c r="L307" s="120"/>
    </row>
    <row r="308" spans="1:1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>
      <c r="A311" s="135" t="s">
        <v>49</v>
      </c>
      <c r="B311" s="136"/>
      <c r="C311" s="136"/>
      <c r="D311" s="136"/>
      <c r="E311" s="136"/>
      <c r="F311" s="137"/>
      <c r="G311" s="141" t="s">
        <v>50</v>
      </c>
      <c r="H311" s="141" t="s">
        <v>51</v>
      </c>
      <c r="I311" s="143" t="s">
        <v>52</v>
      </c>
      <c r="J311" s="144"/>
      <c r="K311" s="143" t="s">
        <v>53</v>
      </c>
      <c r="L311" s="144"/>
    </row>
    <row r="312" spans="1:12">
      <c r="A312" s="138"/>
      <c r="B312" s="139"/>
      <c r="C312" s="139"/>
      <c r="D312" s="139"/>
      <c r="E312" s="139"/>
      <c r="F312" s="140"/>
      <c r="G312" s="142"/>
      <c r="H312" s="142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>
      <c r="A313" s="127" t="s">
        <v>58</v>
      </c>
      <c r="B313" s="128"/>
      <c r="C313" s="128"/>
      <c r="D313" s="128"/>
      <c r="E313" s="128"/>
      <c r="F313" s="129"/>
      <c r="G313" s="21">
        <v>2807.8</v>
      </c>
      <c r="H313" s="22"/>
      <c r="I313" s="21"/>
      <c r="J313" s="21"/>
      <c r="K313" s="21"/>
      <c r="L313" s="21"/>
    </row>
    <row r="314" spans="1:12">
      <c r="A314" s="127" t="s">
        <v>59</v>
      </c>
      <c r="B314" s="128"/>
      <c r="C314" s="128"/>
      <c r="D314" s="128"/>
      <c r="E314" s="128"/>
      <c r="F314" s="129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>
      <c r="A315" s="130" t="s">
        <v>60</v>
      </c>
      <c r="B315" s="131"/>
      <c r="C315" s="131"/>
      <c r="D315" s="131"/>
      <c r="E315" s="131"/>
      <c r="F315" s="132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>
      <c r="A316" s="110" t="s">
        <v>61</v>
      </c>
      <c r="B316" s="133"/>
      <c r="C316" s="133"/>
      <c r="D316" s="133"/>
      <c r="E316" s="133"/>
      <c r="F316" s="134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>
      <c r="A317" s="110" t="s">
        <v>62</v>
      </c>
      <c r="B317" s="133"/>
      <c r="C317" s="133"/>
      <c r="D317" s="133"/>
      <c r="E317" s="133"/>
      <c r="F317" s="134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>
      <c r="A318" s="110" t="s">
        <v>63</v>
      </c>
      <c r="B318" s="133"/>
      <c r="C318" s="133"/>
      <c r="D318" s="133"/>
      <c r="E318" s="133"/>
      <c r="F318" s="134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>
      <c r="A319" s="110" t="s">
        <v>64</v>
      </c>
      <c r="B319" s="133"/>
      <c r="C319" s="133"/>
      <c r="D319" s="133"/>
      <c r="E319" s="133"/>
      <c r="F319" s="134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>
      <c r="A320" s="110" t="s">
        <v>65</v>
      </c>
      <c r="B320" s="133"/>
      <c r="C320" s="133"/>
      <c r="D320" s="133"/>
      <c r="E320" s="133"/>
      <c r="F320" s="134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>
      <c r="A321" s="110" t="s">
        <v>66</v>
      </c>
      <c r="B321" s="133"/>
      <c r="C321" s="133"/>
      <c r="D321" s="133"/>
      <c r="E321" s="133"/>
      <c r="F321" s="134"/>
      <c r="G321" s="29"/>
      <c r="H321" s="30"/>
      <c r="I321" s="30"/>
      <c r="J321" s="25"/>
      <c r="K321" s="26"/>
      <c r="L321" s="26"/>
    </row>
    <row r="322" spans="1:12">
      <c r="A322" s="148">
        <v>0.25</v>
      </c>
      <c r="B322" s="149"/>
      <c r="C322" s="149"/>
      <c r="D322" s="149"/>
      <c r="E322" s="149"/>
      <c r="F322" s="150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>
      <c r="A323" s="148">
        <v>0.5</v>
      </c>
      <c r="B323" s="149"/>
      <c r="C323" s="149"/>
      <c r="D323" s="149"/>
      <c r="E323" s="149"/>
      <c r="F323" s="150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>
      <c r="A324" s="151">
        <v>1</v>
      </c>
      <c r="B324" s="152"/>
      <c r="C324" s="152"/>
      <c r="D324" s="152"/>
      <c r="E324" s="152"/>
      <c r="F324" s="153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>
      <c r="A325" s="127" t="s">
        <v>67</v>
      </c>
      <c r="B325" s="128"/>
      <c r="C325" s="128"/>
      <c r="D325" s="128"/>
      <c r="E325" s="128"/>
      <c r="F325" s="129"/>
      <c r="G325" s="21"/>
      <c r="H325" s="22"/>
      <c r="I325" s="21">
        <f>SUM(I326:I327)</f>
        <v>0</v>
      </c>
      <c r="J325" s="21"/>
      <c r="K325" s="21"/>
      <c r="L325" s="21"/>
    </row>
    <row r="326" spans="1:12">
      <c r="A326" s="130" t="s">
        <v>68</v>
      </c>
      <c r="B326" s="131"/>
      <c r="C326" s="131"/>
      <c r="D326" s="131"/>
      <c r="E326" s="131"/>
      <c r="F326" s="132"/>
      <c r="G326" s="23">
        <f>(G303-A305)/360</f>
        <v>1.7749999999999999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>
      <c r="A327" s="145" t="s">
        <v>69</v>
      </c>
      <c r="B327" s="146"/>
      <c r="C327" s="146"/>
      <c r="D327" s="146"/>
      <c r="E327" s="146"/>
      <c r="F327" s="147"/>
      <c r="G327" s="23"/>
      <c r="H327" s="24"/>
      <c r="I327" s="23"/>
      <c r="J327" s="25"/>
      <c r="K327" s="26"/>
      <c r="L327" s="26"/>
    </row>
    <row r="328" spans="1:12">
      <c r="A328" s="127" t="s">
        <v>70</v>
      </c>
      <c r="B328" s="128"/>
      <c r="C328" s="128"/>
      <c r="D328" s="128"/>
      <c r="E328" s="128"/>
      <c r="F328" s="129"/>
      <c r="G328" s="21"/>
      <c r="H328" s="22"/>
      <c r="I328" s="21">
        <f>SUM(I329:I331)</f>
        <v>0</v>
      </c>
      <c r="J328" s="21"/>
      <c r="K328" s="21"/>
      <c r="L328" s="21"/>
    </row>
    <row r="329" spans="1:12">
      <c r="A329" s="130" t="s">
        <v>71</v>
      </c>
      <c r="B329" s="131"/>
      <c r="C329" s="131"/>
      <c r="D329" s="131"/>
      <c r="E329" s="131"/>
      <c r="F329" s="132"/>
      <c r="G329" s="23"/>
      <c r="H329" s="24"/>
      <c r="I329" s="23"/>
      <c r="J329" s="25"/>
      <c r="K329" s="26"/>
      <c r="L329" s="26"/>
    </row>
    <row r="330" spans="1:12">
      <c r="A330" s="110" t="s">
        <v>72</v>
      </c>
      <c r="B330" s="133"/>
      <c r="C330" s="133"/>
      <c r="D330" s="133"/>
      <c r="E330" s="133"/>
      <c r="F330" s="134"/>
      <c r="G330" s="23"/>
      <c r="H330" s="31">
        <v>0</v>
      </c>
      <c r="I330" s="23"/>
      <c r="J330" s="25"/>
      <c r="K330" s="26"/>
      <c r="L330" s="26"/>
    </row>
    <row r="331" spans="1:12">
      <c r="A331" s="145" t="s">
        <v>73</v>
      </c>
      <c r="B331" s="146"/>
      <c r="C331" s="146"/>
      <c r="D331" s="146"/>
      <c r="E331" s="146"/>
      <c r="F331" s="147"/>
      <c r="G331" s="23"/>
      <c r="H331" s="24"/>
      <c r="I331" s="23"/>
      <c r="J331" s="25"/>
      <c r="K331" s="26"/>
      <c r="L331" s="26"/>
    </row>
    <row r="332" spans="1:12">
      <c r="A332" s="111" t="s">
        <v>74</v>
      </c>
      <c r="B332" s="154"/>
      <c r="C332" s="154"/>
      <c r="D332" s="154"/>
      <c r="E332" s="154"/>
      <c r="F332" s="155"/>
      <c r="G332" s="32"/>
      <c r="H332" s="33"/>
      <c r="I332" s="32">
        <f>I314+I325+I328</f>
        <v>2807.8</v>
      </c>
      <c r="J332" s="33"/>
      <c r="K332" s="33"/>
      <c r="L332" s="33"/>
    </row>
    <row r="333" spans="1:12">
      <c r="A333" s="111" t="s">
        <v>75</v>
      </c>
      <c r="B333" s="154"/>
      <c r="C333" s="154"/>
      <c r="D333" s="154"/>
      <c r="E333" s="154"/>
      <c r="F333" s="155"/>
      <c r="G333" s="32"/>
      <c r="H333" s="33"/>
      <c r="I333" s="32">
        <f>I332-I328</f>
        <v>2807.8</v>
      </c>
      <c r="J333" s="33"/>
      <c r="K333" s="33"/>
      <c r="L333" s="33"/>
    </row>
    <row r="334" spans="1:12">
      <c r="A334" s="130" t="s">
        <v>76</v>
      </c>
      <c r="B334" s="131"/>
      <c r="C334" s="131"/>
      <c r="D334" s="131"/>
      <c r="E334" s="131"/>
      <c r="F334" s="132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>
      <c r="A335" s="110" t="s">
        <v>77</v>
      </c>
      <c r="B335" s="133"/>
      <c r="C335" s="133"/>
      <c r="D335" s="133"/>
      <c r="E335" s="133"/>
      <c r="F335" s="134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>
      <c r="A336" s="110" t="s">
        <v>78</v>
      </c>
      <c r="B336" s="133"/>
      <c r="C336" s="133"/>
      <c r="D336" s="133"/>
      <c r="E336" s="133"/>
      <c r="F336" s="134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>
      <c r="A337" s="110" t="s">
        <v>79</v>
      </c>
      <c r="B337" s="133"/>
      <c r="C337" s="133"/>
      <c r="D337" s="133"/>
      <c r="E337" s="133"/>
      <c r="F337" s="134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>
      <c r="A338" s="110" t="s">
        <v>80</v>
      </c>
      <c r="B338" s="133"/>
      <c r="C338" s="133"/>
      <c r="D338" s="133"/>
      <c r="E338" s="133"/>
      <c r="F338" s="134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>
      <c r="A339" s="110" t="s">
        <v>81</v>
      </c>
      <c r="B339" s="133"/>
      <c r="C339" s="133"/>
      <c r="D339" s="133"/>
      <c r="E339" s="133"/>
      <c r="F339" s="134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>
      <c r="A340" s="110" t="s">
        <v>24</v>
      </c>
      <c r="B340" s="133"/>
      <c r="C340" s="133"/>
      <c r="D340" s="133"/>
      <c r="E340" s="133"/>
      <c r="F340" s="134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>
      <c r="A341" s="110" t="s">
        <v>82</v>
      </c>
      <c r="B341" s="133"/>
      <c r="C341" s="133"/>
      <c r="D341" s="133"/>
      <c r="E341" s="133"/>
      <c r="F341" s="134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>
      <c r="A342" s="145" t="s">
        <v>83</v>
      </c>
      <c r="B342" s="146"/>
      <c r="C342" s="146"/>
      <c r="D342" s="146"/>
      <c r="E342" s="146"/>
      <c r="F342" s="147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>
      <c r="A343" s="127" t="s">
        <v>84</v>
      </c>
      <c r="B343" s="128"/>
      <c r="C343" s="128"/>
      <c r="D343" s="128"/>
      <c r="E343" s="128"/>
      <c r="F343" s="129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>
      <c r="A344" s="156" t="s">
        <v>85</v>
      </c>
      <c r="B344" s="157"/>
      <c r="C344" s="157"/>
      <c r="D344" s="157"/>
      <c r="E344" s="157"/>
      <c r="F344" s="158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>
      <c r="A345" s="111" t="s">
        <v>86</v>
      </c>
      <c r="B345" s="154"/>
      <c r="C345" s="154"/>
      <c r="D345" s="154"/>
      <c r="E345" s="154"/>
      <c r="F345" s="155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>
      <c r="A346" s="156" t="s">
        <v>87</v>
      </c>
      <c r="B346" s="157"/>
      <c r="C346" s="157"/>
      <c r="D346" s="157"/>
      <c r="E346" s="157"/>
      <c r="F346" s="158"/>
      <c r="G346" s="23"/>
      <c r="H346" s="34"/>
      <c r="I346" s="23">
        <f>H346*180/360</f>
        <v>0</v>
      </c>
      <c r="J346" s="23"/>
      <c r="K346" s="46"/>
      <c r="L346" s="47"/>
    </row>
    <row r="347" spans="1:12">
      <c r="A347" s="111" t="s">
        <v>88</v>
      </c>
      <c r="B347" s="154"/>
      <c r="C347" s="154"/>
      <c r="D347" s="154"/>
      <c r="E347" s="154"/>
      <c r="F347" s="155"/>
      <c r="G347" s="32"/>
      <c r="H347" s="33"/>
      <c r="I347" s="32">
        <f>I345-I346</f>
        <v>2056.9942800000003</v>
      </c>
      <c r="J347" s="33"/>
      <c r="K347" s="33"/>
      <c r="L347" s="33"/>
    </row>
    <row r="348" spans="1:12">
      <c r="A348" s="130" t="s">
        <v>89</v>
      </c>
      <c r="B348" s="131"/>
      <c r="C348" s="131"/>
      <c r="D348" s="131"/>
      <c r="E348" s="131"/>
      <c r="F348" s="132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>
      <c r="A349" s="145" t="s">
        <v>90</v>
      </c>
      <c r="B349" s="146"/>
      <c r="C349" s="146"/>
      <c r="D349" s="146"/>
      <c r="E349" s="146"/>
      <c r="F349" s="147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>
      <c r="A350" s="127" t="s">
        <v>91</v>
      </c>
      <c r="B350" s="128"/>
      <c r="C350" s="128"/>
      <c r="D350" s="128"/>
      <c r="E350" s="128"/>
      <c r="F350" s="129"/>
      <c r="G350" s="21"/>
      <c r="H350" s="22"/>
      <c r="I350" s="21"/>
      <c r="J350" s="21">
        <f>J348-J349</f>
        <v>0</v>
      </c>
      <c r="K350" s="21"/>
      <c r="L350" s="21"/>
    </row>
    <row r="351" spans="1:12">
      <c r="A351" s="130" t="s">
        <v>92</v>
      </c>
      <c r="B351" s="131"/>
      <c r="C351" s="131"/>
      <c r="D351" s="131"/>
      <c r="E351" s="131"/>
      <c r="F351" s="132"/>
      <c r="G351" s="25"/>
      <c r="H351" s="48"/>
      <c r="I351" s="47"/>
      <c r="J351" s="49">
        <v>0</v>
      </c>
      <c r="K351" s="46"/>
      <c r="L351" s="47"/>
    </row>
    <row r="352" spans="1:12">
      <c r="A352" s="110" t="s">
        <v>93</v>
      </c>
      <c r="B352" s="133"/>
      <c r="C352" s="133"/>
      <c r="D352" s="133"/>
      <c r="E352" s="133"/>
      <c r="F352" s="134"/>
      <c r="G352" s="25"/>
      <c r="H352" s="48"/>
      <c r="I352" s="44"/>
      <c r="J352" s="28">
        <v>1000</v>
      </c>
      <c r="K352" s="46"/>
      <c r="L352" s="47"/>
    </row>
    <row r="353" spans="1:12">
      <c r="A353" s="145" t="s">
        <v>94</v>
      </c>
      <c r="B353" s="146"/>
      <c r="C353" s="146"/>
      <c r="D353" s="146"/>
      <c r="E353" s="146"/>
      <c r="F353" s="147"/>
      <c r="G353" s="41"/>
      <c r="H353" s="42"/>
      <c r="I353" s="28">
        <f>1-0.55</f>
        <v>0.44999999999999996</v>
      </c>
      <c r="J353" s="41"/>
      <c r="K353" s="43"/>
      <c r="L353" s="44"/>
    </row>
    <row r="354" spans="1:1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>
      <c r="A355" s="14" t="s">
        <v>95</v>
      </c>
      <c r="B355" s="14" t="s">
        <v>96</v>
      </c>
      <c r="C355" s="14" t="s">
        <v>97</v>
      </c>
      <c r="D355" s="115" t="s">
        <v>98</v>
      </c>
      <c r="E355" s="116"/>
      <c r="F355" s="117"/>
      <c r="G355" s="14" t="s">
        <v>99</v>
      </c>
      <c r="H355" s="50"/>
      <c r="I355" s="52">
        <f>I332+I353</f>
        <v>2808.25</v>
      </c>
      <c r="J355" s="52">
        <f>J343+J350+J351+J352</f>
        <v>1189.2457200000001</v>
      </c>
      <c r="K355" s="14" t="s">
        <v>100</v>
      </c>
      <c r="L355" s="52">
        <f>L343</f>
        <v>648.32101999999998</v>
      </c>
    </row>
    <row r="356" spans="1:12">
      <c r="A356" s="52">
        <f>25270.2+I332</f>
        <v>28078</v>
      </c>
      <c r="B356" s="52">
        <f>25270.2+I333</f>
        <v>28078</v>
      </c>
      <c r="C356" s="52">
        <f>1132.11+J334</f>
        <v>1257.8994399999999</v>
      </c>
      <c r="D356" s="159">
        <f>0+J350</f>
        <v>0</v>
      </c>
      <c r="E356" s="160"/>
      <c r="F356" s="161"/>
      <c r="G356" s="52">
        <f>17071.02+I355</f>
        <v>19879.27</v>
      </c>
      <c r="H356" s="115" t="s">
        <v>101</v>
      </c>
      <c r="I356" s="117"/>
      <c r="J356" s="52">
        <f>I355-J355</f>
        <v>1619.0042799999999</v>
      </c>
      <c r="K356" s="14" t="s">
        <v>102</v>
      </c>
      <c r="L356" s="52">
        <f>5834.88+L355</f>
        <v>6483.2010200000004</v>
      </c>
    </row>
    <row r="357" spans="1:1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2267.3253</v>
      </c>
    </row>
    <row r="361" spans="1:12">
      <c r="A361" s="124" t="s">
        <v>26</v>
      </c>
      <c r="B361" s="125"/>
      <c r="C361" s="124" t="s">
        <v>27</v>
      </c>
      <c r="D361" s="126"/>
      <c r="E361" s="126"/>
      <c r="F361" s="125"/>
      <c r="G361" s="124" t="s">
        <v>28</v>
      </c>
      <c r="H361" s="126"/>
      <c r="I361" s="125"/>
      <c r="J361" s="124" t="s">
        <v>29</v>
      </c>
      <c r="K361" s="126"/>
      <c r="L361" s="125"/>
    </row>
    <row r="362" spans="1:12">
      <c r="A362" s="14" t="s">
        <v>30</v>
      </c>
      <c r="B362" s="115" t="s">
        <v>31</v>
      </c>
      <c r="C362" s="116"/>
      <c r="D362" s="116"/>
      <c r="E362" s="116"/>
      <c r="F362" s="117"/>
      <c r="G362" s="115" t="s">
        <v>32</v>
      </c>
      <c r="H362" s="116"/>
      <c r="I362" s="116"/>
      <c r="J362" s="116"/>
      <c r="K362" s="116"/>
      <c r="L362" s="117"/>
    </row>
    <row r="363" spans="1:12">
      <c r="A363" s="16">
        <v>8</v>
      </c>
      <c r="B363" s="118" t="s">
        <v>113</v>
      </c>
      <c r="C363" s="119"/>
      <c r="D363" s="119"/>
      <c r="E363" s="119"/>
      <c r="F363" s="120"/>
      <c r="G363" s="121">
        <v>42644</v>
      </c>
      <c r="H363" s="122"/>
      <c r="I363" s="123"/>
      <c r="J363" s="121">
        <v>42674</v>
      </c>
      <c r="K363" s="122"/>
      <c r="L363" s="123"/>
    </row>
    <row r="364" spans="1:12">
      <c r="A364" s="14" t="s">
        <v>34</v>
      </c>
      <c r="B364" s="14" t="s">
        <v>35</v>
      </c>
      <c r="C364" s="14" t="s">
        <v>36</v>
      </c>
      <c r="D364" s="14" t="s">
        <v>37</v>
      </c>
      <c r="E364" s="14" t="s">
        <v>38</v>
      </c>
      <c r="F364" s="14" t="s">
        <v>39</v>
      </c>
      <c r="G364" s="115" t="s">
        <v>40</v>
      </c>
      <c r="H364" s="116"/>
      <c r="I364" s="116"/>
      <c r="J364" s="116"/>
      <c r="K364" s="116"/>
      <c r="L364" s="117"/>
    </row>
    <row r="365" spans="1:12">
      <c r="A365" s="17">
        <v>42278</v>
      </c>
      <c r="B365" s="16"/>
      <c r="C365" s="17">
        <v>33665</v>
      </c>
      <c r="D365" s="16" t="s">
        <v>111</v>
      </c>
      <c r="E365" s="16">
        <v>0</v>
      </c>
      <c r="F365" s="16">
        <v>0</v>
      </c>
      <c r="G365" s="118"/>
      <c r="H365" s="119"/>
      <c r="I365" s="119"/>
      <c r="J365" s="119"/>
      <c r="K365" s="119"/>
      <c r="L365" s="120"/>
    </row>
    <row r="366" spans="1:12">
      <c r="A366" s="14" t="s">
        <v>42</v>
      </c>
      <c r="B366" s="14" t="s">
        <v>43</v>
      </c>
      <c r="C366" s="14" t="s">
        <v>44</v>
      </c>
      <c r="D366" s="115" t="s">
        <v>45</v>
      </c>
      <c r="E366" s="116"/>
      <c r="F366" s="117"/>
      <c r="G366" s="115" t="s">
        <v>46</v>
      </c>
      <c r="H366" s="116"/>
      <c r="I366" s="116"/>
      <c r="J366" s="116"/>
      <c r="K366" s="116"/>
      <c r="L366" s="117"/>
    </row>
    <row r="367" spans="1:12">
      <c r="A367" s="16">
        <v>164315198</v>
      </c>
      <c r="B367" s="16"/>
      <c r="C367" s="16"/>
      <c r="D367" s="118" t="s">
        <v>47</v>
      </c>
      <c r="E367" s="119"/>
      <c r="F367" s="120"/>
      <c r="G367" s="118" t="s">
        <v>114</v>
      </c>
      <c r="H367" s="119"/>
      <c r="I367" s="119"/>
      <c r="J367" s="119"/>
      <c r="K367" s="119"/>
      <c r="L367" s="120"/>
    </row>
    <row r="368" spans="1:1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>
      <c r="A371" s="135" t="s">
        <v>49</v>
      </c>
      <c r="B371" s="136"/>
      <c r="C371" s="136"/>
      <c r="D371" s="136"/>
      <c r="E371" s="136"/>
      <c r="F371" s="137"/>
      <c r="G371" s="141" t="s">
        <v>50</v>
      </c>
      <c r="H371" s="141" t="s">
        <v>51</v>
      </c>
      <c r="I371" s="143" t="s">
        <v>52</v>
      </c>
      <c r="J371" s="144"/>
      <c r="K371" s="143" t="s">
        <v>53</v>
      </c>
      <c r="L371" s="144"/>
    </row>
    <row r="372" spans="1:12">
      <c r="A372" s="138"/>
      <c r="B372" s="139"/>
      <c r="C372" s="139"/>
      <c r="D372" s="139"/>
      <c r="E372" s="139"/>
      <c r="F372" s="140"/>
      <c r="G372" s="142"/>
      <c r="H372" s="142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>
      <c r="A373" s="127" t="s">
        <v>58</v>
      </c>
      <c r="B373" s="128"/>
      <c r="C373" s="128"/>
      <c r="D373" s="128"/>
      <c r="E373" s="128"/>
      <c r="F373" s="129"/>
      <c r="G373" s="21">
        <v>3665.6</v>
      </c>
      <c r="H373" s="22"/>
      <c r="I373" s="21"/>
      <c r="J373" s="21"/>
      <c r="K373" s="21"/>
      <c r="L373" s="21"/>
    </row>
    <row r="374" spans="1:12">
      <c r="A374" s="127" t="s">
        <v>59</v>
      </c>
      <c r="B374" s="128"/>
      <c r="C374" s="128"/>
      <c r="D374" s="128"/>
      <c r="E374" s="128"/>
      <c r="F374" s="129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>
      <c r="A375" s="130" t="s">
        <v>60</v>
      </c>
      <c r="B375" s="131"/>
      <c r="C375" s="131"/>
      <c r="D375" s="131"/>
      <c r="E375" s="131"/>
      <c r="F375" s="132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>
      <c r="A376" s="110" t="s">
        <v>61</v>
      </c>
      <c r="B376" s="133"/>
      <c r="C376" s="133"/>
      <c r="D376" s="133"/>
      <c r="E376" s="133"/>
      <c r="F376" s="134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>
      <c r="A377" s="110" t="s">
        <v>62</v>
      </c>
      <c r="B377" s="133"/>
      <c r="C377" s="133"/>
      <c r="D377" s="133"/>
      <c r="E377" s="133"/>
      <c r="F377" s="134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>
      <c r="A378" s="110" t="s">
        <v>63</v>
      </c>
      <c r="B378" s="133"/>
      <c r="C378" s="133"/>
      <c r="D378" s="133"/>
      <c r="E378" s="133"/>
      <c r="F378" s="134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>
      <c r="A379" s="110" t="s">
        <v>64</v>
      </c>
      <c r="B379" s="133"/>
      <c r="C379" s="133"/>
      <c r="D379" s="133"/>
      <c r="E379" s="133"/>
      <c r="F379" s="134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>
      <c r="A380" s="110" t="s">
        <v>65</v>
      </c>
      <c r="B380" s="133"/>
      <c r="C380" s="133"/>
      <c r="D380" s="133"/>
      <c r="E380" s="133"/>
      <c r="F380" s="134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>
      <c r="A381" s="110" t="s">
        <v>66</v>
      </c>
      <c r="B381" s="133"/>
      <c r="C381" s="133"/>
      <c r="D381" s="133"/>
      <c r="E381" s="133"/>
      <c r="F381" s="134"/>
      <c r="G381" s="29"/>
      <c r="H381" s="30"/>
      <c r="I381" s="30"/>
      <c r="J381" s="25"/>
      <c r="K381" s="26"/>
      <c r="L381" s="26"/>
    </row>
    <row r="382" spans="1:12">
      <c r="A382" s="148">
        <v>0.25</v>
      </c>
      <c r="B382" s="149"/>
      <c r="C382" s="149"/>
      <c r="D382" s="149"/>
      <c r="E382" s="149"/>
      <c r="F382" s="150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>
      <c r="A383" s="148">
        <v>0.5</v>
      </c>
      <c r="B383" s="149"/>
      <c r="C383" s="149"/>
      <c r="D383" s="149"/>
      <c r="E383" s="149"/>
      <c r="F383" s="150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>
      <c r="A384" s="151">
        <v>1</v>
      </c>
      <c r="B384" s="152"/>
      <c r="C384" s="152"/>
      <c r="D384" s="152"/>
      <c r="E384" s="152"/>
      <c r="F384" s="153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>
      <c r="A385" s="127" t="s">
        <v>67</v>
      </c>
      <c r="B385" s="128"/>
      <c r="C385" s="128"/>
      <c r="D385" s="128"/>
      <c r="E385" s="128"/>
      <c r="F385" s="129"/>
      <c r="G385" s="21"/>
      <c r="H385" s="22"/>
      <c r="I385" s="21">
        <f>SUM(I386:I387)</f>
        <v>0</v>
      </c>
      <c r="J385" s="21"/>
      <c r="K385" s="21"/>
      <c r="L385" s="21"/>
    </row>
    <row r="386" spans="1:12">
      <c r="A386" s="130" t="s">
        <v>68</v>
      </c>
      <c r="B386" s="131"/>
      <c r="C386" s="131"/>
      <c r="D386" s="131"/>
      <c r="E386" s="131"/>
      <c r="F386" s="132"/>
      <c r="G386" s="23">
        <f>(G363-A365)/360</f>
        <v>1.0166666666666666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>
      <c r="A387" s="145" t="s">
        <v>69</v>
      </c>
      <c r="B387" s="146"/>
      <c r="C387" s="146"/>
      <c r="D387" s="146"/>
      <c r="E387" s="146"/>
      <c r="F387" s="147"/>
      <c r="G387" s="23"/>
      <c r="H387" s="24"/>
      <c r="I387" s="23"/>
      <c r="J387" s="25"/>
      <c r="K387" s="26"/>
      <c r="L387" s="26"/>
    </row>
    <row r="388" spans="1:12">
      <c r="A388" s="127" t="s">
        <v>70</v>
      </c>
      <c r="B388" s="128"/>
      <c r="C388" s="128"/>
      <c r="D388" s="128"/>
      <c r="E388" s="128"/>
      <c r="F388" s="129"/>
      <c r="G388" s="21"/>
      <c r="H388" s="22"/>
      <c r="I388" s="21">
        <f>SUM(I389:I391)</f>
        <v>600</v>
      </c>
      <c r="J388" s="21"/>
      <c r="K388" s="21"/>
      <c r="L388" s="21"/>
    </row>
    <row r="389" spans="1:12">
      <c r="A389" s="130" t="s">
        <v>71</v>
      </c>
      <c r="B389" s="131"/>
      <c r="C389" s="131"/>
      <c r="D389" s="131"/>
      <c r="E389" s="131"/>
      <c r="F389" s="132"/>
      <c r="G389" s="23"/>
      <c r="H389" s="24"/>
      <c r="I389" s="23">
        <v>600</v>
      </c>
      <c r="J389" s="25"/>
      <c r="K389" s="26"/>
      <c r="L389" s="26"/>
    </row>
    <row r="390" spans="1:12">
      <c r="A390" s="110" t="s">
        <v>72</v>
      </c>
      <c r="B390" s="133"/>
      <c r="C390" s="133"/>
      <c r="D390" s="133"/>
      <c r="E390" s="133"/>
      <c r="F390" s="134"/>
      <c r="G390" s="23"/>
      <c r="H390" s="31">
        <v>0</v>
      </c>
      <c r="I390" s="23"/>
      <c r="J390" s="25"/>
      <c r="K390" s="26"/>
      <c r="L390" s="26"/>
    </row>
    <row r="391" spans="1:12">
      <c r="A391" s="145" t="s">
        <v>73</v>
      </c>
      <c r="B391" s="146"/>
      <c r="C391" s="146"/>
      <c r="D391" s="146"/>
      <c r="E391" s="146"/>
      <c r="F391" s="147"/>
      <c r="G391" s="23"/>
      <c r="H391" s="24"/>
      <c r="I391" s="23"/>
      <c r="J391" s="25"/>
      <c r="K391" s="26"/>
      <c r="L391" s="26"/>
    </row>
    <row r="392" spans="1:12">
      <c r="A392" s="111" t="s">
        <v>74</v>
      </c>
      <c r="B392" s="154"/>
      <c r="C392" s="154"/>
      <c r="D392" s="154"/>
      <c r="E392" s="154"/>
      <c r="F392" s="155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>
      <c r="A393" s="111" t="s">
        <v>75</v>
      </c>
      <c r="B393" s="154"/>
      <c r="C393" s="154"/>
      <c r="D393" s="154"/>
      <c r="E393" s="154"/>
      <c r="F393" s="155"/>
      <c r="G393" s="32"/>
      <c r="H393" s="33"/>
      <c r="I393" s="32">
        <f>I392-I388</f>
        <v>3665.6000000000004</v>
      </c>
      <c r="J393" s="33"/>
      <c r="K393" s="33"/>
      <c r="L393" s="33"/>
    </row>
    <row r="394" spans="1:12">
      <c r="A394" s="130" t="s">
        <v>76</v>
      </c>
      <c r="B394" s="131"/>
      <c r="C394" s="131"/>
      <c r="D394" s="131"/>
      <c r="E394" s="131"/>
      <c r="F394" s="132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>
      <c r="A395" s="110" t="s">
        <v>77</v>
      </c>
      <c r="B395" s="133"/>
      <c r="C395" s="133"/>
      <c r="D395" s="133"/>
      <c r="E395" s="133"/>
      <c r="F395" s="134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>
      <c r="A396" s="110" t="s">
        <v>78</v>
      </c>
      <c r="B396" s="133"/>
      <c r="C396" s="133"/>
      <c r="D396" s="133"/>
      <c r="E396" s="133"/>
      <c r="F396" s="134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>
      <c r="A397" s="110" t="s">
        <v>79</v>
      </c>
      <c r="B397" s="133"/>
      <c r="C397" s="133"/>
      <c r="D397" s="133"/>
      <c r="E397" s="133"/>
      <c r="F397" s="134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>
      <c r="A398" s="110" t="s">
        <v>80</v>
      </c>
      <c r="B398" s="133"/>
      <c r="C398" s="133"/>
      <c r="D398" s="133"/>
      <c r="E398" s="133"/>
      <c r="F398" s="134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>
      <c r="A399" s="110" t="s">
        <v>81</v>
      </c>
      <c r="B399" s="133"/>
      <c r="C399" s="133"/>
      <c r="D399" s="133"/>
      <c r="E399" s="133"/>
      <c r="F399" s="134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>
      <c r="A400" s="110" t="s">
        <v>24</v>
      </c>
      <c r="B400" s="133"/>
      <c r="C400" s="133"/>
      <c r="D400" s="133"/>
      <c r="E400" s="133"/>
      <c r="F400" s="134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>
      <c r="A401" s="110" t="s">
        <v>82</v>
      </c>
      <c r="B401" s="133"/>
      <c r="C401" s="133"/>
      <c r="D401" s="133"/>
      <c r="E401" s="133"/>
      <c r="F401" s="134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>
      <c r="A402" s="145" t="s">
        <v>83</v>
      </c>
      <c r="B402" s="146"/>
      <c r="C402" s="146"/>
      <c r="D402" s="146"/>
      <c r="E402" s="146"/>
      <c r="F402" s="147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>
      <c r="A403" s="127" t="s">
        <v>84</v>
      </c>
      <c r="B403" s="128"/>
      <c r="C403" s="128"/>
      <c r="D403" s="128"/>
      <c r="E403" s="128"/>
      <c r="F403" s="129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>
      <c r="A404" s="156" t="s">
        <v>85</v>
      </c>
      <c r="B404" s="157"/>
      <c r="C404" s="157"/>
      <c r="D404" s="157"/>
      <c r="E404" s="157"/>
      <c r="F404" s="158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>
      <c r="A405" s="111" t="s">
        <v>86</v>
      </c>
      <c r="B405" s="154"/>
      <c r="C405" s="154"/>
      <c r="D405" s="154"/>
      <c r="E405" s="154"/>
      <c r="F405" s="155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>
      <c r="A406" s="156" t="s">
        <v>87</v>
      </c>
      <c r="B406" s="157"/>
      <c r="C406" s="157"/>
      <c r="D406" s="157"/>
      <c r="E406" s="157"/>
      <c r="F406" s="158"/>
      <c r="G406" s="23"/>
      <c r="H406" s="34"/>
      <c r="I406" s="23">
        <f>H406*180/360</f>
        <v>0</v>
      </c>
      <c r="J406" s="23"/>
      <c r="K406" s="46"/>
      <c r="L406" s="47"/>
    </row>
    <row r="407" spans="1:12">
      <c r="A407" s="111" t="s">
        <v>115</v>
      </c>
      <c r="B407" s="154"/>
      <c r="C407" s="154"/>
      <c r="D407" s="154"/>
      <c r="E407" s="154"/>
      <c r="F407" s="155"/>
      <c r="G407" s="32"/>
      <c r="H407" s="33"/>
      <c r="I407" s="32">
        <f>I405-I406</f>
        <v>2685.4185600000001</v>
      </c>
      <c r="J407" s="33"/>
      <c r="K407" s="33"/>
      <c r="L407" s="33"/>
    </row>
    <row r="408" spans="1:12">
      <c r="A408" s="130" t="s">
        <v>89</v>
      </c>
      <c r="B408" s="131"/>
      <c r="C408" s="131"/>
      <c r="D408" s="131"/>
      <c r="E408" s="131"/>
      <c r="F408" s="132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>
      <c r="A409" s="145" t="s">
        <v>90</v>
      </c>
      <c r="B409" s="146"/>
      <c r="C409" s="146"/>
      <c r="D409" s="146"/>
      <c r="E409" s="146"/>
      <c r="F409" s="147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>
      <c r="A410" s="127" t="s">
        <v>91</v>
      </c>
      <c r="B410" s="128"/>
      <c r="C410" s="128"/>
      <c r="D410" s="128"/>
      <c r="E410" s="128"/>
      <c r="F410" s="129"/>
      <c r="G410" s="21"/>
      <c r="H410" s="22"/>
      <c r="I410" s="21"/>
      <c r="J410" s="21">
        <f>J408-J409</f>
        <v>18.541855999999996</v>
      </c>
      <c r="K410" s="21"/>
      <c r="L410" s="21"/>
    </row>
    <row r="411" spans="1:12">
      <c r="A411" s="130" t="s">
        <v>92</v>
      </c>
      <c r="B411" s="131"/>
      <c r="C411" s="131"/>
      <c r="D411" s="131"/>
      <c r="E411" s="131"/>
      <c r="F411" s="132"/>
      <c r="G411" s="25"/>
      <c r="H411" s="48"/>
      <c r="I411" s="47"/>
      <c r="J411" s="49">
        <v>0</v>
      </c>
      <c r="K411" s="46"/>
      <c r="L411" s="47"/>
    </row>
    <row r="412" spans="1:12">
      <c r="A412" s="110" t="s">
        <v>93</v>
      </c>
      <c r="B412" s="133"/>
      <c r="C412" s="133"/>
      <c r="D412" s="133"/>
      <c r="E412" s="133"/>
      <c r="F412" s="134"/>
      <c r="G412" s="25"/>
      <c r="H412" s="48"/>
      <c r="I412" s="44"/>
      <c r="J412" s="28">
        <v>0</v>
      </c>
      <c r="K412" s="46"/>
      <c r="L412" s="47"/>
    </row>
    <row r="413" spans="1:12">
      <c r="A413" s="145" t="s">
        <v>94</v>
      </c>
      <c r="B413" s="146"/>
      <c r="C413" s="146"/>
      <c r="D413" s="146"/>
      <c r="E413" s="146"/>
      <c r="F413" s="147"/>
      <c r="G413" s="41"/>
      <c r="H413" s="42"/>
      <c r="I413" s="28"/>
      <c r="J413" s="41"/>
      <c r="K413" s="43"/>
      <c r="L413" s="44"/>
    </row>
    <row r="414" spans="1:1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>
      <c r="A415" s="14" t="s">
        <v>95</v>
      </c>
      <c r="B415" s="14" t="s">
        <v>96</v>
      </c>
      <c r="C415" s="14" t="s">
        <v>97</v>
      </c>
      <c r="D415" s="115" t="s">
        <v>98</v>
      </c>
      <c r="E415" s="116"/>
      <c r="F415" s="117"/>
      <c r="G415" s="14" t="s">
        <v>99</v>
      </c>
      <c r="H415" s="50"/>
      <c r="I415" s="52">
        <f>I392+I413</f>
        <v>4265.6000000000004</v>
      </c>
      <c r="J415" s="52">
        <f>J403+J410+J411+J412</f>
        <v>265.60329600000006</v>
      </c>
      <c r="K415" s="14" t="s">
        <v>100</v>
      </c>
      <c r="L415" s="52">
        <f>L403</f>
        <v>846.38704000000007</v>
      </c>
    </row>
    <row r="416" spans="1:12">
      <c r="A416" s="52">
        <f>38390.4+I392</f>
        <v>42656</v>
      </c>
      <c r="B416" s="52">
        <f>32990.4+I393</f>
        <v>36656</v>
      </c>
      <c r="C416" s="52">
        <f>1477.98+J394</f>
        <v>1642.1988800000001</v>
      </c>
      <c r="D416" s="159">
        <f>166.87+J410</f>
        <v>185.411856</v>
      </c>
      <c r="E416" s="160"/>
      <c r="F416" s="161"/>
      <c r="G416" s="52">
        <f>36000+I415</f>
        <v>40265.599999999999</v>
      </c>
      <c r="H416" s="115" t="s">
        <v>101</v>
      </c>
      <c r="I416" s="117"/>
      <c r="J416" s="52">
        <f>I415-J415</f>
        <v>3999.9967040000001</v>
      </c>
      <c r="K416" s="14" t="s">
        <v>102</v>
      </c>
      <c r="L416" s="52">
        <f>8246.37+L415</f>
        <v>9092.7570400000004</v>
      </c>
    </row>
    <row r="417" spans="1:1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17"/>
  <sheetViews>
    <sheetView workbookViewId="0">
      <selection activeCell="G364" sqref="G364:L364"/>
    </sheetView>
  </sheetViews>
  <sheetFormatPr baseColWidth="10" defaultRowHeight="15"/>
  <sheetData>
    <row r="1" spans="1:12">
      <c r="A1" s="105" t="s">
        <v>26</v>
      </c>
      <c r="B1" s="105"/>
      <c r="C1" s="105" t="s">
        <v>27</v>
      </c>
      <c r="D1" s="105"/>
      <c r="E1" s="105"/>
      <c r="F1" s="105"/>
      <c r="G1" s="105" t="s">
        <v>28</v>
      </c>
      <c r="H1" s="105"/>
      <c r="I1" s="105"/>
      <c r="J1" s="105" t="s">
        <v>29</v>
      </c>
      <c r="K1" s="105"/>
      <c r="L1" s="105"/>
    </row>
    <row r="2" spans="1:12">
      <c r="A2" s="13" t="s">
        <v>30</v>
      </c>
      <c r="B2" s="104" t="s">
        <v>31</v>
      </c>
      <c r="C2" s="104"/>
      <c r="D2" s="104"/>
      <c r="E2" s="104"/>
      <c r="F2" s="104"/>
      <c r="G2" s="104" t="s">
        <v>32</v>
      </c>
      <c r="H2" s="104"/>
      <c r="I2" s="104"/>
      <c r="J2" s="104"/>
      <c r="K2" s="104"/>
      <c r="L2" s="104"/>
    </row>
    <row r="3" spans="1:12">
      <c r="A3" s="15">
        <v>1</v>
      </c>
      <c r="B3" s="102" t="s">
        <v>33</v>
      </c>
      <c r="C3" s="102"/>
      <c r="D3" s="102"/>
      <c r="E3" s="102"/>
      <c r="F3" s="102"/>
      <c r="G3" s="103">
        <v>42675</v>
      </c>
      <c r="H3" s="103"/>
      <c r="I3" s="103"/>
      <c r="J3" s="103">
        <v>42704</v>
      </c>
      <c r="K3" s="103"/>
      <c r="L3" s="103"/>
    </row>
    <row r="4" spans="1:12">
      <c r="A4" s="13" t="s">
        <v>34</v>
      </c>
      <c r="B4" s="13" t="s">
        <v>35</v>
      </c>
      <c r="C4" s="13" t="s">
        <v>36</v>
      </c>
      <c r="D4" s="13" t="s">
        <v>37</v>
      </c>
      <c r="E4" s="13" t="s">
        <v>38</v>
      </c>
      <c r="F4" s="13" t="s">
        <v>39</v>
      </c>
      <c r="G4" s="104" t="s">
        <v>40</v>
      </c>
      <c r="H4" s="104"/>
      <c r="I4" s="104"/>
      <c r="J4" s="104"/>
      <c r="K4" s="104"/>
      <c r="L4" s="104"/>
    </row>
    <row r="5" spans="1:12">
      <c r="A5" s="17">
        <v>41501</v>
      </c>
      <c r="B5" s="15"/>
      <c r="C5" s="17">
        <v>24624</v>
      </c>
      <c r="D5" s="15" t="s">
        <v>41</v>
      </c>
      <c r="E5" s="15">
        <v>0</v>
      </c>
      <c r="F5" s="15">
        <v>0</v>
      </c>
      <c r="G5" s="102"/>
      <c r="H5" s="102"/>
      <c r="I5" s="102"/>
      <c r="J5" s="102"/>
      <c r="K5" s="102"/>
      <c r="L5" s="102"/>
    </row>
    <row r="6" spans="1:12">
      <c r="A6" s="13" t="s">
        <v>42</v>
      </c>
      <c r="B6" s="13" t="s">
        <v>43</v>
      </c>
      <c r="C6" s="13" t="s">
        <v>44</v>
      </c>
      <c r="D6" s="104" t="s">
        <v>45</v>
      </c>
      <c r="E6" s="104"/>
      <c r="F6" s="104"/>
      <c r="G6" s="104" t="s">
        <v>46</v>
      </c>
      <c r="H6" s="104"/>
      <c r="I6" s="104"/>
      <c r="J6" s="104"/>
      <c r="K6" s="104"/>
      <c r="L6" s="104"/>
    </row>
    <row r="7" spans="1:12">
      <c r="A7" s="15">
        <v>189838836</v>
      </c>
      <c r="B7" s="15"/>
      <c r="C7" s="15"/>
      <c r="D7" s="102" t="s">
        <v>47</v>
      </c>
      <c r="E7" s="102"/>
      <c r="F7" s="102"/>
      <c r="G7" s="102" t="s">
        <v>48</v>
      </c>
      <c r="H7" s="102"/>
      <c r="I7" s="102"/>
      <c r="J7" s="102"/>
      <c r="K7" s="102"/>
      <c r="L7" s="102"/>
    </row>
    <row r="8" spans="1:1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108" t="s">
        <v>49</v>
      </c>
      <c r="B11" s="108"/>
      <c r="C11" s="108"/>
      <c r="D11" s="108"/>
      <c r="E11" s="108"/>
      <c r="F11" s="108"/>
      <c r="G11" s="108" t="s">
        <v>50</v>
      </c>
      <c r="H11" s="108" t="s">
        <v>51</v>
      </c>
      <c r="I11" s="108" t="s">
        <v>52</v>
      </c>
      <c r="J11" s="108"/>
      <c r="K11" s="108" t="s">
        <v>53</v>
      </c>
      <c r="L11" s="108"/>
    </row>
    <row r="12" spans="1:12">
      <c r="A12" s="108"/>
      <c r="B12" s="108"/>
      <c r="C12" s="108"/>
      <c r="D12" s="108"/>
      <c r="E12" s="108"/>
      <c r="F12" s="108"/>
      <c r="G12" s="108"/>
      <c r="H12" s="108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>
      <c r="A13" s="106" t="s">
        <v>58</v>
      </c>
      <c r="B13" s="106"/>
      <c r="C13" s="106"/>
      <c r="D13" s="106"/>
      <c r="E13" s="106"/>
      <c r="F13" s="106"/>
      <c r="G13" s="21">
        <v>12255.93</v>
      </c>
      <c r="H13" s="22"/>
      <c r="I13" s="21"/>
      <c r="J13" s="21"/>
      <c r="K13" s="21"/>
      <c r="L13" s="21"/>
    </row>
    <row r="14" spans="1:12">
      <c r="A14" s="106" t="s">
        <v>59</v>
      </c>
      <c r="B14" s="106"/>
      <c r="C14" s="106"/>
      <c r="D14" s="106"/>
      <c r="E14" s="106"/>
      <c r="F14" s="106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>
      <c r="A15" s="107" t="s">
        <v>60</v>
      </c>
      <c r="B15" s="107"/>
      <c r="C15" s="107"/>
      <c r="D15" s="107"/>
      <c r="E15" s="107"/>
      <c r="F15" s="107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>
      <c r="A16" s="107" t="s">
        <v>61</v>
      </c>
      <c r="B16" s="107"/>
      <c r="C16" s="107"/>
      <c r="D16" s="107"/>
      <c r="E16" s="107"/>
      <c r="F16" s="107"/>
      <c r="G16" s="23"/>
      <c r="H16" s="24">
        <v>0</v>
      </c>
      <c r="I16" s="23">
        <f>G13/26*H16</f>
        <v>0</v>
      </c>
      <c r="J16" s="25"/>
      <c r="K16" s="26"/>
      <c r="L16" s="26"/>
    </row>
    <row r="17" spans="1:12">
      <c r="A17" s="107" t="s">
        <v>62</v>
      </c>
      <c r="B17" s="107"/>
      <c r="C17" s="107"/>
      <c r="D17" s="107"/>
      <c r="E17" s="107"/>
      <c r="F17" s="107"/>
      <c r="G17" s="23"/>
      <c r="H17" s="24">
        <v>0</v>
      </c>
      <c r="I17" s="23"/>
      <c r="J17" s="27">
        <f>G13/26*H17</f>
        <v>0</v>
      </c>
      <c r="K17" s="26"/>
      <c r="L17" s="26"/>
    </row>
    <row r="18" spans="1:12">
      <c r="A18" s="107" t="s">
        <v>63</v>
      </c>
      <c r="B18" s="107"/>
      <c r="C18" s="107"/>
      <c r="D18" s="107"/>
      <c r="E18" s="107"/>
      <c r="F18" s="107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>
      <c r="A19" s="107" t="s">
        <v>64</v>
      </c>
      <c r="B19" s="107"/>
      <c r="C19" s="107"/>
      <c r="D19" s="107"/>
      <c r="E19" s="107"/>
      <c r="F19" s="107"/>
      <c r="G19" s="23"/>
      <c r="H19" s="24">
        <v>0</v>
      </c>
      <c r="I19" s="23">
        <f>G13/26*H19</f>
        <v>0</v>
      </c>
      <c r="J19" s="25"/>
      <c r="K19" s="26"/>
      <c r="L19" s="26"/>
    </row>
    <row r="20" spans="1:12">
      <c r="A20" s="107" t="s">
        <v>65</v>
      </c>
      <c r="B20" s="107"/>
      <c r="C20" s="107"/>
      <c r="D20" s="107"/>
      <c r="E20" s="107"/>
      <c r="F20" s="107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>
      <c r="A21" s="107" t="s">
        <v>66</v>
      </c>
      <c r="B21" s="107"/>
      <c r="C21" s="107"/>
      <c r="D21" s="107"/>
      <c r="E21" s="107"/>
      <c r="F21" s="107"/>
      <c r="G21" s="29"/>
      <c r="H21" s="30"/>
      <c r="I21" s="30"/>
      <c r="J21" s="25"/>
      <c r="K21" s="26"/>
      <c r="L21" s="26"/>
    </row>
    <row r="22" spans="1:12">
      <c r="A22" s="109">
        <v>0.25</v>
      </c>
      <c r="B22" s="109"/>
      <c r="C22" s="109"/>
      <c r="D22" s="109"/>
      <c r="E22" s="109"/>
      <c r="F22" s="109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>
      <c r="A23" s="109">
        <v>0.5</v>
      </c>
      <c r="B23" s="109"/>
      <c r="C23" s="109"/>
      <c r="D23" s="109"/>
      <c r="E23" s="109"/>
      <c r="F23" s="109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>
      <c r="A24" s="109">
        <v>1</v>
      </c>
      <c r="B24" s="109"/>
      <c r="C24" s="109"/>
      <c r="D24" s="109"/>
      <c r="E24" s="109"/>
      <c r="F24" s="109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>
      <c r="A25" s="106" t="s">
        <v>67</v>
      </c>
      <c r="B25" s="106"/>
      <c r="C25" s="106"/>
      <c r="D25" s="106"/>
      <c r="E25" s="106"/>
      <c r="F25" s="106"/>
      <c r="G25" s="21"/>
      <c r="H25" s="22"/>
      <c r="I25" s="21">
        <f>SUM(I26:I27)</f>
        <v>612.79650000000004</v>
      </c>
      <c r="J25" s="21"/>
      <c r="K25" s="21"/>
      <c r="L25" s="21"/>
    </row>
    <row r="26" spans="1:12">
      <c r="A26" s="107" t="s">
        <v>68</v>
      </c>
      <c r="B26" s="107"/>
      <c r="C26" s="107"/>
      <c r="D26" s="107"/>
      <c r="E26" s="107"/>
      <c r="F26" s="107"/>
      <c r="G26" s="23">
        <f>(G3-A5)/360</f>
        <v>3.2611111111111111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>
      <c r="A27" s="107" t="s">
        <v>69</v>
      </c>
      <c r="B27" s="107"/>
      <c r="C27" s="107"/>
      <c r="D27" s="107"/>
      <c r="E27" s="107"/>
      <c r="F27" s="107"/>
      <c r="G27" s="23"/>
      <c r="H27" s="24"/>
      <c r="I27" s="23"/>
      <c r="J27" s="25"/>
      <c r="K27" s="26"/>
      <c r="L27" s="26"/>
    </row>
    <row r="28" spans="1:12">
      <c r="A28" s="106" t="s">
        <v>70</v>
      </c>
      <c r="B28" s="106"/>
      <c r="C28" s="106"/>
      <c r="D28" s="106"/>
      <c r="E28" s="106"/>
      <c r="F28" s="106"/>
      <c r="G28" s="21"/>
      <c r="H28" s="22"/>
      <c r="I28" s="21">
        <f>SUM(I29:I31)</f>
        <v>5000</v>
      </c>
      <c r="J28" s="21"/>
      <c r="K28" s="21"/>
      <c r="L28" s="21"/>
    </row>
    <row r="29" spans="1:12">
      <c r="A29" s="107" t="s">
        <v>71</v>
      </c>
      <c r="B29" s="107"/>
      <c r="C29" s="107"/>
      <c r="D29" s="107"/>
      <c r="E29" s="107"/>
      <c r="F29" s="107"/>
      <c r="G29" s="23"/>
      <c r="H29" s="24"/>
      <c r="I29" s="23">
        <v>2500</v>
      </c>
      <c r="J29" s="25"/>
      <c r="K29" s="26"/>
      <c r="L29" s="26"/>
    </row>
    <row r="30" spans="1:12">
      <c r="A30" s="107" t="s">
        <v>72</v>
      </c>
      <c r="B30" s="107"/>
      <c r="C30" s="107"/>
      <c r="D30" s="107"/>
      <c r="E30" s="107"/>
      <c r="F30" s="107"/>
      <c r="G30" s="23"/>
      <c r="H30" s="31">
        <v>0</v>
      </c>
      <c r="I30" s="23">
        <v>2500</v>
      </c>
      <c r="J30" s="25"/>
      <c r="K30" s="26"/>
      <c r="L30" s="26"/>
    </row>
    <row r="31" spans="1:12">
      <c r="A31" s="107" t="s">
        <v>73</v>
      </c>
      <c r="B31" s="107"/>
      <c r="C31" s="107"/>
      <c r="D31" s="107"/>
      <c r="E31" s="107"/>
      <c r="F31" s="107"/>
      <c r="G31" s="23"/>
      <c r="H31" s="24"/>
      <c r="I31" s="23"/>
      <c r="J31" s="25"/>
      <c r="K31" s="26"/>
      <c r="L31" s="26"/>
    </row>
    <row r="32" spans="1:12">
      <c r="A32" s="111" t="s">
        <v>74</v>
      </c>
      <c r="B32" s="111"/>
      <c r="C32" s="111"/>
      <c r="D32" s="111"/>
      <c r="E32" s="111"/>
      <c r="F32" s="111"/>
      <c r="G32" s="32"/>
      <c r="H32" s="33"/>
      <c r="I32" s="32">
        <f>I14+I25+I28</f>
        <v>17868.726500000001</v>
      </c>
      <c r="J32" s="33"/>
      <c r="K32" s="33"/>
      <c r="L32" s="33"/>
    </row>
    <row r="33" spans="1:12">
      <c r="A33" s="111" t="s">
        <v>75</v>
      </c>
      <c r="B33" s="111"/>
      <c r="C33" s="111"/>
      <c r="D33" s="111"/>
      <c r="E33" s="111"/>
      <c r="F33" s="111"/>
      <c r="G33" s="32"/>
      <c r="H33" s="33"/>
      <c r="I33" s="32">
        <f>I32-I28</f>
        <v>12868.726500000001</v>
      </c>
      <c r="J33" s="33"/>
      <c r="K33" s="33"/>
      <c r="L33" s="33"/>
    </row>
    <row r="34" spans="1:12">
      <c r="A34" s="107" t="s">
        <v>76</v>
      </c>
      <c r="B34" s="107"/>
      <c r="C34" s="107"/>
      <c r="D34" s="107"/>
      <c r="E34" s="107"/>
      <c r="F34" s="107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>
      <c r="A35" s="107" t="s">
        <v>77</v>
      </c>
      <c r="B35" s="107"/>
      <c r="C35" s="107"/>
      <c r="D35" s="107"/>
      <c r="E35" s="107"/>
      <c r="F35" s="107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>
      <c r="A36" s="107" t="s">
        <v>78</v>
      </c>
      <c r="B36" s="107"/>
      <c r="C36" s="107"/>
      <c r="D36" s="107"/>
      <c r="E36" s="107"/>
      <c r="F36" s="107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>
      <c r="A37" s="107" t="s">
        <v>79</v>
      </c>
      <c r="B37" s="107"/>
      <c r="C37" s="107"/>
      <c r="D37" s="107"/>
      <c r="E37" s="107"/>
      <c r="F37" s="107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>
      <c r="A38" s="107" t="s">
        <v>80</v>
      </c>
      <c r="B38" s="107"/>
      <c r="C38" s="107"/>
      <c r="D38" s="107"/>
      <c r="E38" s="107"/>
      <c r="F38" s="107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>
      <c r="A39" s="107" t="s">
        <v>81</v>
      </c>
      <c r="B39" s="107"/>
      <c r="C39" s="107"/>
      <c r="D39" s="107"/>
      <c r="E39" s="107"/>
      <c r="F39" s="107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>
      <c r="A40" s="107" t="s">
        <v>24</v>
      </c>
      <c r="B40" s="107"/>
      <c r="C40" s="107"/>
      <c r="D40" s="107"/>
      <c r="E40" s="107"/>
      <c r="F40" s="107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>
      <c r="A41" s="110" t="s">
        <v>82</v>
      </c>
      <c r="B41" s="110"/>
      <c r="C41" s="110"/>
      <c r="D41" s="110"/>
      <c r="E41" s="110"/>
      <c r="F41" s="110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>
      <c r="A42" s="110" t="s">
        <v>83</v>
      </c>
      <c r="B42" s="110"/>
      <c r="C42" s="110"/>
      <c r="D42" s="110"/>
      <c r="E42" s="110"/>
      <c r="F42" s="110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>
      <c r="A43" s="106" t="s">
        <v>84</v>
      </c>
      <c r="B43" s="106"/>
      <c r="C43" s="106"/>
      <c r="D43" s="106"/>
      <c r="E43" s="106"/>
      <c r="F43" s="106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>
      <c r="A44" s="107" t="s">
        <v>85</v>
      </c>
      <c r="B44" s="107"/>
      <c r="C44" s="107"/>
      <c r="D44" s="107"/>
      <c r="E44" s="107"/>
      <c r="F44" s="107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>
      <c r="A45" s="111" t="s">
        <v>86</v>
      </c>
      <c r="B45" s="111"/>
      <c r="C45" s="111"/>
      <c r="D45" s="111"/>
      <c r="E45" s="111"/>
      <c r="F45" s="111"/>
      <c r="G45" s="32"/>
      <c r="H45" s="33"/>
      <c r="I45" s="32">
        <f>I33-J43-J44</f>
        <v>9423.0314861000006</v>
      </c>
      <c r="J45" s="33"/>
      <c r="K45" s="33"/>
      <c r="L45" s="33"/>
    </row>
    <row r="46" spans="1:12">
      <c r="A46" s="107" t="s">
        <v>87</v>
      </c>
      <c r="B46" s="107"/>
      <c r="C46" s="107"/>
      <c r="D46" s="107"/>
      <c r="E46" s="107"/>
      <c r="F46" s="107"/>
      <c r="G46" s="23"/>
      <c r="H46" s="34"/>
      <c r="I46" s="23">
        <f>H46*180/360</f>
        <v>0</v>
      </c>
      <c r="J46" s="23"/>
      <c r="K46" s="46"/>
      <c r="L46" s="47"/>
    </row>
    <row r="47" spans="1:12">
      <c r="A47" s="111" t="s">
        <v>88</v>
      </c>
      <c r="B47" s="111"/>
      <c r="C47" s="111"/>
      <c r="D47" s="111"/>
      <c r="E47" s="111"/>
      <c r="F47" s="111"/>
      <c r="G47" s="32"/>
      <c r="H47" s="33"/>
      <c r="I47" s="32">
        <f>I45-I46</f>
        <v>9423.0314861000006</v>
      </c>
      <c r="J47" s="33"/>
      <c r="K47" s="33"/>
      <c r="L47" s="33"/>
    </row>
    <row r="48" spans="1:12">
      <c r="A48" s="107" t="s">
        <v>89</v>
      </c>
      <c r="B48" s="107"/>
      <c r="C48" s="107"/>
      <c r="D48" s="107"/>
      <c r="E48" s="107"/>
      <c r="F48" s="107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>
      <c r="A49" s="107" t="s">
        <v>90</v>
      </c>
      <c r="B49" s="107"/>
      <c r="C49" s="107"/>
      <c r="D49" s="107"/>
      <c r="E49" s="107"/>
      <c r="F49" s="107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>
      <c r="A50" s="106" t="s">
        <v>91</v>
      </c>
      <c r="B50" s="106"/>
      <c r="C50" s="106"/>
      <c r="D50" s="106"/>
      <c r="E50" s="106"/>
      <c r="F50" s="106"/>
      <c r="G50" s="21"/>
      <c r="H50" s="22"/>
      <c r="I50" s="21"/>
      <c r="J50" s="21">
        <f>J48-J49</f>
        <v>1770.4973719406673</v>
      </c>
      <c r="K50" s="21"/>
      <c r="L50" s="21"/>
    </row>
    <row r="51" spans="1:12">
      <c r="A51" s="112" t="s">
        <v>92</v>
      </c>
      <c r="B51" s="112"/>
      <c r="C51" s="112"/>
      <c r="D51" s="112"/>
      <c r="E51" s="112"/>
      <c r="F51" s="112"/>
      <c r="G51" s="25"/>
      <c r="H51" s="48"/>
      <c r="I51" s="47"/>
      <c r="J51" s="49">
        <v>0</v>
      </c>
      <c r="K51" s="46"/>
      <c r="L51" s="47"/>
    </row>
    <row r="52" spans="1:12">
      <c r="A52" s="107" t="s">
        <v>93</v>
      </c>
      <c r="B52" s="107"/>
      <c r="C52" s="107"/>
      <c r="D52" s="107"/>
      <c r="E52" s="107"/>
      <c r="F52" s="107"/>
      <c r="G52" s="25"/>
      <c r="H52" s="48"/>
      <c r="I52" s="44"/>
      <c r="J52" s="28">
        <v>0</v>
      </c>
      <c r="K52" s="46"/>
      <c r="L52" s="47"/>
    </row>
    <row r="53" spans="1:12">
      <c r="A53" s="113" t="s">
        <v>94</v>
      </c>
      <c r="B53" s="113"/>
      <c r="C53" s="113"/>
      <c r="D53" s="113"/>
      <c r="E53" s="113"/>
      <c r="F53" s="113"/>
      <c r="G53" s="41"/>
      <c r="H53" s="42"/>
      <c r="I53" s="28">
        <f>1-0.53</f>
        <v>0.47</v>
      </c>
      <c r="J53" s="41"/>
      <c r="K53" s="43"/>
      <c r="L53" s="44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13" t="s">
        <v>95</v>
      </c>
      <c r="B55" s="13" t="s">
        <v>96</v>
      </c>
      <c r="C55" s="13" t="s">
        <v>97</v>
      </c>
      <c r="D55" s="104" t="s">
        <v>98</v>
      </c>
      <c r="E55" s="104"/>
      <c r="F55" s="104"/>
      <c r="G55" s="13" t="s">
        <v>99</v>
      </c>
      <c r="H55" s="50"/>
      <c r="I55" s="51">
        <f>I32+I53</f>
        <v>17869.196500000002</v>
      </c>
      <c r="J55" s="51">
        <f>J43+J50+J51+J52</f>
        <v>2716.1923858406672</v>
      </c>
      <c r="K55" s="13" t="s">
        <v>100</v>
      </c>
      <c r="L55" s="51">
        <f>L43</f>
        <v>2354.57730915</v>
      </c>
    </row>
    <row r="56" spans="1:12">
      <c r="A56" s="51">
        <f>156411.11+I32</f>
        <v>174279.83649999998</v>
      </c>
      <c r="B56" s="51">
        <f>111411.11+I33</f>
        <v>124279.8365</v>
      </c>
      <c r="C56" s="51">
        <f>2419.2+J34</f>
        <v>2688</v>
      </c>
      <c r="D56" s="114">
        <f>14978.83+J50</f>
        <v>16749.327371940668</v>
      </c>
      <c r="E56" s="114"/>
      <c r="F56" s="114"/>
      <c r="G56" s="51">
        <f>133157+I55</f>
        <v>151026.19649999999</v>
      </c>
      <c r="H56" s="104" t="s">
        <v>101</v>
      </c>
      <c r="I56" s="104"/>
      <c r="J56" s="51">
        <f>I55-J55</f>
        <v>15153.004114159336</v>
      </c>
      <c r="K56" s="13" t="s">
        <v>102</v>
      </c>
      <c r="L56" s="51">
        <f>20499.47+L55</f>
        <v>22854.047309150003</v>
      </c>
    </row>
    <row r="57" spans="1:1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>
      <c r="A61" s="105" t="s">
        <v>26</v>
      </c>
      <c r="B61" s="105"/>
      <c r="C61" s="105" t="s">
        <v>27</v>
      </c>
      <c r="D61" s="105"/>
      <c r="E61" s="105"/>
      <c r="F61" s="105"/>
      <c r="G61" s="105" t="s">
        <v>28</v>
      </c>
      <c r="H61" s="105"/>
      <c r="I61" s="105"/>
      <c r="J61" s="105" t="s">
        <v>29</v>
      </c>
      <c r="K61" s="105"/>
      <c r="L61" s="105"/>
    </row>
    <row r="62" spans="1:12">
      <c r="A62" s="14" t="s">
        <v>30</v>
      </c>
      <c r="B62" s="104" t="s">
        <v>31</v>
      </c>
      <c r="C62" s="104"/>
      <c r="D62" s="104"/>
      <c r="E62" s="104"/>
      <c r="F62" s="104"/>
      <c r="G62" s="104" t="s">
        <v>32</v>
      </c>
      <c r="H62" s="104"/>
      <c r="I62" s="104"/>
      <c r="J62" s="104"/>
      <c r="K62" s="104"/>
      <c r="L62" s="104"/>
    </row>
    <row r="63" spans="1:12">
      <c r="A63" s="16">
        <v>3</v>
      </c>
      <c r="B63" s="102" t="s">
        <v>104</v>
      </c>
      <c r="C63" s="102"/>
      <c r="D63" s="102"/>
      <c r="E63" s="102"/>
      <c r="F63" s="102"/>
      <c r="G63" s="103">
        <v>42675</v>
      </c>
      <c r="H63" s="103"/>
      <c r="I63" s="103"/>
      <c r="J63" s="103">
        <v>42704</v>
      </c>
      <c r="K63" s="103"/>
      <c r="L63" s="103"/>
    </row>
    <row r="64" spans="1:12">
      <c r="A64" s="14" t="s">
        <v>34</v>
      </c>
      <c r="B64" s="14" t="s">
        <v>35</v>
      </c>
      <c r="C64" s="14" t="s">
        <v>36</v>
      </c>
      <c r="D64" s="14" t="s">
        <v>37</v>
      </c>
      <c r="E64" s="14" t="s">
        <v>38</v>
      </c>
      <c r="F64" s="14" t="s">
        <v>39</v>
      </c>
      <c r="G64" s="104" t="s">
        <v>40</v>
      </c>
      <c r="H64" s="104"/>
      <c r="I64" s="104"/>
      <c r="J64" s="104"/>
      <c r="K64" s="104"/>
      <c r="L64" s="104"/>
    </row>
    <row r="65" spans="1:12">
      <c r="A65" s="17">
        <v>41791</v>
      </c>
      <c r="B65" s="16"/>
      <c r="C65" s="17">
        <v>24557</v>
      </c>
      <c r="D65" s="16" t="s">
        <v>41</v>
      </c>
      <c r="E65" s="16">
        <v>0</v>
      </c>
      <c r="F65" s="16">
        <v>0</v>
      </c>
      <c r="G65" s="102"/>
      <c r="H65" s="102"/>
      <c r="I65" s="102"/>
      <c r="J65" s="102"/>
      <c r="K65" s="102"/>
      <c r="L65" s="102"/>
    </row>
    <row r="66" spans="1:12">
      <c r="A66" s="14" t="s">
        <v>42</v>
      </c>
      <c r="B66" s="14" t="s">
        <v>43</v>
      </c>
      <c r="C66" s="14" t="s">
        <v>44</v>
      </c>
      <c r="D66" s="104" t="s">
        <v>45</v>
      </c>
      <c r="E66" s="104"/>
      <c r="F66" s="104"/>
      <c r="G66" s="104" t="s">
        <v>46</v>
      </c>
      <c r="H66" s="104"/>
      <c r="I66" s="104"/>
      <c r="J66" s="104"/>
      <c r="K66" s="104"/>
      <c r="L66" s="104"/>
    </row>
    <row r="67" spans="1:12">
      <c r="A67" s="16">
        <v>141034737</v>
      </c>
      <c r="B67" s="16"/>
      <c r="C67" s="16"/>
      <c r="D67" s="102" t="s">
        <v>47</v>
      </c>
      <c r="E67" s="102"/>
      <c r="F67" s="102"/>
      <c r="G67" s="102" t="s">
        <v>105</v>
      </c>
      <c r="H67" s="102"/>
      <c r="I67" s="102"/>
      <c r="J67" s="102"/>
      <c r="K67" s="102"/>
      <c r="L67" s="102"/>
    </row>
    <row r="68" spans="1:1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>
      <c r="A71" s="108" t="s">
        <v>49</v>
      </c>
      <c r="B71" s="108"/>
      <c r="C71" s="108"/>
      <c r="D71" s="108"/>
      <c r="E71" s="108"/>
      <c r="F71" s="108"/>
      <c r="G71" s="108" t="s">
        <v>50</v>
      </c>
      <c r="H71" s="108" t="s">
        <v>51</v>
      </c>
      <c r="I71" s="108" t="s">
        <v>52</v>
      </c>
      <c r="J71" s="108"/>
      <c r="K71" s="108" t="s">
        <v>53</v>
      </c>
      <c r="L71" s="108"/>
    </row>
    <row r="72" spans="1:12">
      <c r="A72" s="108"/>
      <c r="B72" s="108"/>
      <c r="C72" s="108"/>
      <c r="D72" s="108"/>
      <c r="E72" s="108"/>
      <c r="F72" s="108"/>
      <c r="G72" s="108"/>
      <c r="H72" s="108"/>
      <c r="I72" s="20" t="s">
        <v>54</v>
      </c>
      <c r="J72" s="20" t="s">
        <v>55</v>
      </c>
      <c r="K72" s="20" t="s">
        <v>56</v>
      </c>
      <c r="L72" s="20" t="s">
        <v>57</v>
      </c>
    </row>
    <row r="73" spans="1:12">
      <c r="A73" s="106" t="s">
        <v>58</v>
      </c>
      <c r="B73" s="106"/>
      <c r="C73" s="106"/>
      <c r="D73" s="106"/>
      <c r="E73" s="106"/>
      <c r="F73" s="106"/>
      <c r="G73" s="21">
        <v>100000</v>
      </c>
      <c r="H73" s="22"/>
      <c r="I73" s="21"/>
      <c r="J73" s="21"/>
      <c r="K73" s="21"/>
      <c r="L73" s="21"/>
    </row>
    <row r="74" spans="1:12">
      <c r="A74" s="106" t="s">
        <v>59</v>
      </c>
      <c r="B74" s="106"/>
      <c r="C74" s="106"/>
      <c r="D74" s="106"/>
      <c r="E74" s="106"/>
      <c r="F74" s="106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>
      <c r="A75" s="107" t="s">
        <v>60</v>
      </c>
      <c r="B75" s="107"/>
      <c r="C75" s="107"/>
      <c r="D75" s="107"/>
      <c r="E75" s="107"/>
      <c r="F75" s="107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>
      <c r="A76" s="107" t="s">
        <v>61</v>
      </c>
      <c r="B76" s="107"/>
      <c r="C76" s="107"/>
      <c r="D76" s="107"/>
      <c r="E76" s="107"/>
      <c r="F76" s="107"/>
      <c r="G76" s="23"/>
      <c r="H76" s="24">
        <v>0</v>
      </c>
      <c r="I76" s="23">
        <f>G73/26*H76</f>
        <v>0</v>
      </c>
      <c r="J76" s="25"/>
      <c r="K76" s="26"/>
      <c r="L76" s="26"/>
    </row>
    <row r="77" spans="1:12">
      <c r="A77" s="107" t="s">
        <v>62</v>
      </c>
      <c r="B77" s="107"/>
      <c r="C77" s="107"/>
      <c r="D77" s="107"/>
      <c r="E77" s="107"/>
      <c r="F77" s="107"/>
      <c r="G77" s="23"/>
      <c r="H77" s="24">
        <v>0</v>
      </c>
      <c r="I77" s="23"/>
      <c r="J77" s="27">
        <f>G73/26*H77</f>
        <v>0</v>
      </c>
      <c r="K77" s="26"/>
      <c r="L77" s="26"/>
    </row>
    <row r="78" spans="1:12">
      <c r="A78" s="107" t="s">
        <v>63</v>
      </c>
      <c r="B78" s="107"/>
      <c r="C78" s="107"/>
      <c r="D78" s="107"/>
      <c r="E78" s="107"/>
      <c r="F78" s="107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>
      <c r="A79" s="107" t="s">
        <v>64</v>
      </c>
      <c r="B79" s="107"/>
      <c r="C79" s="107"/>
      <c r="D79" s="107"/>
      <c r="E79" s="107"/>
      <c r="F79" s="107"/>
      <c r="G79" s="23"/>
      <c r="H79" s="24">
        <v>0</v>
      </c>
      <c r="I79" s="23">
        <f>G73/26*H79</f>
        <v>0</v>
      </c>
      <c r="J79" s="25"/>
      <c r="K79" s="26"/>
      <c r="L79" s="26"/>
    </row>
    <row r="80" spans="1:12">
      <c r="A80" s="107" t="s">
        <v>65</v>
      </c>
      <c r="B80" s="107"/>
      <c r="C80" s="107"/>
      <c r="D80" s="107"/>
      <c r="E80" s="107"/>
      <c r="F80" s="107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>
      <c r="A81" s="107" t="s">
        <v>66</v>
      </c>
      <c r="B81" s="107"/>
      <c r="C81" s="107"/>
      <c r="D81" s="107"/>
      <c r="E81" s="107"/>
      <c r="F81" s="107"/>
      <c r="G81" s="29"/>
      <c r="H81" s="30"/>
      <c r="I81" s="30"/>
      <c r="J81" s="25"/>
      <c r="K81" s="26"/>
      <c r="L81" s="26"/>
    </row>
    <row r="82" spans="1:12">
      <c r="A82" s="109">
        <v>0.25</v>
      </c>
      <c r="B82" s="109"/>
      <c r="C82" s="109"/>
      <c r="D82" s="109"/>
      <c r="E82" s="109"/>
      <c r="F82" s="109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>
      <c r="A83" s="109">
        <v>0.5</v>
      </c>
      <c r="B83" s="109"/>
      <c r="C83" s="109"/>
      <c r="D83" s="109"/>
      <c r="E83" s="109"/>
      <c r="F83" s="109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>
      <c r="A84" s="109">
        <v>1</v>
      </c>
      <c r="B84" s="109"/>
      <c r="C84" s="109"/>
      <c r="D84" s="109"/>
      <c r="E84" s="109"/>
      <c r="F84" s="109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>
      <c r="A85" s="106" t="s">
        <v>67</v>
      </c>
      <c r="B85" s="106"/>
      <c r="C85" s="106"/>
      <c r="D85" s="106"/>
      <c r="E85" s="106"/>
      <c r="F85" s="106"/>
      <c r="G85" s="21"/>
      <c r="H85" s="22"/>
      <c r="I85" s="21">
        <f>SUM(I86:I87)</f>
        <v>5000</v>
      </c>
      <c r="J85" s="21"/>
      <c r="K85" s="21"/>
      <c r="L85" s="21"/>
    </row>
    <row r="86" spans="1:12">
      <c r="A86" s="107" t="s">
        <v>68</v>
      </c>
      <c r="B86" s="107"/>
      <c r="C86" s="107"/>
      <c r="D86" s="107"/>
      <c r="E86" s="107"/>
      <c r="F86" s="107"/>
      <c r="G86" s="23">
        <f>(G63-A65)/360</f>
        <v>2.4555555555555557</v>
      </c>
      <c r="H86" s="31">
        <f>IF(G86&lt;2,0,IF(AND(G86&gt;2,G86&lt;5),[1]Taux!A$33,IF(AND(G86&lt;12,G86&gt;5),[1]Taux!A$34,IF(AND(G86&gt;12,G86&lt;20),[1]Taux!A$35,IF(AND(G86&lt;25,G86&gt;20),[1]Taux!A$36,IF(G86&gt;25,[1]Taux!A$37))))))</f>
        <v>0.05</v>
      </c>
      <c r="I86" s="23">
        <f>I74*H86</f>
        <v>5000</v>
      </c>
      <c r="J86" s="25"/>
      <c r="K86" s="26"/>
      <c r="L86" s="26"/>
    </row>
    <row r="87" spans="1:12">
      <c r="A87" s="107" t="s">
        <v>69</v>
      </c>
      <c r="B87" s="107"/>
      <c r="C87" s="107"/>
      <c r="D87" s="107"/>
      <c r="E87" s="107"/>
      <c r="F87" s="107"/>
      <c r="G87" s="23"/>
      <c r="H87" s="24"/>
      <c r="I87" s="23"/>
      <c r="J87" s="25"/>
      <c r="K87" s="26"/>
      <c r="L87" s="26"/>
    </row>
    <row r="88" spans="1:12">
      <c r="A88" s="106" t="s">
        <v>70</v>
      </c>
      <c r="B88" s="106"/>
      <c r="C88" s="106"/>
      <c r="D88" s="106"/>
      <c r="E88" s="106"/>
      <c r="F88" s="106"/>
      <c r="G88" s="21"/>
      <c r="H88" s="22"/>
      <c r="I88" s="21">
        <f>SUM(I89:I91)</f>
        <v>6000</v>
      </c>
      <c r="J88" s="21"/>
      <c r="K88" s="21"/>
      <c r="L88" s="21"/>
    </row>
    <row r="89" spans="1:12">
      <c r="A89" s="107" t="s">
        <v>71</v>
      </c>
      <c r="B89" s="107"/>
      <c r="C89" s="107"/>
      <c r="D89" s="107"/>
      <c r="E89" s="107"/>
      <c r="F89" s="107"/>
      <c r="G89" s="23"/>
      <c r="H89" s="24"/>
      <c r="I89" s="23">
        <v>3000</v>
      </c>
      <c r="J89" s="25"/>
      <c r="K89" s="26"/>
      <c r="L89" s="26"/>
    </row>
    <row r="90" spans="1:12">
      <c r="A90" s="107" t="s">
        <v>72</v>
      </c>
      <c r="B90" s="107"/>
      <c r="C90" s="107"/>
      <c r="D90" s="107"/>
      <c r="E90" s="107"/>
      <c r="F90" s="107"/>
      <c r="G90" s="23"/>
      <c r="H90" s="31"/>
      <c r="I90" s="23">
        <v>3000</v>
      </c>
      <c r="J90" s="25"/>
      <c r="K90" s="26"/>
      <c r="L90" s="26"/>
    </row>
    <row r="91" spans="1:12">
      <c r="A91" s="107" t="s">
        <v>73</v>
      </c>
      <c r="B91" s="107"/>
      <c r="C91" s="107"/>
      <c r="D91" s="107"/>
      <c r="E91" s="107"/>
      <c r="F91" s="107"/>
      <c r="G91" s="23"/>
      <c r="H91" s="24"/>
      <c r="I91" s="23"/>
      <c r="J91" s="25"/>
      <c r="K91" s="26"/>
      <c r="L91" s="26"/>
    </row>
    <row r="92" spans="1:12">
      <c r="A92" s="111" t="s">
        <v>74</v>
      </c>
      <c r="B92" s="111"/>
      <c r="C92" s="111"/>
      <c r="D92" s="111"/>
      <c r="E92" s="111"/>
      <c r="F92" s="111"/>
      <c r="G92" s="32"/>
      <c r="H92" s="33"/>
      <c r="I92" s="32">
        <f>I74+I85+I88</f>
        <v>111000</v>
      </c>
      <c r="J92" s="33"/>
      <c r="K92" s="33"/>
      <c r="L92" s="33"/>
    </row>
    <row r="93" spans="1:12">
      <c r="A93" s="111" t="s">
        <v>75</v>
      </c>
      <c r="B93" s="111"/>
      <c r="C93" s="111"/>
      <c r="D93" s="111"/>
      <c r="E93" s="111"/>
      <c r="F93" s="111"/>
      <c r="G93" s="32"/>
      <c r="H93" s="33"/>
      <c r="I93" s="32">
        <f>I92-I88</f>
        <v>105000</v>
      </c>
      <c r="J93" s="33"/>
      <c r="K93" s="33"/>
      <c r="L93" s="33"/>
    </row>
    <row r="94" spans="1:12">
      <c r="A94" s="107" t="s">
        <v>76</v>
      </c>
      <c r="B94" s="107"/>
      <c r="C94" s="107"/>
      <c r="D94" s="107"/>
      <c r="E94" s="107"/>
      <c r="F94" s="107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>
      <c r="A95" s="107" t="s">
        <v>77</v>
      </c>
      <c r="B95" s="107"/>
      <c r="C95" s="107"/>
      <c r="D95" s="107"/>
      <c r="E95" s="107"/>
      <c r="F95" s="107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>
      <c r="A96" s="107" t="s">
        <v>78</v>
      </c>
      <c r="B96" s="107"/>
      <c r="C96" s="107"/>
      <c r="D96" s="107"/>
      <c r="E96" s="107"/>
      <c r="F96" s="107"/>
      <c r="G96" s="23"/>
      <c r="H96" s="34">
        <v>0.25</v>
      </c>
      <c r="I96" s="23"/>
      <c r="J96" s="23">
        <f>I93*H96</f>
        <v>26250</v>
      </c>
      <c r="K96" s="35">
        <v>0.06</v>
      </c>
      <c r="L96" s="23">
        <f>I93*K96</f>
        <v>6300</v>
      </c>
    </row>
    <row r="97" spans="1:12">
      <c r="A97" s="107" t="s">
        <v>79</v>
      </c>
      <c r="B97" s="107"/>
      <c r="C97" s="107"/>
      <c r="D97" s="107"/>
      <c r="E97" s="107"/>
      <c r="F97" s="107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>
      <c r="A98" s="107" t="s">
        <v>80</v>
      </c>
      <c r="B98" s="107"/>
      <c r="C98" s="107"/>
      <c r="D98" s="107"/>
      <c r="E98" s="107"/>
      <c r="F98" s="107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>
      <c r="A99" s="107" t="s">
        <v>81</v>
      </c>
      <c r="B99" s="107"/>
      <c r="C99" s="107"/>
      <c r="D99" s="107"/>
      <c r="E99" s="107"/>
      <c r="F99" s="107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>
      <c r="A100" s="107" t="s">
        <v>24</v>
      </c>
      <c r="B100" s="107"/>
      <c r="C100" s="107"/>
      <c r="D100" s="107"/>
      <c r="E100" s="107"/>
      <c r="F100" s="107"/>
      <c r="G100" s="23"/>
      <c r="H100" s="34" t="str">
        <f>[1]Taux!D$7</f>
        <v>2,26%</v>
      </c>
      <c r="I100" s="23"/>
      <c r="J100" s="23">
        <f>I93*H100</f>
        <v>2373</v>
      </c>
      <c r="K100" s="34" t="str">
        <f>[1]Taux!C$7</f>
        <v>4,11%</v>
      </c>
      <c r="L100" s="23">
        <f>I93*K100</f>
        <v>4315.5</v>
      </c>
    </row>
    <row r="101" spans="1:12">
      <c r="A101" s="110" t="s">
        <v>82</v>
      </c>
      <c r="B101" s="110"/>
      <c r="C101" s="110"/>
      <c r="D101" s="110"/>
      <c r="E101" s="110"/>
      <c r="F101" s="110"/>
      <c r="G101" s="37"/>
      <c r="H101" s="38"/>
      <c r="I101" s="39"/>
      <c r="J101" s="40"/>
      <c r="K101" s="34" t="str">
        <f>[1]Taux!C$4</f>
        <v>6,40%</v>
      </c>
      <c r="L101" s="23">
        <f>I93*K101</f>
        <v>6720</v>
      </c>
    </row>
    <row r="102" spans="1:12">
      <c r="A102" s="110" t="s">
        <v>83</v>
      </c>
      <c r="B102" s="110"/>
      <c r="C102" s="110"/>
      <c r="D102" s="110"/>
      <c r="E102" s="110"/>
      <c r="F102" s="110"/>
      <c r="G102" s="41"/>
      <c r="H102" s="42"/>
      <c r="I102" s="43"/>
      <c r="J102" s="44"/>
      <c r="K102" s="34" t="str">
        <f>[1]Taux!C$8</f>
        <v>1,6 %</v>
      </c>
      <c r="L102" s="23">
        <f>I93*K102</f>
        <v>1680</v>
      </c>
    </row>
    <row r="103" spans="1:12">
      <c r="A103" s="106" t="s">
        <v>84</v>
      </c>
      <c r="B103" s="106"/>
      <c r="C103" s="106"/>
      <c r="D103" s="106"/>
      <c r="E103" s="106"/>
      <c r="F103" s="106"/>
      <c r="G103" s="21"/>
      <c r="H103" s="22"/>
      <c r="I103" s="22"/>
      <c r="J103" s="21">
        <f>SUM(J94:J100)</f>
        <v>28891.8</v>
      </c>
      <c r="K103" s="21"/>
      <c r="L103" s="21">
        <f>SUM(L94:L102)</f>
        <v>19554.3</v>
      </c>
    </row>
    <row r="104" spans="1:12">
      <c r="A104" s="107" t="s">
        <v>85</v>
      </c>
      <c r="B104" s="107"/>
      <c r="C104" s="107"/>
      <c r="D104" s="107"/>
      <c r="E104" s="107"/>
      <c r="F104" s="107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>
      <c r="A105" s="111" t="s">
        <v>86</v>
      </c>
      <c r="B105" s="111"/>
      <c r="C105" s="111"/>
      <c r="D105" s="111"/>
      <c r="E105" s="111"/>
      <c r="F105" s="111"/>
      <c r="G105" s="32"/>
      <c r="H105" s="33"/>
      <c r="I105" s="32">
        <f>I93-J103-J104</f>
        <v>73608.2</v>
      </c>
      <c r="J105" s="33"/>
      <c r="K105" s="33"/>
      <c r="L105" s="33"/>
    </row>
    <row r="106" spans="1:12">
      <c r="A106" s="107" t="s">
        <v>87</v>
      </c>
      <c r="B106" s="107"/>
      <c r="C106" s="107"/>
      <c r="D106" s="107"/>
      <c r="E106" s="107"/>
      <c r="F106" s="107"/>
      <c r="G106" s="23"/>
      <c r="H106" s="34"/>
      <c r="I106" s="23">
        <f>H106*180/360</f>
        <v>0</v>
      </c>
      <c r="J106" s="23"/>
      <c r="K106" s="46"/>
      <c r="L106" s="47"/>
    </row>
    <row r="107" spans="1:12">
      <c r="A107" s="111" t="s">
        <v>88</v>
      </c>
      <c r="B107" s="111"/>
      <c r="C107" s="111"/>
      <c r="D107" s="111"/>
      <c r="E107" s="111"/>
      <c r="F107" s="111"/>
      <c r="G107" s="32"/>
      <c r="H107" s="33"/>
      <c r="I107" s="32">
        <f>I105-I106</f>
        <v>73608.2</v>
      </c>
      <c r="J107" s="33"/>
      <c r="K107" s="33"/>
      <c r="L107" s="33"/>
    </row>
    <row r="108" spans="1:12">
      <c r="A108" s="107" t="s">
        <v>89</v>
      </c>
      <c r="B108" s="107"/>
      <c r="C108" s="107"/>
      <c r="D108" s="107"/>
      <c r="E108" s="107"/>
      <c r="F108" s="107"/>
      <c r="G108" s="25"/>
      <c r="H108" s="48"/>
      <c r="I108" s="40"/>
      <c r="J108" s="23">
        <f>IF(AND(I107&gt;0,I107&lt;2500),I107*[1]Taux!C$15-[1]Taux!I$15,IF(AND(I107&gt;2500,I107&lt;4166.67),I107*[1]Taux!C$16-[1]Taux!I$16,IF(AND(I107&gt;4166.67,I107&lt;5000),I107*[1]Taux!C$17-[1]Taux!I$17,IF(AND(I107&gt;5000,I107&lt;6666.67),I107*[1]Taux!C$18-[1]Taux!I$18,IF(AND(I107&gt;6666.67,I107&lt;15000),I107*[1]Taux!C$19-[1]Taux!I$19,IF(I107&gt;15000,I107*[1]Taux!C$20-[1]Taux!I$20))))))</f>
        <v>25937.782666666666</v>
      </c>
      <c r="K108" s="46"/>
      <c r="L108" s="47"/>
    </row>
    <row r="109" spans="1:12">
      <c r="A109" s="107" t="s">
        <v>90</v>
      </c>
      <c r="B109" s="107"/>
      <c r="C109" s="107"/>
      <c r="D109" s="107"/>
      <c r="E109" s="107"/>
      <c r="F109" s="107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>
      <c r="A110" s="106" t="s">
        <v>91</v>
      </c>
      <c r="B110" s="106"/>
      <c r="C110" s="106"/>
      <c r="D110" s="106"/>
      <c r="E110" s="106"/>
      <c r="F110" s="106"/>
      <c r="G110" s="21"/>
      <c r="H110" s="22"/>
      <c r="I110" s="21"/>
      <c r="J110" s="21">
        <f>J108-J109</f>
        <v>25937.782666666666</v>
      </c>
      <c r="K110" s="21"/>
      <c r="L110" s="21"/>
    </row>
    <row r="111" spans="1:12">
      <c r="A111" s="112" t="s">
        <v>92</v>
      </c>
      <c r="B111" s="112"/>
      <c r="C111" s="112"/>
      <c r="D111" s="112"/>
      <c r="E111" s="112"/>
      <c r="F111" s="112"/>
      <c r="G111" s="25"/>
      <c r="H111" s="48"/>
      <c r="I111" s="47"/>
      <c r="J111" s="49">
        <v>0</v>
      </c>
      <c r="K111" s="46"/>
      <c r="L111" s="47"/>
    </row>
    <row r="112" spans="1:12">
      <c r="A112" s="107" t="s">
        <v>93</v>
      </c>
      <c r="B112" s="107"/>
      <c r="C112" s="107"/>
      <c r="D112" s="107"/>
      <c r="E112" s="107"/>
      <c r="F112" s="107"/>
      <c r="G112" s="25"/>
      <c r="H112" s="48"/>
      <c r="I112" s="44"/>
      <c r="J112" s="28">
        <v>0</v>
      </c>
      <c r="K112" s="46"/>
      <c r="L112" s="47"/>
    </row>
    <row r="113" spans="1:13">
      <c r="A113" s="113" t="s">
        <v>94</v>
      </c>
      <c r="B113" s="113"/>
      <c r="C113" s="113"/>
      <c r="D113" s="113"/>
      <c r="E113" s="113"/>
      <c r="F113" s="113"/>
      <c r="G113" s="41"/>
      <c r="H113" s="42"/>
      <c r="I113" s="28">
        <f>1-0.42</f>
        <v>0.58000000000000007</v>
      </c>
      <c r="J113" s="41"/>
      <c r="K113" s="43"/>
      <c r="L113" s="44"/>
    </row>
    <row r="114" spans="1:1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>
      <c r="A115" s="14" t="s">
        <v>95</v>
      </c>
      <c r="B115" s="14" t="s">
        <v>96</v>
      </c>
      <c r="C115" s="14" t="s">
        <v>97</v>
      </c>
      <c r="D115" s="104" t="s">
        <v>98</v>
      </c>
      <c r="E115" s="104"/>
      <c r="F115" s="104"/>
      <c r="G115" s="14" t="s">
        <v>99</v>
      </c>
      <c r="H115" s="50"/>
      <c r="I115" s="52">
        <f>I92+I113</f>
        <v>111000.58</v>
      </c>
      <c r="J115" s="52">
        <f>J103+J110+J111+J112</f>
        <v>54829.582666666669</v>
      </c>
      <c r="K115" s="14" t="s">
        <v>100</v>
      </c>
      <c r="L115" s="52">
        <f>L103</f>
        <v>19554.3</v>
      </c>
    </row>
    <row r="116" spans="1:13">
      <c r="A116" s="52">
        <f>974000+I92</f>
        <v>1085000</v>
      </c>
      <c r="B116" s="52">
        <f>920000+I93</f>
        <v>1025000</v>
      </c>
      <c r="C116" s="52">
        <f>2419.2+J94</f>
        <v>2688</v>
      </c>
      <c r="D116" s="114">
        <f>226529.75+J110</f>
        <v>252467.53266666667</v>
      </c>
      <c r="E116" s="114"/>
      <c r="F116" s="114"/>
      <c r="G116" s="52">
        <f>494263.97+I115</f>
        <v>605264.54999999993</v>
      </c>
      <c r="H116" s="104" t="s">
        <v>101</v>
      </c>
      <c r="I116" s="104"/>
      <c r="J116" s="52">
        <f>I115-J115</f>
        <v>56170.997333333333</v>
      </c>
      <c r="K116" s="14" t="s">
        <v>102</v>
      </c>
      <c r="L116" s="52">
        <f>171461.2+L115</f>
        <v>191015.5</v>
      </c>
    </row>
    <row r="117" spans="1: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75725.297333333336</v>
      </c>
    </row>
    <row r="118" spans="1: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>
      <c r="A121" s="105" t="s">
        <v>26</v>
      </c>
      <c r="B121" s="105"/>
      <c r="C121" s="105" t="s">
        <v>27</v>
      </c>
      <c r="D121" s="105"/>
      <c r="E121" s="105"/>
      <c r="F121" s="105"/>
      <c r="G121" s="105" t="s">
        <v>28</v>
      </c>
      <c r="H121" s="105"/>
      <c r="I121" s="105"/>
      <c r="J121" s="105" t="s">
        <v>29</v>
      </c>
      <c r="K121" s="105"/>
      <c r="L121" s="105"/>
    </row>
    <row r="122" spans="1:13">
      <c r="A122" s="13" t="s">
        <v>30</v>
      </c>
      <c r="B122" s="104" t="s">
        <v>31</v>
      </c>
      <c r="C122" s="104"/>
      <c r="D122" s="104"/>
      <c r="E122" s="104"/>
      <c r="F122" s="104"/>
      <c r="G122" s="104" t="s">
        <v>32</v>
      </c>
      <c r="H122" s="104"/>
      <c r="I122" s="104"/>
      <c r="J122" s="104"/>
      <c r="K122" s="104"/>
      <c r="L122" s="104"/>
    </row>
    <row r="123" spans="1:13">
      <c r="A123" s="15">
        <v>4</v>
      </c>
      <c r="B123" s="102" t="s">
        <v>106</v>
      </c>
      <c r="C123" s="102"/>
      <c r="D123" s="102"/>
      <c r="E123" s="102"/>
      <c r="F123" s="102"/>
      <c r="G123" s="103">
        <v>42675</v>
      </c>
      <c r="H123" s="103"/>
      <c r="I123" s="103"/>
      <c r="J123" s="103">
        <v>42704</v>
      </c>
      <c r="K123" s="103"/>
      <c r="L123" s="103"/>
    </row>
    <row r="124" spans="1:13">
      <c r="A124" s="13" t="s">
        <v>34</v>
      </c>
      <c r="B124" s="13" t="s">
        <v>35</v>
      </c>
      <c r="C124" s="13" t="s">
        <v>36</v>
      </c>
      <c r="D124" s="13" t="s">
        <v>37</v>
      </c>
      <c r="E124" s="13" t="s">
        <v>38</v>
      </c>
      <c r="F124" s="13" t="s">
        <v>39</v>
      </c>
      <c r="G124" s="104" t="s">
        <v>40</v>
      </c>
      <c r="H124" s="104"/>
      <c r="I124" s="104"/>
      <c r="J124" s="104"/>
      <c r="K124" s="104"/>
      <c r="L124" s="104"/>
    </row>
    <row r="125" spans="1:13">
      <c r="A125" s="17">
        <v>41791</v>
      </c>
      <c r="B125" s="15"/>
      <c r="C125" s="17">
        <v>28152</v>
      </c>
      <c r="D125" s="15" t="s">
        <v>41</v>
      </c>
      <c r="E125" s="15">
        <v>0</v>
      </c>
      <c r="F125" s="15">
        <v>0</v>
      </c>
      <c r="G125" s="102"/>
      <c r="H125" s="102"/>
      <c r="I125" s="102"/>
      <c r="J125" s="102"/>
      <c r="K125" s="102"/>
      <c r="L125" s="102"/>
    </row>
    <row r="126" spans="1:13">
      <c r="A126" s="13" t="s">
        <v>42</v>
      </c>
      <c r="B126" s="13" t="s">
        <v>43</v>
      </c>
      <c r="C126" s="13" t="s">
        <v>44</v>
      </c>
      <c r="D126" s="104" t="s">
        <v>45</v>
      </c>
      <c r="E126" s="104"/>
      <c r="F126" s="104"/>
      <c r="G126" s="104" t="s">
        <v>46</v>
      </c>
      <c r="H126" s="104"/>
      <c r="I126" s="104"/>
      <c r="J126" s="104"/>
      <c r="K126" s="104"/>
      <c r="L126" s="104"/>
    </row>
    <row r="127" spans="1:13">
      <c r="A127" s="15">
        <v>123952551</v>
      </c>
      <c r="B127" s="15"/>
      <c r="C127" s="15"/>
      <c r="D127" s="102" t="s">
        <v>47</v>
      </c>
      <c r="E127" s="102"/>
      <c r="F127" s="102"/>
      <c r="G127" s="102" t="s">
        <v>107</v>
      </c>
      <c r="H127" s="102"/>
      <c r="I127" s="102"/>
      <c r="J127" s="102"/>
      <c r="K127" s="102"/>
      <c r="L127" s="102"/>
    </row>
    <row r="128" spans="1: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>
      <c r="A131" s="108" t="s">
        <v>49</v>
      </c>
      <c r="B131" s="108"/>
      <c r="C131" s="108"/>
      <c r="D131" s="108"/>
      <c r="E131" s="108"/>
      <c r="F131" s="108"/>
      <c r="G131" s="108" t="s">
        <v>50</v>
      </c>
      <c r="H131" s="108" t="s">
        <v>51</v>
      </c>
      <c r="I131" s="108" t="s">
        <v>52</v>
      </c>
      <c r="J131" s="108"/>
      <c r="K131" s="108" t="s">
        <v>53</v>
      </c>
      <c r="L131" s="108"/>
    </row>
    <row r="132" spans="1:12">
      <c r="A132" s="108"/>
      <c r="B132" s="108"/>
      <c r="C132" s="108"/>
      <c r="D132" s="108"/>
      <c r="E132" s="108"/>
      <c r="F132" s="108"/>
      <c r="G132" s="108"/>
      <c r="H132" s="108"/>
      <c r="I132" s="20" t="s">
        <v>54</v>
      </c>
      <c r="J132" s="20" t="s">
        <v>55</v>
      </c>
      <c r="K132" s="20" t="s">
        <v>56</v>
      </c>
      <c r="L132" s="20" t="s">
        <v>57</v>
      </c>
    </row>
    <row r="133" spans="1:12">
      <c r="A133" s="106" t="s">
        <v>58</v>
      </c>
      <c r="B133" s="106"/>
      <c r="C133" s="106"/>
      <c r="D133" s="106"/>
      <c r="E133" s="106"/>
      <c r="F133" s="106"/>
      <c r="G133" s="21">
        <v>90000</v>
      </c>
      <c r="H133" s="22"/>
      <c r="I133" s="21"/>
      <c r="J133" s="21"/>
      <c r="K133" s="21"/>
      <c r="L133" s="21"/>
    </row>
    <row r="134" spans="1:12">
      <c r="A134" s="106" t="s">
        <v>59</v>
      </c>
      <c r="B134" s="106"/>
      <c r="C134" s="106"/>
      <c r="D134" s="106"/>
      <c r="E134" s="106"/>
      <c r="F134" s="106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>
      <c r="A135" s="107" t="s">
        <v>60</v>
      </c>
      <c r="B135" s="107"/>
      <c r="C135" s="107"/>
      <c r="D135" s="107"/>
      <c r="E135" s="107"/>
      <c r="F135" s="107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>
      <c r="A136" s="107" t="s">
        <v>61</v>
      </c>
      <c r="B136" s="107"/>
      <c r="C136" s="107"/>
      <c r="D136" s="107"/>
      <c r="E136" s="107"/>
      <c r="F136" s="107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>
      <c r="A137" s="107" t="s">
        <v>62</v>
      </c>
      <c r="B137" s="107"/>
      <c r="C137" s="107"/>
      <c r="D137" s="107"/>
      <c r="E137" s="107"/>
      <c r="F137" s="107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>
      <c r="A138" s="107" t="s">
        <v>63</v>
      </c>
      <c r="B138" s="107"/>
      <c r="C138" s="107"/>
      <c r="D138" s="107"/>
      <c r="E138" s="107"/>
      <c r="F138" s="107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>
      <c r="A139" s="107" t="s">
        <v>64</v>
      </c>
      <c r="B139" s="107"/>
      <c r="C139" s="107"/>
      <c r="D139" s="107"/>
      <c r="E139" s="107"/>
      <c r="F139" s="107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>
      <c r="A140" s="107" t="s">
        <v>65</v>
      </c>
      <c r="B140" s="107"/>
      <c r="C140" s="107"/>
      <c r="D140" s="107"/>
      <c r="E140" s="107"/>
      <c r="F140" s="107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>
      <c r="A141" s="107" t="s">
        <v>66</v>
      </c>
      <c r="B141" s="107"/>
      <c r="C141" s="107"/>
      <c r="D141" s="107"/>
      <c r="E141" s="107"/>
      <c r="F141" s="107"/>
      <c r="G141" s="29"/>
      <c r="H141" s="30"/>
      <c r="I141" s="30"/>
      <c r="J141" s="25"/>
      <c r="K141" s="26"/>
      <c r="L141" s="26"/>
    </row>
    <row r="142" spans="1:12">
      <c r="A142" s="109">
        <v>0.25</v>
      </c>
      <c r="B142" s="109"/>
      <c r="C142" s="109"/>
      <c r="D142" s="109"/>
      <c r="E142" s="109"/>
      <c r="F142" s="109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>
      <c r="A143" s="109">
        <v>0.5</v>
      </c>
      <c r="B143" s="109"/>
      <c r="C143" s="109"/>
      <c r="D143" s="109"/>
      <c r="E143" s="109"/>
      <c r="F143" s="109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>
      <c r="A144" s="109">
        <v>1</v>
      </c>
      <c r="B144" s="109"/>
      <c r="C144" s="109"/>
      <c r="D144" s="109"/>
      <c r="E144" s="109"/>
      <c r="F144" s="109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>
      <c r="A145" s="106" t="s">
        <v>67</v>
      </c>
      <c r="B145" s="106"/>
      <c r="C145" s="106"/>
      <c r="D145" s="106"/>
      <c r="E145" s="106"/>
      <c r="F145" s="106"/>
      <c r="G145" s="21"/>
      <c r="H145" s="22"/>
      <c r="I145" s="21">
        <f>SUM(I146:I147)</f>
        <v>4500</v>
      </c>
      <c r="J145" s="21"/>
      <c r="K145" s="21"/>
      <c r="L145" s="21"/>
    </row>
    <row r="146" spans="1:12">
      <c r="A146" s="107" t="s">
        <v>68</v>
      </c>
      <c r="B146" s="107"/>
      <c r="C146" s="107"/>
      <c r="D146" s="107"/>
      <c r="E146" s="107"/>
      <c r="F146" s="107"/>
      <c r="G146" s="23">
        <f>(G123-A125)/360</f>
        <v>2.4555555555555557</v>
      </c>
      <c r="H146" s="31">
        <f>IF(G146&lt;2,0,IF(AND(G146&gt;2,G146&lt;5),[1]Taux!A$33,IF(AND(G146&lt;12,G146&gt;5),[1]Taux!A$34,IF(AND(G146&gt;12,G146&lt;20),[1]Taux!A$35,IF(AND(G146&lt;25,G146&gt;20),[1]Taux!A$36,IF(G146&gt;25,[1]Taux!A$37))))))</f>
        <v>0.05</v>
      </c>
      <c r="I146" s="23">
        <f>I134*H146</f>
        <v>4500</v>
      </c>
      <c r="J146" s="25"/>
      <c r="K146" s="26"/>
      <c r="L146" s="26"/>
    </row>
    <row r="147" spans="1:12">
      <c r="A147" s="107" t="s">
        <v>69</v>
      </c>
      <c r="B147" s="107"/>
      <c r="C147" s="107"/>
      <c r="D147" s="107"/>
      <c r="E147" s="107"/>
      <c r="F147" s="107"/>
      <c r="G147" s="23"/>
      <c r="H147" s="24"/>
      <c r="I147" s="23"/>
      <c r="J147" s="25"/>
      <c r="K147" s="26"/>
      <c r="L147" s="26"/>
    </row>
    <row r="148" spans="1:12">
      <c r="A148" s="106" t="s">
        <v>70</v>
      </c>
      <c r="B148" s="106"/>
      <c r="C148" s="106"/>
      <c r="D148" s="106"/>
      <c r="E148" s="106"/>
      <c r="F148" s="106"/>
      <c r="G148" s="21"/>
      <c r="H148" s="22"/>
      <c r="I148" s="21">
        <f>SUM(I149:I151)</f>
        <v>6000</v>
      </c>
      <c r="J148" s="21"/>
      <c r="K148" s="21"/>
      <c r="L148" s="21"/>
    </row>
    <row r="149" spans="1:12">
      <c r="A149" s="107" t="s">
        <v>71</v>
      </c>
      <c r="B149" s="107"/>
      <c r="C149" s="107"/>
      <c r="D149" s="107"/>
      <c r="E149" s="107"/>
      <c r="F149" s="107"/>
      <c r="G149" s="23"/>
      <c r="H149" s="24"/>
      <c r="I149" s="23">
        <v>3000</v>
      </c>
      <c r="J149" s="25"/>
      <c r="K149" s="26"/>
      <c r="L149" s="26"/>
    </row>
    <row r="150" spans="1:12">
      <c r="A150" s="107" t="s">
        <v>72</v>
      </c>
      <c r="B150" s="107"/>
      <c r="C150" s="107"/>
      <c r="D150" s="107"/>
      <c r="E150" s="107"/>
      <c r="F150" s="107"/>
      <c r="G150" s="23"/>
      <c r="H150" s="31"/>
      <c r="I150" s="23">
        <v>3000</v>
      </c>
      <c r="J150" s="25"/>
      <c r="K150" s="26"/>
      <c r="L150" s="26"/>
    </row>
    <row r="151" spans="1:12">
      <c r="A151" s="107" t="s">
        <v>73</v>
      </c>
      <c r="B151" s="107"/>
      <c r="C151" s="107"/>
      <c r="D151" s="107"/>
      <c r="E151" s="107"/>
      <c r="F151" s="107"/>
      <c r="G151" s="23"/>
      <c r="H151" s="24"/>
      <c r="I151" s="23"/>
      <c r="J151" s="25"/>
      <c r="K151" s="26"/>
      <c r="L151" s="26"/>
    </row>
    <row r="152" spans="1:12">
      <c r="A152" s="111" t="s">
        <v>74</v>
      </c>
      <c r="B152" s="111"/>
      <c r="C152" s="111"/>
      <c r="D152" s="111"/>
      <c r="E152" s="111"/>
      <c r="F152" s="111"/>
      <c r="G152" s="32"/>
      <c r="H152" s="33"/>
      <c r="I152" s="32">
        <f>I134+I145+I148</f>
        <v>100500</v>
      </c>
      <c r="J152" s="33"/>
      <c r="K152" s="33"/>
      <c r="L152" s="33"/>
    </row>
    <row r="153" spans="1:12">
      <c r="A153" s="111" t="s">
        <v>75</v>
      </c>
      <c r="B153" s="111"/>
      <c r="C153" s="111"/>
      <c r="D153" s="111"/>
      <c r="E153" s="111"/>
      <c r="F153" s="111"/>
      <c r="G153" s="32"/>
      <c r="H153" s="33"/>
      <c r="I153" s="32">
        <f>I152-I148</f>
        <v>94500</v>
      </c>
      <c r="J153" s="33"/>
      <c r="K153" s="33"/>
      <c r="L153" s="33"/>
    </row>
    <row r="154" spans="1:12">
      <c r="A154" s="107" t="s">
        <v>76</v>
      </c>
      <c r="B154" s="107"/>
      <c r="C154" s="107"/>
      <c r="D154" s="107"/>
      <c r="E154" s="107"/>
      <c r="F154" s="107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>
      <c r="A155" s="107" t="s">
        <v>77</v>
      </c>
      <c r="B155" s="107"/>
      <c r="C155" s="107"/>
      <c r="D155" s="107"/>
      <c r="E155" s="107"/>
      <c r="F155" s="107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>
      <c r="A156" s="107" t="s">
        <v>78</v>
      </c>
      <c r="B156" s="107"/>
      <c r="C156" s="107"/>
      <c r="D156" s="107"/>
      <c r="E156" s="107"/>
      <c r="F156" s="107"/>
      <c r="G156" s="23"/>
      <c r="H156" s="34">
        <v>0.5</v>
      </c>
      <c r="I156" s="23"/>
      <c r="J156" s="23">
        <f>I153*H156</f>
        <v>47250</v>
      </c>
      <c r="K156" s="35">
        <v>0.06</v>
      </c>
      <c r="L156" s="23">
        <f>I153*K156</f>
        <v>5670</v>
      </c>
    </row>
    <row r="157" spans="1:12">
      <c r="A157" s="107" t="s">
        <v>79</v>
      </c>
      <c r="B157" s="107"/>
      <c r="C157" s="107"/>
      <c r="D157" s="107"/>
      <c r="E157" s="107"/>
      <c r="F157" s="107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>
      <c r="A158" s="107" t="s">
        <v>80</v>
      </c>
      <c r="B158" s="107"/>
      <c r="C158" s="107"/>
      <c r="D158" s="107"/>
      <c r="E158" s="107"/>
      <c r="F158" s="107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>
      <c r="A159" s="107" t="s">
        <v>81</v>
      </c>
      <c r="B159" s="107"/>
      <c r="C159" s="107"/>
      <c r="D159" s="107"/>
      <c r="E159" s="107"/>
      <c r="F159" s="107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>
      <c r="A160" s="107" t="s">
        <v>24</v>
      </c>
      <c r="B160" s="107"/>
      <c r="C160" s="107"/>
      <c r="D160" s="107"/>
      <c r="E160" s="107"/>
      <c r="F160" s="107"/>
      <c r="G160" s="23"/>
      <c r="H160" s="34" t="str">
        <f>[1]Taux!D$7</f>
        <v>2,26%</v>
      </c>
      <c r="I160" s="23"/>
      <c r="J160" s="23">
        <f>I153*H160</f>
        <v>2135.6999999999998</v>
      </c>
      <c r="K160" s="34" t="str">
        <f>[1]Taux!C$7</f>
        <v>4,11%</v>
      </c>
      <c r="L160" s="23">
        <f>I153*K160</f>
        <v>3883.95</v>
      </c>
    </row>
    <row r="161" spans="1:12">
      <c r="A161" s="110" t="s">
        <v>82</v>
      </c>
      <c r="B161" s="110"/>
      <c r="C161" s="110"/>
      <c r="D161" s="110"/>
      <c r="E161" s="110"/>
      <c r="F161" s="110"/>
      <c r="G161" s="37"/>
      <c r="H161" s="38"/>
      <c r="I161" s="39"/>
      <c r="J161" s="40"/>
      <c r="K161" s="34" t="str">
        <f>[1]Taux!C$4</f>
        <v>6,40%</v>
      </c>
      <c r="L161" s="23">
        <f>I153*K161</f>
        <v>6048</v>
      </c>
    </row>
    <row r="162" spans="1:12">
      <c r="A162" s="110" t="s">
        <v>83</v>
      </c>
      <c r="B162" s="110"/>
      <c r="C162" s="110"/>
      <c r="D162" s="110"/>
      <c r="E162" s="110"/>
      <c r="F162" s="110"/>
      <c r="G162" s="41"/>
      <c r="H162" s="42"/>
      <c r="I162" s="43"/>
      <c r="J162" s="44"/>
      <c r="K162" s="34" t="str">
        <f>[1]Taux!C$8</f>
        <v>1,6 %</v>
      </c>
      <c r="L162" s="23">
        <f>I153*K162</f>
        <v>1512</v>
      </c>
    </row>
    <row r="163" spans="1:12">
      <c r="A163" s="106" t="s">
        <v>84</v>
      </c>
      <c r="B163" s="106"/>
      <c r="C163" s="106"/>
      <c r="D163" s="106"/>
      <c r="E163" s="106"/>
      <c r="F163" s="106"/>
      <c r="G163" s="21"/>
      <c r="H163" s="22"/>
      <c r="I163" s="22"/>
      <c r="J163" s="21">
        <f>SUM(J154:J160)</f>
        <v>49654.5</v>
      </c>
      <c r="K163" s="21"/>
      <c r="L163" s="21">
        <f>SUM(L154:L162)</f>
        <v>17652.75</v>
      </c>
    </row>
    <row r="164" spans="1:12">
      <c r="A164" s="107" t="s">
        <v>85</v>
      </c>
      <c r="B164" s="107"/>
      <c r="C164" s="107"/>
      <c r="D164" s="107"/>
      <c r="E164" s="107"/>
      <c r="F164" s="107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>
      <c r="A165" s="111" t="s">
        <v>86</v>
      </c>
      <c r="B165" s="111"/>
      <c r="C165" s="111"/>
      <c r="D165" s="111"/>
      <c r="E165" s="111"/>
      <c r="F165" s="111"/>
      <c r="G165" s="32"/>
      <c r="H165" s="33"/>
      <c r="I165" s="32">
        <f>I153-J163-J164</f>
        <v>42345.5</v>
      </c>
      <c r="J165" s="33"/>
      <c r="K165" s="33"/>
      <c r="L165" s="33"/>
    </row>
    <row r="166" spans="1:12">
      <c r="A166" s="107" t="s">
        <v>87</v>
      </c>
      <c r="B166" s="107"/>
      <c r="C166" s="107"/>
      <c r="D166" s="107"/>
      <c r="E166" s="107"/>
      <c r="F166" s="107"/>
      <c r="G166" s="23"/>
      <c r="H166" s="34"/>
      <c r="I166" s="23">
        <f>H166*180/360</f>
        <v>0</v>
      </c>
      <c r="J166" s="23"/>
      <c r="K166" s="46"/>
      <c r="L166" s="47"/>
    </row>
    <row r="167" spans="1:12">
      <c r="A167" s="111" t="s">
        <v>88</v>
      </c>
      <c r="B167" s="111"/>
      <c r="C167" s="111"/>
      <c r="D167" s="111"/>
      <c r="E167" s="111"/>
      <c r="F167" s="111"/>
      <c r="G167" s="32"/>
      <c r="H167" s="33"/>
      <c r="I167" s="32">
        <f>I165-I166</f>
        <v>42345.5</v>
      </c>
      <c r="J167" s="33"/>
      <c r="K167" s="33"/>
      <c r="L167" s="33"/>
    </row>
    <row r="168" spans="1:12">
      <c r="A168" s="107" t="s">
        <v>89</v>
      </c>
      <c r="B168" s="107"/>
      <c r="C168" s="107"/>
      <c r="D168" s="107"/>
      <c r="E168" s="107"/>
      <c r="F168" s="107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14057.956666666667</v>
      </c>
      <c r="K168" s="46"/>
      <c r="L168" s="47"/>
    </row>
    <row r="169" spans="1:12">
      <c r="A169" s="107" t="s">
        <v>90</v>
      </c>
      <c r="B169" s="107"/>
      <c r="C169" s="107"/>
      <c r="D169" s="107"/>
      <c r="E169" s="107"/>
      <c r="F169" s="107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>
      <c r="A170" s="106" t="s">
        <v>91</v>
      </c>
      <c r="B170" s="106"/>
      <c r="C170" s="106"/>
      <c r="D170" s="106"/>
      <c r="E170" s="106"/>
      <c r="F170" s="106"/>
      <c r="G170" s="21"/>
      <c r="H170" s="22"/>
      <c r="I170" s="21"/>
      <c r="J170" s="21">
        <f>J168-J169</f>
        <v>14057.956666666667</v>
      </c>
      <c r="K170" s="21"/>
      <c r="L170" s="21"/>
    </row>
    <row r="171" spans="1:12">
      <c r="A171" s="112" t="s">
        <v>92</v>
      </c>
      <c r="B171" s="112"/>
      <c r="C171" s="112"/>
      <c r="D171" s="112"/>
      <c r="E171" s="112"/>
      <c r="F171" s="112"/>
      <c r="G171" s="25"/>
      <c r="H171" s="48"/>
      <c r="I171" s="47"/>
      <c r="J171" s="49">
        <v>0</v>
      </c>
      <c r="K171" s="46"/>
      <c r="L171" s="47"/>
    </row>
    <row r="172" spans="1:12">
      <c r="A172" s="107" t="s">
        <v>93</v>
      </c>
      <c r="B172" s="107"/>
      <c r="C172" s="107"/>
      <c r="D172" s="107"/>
      <c r="E172" s="107"/>
      <c r="F172" s="107"/>
      <c r="G172" s="25"/>
      <c r="H172" s="48"/>
      <c r="I172" s="44"/>
      <c r="J172" s="28">
        <v>0</v>
      </c>
      <c r="K172" s="46"/>
      <c r="L172" s="47"/>
    </row>
    <row r="173" spans="1:12">
      <c r="A173" s="113" t="s">
        <v>94</v>
      </c>
      <c r="B173" s="113"/>
      <c r="C173" s="113"/>
      <c r="D173" s="113"/>
      <c r="E173" s="113"/>
      <c r="F173" s="113"/>
      <c r="G173" s="41"/>
      <c r="H173" s="42"/>
      <c r="I173" s="28">
        <f>1-0.54</f>
        <v>0.45999999999999996</v>
      </c>
      <c r="J173" s="41"/>
      <c r="K173" s="43"/>
      <c r="L173" s="44"/>
    </row>
    <row r="174" spans="1:1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>
      <c r="A175" s="13" t="s">
        <v>95</v>
      </c>
      <c r="B175" s="13" t="s">
        <v>96</v>
      </c>
      <c r="C175" s="13" t="s">
        <v>97</v>
      </c>
      <c r="D175" s="104" t="s">
        <v>98</v>
      </c>
      <c r="E175" s="104"/>
      <c r="F175" s="104"/>
      <c r="G175" s="13" t="s">
        <v>99</v>
      </c>
      <c r="H175" s="50"/>
      <c r="I175" s="51">
        <f>I152+I173</f>
        <v>100500.46</v>
      </c>
      <c r="J175" s="51">
        <f>J163+J170+J171+J172</f>
        <v>63712.456666666665</v>
      </c>
      <c r="K175" s="13" t="s">
        <v>100</v>
      </c>
      <c r="L175" s="51">
        <f>L163</f>
        <v>17652.75</v>
      </c>
    </row>
    <row r="176" spans="1:12">
      <c r="A176" s="51">
        <f>882000+I152</f>
        <v>982500</v>
      </c>
      <c r="B176" s="51">
        <f>828000+I153</f>
        <v>922500</v>
      </c>
      <c r="C176" s="51">
        <f>2419.2+J154</f>
        <v>2688</v>
      </c>
      <c r="D176" s="114">
        <f>122440.83+J170</f>
        <v>136498.78666666668</v>
      </c>
      <c r="E176" s="114"/>
      <c r="F176" s="114"/>
      <c r="G176" s="51">
        <f>324432+I175</f>
        <v>424932.46</v>
      </c>
      <c r="H176" s="104" t="s">
        <v>101</v>
      </c>
      <c r="I176" s="104"/>
      <c r="J176" s="51">
        <f>I175-J175</f>
        <v>36788.003333333341</v>
      </c>
      <c r="K176" s="13" t="s">
        <v>102</v>
      </c>
      <c r="L176" s="51">
        <f>154800+L175</f>
        <v>172452.75</v>
      </c>
    </row>
    <row r="177" spans="1:1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54440.753333333341</v>
      </c>
    </row>
    <row r="181" spans="1:12">
      <c r="A181" s="105" t="s">
        <v>26</v>
      </c>
      <c r="B181" s="105"/>
      <c r="C181" s="105" t="s">
        <v>27</v>
      </c>
      <c r="D181" s="105"/>
      <c r="E181" s="105"/>
      <c r="F181" s="105"/>
      <c r="G181" s="105" t="s">
        <v>28</v>
      </c>
      <c r="H181" s="105"/>
      <c r="I181" s="105"/>
      <c r="J181" s="105" t="s">
        <v>29</v>
      </c>
      <c r="K181" s="105"/>
      <c r="L181" s="105"/>
    </row>
    <row r="182" spans="1:12">
      <c r="A182" s="13" t="s">
        <v>30</v>
      </c>
      <c r="B182" s="104" t="s">
        <v>31</v>
      </c>
      <c r="C182" s="104"/>
      <c r="D182" s="104"/>
      <c r="E182" s="104"/>
      <c r="F182" s="104"/>
      <c r="G182" s="104" t="s">
        <v>32</v>
      </c>
      <c r="H182" s="104"/>
      <c r="I182" s="104"/>
      <c r="J182" s="104"/>
      <c r="K182" s="104"/>
      <c r="L182" s="104"/>
    </row>
    <row r="183" spans="1:12">
      <c r="A183" s="15">
        <v>5</v>
      </c>
      <c r="B183" s="102" t="s">
        <v>108</v>
      </c>
      <c r="C183" s="102"/>
      <c r="D183" s="102"/>
      <c r="E183" s="102"/>
      <c r="F183" s="102"/>
      <c r="G183" s="103">
        <v>42675</v>
      </c>
      <c r="H183" s="103"/>
      <c r="I183" s="103"/>
      <c r="J183" s="103">
        <v>42704</v>
      </c>
      <c r="K183" s="103"/>
      <c r="L183" s="103"/>
    </row>
    <row r="184" spans="1:12">
      <c r="A184" s="13" t="s">
        <v>34</v>
      </c>
      <c r="B184" s="13" t="s">
        <v>35</v>
      </c>
      <c r="C184" s="13" t="s">
        <v>36</v>
      </c>
      <c r="D184" s="13" t="s">
        <v>37</v>
      </c>
      <c r="E184" s="13" t="s">
        <v>38</v>
      </c>
      <c r="F184" s="13" t="s">
        <v>39</v>
      </c>
      <c r="G184" s="104" t="s">
        <v>40</v>
      </c>
      <c r="H184" s="104"/>
      <c r="I184" s="104"/>
      <c r="J184" s="104"/>
      <c r="K184" s="104"/>
      <c r="L184" s="104"/>
    </row>
    <row r="185" spans="1:12">
      <c r="A185" s="17">
        <v>41791</v>
      </c>
      <c r="B185" s="15"/>
      <c r="C185" s="17">
        <v>21792</v>
      </c>
      <c r="D185" s="15" t="s">
        <v>41</v>
      </c>
      <c r="E185" s="15">
        <v>2</v>
      </c>
      <c r="F185" s="15">
        <v>3</v>
      </c>
      <c r="G185" s="102"/>
      <c r="H185" s="102"/>
      <c r="I185" s="102"/>
      <c r="J185" s="102"/>
      <c r="K185" s="102"/>
      <c r="L185" s="102"/>
    </row>
    <row r="186" spans="1:12">
      <c r="A186" s="13" t="s">
        <v>42</v>
      </c>
      <c r="B186" s="13" t="s">
        <v>43</v>
      </c>
      <c r="C186" s="13" t="s">
        <v>44</v>
      </c>
      <c r="D186" s="104" t="s">
        <v>45</v>
      </c>
      <c r="E186" s="104"/>
      <c r="F186" s="104"/>
      <c r="G186" s="104" t="s">
        <v>46</v>
      </c>
      <c r="H186" s="104"/>
      <c r="I186" s="104"/>
      <c r="J186" s="104"/>
      <c r="K186" s="104"/>
      <c r="L186" s="104"/>
    </row>
    <row r="187" spans="1:12">
      <c r="A187" s="15">
        <v>132944135</v>
      </c>
      <c r="B187" s="15"/>
      <c r="C187" s="15"/>
      <c r="D187" s="102" t="s">
        <v>47</v>
      </c>
      <c r="E187" s="102"/>
      <c r="F187" s="102"/>
      <c r="G187" s="102" t="s">
        <v>109</v>
      </c>
      <c r="H187" s="102"/>
      <c r="I187" s="102"/>
      <c r="J187" s="102"/>
      <c r="K187" s="102"/>
      <c r="L187" s="102"/>
    </row>
    <row r="188" spans="1:1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>
      <c r="A191" s="108" t="s">
        <v>49</v>
      </c>
      <c r="B191" s="108"/>
      <c r="C191" s="108"/>
      <c r="D191" s="108"/>
      <c r="E191" s="108"/>
      <c r="F191" s="108"/>
      <c r="G191" s="108" t="s">
        <v>50</v>
      </c>
      <c r="H191" s="108" t="s">
        <v>51</v>
      </c>
      <c r="I191" s="108" t="s">
        <v>52</v>
      </c>
      <c r="J191" s="108"/>
      <c r="K191" s="108" t="s">
        <v>53</v>
      </c>
      <c r="L191" s="108"/>
    </row>
    <row r="192" spans="1:12">
      <c r="A192" s="108"/>
      <c r="B192" s="108"/>
      <c r="C192" s="108"/>
      <c r="D192" s="108"/>
      <c r="E192" s="108"/>
      <c r="F192" s="108"/>
      <c r="G192" s="108"/>
      <c r="H192" s="108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>
      <c r="A193" s="106" t="s">
        <v>58</v>
      </c>
      <c r="B193" s="106"/>
      <c r="C193" s="106"/>
      <c r="D193" s="106"/>
      <c r="E193" s="106"/>
      <c r="F193" s="106"/>
      <c r="G193" s="21">
        <v>12125.57</v>
      </c>
      <c r="H193" s="22"/>
      <c r="I193" s="21"/>
      <c r="J193" s="21"/>
      <c r="K193" s="21"/>
      <c r="L193" s="21"/>
    </row>
    <row r="194" spans="1:12">
      <c r="A194" s="106" t="s">
        <v>59</v>
      </c>
      <c r="B194" s="106"/>
      <c r="C194" s="106"/>
      <c r="D194" s="106"/>
      <c r="E194" s="106"/>
      <c r="F194" s="106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>
      <c r="A195" s="107" t="s">
        <v>60</v>
      </c>
      <c r="B195" s="107"/>
      <c r="C195" s="107"/>
      <c r="D195" s="107"/>
      <c r="E195" s="107"/>
      <c r="F195" s="107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>
      <c r="A196" s="107" t="s">
        <v>61</v>
      </c>
      <c r="B196" s="107"/>
      <c r="C196" s="107"/>
      <c r="D196" s="107"/>
      <c r="E196" s="107"/>
      <c r="F196" s="107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>
      <c r="A197" s="107" t="s">
        <v>62</v>
      </c>
      <c r="B197" s="107"/>
      <c r="C197" s="107"/>
      <c r="D197" s="107"/>
      <c r="E197" s="107"/>
      <c r="F197" s="107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>
      <c r="A198" s="107" t="s">
        <v>63</v>
      </c>
      <c r="B198" s="107"/>
      <c r="C198" s="107"/>
      <c r="D198" s="107"/>
      <c r="E198" s="107"/>
      <c r="F198" s="107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>
      <c r="A199" s="107" t="s">
        <v>64</v>
      </c>
      <c r="B199" s="107"/>
      <c r="C199" s="107"/>
      <c r="D199" s="107"/>
      <c r="E199" s="107"/>
      <c r="F199" s="107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>
      <c r="A200" s="107" t="s">
        <v>65</v>
      </c>
      <c r="B200" s="107"/>
      <c r="C200" s="107"/>
      <c r="D200" s="107"/>
      <c r="E200" s="107"/>
      <c r="F200" s="107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>
      <c r="A201" s="107" t="s">
        <v>66</v>
      </c>
      <c r="B201" s="107"/>
      <c r="C201" s="107"/>
      <c r="D201" s="107"/>
      <c r="E201" s="107"/>
      <c r="F201" s="107"/>
      <c r="G201" s="29"/>
      <c r="H201" s="30"/>
      <c r="I201" s="30"/>
      <c r="J201" s="25"/>
      <c r="K201" s="26"/>
      <c r="L201" s="26"/>
    </row>
    <row r="202" spans="1:12">
      <c r="A202" s="109">
        <v>0.25</v>
      </c>
      <c r="B202" s="109"/>
      <c r="C202" s="109"/>
      <c r="D202" s="109"/>
      <c r="E202" s="109"/>
      <c r="F202" s="109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>
      <c r="A203" s="109">
        <v>0.5</v>
      </c>
      <c r="B203" s="109"/>
      <c r="C203" s="109"/>
      <c r="D203" s="109"/>
      <c r="E203" s="109"/>
      <c r="F203" s="109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>
      <c r="A204" s="109">
        <v>1</v>
      </c>
      <c r="B204" s="109"/>
      <c r="C204" s="109"/>
      <c r="D204" s="109"/>
      <c r="E204" s="109"/>
      <c r="F204" s="109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>
      <c r="A205" s="106" t="s">
        <v>67</v>
      </c>
      <c r="B205" s="106"/>
      <c r="C205" s="106"/>
      <c r="D205" s="106"/>
      <c r="E205" s="106"/>
      <c r="F205" s="106"/>
      <c r="G205" s="21"/>
      <c r="H205" s="22"/>
      <c r="I205" s="21">
        <f>SUM(I206:I207)</f>
        <v>606.27850000000001</v>
      </c>
      <c r="J205" s="21"/>
      <c r="K205" s="21"/>
      <c r="L205" s="21"/>
    </row>
    <row r="206" spans="1:12">
      <c r="A206" s="107" t="s">
        <v>68</v>
      </c>
      <c r="B206" s="107"/>
      <c r="C206" s="107"/>
      <c r="D206" s="107"/>
      <c r="E206" s="107"/>
      <c r="F206" s="107"/>
      <c r="G206" s="23">
        <f>(G183-A185)/360</f>
        <v>2.4555555555555557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0.05</v>
      </c>
      <c r="I206" s="23">
        <f>I194*H206</f>
        <v>606.27850000000001</v>
      </c>
      <c r="J206" s="25"/>
      <c r="K206" s="26"/>
      <c r="L206" s="26"/>
    </row>
    <row r="207" spans="1:12">
      <c r="A207" s="107" t="s">
        <v>69</v>
      </c>
      <c r="B207" s="107"/>
      <c r="C207" s="107"/>
      <c r="D207" s="107"/>
      <c r="E207" s="107"/>
      <c r="F207" s="107"/>
      <c r="G207" s="23"/>
      <c r="H207" s="24"/>
      <c r="I207" s="23"/>
      <c r="J207" s="25"/>
      <c r="K207" s="26"/>
      <c r="L207" s="26"/>
    </row>
    <row r="208" spans="1:12">
      <c r="A208" s="106" t="s">
        <v>70</v>
      </c>
      <c r="B208" s="106"/>
      <c r="C208" s="106"/>
      <c r="D208" s="106"/>
      <c r="E208" s="106"/>
      <c r="F208" s="106"/>
      <c r="G208" s="21"/>
      <c r="H208" s="22"/>
      <c r="I208" s="21">
        <f>SUM(I209:I211)</f>
        <v>5000</v>
      </c>
      <c r="J208" s="21"/>
      <c r="K208" s="21"/>
      <c r="L208" s="21"/>
    </row>
    <row r="209" spans="1:12">
      <c r="A209" s="107" t="s">
        <v>71</v>
      </c>
      <c r="B209" s="107"/>
      <c r="C209" s="107"/>
      <c r="D209" s="107"/>
      <c r="E209" s="107"/>
      <c r="F209" s="107"/>
      <c r="G209" s="23"/>
      <c r="H209" s="24"/>
      <c r="I209" s="23">
        <v>2500</v>
      </c>
      <c r="J209" s="25"/>
      <c r="K209" s="26"/>
      <c r="L209" s="26"/>
    </row>
    <row r="210" spans="1:12">
      <c r="A210" s="107" t="s">
        <v>72</v>
      </c>
      <c r="B210" s="107"/>
      <c r="C210" s="107"/>
      <c r="D210" s="107"/>
      <c r="E210" s="107"/>
      <c r="F210" s="107"/>
      <c r="G210" s="23"/>
      <c r="H210" s="31">
        <v>0</v>
      </c>
      <c r="I210" s="23">
        <v>2500</v>
      </c>
      <c r="J210" s="25"/>
      <c r="K210" s="26"/>
      <c r="L210" s="26"/>
    </row>
    <row r="211" spans="1:12">
      <c r="A211" s="107" t="s">
        <v>73</v>
      </c>
      <c r="B211" s="107"/>
      <c r="C211" s="107"/>
      <c r="D211" s="107"/>
      <c r="E211" s="107"/>
      <c r="F211" s="107"/>
      <c r="G211" s="23"/>
      <c r="H211" s="24"/>
      <c r="I211" s="23"/>
      <c r="J211" s="25"/>
      <c r="K211" s="26"/>
      <c r="L211" s="26"/>
    </row>
    <row r="212" spans="1:12">
      <c r="A212" s="111" t="s">
        <v>74</v>
      </c>
      <c r="B212" s="111"/>
      <c r="C212" s="111"/>
      <c r="D212" s="111"/>
      <c r="E212" s="111"/>
      <c r="F212" s="111"/>
      <c r="G212" s="32"/>
      <c r="H212" s="33"/>
      <c r="I212" s="32">
        <f>I194+I205+I208</f>
        <v>17731.8485</v>
      </c>
      <c r="J212" s="33"/>
      <c r="K212" s="33"/>
      <c r="L212" s="33"/>
    </row>
    <row r="213" spans="1:12">
      <c r="A213" s="111" t="s">
        <v>75</v>
      </c>
      <c r="B213" s="111"/>
      <c r="C213" s="111"/>
      <c r="D213" s="111"/>
      <c r="E213" s="111"/>
      <c r="F213" s="111"/>
      <c r="G213" s="32"/>
      <c r="H213" s="33"/>
      <c r="I213" s="32">
        <f>I212-I208</f>
        <v>12731.8485</v>
      </c>
      <c r="J213" s="33"/>
      <c r="K213" s="33"/>
      <c r="L213" s="33"/>
    </row>
    <row r="214" spans="1:12">
      <c r="A214" s="107" t="s">
        <v>76</v>
      </c>
      <c r="B214" s="107"/>
      <c r="C214" s="107"/>
      <c r="D214" s="107"/>
      <c r="E214" s="107"/>
      <c r="F214" s="107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>
      <c r="A215" s="107" t="s">
        <v>77</v>
      </c>
      <c r="B215" s="107"/>
      <c r="C215" s="107"/>
      <c r="D215" s="107"/>
      <c r="E215" s="107"/>
      <c r="F215" s="107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>
      <c r="A216" s="107" t="s">
        <v>78</v>
      </c>
      <c r="B216" s="107"/>
      <c r="C216" s="107"/>
      <c r="D216" s="107"/>
      <c r="E216" s="107"/>
      <c r="F216" s="107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>
      <c r="A217" s="107" t="s">
        <v>79</v>
      </c>
      <c r="B217" s="107"/>
      <c r="C217" s="107"/>
      <c r="D217" s="107"/>
      <c r="E217" s="107"/>
      <c r="F217" s="107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>
      <c r="A218" s="107" t="s">
        <v>80</v>
      </c>
      <c r="B218" s="107"/>
      <c r="C218" s="107"/>
      <c r="D218" s="107"/>
      <c r="E218" s="107"/>
      <c r="F218" s="107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>
      <c r="A219" s="107" t="s">
        <v>81</v>
      </c>
      <c r="B219" s="107"/>
      <c r="C219" s="107"/>
      <c r="D219" s="107"/>
      <c r="E219" s="107"/>
      <c r="F219" s="107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>
      <c r="A220" s="107" t="s">
        <v>24</v>
      </c>
      <c r="B220" s="107"/>
      <c r="C220" s="107"/>
      <c r="D220" s="107"/>
      <c r="E220" s="107"/>
      <c r="F220" s="107"/>
      <c r="G220" s="23"/>
      <c r="H220" s="34" t="str">
        <f>[1]Taux!D$7</f>
        <v>2,26%</v>
      </c>
      <c r="I220" s="23"/>
      <c r="J220" s="23">
        <f>I213*H220</f>
        <v>287.73977609999997</v>
      </c>
      <c r="K220" s="34" t="str">
        <f>[1]Taux!C$7</f>
        <v>4,11%</v>
      </c>
      <c r="L220" s="23">
        <f>I213*K220</f>
        <v>523.27897335</v>
      </c>
    </row>
    <row r="221" spans="1:12">
      <c r="A221" s="110" t="s">
        <v>82</v>
      </c>
      <c r="B221" s="110"/>
      <c r="C221" s="110"/>
      <c r="D221" s="110"/>
      <c r="E221" s="110"/>
      <c r="F221" s="110"/>
      <c r="G221" s="37"/>
      <c r="H221" s="38"/>
      <c r="I221" s="39"/>
      <c r="J221" s="40"/>
      <c r="K221" s="34" t="str">
        <f>[1]Taux!C$4</f>
        <v>6,40%</v>
      </c>
      <c r="L221" s="23">
        <f>I213*K221</f>
        <v>814.83830399999999</v>
      </c>
    </row>
    <row r="222" spans="1:12">
      <c r="A222" s="110" t="s">
        <v>83</v>
      </c>
      <c r="B222" s="110"/>
      <c r="C222" s="110"/>
      <c r="D222" s="110"/>
      <c r="E222" s="110"/>
      <c r="F222" s="110"/>
      <c r="G222" s="41"/>
      <c r="H222" s="42"/>
      <c r="I222" s="43"/>
      <c r="J222" s="44"/>
      <c r="K222" s="34" t="str">
        <f>[1]Taux!C$8</f>
        <v>1,6 %</v>
      </c>
      <c r="L222" s="23">
        <f>I213*K222</f>
        <v>203.709576</v>
      </c>
    </row>
    <row r="223" spans="1:12">
      <c r="A223" s="106" t="s">
        <v>84</v>
      </c>
      <c r="B223" s="106"/>
      <c r="C223" s="106"/>
      <c r="D223" s="106"/>
      <c r="E223" s="106"/>
      <c r="F223" s="106"/>
      <c r="G223" s="21"/>
      <c r="H223" s="22"/>
      <c r="I223" s="22"/>
      <c r="J223" s="21">
        <f>SUM(J214:J220)</f>
        <v>556.53977609999993</v>
      </c>
      <c r="K223" s="21"/>
      <c r="L223" s="21">
        <f>SUM(L214:L222)</f>
        <v>2080.6268533500001</v>
      </c>
    </row>
    <row r="224" spans="1:12">
      <c r="A224" s="107" t="s">
        <v>85</v>
      </c>
      <c r="B224" s="107"/>
      <c r="C224" s="107"/>
      <c r="D224" s="107"/>
      <c r="E224" s="107"/>
      <c r="F224" s="107"/>
      <c r="G224" s="23"/>
      <c r="H224" s="45">
        <v>0.2</v>
      </c>
      <c r="I224" s="23"/>
      <c r="J224" s="23">
        <f>IF(I213*H224&lt;2500,I213*H224,2500)</f>
        <v>2500</v>
      </c>
      <c r="K224" s="46"/>
      <c r="L224" s="47"/>
    </row>
    <row r="225" spans="1:12">
      <c r="A225" s="111" t="s">
        <v>86</v>
      </c>
      <c r="B225" s="111"/>
      <c r="C225" s="111"/>
      <c r="D225" s="111"/>
      <c r="E225" s="111"/>
      <c r="F225" s="111"/>
      <c r="G225" s="32"/>
      <c r="H225" s="33"/>
      <c r="I225" s="32">
        <f>I213-J223-J224</f>
        <v>9675.3087238999997</v>
      </c>
      <c r="J225" s="33"/>
      <c r="K225" s="33"/>
      <c r="L225" s="33"/>
    </row>
    <row r="226" spans="1:12">
      <c r="A226" s="107" t="s">
        <v>87</v>
      </c>
      <c r="B226" s="107"/>
      <c r="C226" s="107"/>
      <c r="D226" s="107"/>
      <c r="E226" s="107"/>
      <c r="F226" s="107"/>
      <c r="G226" s="23"/>
      <c r="H226" s="34"/>
      <c r="I226" s="23">
        <f>H226*180/360</f>
        <v>0</v>
      </c>
      <c r="J226" s="23"/>
      <c r="K226" s="46"/>
      <c r="L226" s="47"/>
    </row>
    <row r="227" spans="1:12">
      <c r="A227" s="111" t="s">
        <v>88</v>
      </c>
      <c r="B227" s="111"/>
      <c r="C227" s="111"/>
      <c r="D227" s="111"/>
      <c r="E227" s="111"/>
      <c r="F227" s="111"/>
      <c r="G227" s="32"/>
      <c r="H227" s="33"/>
      <c r="I227" s="32">
        <f>I225-I226</f>
        <v>9675.3087238999997</v>
      </c>
      <c r="J227" s="33"/>
      <c r="K227" s="33"/>
      <c r="L227" s="33"/>
    </row>
    <row r="228" spans="1:12">
      <c r="A228" s="107" t="s">
        <v>89</v>
      </c>
      <c r="B228" s="107"/>
      <c r="C228" s="107"/>
      <c r="D228" s="107"/>
      <c r="E228" s="107"/>
      <c r="F228" s="107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1856.2716327926667</v>
      </c>
      <c r="K228" s="46"/>
      <c r="L228" s="47"/>
    </row>
    <row r="229" spans="1:12">
      <c r="A229" s="107" t="s">
        <v>90</v>
      </c>
      <c r="B229" s="107"/>
      <c r="C229" s="107"/>
      <c r="D229" s="107"/>
      <c r="E229" s="107"/>
      <c r="F229" s="107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>
      <c r="A230" s="106" t="s">
        <v>91</v>
      </c>
      <c r="B230" s="106"/>
      <c r="C230" s="106"/>
      <c r="D230" s="106"/>
      <c r="E230" s="106"/>
      <c r="F230" s="106"/>
      <c r="G230" s="21"/>
      <c r="H230" s="22"/>
      <c r="I230" s="21"/>
      <c r="J230" s="21">
        <f>J228-J229</f>
        <v>1766.2716327926667</v>
      </c>
      <c r="K230" s="21"/>
      <c r="L230" s="21"/>
    </row>
    <row r="231" spans="1:12">
      <c r="A231" s="112" t="s">
        <v>92</v>
      </c>
      <c r="B231" s="112"/>
      <c r="C231" s="112"/>
      <c r="D231" s="112"/>
      <c r="E231" s="112"/>
      <c r="F231" s="112"/>
      <c r="G231" s="25"/>
      <c r="H231" s="48"/>
      <c r="I231" s="47"/>
      <c r="J231" s="49">
        <v>0</v>
      </c>
      <c r="K231" s="46"/>
      <c r="L231" s="47"/>
    </row>
    <row r="232" spans="1:12">
      <c r="A232" s="107" t="s">
        <v>93</v>
      </c>
      <c r="B232" s="107"/>
      <c r="C232" s="107"/>
      <c r="D232" s="107"/>
      <c r="E232" s="107"/>
      <c r="F232" s="107"/>
      <c r="G232" s="25"/>
      <c r="H232" s="48"/>
      <c r="I232" s="44"/>
      <c r="J232" s="28">
        <v>0</v>
      </c>
      <c r="K232" s="46"/>
      <c r="L232" s="47"/>
    </row>
    <row r="233" spans="1:12">
      <c r="A233" s="113" t="s">
        <v>94</v>
      </c>
      <c r="B233" s="113"/>
      <c r="C233" s="113"/>
      <c r="D233" s="113"/>
      <c r="E233" s="113"/>
      <c r="F233" s="113"/>
      <c r="G233" s="41"/>
      <c r="H233" s="42"/>
      <c r="I233" s="28">
        <f>1-0.04</f>
        <v>0.96</v>
      </c>
      <c r="J233" s="41"/>
      <c r="K233" s="43"/>
      <c r="L233" s="44"/>
    </row>
    <row r="234" spans="1:1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>
      <c r="A235" s="13" t="s">
        <v>95</v>
      </c>
      <c r="B235" s="13" t="s">
        <v>96</v>
      </c>
      <c r="C235" s="13" t="s">
        <v>97</v>
      </c>
      <c r="D235" s="104" t="s">
        <v>98</v>
      </c>
      <c r="E235" s="104"/>
      <c r="F235" s="104"/>
      <c r="G235" s="13" t="s">
        <v>99</v>
      </c>
      <c r="H235" s="50"/>
      <c r="I235" s="51">
        <f>I212+I233</f>
        <v>17732.808499999999</v>
      </c>
      <c r="J235" s="51">
        <f>J223+J230+J231+J232</f>
        <v>2322.8114088926668</v>
      </c>
      <c r="K235" s="13" t="s">
        <v>100</v>
      </c>
      <c r="L235" s="51">
        <f>L223</f>
        <v>2080.6268533500001</v>
      </c>
    </row>
    <row r="236" spans="1:12">
      <c r="A236" s="51">
        <f>156555.24+I212</f>
        <v>174287.08849999998</v>
      </c>
      <c r="B236" s="51">
        <f>111555.24+I213</f>
        <v>124287.08850000001</v>
      </c>
      <c r="C236" s="51">
        <f>2419.2+J214</f>
        <v>2688</v>
      </c>
      <c r="D236" s="114">
        <f>15016.37+J230</f>
        <v>16782.641632792667</v>
      </c>
      <c r="E236" s="114"/>
      <c r="F236" s="114"/>
      <c r="G236" s="51">
        <f>136602.47+I235</f>
        <v>154335.27850000001</v>
      </c>
      <c r="H236" s="104" t="s">
        <v>101</v>
      </c>
      <c r="I236" s="104"/>
      <c r="J236" s="51">
        <f>I235-J235</f>
        <v>15409.997091107332</v>
      </c>
      <c r="K236" s="13" t="s">
        <v>102</v>
      </c>
      <c r="L236" s="51">
        <f>20589.65+L235</f>
        <v>22670.276853350002</v>
      </c>
    </row>
    <row r="237" spans="1:1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17490.623944457333</v>
      </c>
    </row>
    <row r="241" spans="1:12">
      <c r="A241" s="105" t="s">
        <v>26</v>
      </c>
      <c r="B241" s="105"/>
      <c r="C241" s="105" t="s">
        <v>27</v>
      </c>
      <c r="D241" s="105"/>
      <c r="E241" s="105"/>
      <c r="F241" s="105"/>
      <c r="G241" s="105" t="s">
        <v>28</v>
      </c>
      <c r="H241" s="105"/>
      <c r="I241" s="105"/>
      <c r="J241" s="105" t="s">
        <v>29</v>
      </c>
      <c r="K241" s="105"/>
      <c r="L241" s="105"/>
    </row>
    <row r="242" spans="1:12">
      <c r="A242" s="13" t="s">
        <v>30</v>
      </c>
      <c r="B242" s="104" t="s">
        <v>31</v>
      </c>
      <c r="C242" s="104"/>
      <c r="D242" s="104"/>
      <c r="E242" s="104"/>
      <c r="F242" s="104"/>
      <c r="G242" s="104" t="s">
        <v>32</v>
      </c>
      <c r="H242" s="104"/>
      <c r="I242" s="104"/>
      <c r="J242" s="104"/>
      <c r="K242" s="104"/>
      <c r="L242" s="104"/>
    </row>
    <row r="243" spans="1:12">
      <c r="A243" s="15">
        <v>6</v>
      </c>
      <c r="B243" s="102" t="s">
        <v>110</v>
      </c>
      <c r="C243" s="102"/>
      <c r="D243" s="102"/>
      <c r="E243" s="102"/>
      <c r="F243" s="102"/>
      <c r="G243" s="103">
        <v>42675</v>
      </c>
      <c r="H243" s="103"/>
      <c r="I243" s="103"/>
      <c r="J243" s="103">
        <v>42704</v>
      </c>
      <c r="K243" s="103"/>
      <c r="L243" s="103"/>
    </row>
    <row r="244" spans="1:12">
      <c r="A244" s="13" t="s">
        <v>34</v>
      </c>
      <c r="B244" s="13" t="s">
        <v>35</v>
      </c>
      <c r="C244" s="13" t="s">
        <v>36</v>
      </c>
      <c r="D244" s="13" t="s">
        <v>37</v>
      </c>
      <c r="E244" s="13" t="s">
        <v>38</v>
      </c>
      <c r="F244" s="13" t="s">
        <v>39</v>
      </c>
      <c r="G244" s="104" t="s">
        <v>40</v>
      </c>
      <c r="H244" s="104"/>
      <c r="I244" s="104"/>
      <c r="J244" s="104"/>
      <c r="K244" s="104"/>
      <c r="L244" s="104"/>
    </row>
    <row r="245" spans="1:12">
      <c r="A245" s="17">
        <v>41821</v>
      </c>
      <c r="B245" s="15"/>
      <c r="C245" s="17">
        <v>31573</v>
      </c>
      <c r="D245" s="15" t="s">
        <v>111</v>
      </c>
      <c r="E245" s="15">
        <v>0</v>
      </c>
      <c r="F245" s="15">
        <v>0</v>
      </c>
      <c r="G245" s="102"/>
      <c r="H245" s="102"/>
      <c r="I245" s="102"/>
      <c r="J245" s="102"/>
      <c r="K245" s="102"/>
      <c r="L245" s="102"/>
    </row>
    <row r="246" spans="1:12">
      <c r="A246" s="13" t="s">
        <v>42</v>
      </c>
      <c r="B246" s="13" t="s">
        <v>43</v>
      </c>
      <c r="C246" s="13" t="s">
        <v>44</v>
      </c>
      <c r="D246" s="104" t="s">
        <v>45</v>
      </c>
      <c r="E246" s="104"/>
      <c r="F246" s="104"/>
      <c r="G246" s="104" t="s">
        <v>46</v>
      </c>
      <c r="H246" s="104"/>
      <c r="I246" s="104"/>
      <c r="J246" s="104"/>
      <c r="K246" s="104"/>
      <c r="L246" s="104"/>
    </row>
    <row r="247" spans="1:12">
      <c r="A247" s="15">
        <v>195441186</v>
      </c>
      <c r="B247" s="15"/>
      <c r="C247" s="15"/>
      <c r="D247" s="102" t="s">
        <v>47</v>
      </c>
      <c r="E247" s="102"/>
      <c r="F247" s="102"/>
      <c r="G247" s="102" t="s">
        <v>107</v>
      </c>
      <c r="H247" s="102"/>
      <c r="I247" s="102"/>
      <c r="J247" s="102"/>
      <c r="K247" s="102"/>
      <c r="L247" s="102"/>
    </row>
    <row r="248" spans="1:1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>
      <c r="A251" s="108" t="s">
        <v>49</v>
      </c>
      <c r="B251" s="108"/>
      <c r="C251" s="108"/>
      <c r="D251" s="108"/>
      <c r="E251" s="108"/>
      <c r="F251" s="108"/>
      <c r="G251" s="108" t="s">
        <v>50</v>
      </c>
      <c r="H251" s="108" t="s">
        <v>51</v>
      </c>
      <c r="I251" s="108" t="s">
        <v>52</v>
      </c>
      <c r="J251" s="108"/>
      <c r="K251" s="108" t="s">
        <v>53</v>
      </c>
      <c r="L251" s="108"/>
    </row>
    <row r="252" spans="1:12">
      <c r="A252" s="108"/>
      <c r="B252" s="108"/>
      <c r="C252" s="108"/>
      <c r="D252" s="108"/>
      <c r="E252" s="108"/>
      <c r="F252" s="108"/>
      <c r="G252" s="108"/>
      <c r="H252" s="108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>
      <c r="A253" s="106" t="s">
        <v>58</v>
      </c>
      <c r="B253" s="106"/>
      <c r="C253" s="106"/>
      <c r="D253" s="106"/>
      <c r="E253" s="106"/>
      <c r="F253" s="106"/>
      <c r="G253" s="21">
        <v>3823.53</v>
      </c>
      <c r="H253" s="22"/>
      <c r="I253" s="21"/>
      <c r="J253" s="21"/>
      <c r="K253" s="21"/>
      <c r="L253" s="21"/>
    </row>
    <row r="254" spans="1:12">
      <c r="A254" s="106" t="s">
        <v>59</v>
      </c>
      <c r="B254" s="106"/>
      <c r="C254" s="106"/>
      <c r="D254" s="106"/>
      <c r="E254" s="106"/>
      <c r="F254" s="106"/>
      <c r="G254" s="21"/>
      <c r="H254" s="21"/>
      <c r="I254" s="21">
        <f>IF(I255+I256-J257-J258+I259+I262+I263+I264+I260&lt;G253,I255+I256-J257-J258+I259+I262+I263+I264+I260,G253)</f>
        <v>3823.53</v>
      </c>
      <c r="J254" s="21"/>
      <c r="K254" s="21"/>
      <c r="L254" s="21"/>
    </row>
    <row r="255" spans="1:12">
      <c r="A255" s="107" t="s">
        <v>60</v>
      </c>
      <c r="B255" s="107"/>
      <c r="C255" s="107"/>
      <c r="D255" s="107"/>
      <c r="E255" s="107"/>
      <c r="F255" s="107"/>
      <c r="G255" s="23"/>
      <c r="H255" s="24">
        <v>26</v>
      </c>
      <c r="I255" s="23">
        <f>G253/26*H255</f>
        <v>3823.53</v>
      </c>
      <c r="J255" s="25"/>
      <c r="K255" s="26"/>
      <c r="L255" s="26"/>
    </row>
    <row r="256" spans="1:12">
      <c r="A256" s="107" t="s">
        <v>61</v>
      </c>
      <c r="B256" s="107"/>
      <c r="C256" s="107"/>
      <c r="D256" s="107"/>
      <c r="E256" s="107"/>
      <c r="F256" s="107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>
      <c r="A257" s="107" t="s">
        <v>62</v>
      </c>
      <c r="B257" s="107"/>
      <c r="C257" s="107"/>
      <c r="D257" s="107"/>
      <c r="E257" s="107"/>
      <c r="F257" s="107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>
      <c r="A258" s="107" t="s">
        <v>63</v>
      </c>
      <c r="B258" s="107"/>
      <c r="C258" s="107"/>
      <c r="D258" s="107"/>
      <c r="E258" s="107"/>
      <c r="F258" s="107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>
      <c r="A259" s="107" t="s">
        <v>64</v>
      </c>
      <c r="B259" s="107"/>
      <c r="C259" s="107"/>
      <c r="D259" s="107"/>
      <c r="E259" s="107"/>
      <c r="F259" s="107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>
      <c r="A260" s="107" t="s">
        <v>65</v>
      </c>
      <c r="B260" s="107"/>
      <c r="C260" s="107"/>
      <c r="D260" s="107"/>
      <c r="E260" s="107"/>
      <c r="F260" s="107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>
      <c r="A261" s="107" t="s">
        <v>66</v>
      </c>
      <c r="B261" s="107"/>
      <c r="C261" s="107"/>
      <c r="D261" s="107"/>
      <c r="E261" s="107"/>
      <c r="F261" s="107"/>
      <c r="G261" s="29"/>
      <c r="H261" s="30"/>
      <c r="I261" s="30"/>
      <c r="J261" s="25"/>
      <c r="K261" s="26"/>
      <c r="L261" s="26"/>
    </row>
    <row r="262" spans="1:12">
      <c r="A262" s="109">
        <v>0.25</v>
      </c>
      <c r="B262" s="109"/>
      <c r="C262" s="109"/>
      <c r="D262" s="109"/>
      <c r="E262" s="109"/>
      <c r="F262" s="109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>
      <c r="A263" s="109">
        <v>0.5</v>
      </c>
      <c r="B263" s="109"/>
      <c r="C263" s="109"/>
      <c r="D263" s="109"/>
      <c r="E263" s="109"/>
      <c r="F263" s="109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>
      <c r="A264" s="109">
        <v>1</v>
      </c>
      <c r="B264" s="109"/>
      <c r="C264" s="109"/>
      <c r="D264" s="109"/>
      <c r="E264" s="109"/>
      <c r="F264" s="109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>
      <c r="A265" s="106" t="s">
        <v>67</v>
      </c>
      <c r="B265" s="106"/>
      <c r="C265" s="106"/>
      <c r="D265" s="106"/>
      <c r="E265" s="106"/>
      <c r="F265" s="106"/>
      <c r="G265" s="21"/>
      <c r="H265" s="22"/>
      <c r="I265" s="21">
        <f>SUM(I266:I267)</f>
        <v>191.17650000000003</v>
      </c>
      <c r="J265" s="21"/>
      <c r="K265" s="21"/>
      <c r="L265" s="21"/>
    </row>
    <row r="266" spans="1:12">
      <c r="A266" s="107" t="s">
        <v>68</v>
      </c>
      <c r="B266" s="107"/>
      <c r="C266" s="107"/>
      <c r="D266" s="107"/>
      <c r="E266" s="107"/>
      <c r="F266" s="107"/>
      <c r="G266" s="23">
        <f>(G243-A245)/360</f>
        <v>2.3722222222222222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0.05</v>
      </c>
      <c r="I266" s="23">
        <f>I254*H266</f>
        <v>191.17650000000003</v>
      </c>
      <c r="J266" s="25"/>
      <c r="K266" s="26"/>
      <c r="L266" s="26"/>
    </row>
    <row r="267" spans="1:12">
      <c r="A267" s="107" t="s">
        <v>69</v>
      </c>
      <c r="B267" s="107"/>
      <c r="C267" s="107"/>
      <c r="D267" s="107"/>
      <c r="E267" s="107"/>
      <c r="F267" s="107"/>
      <c r="G267" s="23"/>
      <c r="H267" s="24"/>
      <c r="I267" s="23"/>
      <c r="J267" s="25"/>
      <c r="K267" s="26"/>
      <c r="L267" s="26"/>
    </row>
    <row r="268" spans="1:12">
      <c r="A268" s="106" t="s">
        <v>70</v>
      </c>
      <c r="B268" s="106"/>
      <c r="C268" s="106"/>
      <c r="D268" s="106"/>
      <c r="E268" s="106"/>
      <c r="F268" s="106"/>
      <c r="G268" s="21"/>
      <c r="H268" s="22"/>
      <c r="I268" s="21">
        <f>SUM(I269:I271)</f>
        <v>300</v>
      </c>
      <c r="J268" s="21"/>
      <c r="K268" s="21"/>
      <c r="L268" s="21"/>
    </row>
    <row r="269" spans="1:12">
      <c r="A269" s="107" t="s">
        <v>71</v>
      </c>
      <c r="B269" s="107"/>
      <c r="C269" s="107"/>
      <c r="D269" s="107"/>
      <c r="E269" s="107"/>
      <c r="F269" s="107"/>
      <c r="G269" s="23"/>
      <c r="H269" s="24"/>
      <c r="I269" s="23">
        <v>300</v>
      </c>
      <c r="J269" s="25"/>
      <c r="K269" s="26"/>
      <c r="L269" s="26"/>
    </row>
    <row r="270" spans="1:12">
      <c r="A270" s="107" t="s">
        <v>72</v>
      </c>
      <c r="B270" s="107"/>
      <c r="C270" s="107"/>
      <c r="D270" s="107"/>
      <c r="E270" s="107"/>
      <c r="F270" s="107"/>
      <c r="G270" s="23"/>
      <c r="H270" s="31">
        <v>0</v>
      </c>
      <c r="I270" s="23"/>
      <c r="J270" s="25"/>
      <c r="K270" s="26"/>
      <c r="L270" s="26"/>
    </row>
    <row r="271" spans="1:12">
      <c r="A271" s="107" t="s">
        <v>73</v>
      </c>
      <c r="B271" s="107"/>
      <c r="C271" s="107"/>
      <c r="D271" s="107"/>
      <c r="E271" s="107"/>
      <c r="F271" s="107"/>
      <c r="G271" s="23"/>
      <c r="H271" s="24"/>
      <c r="I271" s="23"/>
      <c r="J271" s="25"/>
      <c r="K271" s="26"/>
      <c r="L271" s="26"/>
    </row>
    <row r="272" spans="1:12">
      <c r="A272" s="111" t="s">
        <v>74</v>
      </c>
      <c r="B272" s="111"/>
      <c r="C272" s="111"/>
      <c r="D272" s="111"/>
      <c r="E272" s="111"/>
      <c r="F272" s="111"/>
      <c r="G272" s="32"/>
      <c r="H272" s="33"/>
      <c r="I272" s="32">
        <f>I254+I265+I268</f>
        <v>4314.7065000000002</v>
      </c>
      <c r="J272" s="33"/>
      <c r="K272" s="33"/>
      <c r="L272" s="33"/>
    </row>
    <row r="273" spans="1:12">
      <c r="A273" s="111" t="s">
        <v>75</v>
      </c>
      <c r="B273" s="111"/>
      <c r="C273" s="111"/>
      <c r="D273" s="111"/>
      <c r="E273" s="111"/>
      <c r="F273" s="111"/>
      <c r="G273" s="32"/>
      <c r="H273" s="33"/>
      <c r="I273" s="32">
        <f>I272-I268</f>
        <v>4014.7065000000002</v>
      </c>
      <c r="J273" s="33"/>
      <c r="K273" s="33"/>
      <c r="L273" s="33"/>
    </row>
    <row r="274" spans="1:12">
      <c r="A274" s="107" t="s">
        <v>76</v>
      </c>
      <c r="B274" s="107"/>
      <c r="C274" s="107"/>
      <c r="D274" s="107"/>
      <c r="E274" s="107"/>
      <c r="F274" s="107"/>
      <c r="G274" s="23"/>
      <c r="H274" s="34">
        <f>[1]Taux!D$5+[1]Taux!D$6</f>
        <v>4.4800000000000006E-2</v>
      </c>
      <c r="I274" s="23"/>
      <c r="J274" s="23">
        <f>IF(I273&lt;6000,I273*H274,6000*H274)</f>
        <v>179.85885120000003</v>
      </c>
      <c r="K274" s="35">
        <f>[1]Taux!C$5+[1]Taux!C$6</f>
        <v>8.9799999999999991E-2</v>
      </c>
      <c r="L274" s="23">
        <f>IF(I273&lt;6000,I273*K274,6000*K274)</f>
        <v>360.52064369999999</v>
      </c>
    </row>
    <row r="275" spans="1:12">
      <c r="A275" s="107" t="s">
        <v>77</v>
      </c>
      <c r="B275" s="107"/>
      <c r="C275" s="107"/>
      <c r="D275" s="107"/>
      <c r="E275" s="107"/>
      <c r="F275" s="107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>
      <c r="A276" s="107" t="s">
        <v>78</v>
      </c>
      <c r="B276" s="107"/>
      <c r="C276" s="107"/>
      <c r="D276" s="107"/>
      <c r="E276" s="107"/>
      <c r="F276" s="107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80.29413000000001</v>
      </c>
    </row>
    <row r="277" spans="1:12">
      <c r="A277" s="107" t="s">
        <v>79</v>
      </c>
      <c r="B277" s="107"/>
      <c r="C277" s="107"/>
      <c r="D277" s="107"/>
      <c r="E277" s="107"/>
      <c r="F277" s="107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>
      <c r="A278" s="107" t="s">
        <v>80</v>
      </c>
      <c r="B278" s="107"/>
      <c r="C278" s="107"/>
      <c r="D278" s="107"/>
      <c r="E278" s="107"/>
      <c r="F278" s="107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>
      <c r="A279" s="107" t="s">
        <v>81</v>
      </c>
      <c r="B279" s="107"/>
      <c r="C279" s="107"/>
      <c r="D279" s="107"/>
      <c r="E279" s="107"/>
      <c r="F279" s="107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>
      <c r="A280" s="107" t="s">
        <v>24</v>
      </c>
      <c r="B280" s="107"/>
      <c r="C280" s="107"/>
      <c r="D280" s="107"/>
      <c r="E280" s="107"/>
      <c r="F280" s="107"/>
      <c r="G280" s="23"/>
      <c r="H280" s="34" t="str">
        <f>[1]Taux!D$7</f>
        <v>2,26%</v>
      </c>
      <c r="I280" s="23"/>
      <c r="J280" s="23">
        <f>I273*H280</f>
        <v>90.732366900000002</v>
      </c>
      <c r="K280" s="34" t="str">
        <f>[1]Taux!C$7</f>
        <v>4,11%</v>
      </c>
      <c r="L280" s="23">
        <f>I273*K280</f>
        <v>165.00443715</v>
      </c>
    </row>
    <row r="281" spans="1:12">
      <c r="A281" s="110" t="s">
        <v>82</v>
      </c>
      <c r="B281" s="110"/>
      <c r="C281" s="110"/>
      <c r="D281" s="110"/>
      <c r="E281" s="110"/>
      <c r="F281" s="110"/>
      <c r="G281" s="37"/>
      <c r="H281" s="38"/>
      <c r="I281" s="39"/>
      <c r="J281" s="40"/>
      <c r="K281" s="34" t="str">
        <f>[1]Taux!C$4</f>
        <v>6,40%</v>
      </c>
      <c r="L281" s="23">
        <f>I273*K281</f>
        <v>256.941216</v>
      </c>
    </row>
    <row r="282" spans="1:12">
      <c r="A282" s="110" t="s">
        <v>83</v>
      </c>
      <c r="B282" s="110"/>
      <c r="C282" s="110"/>
      <c r="D282" s="110"/>
      <c r="E282" s="110"/>
      <c r="F282" s="110"/>
      <c r="G282" s="41"/>
      <c r="H282" s="42"/>
      <c r="I282" s="43"/>
      <c r="J282" s="44"/>
      <c r="K282" s="34" t="str">
        <f>[1]Taux!C$8</f>
        <v>1,6 %</v>
      </c>
      <c r="L282" s="23">
        <f>I273*K282</f>
        <v>64.235303999999999</v>
      </c>
    </row>
    <row r="283" spans="1:12">
      <c r="A283" s="106" t="s">
        <v>84</v>
      </c>
      <c r="B283" s="106"/>
      <c r="C283" s="106"/>
      <c r="D283" s="106"/>
      <c r="E283" s="106"/>
      <c r="F283" s="106"/>
      <c r="G283" s="21"/>
      <c r="H283" s="22"/>
      <c r="I283" s="22"/>
      <c r="J283" s="21">
        <f>SUM(J274:J280)</f>
        <v>270.59121810000005</v>
      </c>
      <c r="K283" s="21"/>
      <c r="L283" s="21">
        <f>SUM(L274:L282)</f>
        <v>926.99573084999997</v>
      </c>
    </row>
    <row r="284" spans="1:12">
      <c r="A284" s="107" t="s">
        <v>85</v>
      </c>
      <c r="B284" s="107"/>
      <c r="C284" s="107"/>
      <c r="D284" s="107"/>
      <c r="E284" s="107"/>
      <c r="F284" s="107"/>
      <c r="G284" s="23"/>
      <c r="H284" s="45">
        <v>0.2</v>
      </c>
      <c r="I284" s="23"/>
      <c r="J284" s="23">
        <f>IF(I273*H284&lt;2500,I273*H284,2500)</f>
        <v>802.94130000000007</v>
      </c>
      <c r="K284" s="46"/>
      <c r="L284" s="47"/>
    </row>
    <row r="285" spans="1:12">
      <c r="A285" s="111" t="s">
        <v>86</v>
      </c>
      <c r="B285" s="111"/>
      <c r="C285" s="111"/>
      <c r="D285" s="111"/>
      <c r="E285" s="111"/>
      <c r="F285" s="111"/>
      <c r="G285" s="32"/>
      <c r="H285" s="33"/>
      <c r="I285" s="32">
        <f>I273-J283-J284</f>
        <v>2941.1739819000004</v>
      </c>
      <c r="J285" s="33"/>
      <c r="K285" s="33"/>
      <c r="L285" s="33"/>
    </row>
    <row r="286" spans="1:12">
      <c r="A286" s="107" t="s">
        <v>87</v>
      </c>
      <c r="B286" s="107"/>
      <c r="C286" s="107"/>
      <c r="D286" s="107"/>
      <c r="E286" s="107"/>
      <c r="F286" s="107"/>
      <c r="G286" s="23"/>
      <c r="H286" s="34"/>
      <c r="I286" s="23">
        <f>H286*180/360</f>
        <v>0</v>
      </c>
      <c r="J286" s="23"/>
      <c r="K286" s="46"/>
      <c r="L286" s="47"/>
    </row>
    <row r="287" spans="1:12">
      <c r="A287" s="111" t="s">
        <v>88</v>
      </c>
      <c r="B287" s="111"/>
      <c r="C287" s="111"/>
      <c r="D287" s="111"/>
      <c r="E287" s="111"/>
      <c r="F287" s="111"/>
      <c r="G287" s="32"/>
      <c r="H287" s="33"/>
      <c r="I287" s="32">
        <f>I285-I286</f>
        <v>2941.1739819000004</v>
      </c>
      <c r="J287" s="33"/>
      <c r="K287" s="33"/>
      <c r="L287" s="33"/>
    </row>
    <row r="288" spans="1:12">
      <c r="A288" s="107" t="s">
        <v>89</v>
      </c>
      <c r="B288" s="107"/>
      <c r="C288" s="107"/>
      <c r="D288" s="107"/>
      <c r="E288" s="107"/>
      <c r="F288" s="107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44.117398190000074</v>
      </c>
      <c r="K288" s="46"/>
      <c r="L288" s="47"/>
    </row>
    <row r="289" spans="1:12">
      <c r="A289" s="107" t="s">
        <v>90</v>
      </c>
      <c r="B289" s="107"/>
      <c r="C289" s="107"/>
      <c r="D289" s="107"/>
      <c r="E289" s="107"/>
      <c r="F289" s="107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>
      <c r="A290" s="106" t="s">
        <v>91</v>
      </c>
      <c r="B290" s="106"/>
      <c r="C290" s="106"/>
      <c r="D290" s="106"/>
      <c r="E290" s="106"/>
      <c r="F290" s="106"/>
      <c r="G290" s="21"/>
      <c r="H290" s="22"/>
      <c r="I290" s="21"/>
      <c r="J290" s="21">
        <f>J288-J289</f>
        <v>44.117398190000074</v>
      </c>
      <c r="K290" s="21"/>
      <c r="L290" s="21"/>
    </row>
    <row r="291" spans="1:12">
      <c r="A291" s="112" t="s">
        <v>92</v>
      </c>
      <c r="B291" s="112"/>
      <c r="C291" s="112"/>
      <c r="D291" s="112"/>
      <c r="E291" s="112"/>
      <c r="F291" s="112"/>
      <c r="G291" s="25"/>
      <c r="H291" s="48"/>
      <c r="I291" s="47"/>
      <c r="J291" s="49">
        <v>0</v>
      </c>
      <c r="K291" s="46"/>
      <c r="L291" s="47"/>
    </row>
    <row r="292" spans="1:12">
      <c r="A292" s="107" t="s">
        <v>93</v>
      </c>
      <c r="B292" s="107"/>
      <c r="C292" s="107"/>
      <c r="D292" s="107"/>
      <c r="E292" s="107"/>
      <c r="F292" s="107"/>
      <c r="G292" s="25"/>
      <c r="H292" s="48"/>
      <c r="I292" s="44"/>
      <c r="J292" s="28"/>
      <c r="K292" s="46"/>
      <c r="L292" s="47"/>
    </row>
    <row r="293" spans="1:12">
      <c r="A293" s="113" t="s">
        <v>94</v>
      </c>
      <c r="B293" s="113"/>
      <c r="C293" s="113"/>
      <c r="D293" s="113"/>
      <c r="E293" s="113"/>
      <c r="F293" s="113"/>
      <c r="G293" s="41"/>
      <c r="H293" s="42"/>
      <c r="I293" s="28"/>
      <c r="J293" s="41"/>
      <c r="K293" s="43"/>
      <c r="L293" s="44"/>
    </row>
    <row r="294" spans="1:1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>
      <c r="A295" s="13" t="s">
        <v>95</v>
      </c>
      <c r="B295" s="13" t="s">
        <v>96</v>
      </c>
      <c r="C295" s="13" t="s">
        <v>97</v>
      </c>
      <c r="D295" s="104" t="s">
        <v>98</v>
      </c>
      <c r="E295" s="104"/>
      <c r="F295" s="104"/>
      <c r="G295" s="13" t="s">
        <v>99</v>
      </c>
      <c r="H295" s="50"/>
      <c r="I295" s="51">
        <f>I272+I293</f>
        <v>4314.7065000000002</v>
      </c>
      <c r="J295" s="51">
        <f>J283+J290+J291+J292</f>
        <v>314.70861629000012</v>
      </c>
      <c r="K295" s="13" t="s">
        <v>100</v>
      </c>
      <c r="L295" s="51">
        <f>L283</f>
        <v>926.99573084999997</v>
      </c>
    </row>
    <row r="296" spans="1:12">
      <c r="A296" s="51">
        <f>32114.9+I272</f>
        <v>36429.606500000002</v>
      </c>
      <c r="B296" s="51">
        <f>29414.9+I273</f>
        <v>33429.606500000002</v>
      </c>
      <c r="C296" s="51">
        <f>1317.78+J274</f>
        <v>1497.6388512000001</v>
      </c>
      <c r="D296" s="114">
        <f>132.35+J290</f>
        <v>176.46739819000007</v>
      </c>
      <c r="E296" s="114"/>
      <c r="F296" s="114"/>
      <c r="G296" s="51">
        <f>30000+I295</f>
        <v>34314.7065</v>
      </c>
      <c r="H296" s="104" t="s">
        <v>101</v>
      </c>
      <c r="I296" s="104"/>
      <c r="J296" s="51">
        <f>I295-J295</f>
        <v>3999.9978837100002</v>
      </c>
      <c r="K296" s="13" t="s">
        <v>102</v>
      </c>
      <c r="L296" s="51">
        <f>5864.92+L295</f>
        <v>6791.9157308499998</v>
      </c>
    </row>
    <row r="297" spans="1:1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4926.9936145600004</v>
      </c>
    </row>
    <row r="301" spans="1:12">
      <c r="A301" s="105" t="s">
        <v>26</v>
      </c>
      <c r="B301" s="105"/>
      <c r="C301" s="105" t="s">
        <v>27</v>
      </c>
      <c r="D301" s="105"/>
      <c r="E301" s="105"/>
      <c r="F301" s="105"/>
      <c r="G301" s="105" t="s">
        <v>28</v>
      </c>
      <c r="H301" s="105"/>
      <c r="I301" s="105"/>
      <c r="J301" s="105" t="s">
        <v>29</v>
      </c>
      <c r="K301" s="105"/>
      <c r="L301" s="105"/>
    </row>
    <row r="302" spans="1:12">
      <c r="A302" s="13" t="s">
        <v>30</v>
      </c>
      <c r="B302" s="104" t="s">
        <v>31</v>
      </c>
      <c r="C302" s="104"/>
      <c r="D302" s="104"/>
      <c r="E302" s="104"/>
      <c r="F302" s="104"/>
      <c r="G302" s="104" t="s">
        <v>32</v>
      </c>
      <c r="H302" s="104"/>
      <c r="I302" s="104"/>
      <c r="J302" s="104"/>
      <c r="K302" s="104"/>
      <c r="L302" s="104"/>
    </row>
    <row r="303" spans="1:12">
      <c r="A303" s="15">
        <v>7</v>
      </c>
      <c r="B303" s="102" t="s">
        <v>112</v>
      </c>
      <c r="C303" s="102"/>
      <c r="D303" s="102"/>
      <c r="E303" s="102"/>
      <c r="F303" s="102"/>
      <c r="G303" s="103">
        <v>42675</v>
      </c>
      <c r="H303" s="103"/>
      <c r="I303" s="103"/>
      <c r="J303" s="103">
        <v>42704</v>
      </c>
      <c r="K303" s="103"/>
      <c r="L303" s="103"/>
    </row>
    <row r="304" spans="1:12">
      <c r="A304" s="13" t="s">
        <v>34</v>
      </c>
      <c r="B304" s="13" t="s">
        <v>35</v>
      </c>
      <c r="C304" s="13" t="s">
        <v>36</v>
      </c>
      <c r="D304" s="13" t="s">
        <v>37</v>
      </c>
      <c r="E304" s="13" t="s">
        <v>38</v>
      </c>
      <c r="F304" s="13" t="s">
        <v>39</v>
      </c>
      <c r="G304" s="104" t="s">
        <v>40</v>
      </c>
      <c r="H304" s="104"/>
      <c r="I304" s="104"/>
      <c r="J304" s="104"/>
      <c r="K304" s="104"/>
      <c r="L304" s="104"/>
    </row>
    <row r="305" spans="1:12">
      <c r="A305" s="17">
        <v>42005</v>
      </c>
      <c r="B305" s="15"/>
      <c r="C305" s="17">
        <v>34565</v>
      </c>
      <c r="D305" s="15" t="s">
        <v>111</v>
      </c>
      <c r="E305" s="15">
        <v>0</v>
      </c>
      <c r="F305" s="15">
        <v>0</v>
      </c>
      <c r="G305" s="102"/>
      <c r="H305" s="102"/>
      <c r="I305" s="102"/>
      <c r="J305" s="102"/>
      <c r="K305" s="102"/>
      <c r="L305" s="102"/>
    </row>
    <row r="306" spans="1:12">
      <c r="A306" s="13" t="s">
        <v>42</v>
      </c>
      <c r="B306" s="13" t="s">
        <v>43</v>
      </c>
      <c r="C306" s="13" t="s">
        <v>44</v>
      </c>
      <c r="D306" s="104" t="s">
        <v>45</v>
      </c>
      <c r="E306" s="104"/>
      <c r="F306" s="104"/>
      <c r="G306" s="104" t="s">
        <v>46</v>
      </c>
      <c r="H306" s="104"/>
      <c r="I306" s="104"/>
      <c r="J306" s="104"/>
      <c r="K306" s="104"/>
      <c r="L306" s="104"/>
    </row>
    <row r="307" spans="1:12">
      <c r="A307" s="15">
        <v>168098097</v>
      </c>
      <c r="B307" s="15"/>
      <c r="C307" s="15"/>
      <c r="D307" s="102" t="s">
        <v>47</v>
      </c>
      <c r="E307" s="102"/>
      <c r="F307" s="102"/>
      <c r="G307" s="102" t="s">
        <v>107</v>
      </c>
      <c r="H307" s="102"/>
      <c r="I307" s="102"/>
      <c r="J307" s="102"/>
      <c r="K307" s="102"/>
      <c r="L307" s="102"/>
    </row>
    <row r="308" spans="1:1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>
      <c r="A311" s="108" t="s">
        <v>49</v>
      </c>
      <c r="B311" s="108"/>
      <c r="C311" s="108"/>
      <c r="D311" s="108"/>
      <c r="E311" s="108"/>
      <c r="F311" s="108"/>
      <c r="G311" s="108" t="s">
        <v>50</v>
      </c>
      <c r="H311" s="108" t="s">
        <v>51</v>
      </c>
      <c r="I311" s="108" t="s">
        <v>52</v>
      </c>
      <c r="J311" s="108"/>
      <c r="K311" s="108" t="s">
        <v>53</v>
      </c>
      <c r="L311" s="108"/>
    </row>
    <row r="312" spans="1:12">
      <c r="A312" s="108"/>
      <c r="B312" s="108"/>
      <c r="C312" s="108"/>
      <c r="D312" s="108"/>
      <c r="E312" s="108"/>
      <c r="F312" s="108"/>
      <c r="G312" s="108"/>
      <c r="H312" s="108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>
      <c r="A313" s="106" t="s">
        <v>58</v>
      </c>
      <c r="B313" s="106"/>
      <c r="C313" s="106"/>
      <c r="D313" s="106"/>
      <c r="E313" s="106"/>
      <c r="F313" s="106"/>
      <c r="G313" s="21">
        <v>2807.8</v>
      </c>
      <c r="H313" s="22"/>
      <c r="I313" s="21"/>
      <c r="J313" s="21"/>
      <c r="K313" s="21"/>
      <c r="L313" s="21"/>
    </row>
    <row r="314" spans="1:12">
      <c r="A314" s="106" t="s">
        <v>59</v>
      </c>
      <c r="B314" s="106"/>
      <c r="C314" s="106"/>
      <c r="D314" s="106"/>
      <c r="E314" s="106"/>
      <c r="F314" s="106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>
      <c r="A315" s="107" t="s">
        <v>60</v>
      </c>
      <c r="B315" s="107"/>
      <c r="C315" s="107"/>
      <c r="D315" s="107"/>
      <c r="E315" s="107"/>
      <c r="F315" s="107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>
      <c r="A316" s="107" t="s">
        <v>61</v>
      </c>
      <c r="B316" s="107"/>
      <c r="C316" s="107"/>
      <c r="D316" s="107"/>
      <c r="E316" s="107"/>
      <c r="F316" s="107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>
      <c r="A317" s="107" t="s">
        <v>62</v>
      </c>
      <c r="B317" s="107"/>
      <c r="C317" s="107"/>
      <c r="D317" s="107"/>
      <c r="E317" s="107"/>
      <c r="F317" s="107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>
      <c r="A318" s="107" t="s">
        <v>63</v>
      </c>
      <c r="B318" s="107"/>
      <c r="C318" s="107"/>
      <c r="D318" s="107"/>
      <c r="E318" s="107"/>
      <c r="F318" s="107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>
      <c r="A319" s="107" t="s">
        <v>64</v>
      </c>
      <c r="B319" s="107"/>
      <c r="C319" s="107"/>
      <c r="D319" s="107"/>
      <c r="E319" s="107"/>
      <c r="F319" s="107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>
      <c r="A320" s="107" t="s">
        <v>65</v>
      </c>
      <c r="B320" s="107"/>
      <c r="C320" s="107"/>
      <c r="D320" s="107"/>
      <c r="E320" s="107"/>
      <c r="F320" s="107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>
      <c r="A321" s="107" t="s">
        <v>66</v>
      </c>
      <c r="B321" s="107"/>
      <c r="C321" s="107"/>
      <c r="D321" s="107"/>
      <c r="E321" s="107"/>
      <c r="F321" s="107"/>
      <c r="G321" s="29"/>
      <c r="H321" s="30"/>
      <c r="I321" s="30"/>
      <c r="J321" s="25"/>
      <c r="K321" s="26"/>
      <c r="L321" s="26"/>
    </row>
    <row r="322" spans="1:12">
      <c r="A322" s="109">
        <v>0.25</v>
      </c>
      <c r="B322" s="109"/>
      <c r="C322" s="109"/>
      <c r="D322" s="109"/>
      <c r="E322" s="109"/>
      <c r="F322" s="109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>
      <c r="A323" s="109">
        <v>0.5</v>
      </c>
      <c r="B323" s="109"/>
      <c r="C323" s="109"/>
      <c r="D323" s="109"/>
      <c r="E323" s="109"/>
      <c r="F323" s="109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>
      <c r="A324" s="109">
        <v>1</v>
      </c>
      <c r="B324" s="109"/>
      <c r="C324" s="109"/>
      <c r="D324" s="109"/>
      <c r="E324" s="109"/>
      <c r="F324" s="109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>
      <c r="A325" s="106" t="s">
        <v>67</v>
      </c>
      <c r="B325" s="106"/>
      <c r="C325" s="106"/>
      <c r="D325" s="106"/>
      <c r="E325" s="106"/>
      <c r="F325" s="106"/>
      <c r="G325" s="21"/>
      <c r="H325" s="22"/>
      <c r="I325" s="21">
        <f>SUM(I326:I327)</f>
        <v>0</v>
      </c>
      <c r="J325" s="21"/>
      <c r="K325" s="21"/>
      <c r="L325" s="21"/>
    </row>
    <row r="326" spans="1:12">
      <c r="A326" s="107" t="s">
        <v>68</v>
      </c>
      <c r="B326" s="107"/>
      <c r="C326" s="107"/>
      <c r="D326" s="107"/>
      <c r="E326" s="107"/>
      <c r="F326" s="107"/>
      <c r="G326" s="23">
        <f>(G303-A305)/360</f>
        <v>1.8611111111111112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>
      <c r="A327" s="107" t="s">
        <v>69</v>
      </c>
      <c r="B327" s="107"/>
      <c r="C327" s="107"/>
      <c r="D327" s="107"/>
      <c r="E327" s="107"/>
      <c r="F327" s="107"/>
      <c r="G327" s="23"/>
      <c r="H327" s="24"/>
      <c r="I327" s="23"/>
      <c r="J327" s="25"/>
      <c r="K327" s="26"/>
      <c r="L327" s="26"/>
    </row>
    <row r="328" spans="1:12">
      <c r="A328" s="106" t="s">
        <v>70</v>
      </c>
      <c r="B328" s="106"/>
      <c r="C328" s="106"/>
      <c r="D328" s="106"/>
      <c r="E328" s="106"/>
      <c r="F328" s="106"/>
      <c r="G328" s="21"/>
      <c r="H328" s="22"/>
      <c r="I328" s="21">
        <f>SUM(I329:I331)</f>
        <v>0</v>
      </c>
      <c r="J328" s="21"/>
      <c r="K328" s="21"/>
      <c r="L328" s="21"/>
    </row>
    <row r="329" spans="1:12">
      <c r="A329" s="107" t="s">
        <v>71</v>
      </c>
      <c r="B329" s="107"/>
      <c r="C329" s="107"/>
      <c r="D329" s="107"/>
      <c r="E329" s="107"/>
      <c r="F329" s="107"/>
      <c r="G329" s="23"/>
      <c r="H329" s="24"/>
      <c r="I329" s="23"/>
      <c r="J329" s="25"/>
      <c r="K329" s="26"/>
      <c r="L329" s="26"/>
    </row>
    <row r="330" spans="1:12">
      <c r="A330" s="107" t="s">
        <v>72</v>
      </c>
      <c r="B330" s="107"/>
      <c r="C330" s="107"/>
      <c r="D330" s="107"/>
      <c r="E330" s="107"/>
      <c r="F330" s="107"/>
      <c r="G330" s="23"/>
      <c r="H330" s="31">
        <v>0</v>
      </c>
      <c r="I330" s="23"/>
      <c r="J330" s="25"/>
      <c r="K330" s="26"/>
      <c r="L330" s="26"/>
    </row>
    <row r="331" spans="1:12">
      <c r="A331" s="107" t="s">
        <v>73</v>
      </c>
      <c r="B331" s="107"/>
      <c r="C331" s="107"/>
      <c r="D331" s="107"/>
      <c r="E331" s="107"/>
      <c r="F331" s="107"/>
      <c r="G331" s="23"/>
      <c r="H331" s="24"/>
      <c r="I331" s="23"/>
      <c r="J331" s="25"/>
      <c r="K331" s="26"/>
      <c r="L331" s="26"/>
    </row>
    <row r="332" spans="1:12">
      <c r="A332" s="111" t="s">
        <v>74</v>
      </c>
      <c r="B332" s="111"/>
      <c r="C332" s="111"/>
      <c r="D332" s="111"/>
      <c r="E332" s="111"/>
      <c r="F332" s="111"/>
      <c r="G332" s="32"/>
      <c r="H332" s="33"/>
      <c r="I332" s="32">
        <f>I314+I325+I328</f>
        <v>2807.8</v>
      </c>
      <c r="J332" s="33"/>
      <c r="K332" s="33"/>
      <c r="L332" s="33"/>
    </row>
    <row r="333" spans="1:12">
      <c r="A333" s="111" t="s">
        <v>75</v>
      </c>
      <c r="B333" s="111"/>
      <c r="C333" s="111"/>
      <c r="D333" s="111"/>
      <c r="E333" s="111"/>
      <c r="F333" s="111"/>
      <c r="G333" s="32"/>
      <c r="H333" s="33"/>
      <c r="I333" s="32">
        <f>I332-I328</f>
        <v>2807.8</v>
      </c>
      <c r="J333" s="33"/>
      <c r="K333" s="33"/>
      <c r="L333" s="33"/>
    </row>
    <row r="334" spans="1:12">
      <c r="A334" s="107" t="s">
        <v>76</v>
      </c>
      <c r="B334" s="107"/>
      <c r="C334" s="107"/>
      <c r="D334" s="107"/>
      <c r="E334" s="107"/>
      <c r="F334" s="107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>
      <c r="A335" s="107" t="s">
        <v>77</v>
      </c>
      <c r="B335" s="107"/>
      <c r="C335" s="107"/>
      <c r="D335" s="107"/>
      <c r="E335" s="107"/>
      <c r="F335" s="107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>
      <c r="A336" s="107" t="s">
        <v>78</v>
      </c>
      <c r="B336" s="107"/>
      <c r="C336" s="107"/>
      <c r="D336" s="107"/>
      <c r="E336" s="107"/>
      <c r="F336" s="107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>
      <c r="A337" s="107" t="s">
        <v>79</v>
      </c>
      <c r="B337" s="107"/>
      <c r="C337" s="107"/>
      <c r="D337" s="107"/>
      <c r="E337" s="107"/>
      <c r="F337" s="107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>
      <c r="A338" s="107" t="s">
        <v>80</v>
      </c>
      <c r="B338" s="107"/>
      <c r="C338" s="107"/>
      <c r="D338" s="107"/>
      <c r="E338" s="107"/>
      <c r="F338" s="107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>
      <c r="A339" s="107" t="s">
        <v>81</v>
      </c>
      <c r="B339" s="107"/>
      <c r="C339" s="107"/>
      <c r="D339" s="107"/>
      <c r="E339" s="107"/>
      <c r="F339" s="107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>
      <c r="A340" s="107" t="s">
        <v>24</v>
      </c>
      <c r="B340" s="107"/>
      <c r="C340" s="107"/>
      <c r="D340" s="107"/>
      <c r="E340" s="107"/>
      <c r="F340" s="107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>
      <c r="A341" s="110" t="s">
        <v>82</v>
      </c>
      <c r="B341" s="110"/>
      <c r="C341" s="110"/>
      <c r="D341" s="110"/>
      <c r="E341" s="110"/>
      <c r="F341" s="110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>
      <c r="A342" s="110" t="s">
        <v>83</v>
      </c>
      <c r="B342" s="110"/>
      <c r="C342" s="110"/>
      <c r="D342" s="110"/>
      <c r="E342" s="110"/>
      <c r="F342" s="110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>
      <c r="A343" s="106" t="s">
        <v>84</v>
      </c>
      <c r="B343" s="106"/>
      <c r="C343" s="106"/>
      <c r="D343" s="106"/>
      <c r="E343" s="106"/>
      <c r="F343" s="106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>
      <c r="A344" s="107" t="s">
        <v>85</v>
      </c>
      <c r="B344" s="107"/>
      <c r="C344" s="107"/>
      <c r="D344" s="107"/>
      <c r="E344" s="107"/>
      <c r="F344" s="107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>
      <c r="A345" s="111" t="s">
        <v>86</v>
      </c>
      <c r="B345" s="111"/>
      <c r="C345" s="111"/>
      <c r="D345" s="111"/>
      <c r="E345" s="111"/>
      <c r="F345" s="111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>
      <c r="A346" s="107" t="s">
        <v>87</v>
      </c>
      <c r="B346" s="107"/>
      <c r="C346" s="107"/>
      <c r="D346" s="107"/>
      <c r="E346" s="107"/>
      <c r="F346" s="107"/>
      <c r="G346" s="23"/>
      <c r="H346" s="34"/>
      <c r="I346" s="23">
        <f>H346*180/360</f>
        <v>0</v>
      </c>
      <c r="J346" s="23"/>
      <c r="K346" s="46"/>
      <c r="L346" s="47"/>
    </row>
    <row r="347" spans="1:12">
      <c r="A347" s="111" t="s">
        <v>88</v>
      </c>
      <c r="B347" s="111"/>
      <c r="C347" s="111"/>
      <c r="D347" s="111"/>
      <c r="E347" s="111"/>
      <c r="F347" s="111"/>
      <c r="G347" s="32"/>
      <c r="H347" s="33"/>
      <c r="I347" s="32">
        <f>I345-I346</f>
        <v>2056.9942800000003</v>
      </c>
      <c r="J347" s="33"/>
      <c r="K347" s="33"/>
      <c r="L347" s="33"/>
    </row>
    <row r="348" spans="1:12">
      <c r="A348" s="107" t="s">
        <v>89</v>
      </c>
      <c r="B348" s="107"/>
      <c r="C348" s="107"/>
      <c r="D348" s="107"/>
      <c r="E348" s="107"/>
      <c r="F348" s="107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>
      <c r="A349" s="107" t="s">
        <v>90</v>
      </c>
      <c r="B349" s="107"/>
      <c r="C349" s="107"/>
      <c r="D349" s="107"/>
      <c r="E349" s="107"/>
      <c r="F349" s="107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>
      <c r="A350" s="106" t="s">
        <v>91</v>
      </c>
      <c r="B350" s="106"/>
      <c r="C350" s="106"/>
      <c r="D350" s="106"/>
      <c r="E350" s="106"/>
      <c r="F350" s="106"/>
      <c r="G350" s="21"/>
      <c r="H350" s="22"/>
      <c r="I350" s="21"/>
      <c r="J350" s="21">
        <f>J348-J349</f>
        <v>0</v>
      </c>
      <c r="K350" s="21"/>
      <c r="L350" s="21"/>
    </row>
    <row r="351" spans="1:12">
      <c r="A351" s="112" t="s">
        <v>92</v>
      </c>
      <c r="B351" s="112"/>
      <c r="C351" s="112"/>
      <c r="D351" s="112"/>
      <c r="E351" s="112"/>
      <c r="F351" s="112"/>
      <c r="G351" s="25"/>
      <c r="H351" s="48"/>
      <c r="I351" s="47"/>
      <c r="J351" s="49">
        <v>0</v>
      </c>
      <c r="K351" s="46"/>
      <c r="L351" s="47"/>
    </row>
    <row r="352" spans="1:12">
      <c r="A352" s="107" t="s">
        <v>93</v>
      </c>
      <c r="B352" s="107"/>
      <c r="C352" s="107"/>
      <c r="D352" s="107"/>
      <c r="E352" s="107"/>
      <c r="F352" s="107"/>
      <c r="G352" s="25"/>
      <c r="H352" s="48"/>
      <c r="I352" s="44"/>
      <c r="J352" s="28">
        <v>1000</v>
      </c>
      <c r="K352" s="46"/>
      <c r="L352" s="47"/>
    </row>
    <row r="353" spans="1:12">
      <c r="A353" s="113" t="s">
        <v>94</v>
      </c>
      <c r="B353" s="113"/>
      <c r="C353" s="113"/>
      <c r="D353" s="113"/>
      <c r="E353" s="113"/>
      <c r="F353" s="113"/>
      <c r="G353" s="41"/>
      <c r="H353" s="42"/>
      <c r="I353" s="28">
        <f>1-0.55</f>
        <v>0.44999999999999996</v>
      </c>
      <c r="J353" s="41"/>
      <c r="K353" s="43"/>
      <c r="L353" s="44"/>
    </row>
    <row r="354" spans="1:1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>
      <c r="A355" s="13" t="s">
        <v>95</v>
      </c>
      <c r="B355" s="13" t="s">
        <v>96</v>
      </c>
      <c r="C355" s="13" t="s">
        <v>97</v>
      </c>
      <c r="D355" s="104" t="s">
        <v>98</v>
      </c>
      <c r="E355" s="104"/>
      <c r="F355" s="104"/>
      <c r="G355" s="13" t="s">
        <v>99</v>
      </c>
      <c r="H355" s="50"/>
      <c r="I355" s="51">
        <f>I332+I353</f>
        <v>2808.25</v>
      </c>
      <c r="J355" s="51">
        <f>J343+J350+J351+J352</f>
        <v>1189.2457200000001</v>
      </c>
      <c r="K355" s="13" t="s">
        <v>100</v>
      </c>
      <c r="L355" s="51">
        <f>L343</f>
        <v>648.32101999999998</v>
      </c>
    </row>
    <row r="356" spans="1:12">
      <c r="A356" s="51">
        <f>25270.2+I332</f>
        <v>28078</v>
      </c>
      <c r="B356" s="51">
        <f>25270.2+I333</f>
        <v>28078</v>
      </c>
      <c r="C356" s="51">
        <f>1132.11+J334</f>
        <v>1257.8994399999999</v>
      </c>
      <c r="D356" s="114">
        <f>0+J350</f>
        <v>0</v>
      </c>
      <c r="E356" s="114"/>
      <c r="F356" s="114"/>
      <c r="G356" s="51">
        <f>17071.02+I355</f>
        <v>19879.27</v>
      </c>
      <c r="H356" s="104" t="s">
        <v>101</v>
      </c>
      <c r="I356" s="104"/>
      <c r="J356" s="51">
        <f>I355-J355</f>
        <v>1619.0042799999999</v>
      </c>
      <c r="K356" s="13" t="s">
        <v>102</v>
      </c>
      <c r="L356" s="51">
        <f>5834.88+L355</f>
        <v>6483.2010200000004</v>
      </c>
    </row>
    <row r="357" spans="1:1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2267.3253</v>
      </c>
    </row>
    <row r="361" spans="1:12">
      <c r="A361" s="105" t="s">
        <v>26</v>
      </c>
      <c r="B361" s="105"/>
      <c r="C361" s="105" t="s">
        <v>27</v>
      </c>
      <c r="D361" s="105"/>
      <c r="E361" s="105"/>
      <c r="F361" s="105"/>
      <c r="G361" s="105" t="s">
        <v>28</v>
      </c>
      <c r="H361" s="105"/>
      <c r="I361" s="105"/>
      <c r="J361" s="105" t="s">
        <v>29</v>
      </c>
      <c r="K361" s="105"/>
      <c r="L361" s="105"/>
    </row>
    <row r="362" spans="1:12">
      <c r="A362" s="13" t="s">
        <v>30</v>
      </c>
      <c r="B362" s="104" t="s">
        <v>31</v>
      </c>
      <c r="C362" s="104"/>
      <c r="D362" s="104"/>
      <c r="E362" s="104"/>
      <c r="F362" s="104"/>
      <c r="G362" s="104" t="s">
        <v>32</v>
      </c>
      <c r="H362" s="104"/>
      <c r="I362" s="104"/>
      <c r="J362" s="104"/>
      <c r="K362" s="104"/>
      <c r="L362" s="104"/>
    </row>
    <row r="363" spans="1:12">
      <c r="A363" s="15">
        <v>8</v>
      </c>
      <c r="B363" s="102" t="s">
        <v>113</v>
      </c>
      <c r="C363" s="102"/>
      <c r="D363" s="102"/>
      <c r="E363" s="102"/>
      <c r="F363" s="102"/>
      <c r="G363" s="103">
        <v>42675</v>
      </c>
      <c r="H363" s="103"/>
      <c r="I363" s="103"/>
      <c r="J363" s="103">
        <v>42704</v>
      </c>
      <c r="K363" s="103"/>
      <c r="L363" s="103"/>
    </row>
    <row r="364" spans="1:12">
      <c r="A364" s="13" t="s">
        <v>34</v>
      </c>
      <c r="B364" s="13" t="s">
        <v>35</v>
      </c>
      <c r="C364" s="13" t="s">
        <v>36</v>
      </c>
      <c r="D364" s="13" t="s">
        <v>37</v>
      </c>
      <c r="E364" s="13" t="s">
        <v>38</v>
      </c>
      <c r="F364" s="13" t="s">
        <v>39</v>
      </c>
      <c r="G364" s="104" t="s">
        <v>40</v>
      </c>
      <c r="H364" s="104"/>
      <c r="I364" s="104"/>
      <c r="J364" s="104"/>
      <c r="K364" s="104"/>
      <c r="L364" s="104"/>
    </row>
    <row r="365" spans="1:12">
      <c r="A365" s="17">
        <v>42278</v>
      </c>
      <c r="B365" s="15"/>
      <c r="C365" s="17">
        <v>33665</v>
      </c>
      <c r="D365" s="15" t="s">
        <v>111</v>
      </c>
      <c r="E365" s="15">
        <v>0</v>
      </c>
      <c r="F365" s="15">
        <v>0</v>
      </c>
      <c r="G365" s="102"/>
      <c r="H365" s="102"/>
      <c r="I365" s="102"/>
      <c r="J365" s="102"/>
      <c r="K365" s="102"/>
      <c r="L365" s="102"/>
    </row>
    <row r="366" spans="1:12">
      <c r="A366" s="13" t="s">
        <v>42</v>
      </c>
      <c r="B366" s="13" t="s">
        <v>43</v>
      </c>
      <c r="C366" s="13" t="s">
        <v>44</v>
      </c>
      <c r="D366" s="104" t="s">
        <v>45</v>
      </c>
      <c r="E366" s="104"/>
      <c r="F366" s="104"/>
      <c r="G366" s="104" t="s">
        <v>46</v>
      </c>
      <c r="H366" s="104"/>
      <c r="I366" s="104"/>
      <c r="J366" s="104"/>
      <c r="K366" s="104"/>
      <c r="L366" s="104"/>
    </row>
    <row r="367" spans="1:12">
      <c r="A367" s="15">
        <v>164315198</v>
      </c>
      <c r="B367" s="15"/>
      <c r="C367" s="15"/>
      <c r="D367" s="102" t="s">
        <v>47</v>
      </c>
      <c r="E367" s="102"/>
      <c r="F367" s="102"/>
      <c r="G367" s="102" t="s">
        <v>114</v>
      </c>
      <c r="H367" s="102"/>
      <c r="I367" s="102"/>
      <c r="J367" s="102"/>
      <c r="K367" s="102"/>
      <c r="L367" s="102"/>
    </row>
    <row r="368" spans="1:1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>
      <c r="A371" s="108" t="s">
        <v>49</v>
      </c>
      <c r="B371" s="108"/>
      <c r="C371" s="108"/>
      <c r="D371" s="108"/>
      <c r="E371" s="108"/>
      <c r="F371" s="108"/>
      <c r="G371" s="108" t="s">
        <v>50</v>
      </c>
      <c r="H371" s="108" t="s">
        <v>51</v>
      </c>
      <c r="I371" s="108" t="s">
        <v>52</v>
      </c>
      <c r="J371" s="108"/>
      <c r="K371" s="108" t="s">
        <v>53</v>
      </c>
      <c r="L371" s="108"/>
    </row>
    <row r="372" spans="1:12">
      <c r="A372" s="108"/>
      <c r="B372" s="108"/>
      <c r="C372" s="108"/>
      <c r="D372" s="108"/>
      <c r="E372" s="108"/>
      <c r="F372" s="108"/>
      <c r="G372" s="108"/>
      <c r="H372" s="108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>
      <c r="A373" s="106" t="s">
        <v>58</v>
      </c>
      <c r="B373" s="106"/>
      <c r="C373" s="106"/>
      <c r="D373" s="106"/>
      <c r="E373" s="106"/>
      <c r="F373" s="106"/>
      <c r="G373" s="21">
        <v>3665.6</v>
      </c>
      <c r="H373" s="22"/>
      <c r="I373" s="21"/>
      <c r="J373" s="21"/>
      <c r="K373" s="21"/>
      <c r="L373" s="21"/>
    </row>
    <row r="374" spans="1:12">
      <c r="A374" s="106" t="s">
        <v>59</v>
      </c>
      <c r="B374" s="106"/>
      <c r="C374" s="106"/>
      <c r="D374" s="106"/>
      <c r="E374" s="106"/>
      <c r="F374" s="106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>
      <c r="A375" s="107" t="s">
        <v>60</v>
      </c>
      <c r="B375" s="107"/>
      <c r="C375" s="107"/>
      <c r="D375" s="107"/>
      <c r="E375" s="107"/>
      <c r="F375" s="107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>
      <c r="A376" s="107" t="s">
        <v>61</v>
      </c>
      <c r="B376" s="107"/>
      <c r="C376" s="107"/>
      <c r="D376" s="107"/>
      <c r="E376" s="107"/>
      <c r="F376" s="107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>
      <c r="A377" s="107" t="s">
        <v>62</v>
      </c>
      <c r="B377" s="107"/>
      <c r="C377" s="107"/>
      <c r="D377" s="107"/>
      <c r="E377" s="107"/>
      <c r="F377" s="107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>
      <c r="A378" s="107" t="s">
        <v>63</v>
      </c>
      <c r="B378" s="107"/>
      <c r="C378" s="107"/>
      <c r="D378" s="107"/>
      <c r="E378" s="107"/>
      <c r="F378" s="107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>
      <c r="A379" s="107" t="s">
        <v>64</v>
      </c>
      <c r="B379" s="107"/>
      <c r="C379" s="107"/>
      <c r="D379" s="107"/>
      <c r="E379" s="107"/>
      <c r="F379" s="107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>
      <c r="A380" s="107" t="s">
        <v>65</v>
      </c>
      <c r="B380" s="107"/>
      <c r="C380" s="107"/>
      <c r="D380" s="107"/>
      <c r="E380" s="107"/>
      <c r="F380" s="107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>
      <c r="A381" s="107" t="s">
        <v>66</v>
      </c>
      <c r="B381" s="107"/>
      <c r="C381" s="107"/>
      <c r="D381" s="107"/>
      <c r="E381" s="107"/>
      <c r="F381" s="107"/>
      <c r="G381" s="29"/>
      <c r="H381" s="30"/>
      <c r="I381" s="30"/>
      <c r="J381" s="25"/>
      <c r="K381" s="26"/>
      <c r="L381" s="26"/>
    </row>
    <row r="382" spans="1:12">
      <c r="A382" s="109">
        <v>0.25</v>
      </c>
      <c r="B382" s="109"/>
      <c r="C382" s="109"/>
      <c r="D382" s="109"/>
      <c r="E382" s="109"/>
      <c r="F382" s="109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>
      <c r="A383" s="109">
        <v>0.5</v>
      </c>
      <c r="B383" s="109"/>
      <c r="C383" s="109"/>
      <c r="D383" s="109"/>
      <c r="E383" s="109"/>
      <c r="F383" s="109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>
      <c r="A384" s="109">
        <v>1</v>
      </c>
      <c r="B384" s="109"/>
      <c r="C384" s="109"/>
      <c r="D384" s="109"/>
      <c r="E384" s="109"/>
      <c r="F384" s="109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>
      <c r="A385" s="106" t="s">
        <v>67</v>
      </c>
      <c r="B385" s="106"/>
      <c r="C385" s="106"/>
      <c r="D385" s="106"/>
      <c r="E385" s="106"/>
      <c r="F385" s="106"/>
      <c r="G385" s="21"/>
      <c r="H385" s="22"/>
      <c r="I385" s="21">
        <f>SUM(I386:I387)</f>
        <v>0</v>
      </c>
      <c r="J385" s="21"/>
      <c r="K385" s="21"/>
      <c r="L385" s="21"/>
    </row>
    <row r="386" spans="1:12">
      <c r="A386" s="107" t="s">
        <v>68</v>
      </c>
      <c r="B386" s="107"/>
      <c r="C386" s="107"/>
      <c r="D386" s="107"/>
      <c r="E386" s="107"/>
      <c r="F386" s="107"/>
      <c r="G386" s="23">
        <f>(G363-A365)/360</f>
        <v>1.1027777777777779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>
      <c r="A387" s="107" t="s">
        <v>69</v>
      </c>
      <c r="B387" s="107"/>
      <c r="C387" s="107"/>
      <c r="D387" s="107"/>
      <c r="E387" s="107"/>
      <c r="F387" s="107"/>
      <c r="G387" s="23"/>
      <c r="H387" s="24"/>
      <c r="I387" s="23"/>
      <c r="J387" s="25"/>
      <c r="K387" s="26"/>
      <c r="L387" s="26"/>
    </row>
    <row r="388" spans="1:12">
      <c r="A388" s="106" t="s">
        <v>70</v>
      </c>
      <c r="B388" s="106"/>
      <c r="C388" s="106"/>
      <c r="D388" s="106"/>
      <c r="E388" s="106"/>
      <c r="F388" s="106"/>
      <c r="G388" s="21"/>
      <c r="H388" s="22"/>
      <c r="I388" s="21">
        <f>SUM(I389:I391)</f>
        <v>600</v>
      </c>
      <c r="J388" s="21"/>
      <c r="K388" s="21"/>
      <c r="L388" s="21"/>
    </row>
    <row r="389" spans="1:12">
      <c r="A389" s="107" t="s">
        <v>71</v>
      </c>
      <c r="B389" s="107"/>
      <c r="C389" s="107"/>
      <c r="D389" s="107"/>
      <c r="E389" s="107"/>
      <c r="F389" s="107"/>
      <c r="G389" s="23"/>
      <c r="H389" s="24"/>
      <c r="I389" s="23">
        <v>600</v>
      </c>
      <c r="J389" s="25"/>
      <c r="K389" s="26"/>
      <c r="L389" s="26"/>
    </row>
    <row r="390" spans="1:12">
      <c r="A390" s="107" t="s">
        <v>72</v>
      </c>
      <c r="B390" s="107"/>
      <c r="C390" s="107"/>
      <c r="D390" s="107"/>
      <c r="E390" s="107"/>
      <c r="F390" s="107"/>
      <c r="G390" s="23"/>
      <c r="H390" s="31">
        <v>0</v>
      </c>
      <c r="I390" s="23"/>
      <c r="J390" s="25"/>
      <c r="K390" s="26"/>
      <c r="L390" s="26"/>
    </row>
    <row r="391" spans="1:12">
      <c r="A391" s="107" t="s">
        <v>73</v>
      </c>
      <c r="B391" s="107"/>
      <c r="C391" s="107"/>
      <c r="D391" s="107"/>
      <c r="E391" s="107"/>
      <c r="F391" s="107"/>
      <c r="G391" s="23"/>
      <c r="H391" s="24"/>
      <c r="I391" s="23"/>
      <c r="J391" s="25"/>
      <c r="K391" s="26"/>
      <c r="L391" s="26"/>
    </row>
    <row r="392" spans="1:12">
      <c r="A392" s="111" t="s">
        <v>74</v>
      </c>
      <c r="B392" s="111"/>
      <c r="C392" s="111"/>
      <c r="D392" s="111"/>
      <c r="E392" s="111"/>
      <c r="F392" s="111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>
      <c r="A393" s="111" t="s">
        <v>75</v>
      </c>
      <c r="B393" s="111"/>
      <c r="C393" s="111"/>
      <c r="D393" s="111"/>
      <c r="E393" s="111"/>
      <c r="F393" s="111"/>
      <c r="G393" s="32"/>
      <c r="H393" s="33"/>
      <c r="I393" s="32">
        <f>I392-I388</f>
        <v>3665.6000000000004</v>
      </c>
      <c r="J393" s="33"/>
      <c r="K393" s="33"/>
      <c r="L393" s="33"/>
    </row>
    <row r="394" spans="1:12">
      <c r="A394" s="107" t="s">
        <v>76</v>
      </c>
      <c r="B394" s="107"/>
      <c r="C394" s="107"/>
      <c r="D394" s="107"/>
      <c r="E394" s="107"/>
      <c r="F394" s="107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>
      <c r="A395" s="107" t="s">
        <v>77</v>
      </c>
      <c r="B395" s="107"/>
      <c r="C395" s="107"/>
      <c r="D395" s="107"/>
      <c r="E395" s="107"/>
      <c r="F395" s="107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>
      <c r="A396" s="107" t="s">
        <v>78</v>
      </c>
      <c r="B396" s="107"/>
      <c r="C396" s="107"/>
      <c r="D396" s="107"/>
      <c r="E396" s="107"/>
      <c r="F396" s="107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>
      <c r="A397" s="107" t="s">
        <v>79</v>
      </c>
      <c r="B397" s="107"/>
      <c r="C397" s="107"/>
      <c r="D397" s="107"/>
      <c r="E397" s="107"/>
      <c r="F397" s="107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>
      <c r="A398" s="107" t="s">
        <v>80</v>
      </c>
      <c r="B398" s="107"/>
      <c r="C398" s="107"/>
      <c r="D398" s="107"/>
      <c r="E398" s="107"/>
      <c r="F398" s="107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>
      <c r="A399" s="107" t="s">
        <v>81</v>
      </c>
      <c r="B399" s="107"/>
      <c r="C399" s="107"/>
      <c r="D399" s="107"/>
      <c r="E399" s="107"/>
      <c r="F399" s="107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>
      <c r="A400" s="107" t="s">
        <v>24</v>
      </c>
      <c r="B400" s="107"/>
      <c r="C400" s="107"/>
      <c r="D400" s="107"/>
      <c r="E400" s="107"/>
      <c r="F400" s="107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>
      <c r="A401" s="110" t="s">
        <v>82</v>
      </c>
      <c r="B401" s="110"/>
      <c r="C401" s="110"/>
      <c r="D401" s="110"/>
      <c r="E401" s="110"/>
      <c r="F401" s="110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>
      <c r="A402" s="110" t="s">
        <v>83</v>
      </c>
      <c r="B402" s="110"/>
      <c r="C402" s="110"/>
      <c r="D402" s="110"/>
      <c r="E402" s="110"/>
      <c r="F402" s="110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>
      <c r="A403" s="106" t="s">
        <v>84</v>
      </c>
      <c r="B403" s="106"/>
      <c r="C403" s="106"/>
      <c r="D403" s="106"/>
      <c r="E403" s="106"/>
      <c r="F403" s="106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>
      <c r="A404" s="107" t="s">
        <v>85</v>
      </c>
      <c r="B404" s="107"/>
      <c r="C404" s="107"/>
      <c r="D404" s="107"/>
      <c r="E404" s="107"/>
      <c r="F404" s="107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>
      <c r="A405" s="111" t="s">
        <v>86</v>
      </c>
      <c r="B405" s="111"/>
      <c r="C405" s="111"/>
      <c r="D405" s="111"/>
      <c r="E405" s="111"/>
      <c r="F405" s="111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>
      <c r="A406" s="107" t="s">
        <v>87</v>
      </c>
      <c r="B406" s="107"/>
      <c r="C406" s="107"/>
      <c r="D406" s="107"/>
      <c r="E406" s="107"/>
      <c r="F406" s="107"/>
      <c r="G406" s="23"/>
      <c r="H406" s="34"/>
      <c r="I406" s="23">
        <f>H406*180/360</f>
        <v>0</v>
      </c>
      <c r="J406" s="23"/>
      <c r="K406" s="46"/>
      <c r="L406" s="47"/>
    </row>
    <row r="407" spans="1:12">
      <c r="A407" s="111" t="s">
        <v>115</v>
      </c>
      <c r="B407" s="111"/>
      <c r="C407" s="111"/>
      <c r="D407" s="111"/>
      <c r="E407" s="111"/>
      <c r="F407" s="111"/>
      <c r="G407" s="32"/>
      <c r="H407" s="33"/>
      <c r="I407" s="32">
        <f>I405-I406</f>
        <v>2685.4185600000001</v>
      </c>
      <c r="J407" s="33"/>
      <c r="K407" s="33"/>
      <c r="L407" s="33"/>
    </row>
    <row r="408" spans="1:12">
      <c r="A408" s="107" t="s">
        <v>89</v>
      </c>
      <c r="B408" s="107"/>
      <c r="C408" s="107"/>
      <c r="D408" s="107"/>
      <c r="E408" s="107"/>
      <c r="F408" s="107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>
      <c r="A409" s="107" t="s">
        <v>90</v>
      </c>
      <c r="B409" s="107"/>
      <c r="C409" s="107"/>
      <c r="D409" s="107"/>
      <c r="E409" s="107"/>
      <c r="F409" s="107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>
      <c r="A410" s="106" t="s">
        <v>91</v>
      </c>
      <c r="B410" s="106"/>
      <c r="C410" s="106"/>
      <c r="D410" s="106"/>
      <c r="E410" s="106"/>
      <c r="F410" s="106"/>
      <c r="G410" s="21"/>
      <c r="H410" s="22"/>
      <c r="I410" s="21"/>
      <c r="J410" s="21">
        <f>J408-J409</f>
        <v>18.541855999999996</v>
      </c>
      <c r="K410" s="21"/>
      <c r="L410" s="21"/>
    </row>
    <row r="411" spans="1:12">
      <c r="A411" s="112" t="s">
        <v>92</v>
      </c>
      <c r="B411" s="112"/>
      <c r="C411" s="112"/>
      <c r="D411" s="112"/>
      <c r="E411" s="112"/>
      <c r="F411" s="112"/>
      <c r="G411" s="25"/>
      <c r="H411" s="48"/>
      <c r="I411" s="47"/>
      <c r="J411" s="49">
        <v>0</v>
      </c>
      <c r="K411" s="46"/>
      <c r="L411" s="47"/>
    </row>
    <row r="412" spans="1:12">
      <c r="A412" s="107" t="s">
        <v>93</v>
      </c>
      <c r="B412" s="107"/>
      <c r="C412" s="107"/>
      <c r="D412" s="107"/>
      <c r="E412" s="107"/>
      <c r="F412" s="107"/>
      <c r="G412" s="25"/>
      <c r="H412" s="48"/>
      <c r="I412" s="44"/>
      <c r="J412" s="28">
        <v>0</v>
      </c>
      <c r="K412" s="46"/>
      <c r="L412" s="47"/>
    </row>
    <row r="413" spans="1:12">
      <c r="A413" s="113" t="s">
        <v>94</v>
      </c>
      <c r="B413" s="113"/>
      <c r="C413" s="113"/>
      <c r="D413" s="113"/>
      <c r="E413" s="113"/>
      <c r="F413" s="113"/>
      <c r="G413" s="41"/>
      <c r="H413" s="42"/>
      <c r="I413" s="28"/>
      <c r="J413" s="41"/>
      <c r="K413" s="43"/>
      <c r="L413" s="44"/>
    </row>
    <row r="414" spans="1:1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>
      <c r="A415" s="13" t="s">
        <v>95</v>
      </c>
      <c r="B415" s="13" t="s">
        <v>96</v>
      </c>
      <c r="C415" s="13" t="s">
        <v>97</v>
      </c>
      <c r="D415" s="104" t="s">
        <v>98</v>
      </c>
      <c r="E415" s="104"/>
      <c r="F415" s="104"/>
      <c r="G415" s="13" t="s">
        <v>99</v>
      </c>
      <c r="H415" s="50"/>
      <c r="I415" s="51">
        <f>I392+I413</f>
        <v>4265.6000000000004</v>
      </c>
      <c r="J415" s="51">
        <f>J403+J410+J411+J412</f>
        <v>265.60329600000006</v>
      </c>
      <c r="K415" s="13" t="s">
        <v>100</v>
      </c>
      <c r="L415" s="51">
        <f>L403</f>
        <v>846.38704000000007</v>
      </c>
    </row>
    <row r="416" spans="1:12">
      <c r="A416" s="51">
        <f>38390.4+I392</f>
        <v>42656</v>
      </c>
      <c r="B416" s="51">
        <f>32990.4+I393</f>
        <v>36656</v>
      </c>
      <c r="C416" s="51">
        <f>1477.98+J394</f>
        <v>1642.1988800000001</v>
      </c>
      <c r="D416" s="114">
        <f>166.87+J410</f>
        <v>185.411856</v>
      </c>
      <c r="E416" s="114"/>
      <c r="F416" s="114"/>
      <c r="G416" s="51">
        <f>36000+I415</f>
        <v>40265.599999999999</v>
      </c>
      <c r="H416" s="104" t="s">
        <v>101</v>
      </c>
      <c r="I416" s="104"/>
      <c r="J416" s="51">
        <f>I415-J415</f>
        <v>3999.9967040000001</v>
      </c>
      <c r="K416" s="13" t="s">
        <v>102</v>
      </c>
      <c r="L416" s="51">
        <f>8246.37+L415</f>
        <v>9092.7570400000004</v>
      </c>
    </row>
    <row r="417" spans="1:1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17"/>
  <sheetViews>
    <sheetView topLeftCell="A138" workbookViewId="0">
      <selection activeCell="P37" sqref="P37"/>
    </sheetView>
  </sheetViews>
  <sheetFormatPr baseColWidth="10" defaultRowHeight="15"/>
  <sheetData>
    <row r="1" spans="1:12">
      <c r="A1" s="105" t="s">
        <v>26</v>
      </c>
      <c r="B1" s="105"/>
      <c r="C1" s="105" t="s">
        <v>27</v>
      </c>
      <c r="D1" s="105"/>
      <c r="E1" s="105"/>
      <c r="F1" s="105"/>
      <c r="G1" s="105" t="s">
        <v>28</v>
      </c>
      <c r="H1" s="105"/>
      <c r="I1" s="105"/>
      <c r="J1" s="105" t="s">
        <v>29</v>
      </c>
      <c r="K1" s="105"/>
      <c r="L1" s="105"/>
    </row>
    <row r="2" spans="1:12">
      <c r="A2" s="13" t="s">
        <v>30</v>
      </c>
      <c r="B2" s="104" t="s">
        <v>31</v>
      </c>
      <c r="C2" s="104"/>
      <c r="D2" s="104"/>
      <c r="E2" s="104"/>
      <c r="F2" s="104"/>
      <c r="G2" s="104" t="s">
        <v>32</v>
      </c>
      <c r="H2" s="104"/>
      <c r="I2" s="104"/>
      <c r="J2" s="104"/>
      <c r="K2" s="104"/>
      <c r="L2" s="104"/>
    </row>
    <row r="3" spans="1:12">
      <c r="A3" s="15">
        <v>1</v>
      </c>
      <c r="B3" s="102" t="s">
        <v>33</v>
      </c>
      <c r="C3" s="102"/>
      <c r="D3" s="102"/>
      <c r="E3" s="102"/>
      <c r="F3" s="102"/>
      <c r="G3" s="103">
        <v>42705</v>
      </c>
      <c r="H3" s="103"/>
      <c r="I3" s="103"/>
      <c r="J3" s="103">
        <v>42735</v>
      </c>
      <c r="K3" s="103"/>
      <c r="L3" s="103"/>
    </row>
    <row r="4" spans="1:12">
      <c r="A4" s="13" t="s">
        <v>34</v>
      </c>
      <c r="B4" s="13" t="s">
        <v>35</v>
      </c>
      <c r="C4" s="13" t="s">
        <v>36</v>
      </c>
      <c r="D4" s="13" t="s">
        <v>37</v>
      </c>
      <c r="E4" s="13" t="s">
        <v>38</v>
      </c>
      <c r="F4" s="13" t="s">
        <v>39</v>
      </c>
      <c r="G4" s="104" t="s">
        <v>40</v>
      </c>
      <c r="H4" s="104"/>
      <c r="I4" s="104"/>
      <c r="J4" s="104"/>
      <c r="K4" s="104"/>
      <c r="L4" s="104"/>
    </row>
    <row r="5" spans="1:12">
      <c r="A5" s="17">
        <v>41501</v>
      </c>
      <c r="B5" s="15"/>
      <c r="C5" s="17">
        <v>24624</v>
      </c>
      <c r="D5" s="15" t="s">
        <v>41</v>
      </c>
      <c r="E5" s="15">
        <v>0</v>
      </c>
      <c r="F5" s="15">
        <v>0</v>
      </c>
      <c r="G5" s="102"/>
      <c r="H5" s="102"/>
      <c r="I5" s="102"/>
      <c r="J5" s="102"/>
      <c r="K5" s="102"/>
      <c r="L5" s="102"/>
    </row>
    <row r="6" spans="1:12">
      <c r="A6" s="13" t="s">
        <v>42</v>
      </c>
      <c r="B6" s="13" t="s">
        <v>43</v>
      </c>
      <c r="C6" s="13" t="s">
        <v>44</v>
      </c>
      <c r="D6" s="104" t="s">
        <v>45</v>
      </c>
      <c r="E6" s="104"/>
      <c r="F6" s="104"/>
      <c r="G6" s="104" t="s">
        <v>46</v>
      </c>
      <c r="H6" s="104"/>
      <c r="I6" s="104"/>
      <c r="J6" s="104"/>
      <c r="K6" s="104"/>
      <c r="L6" s="104"/>
    </row>
    <row r="7" spans="1:12">
      <c r="A7" s="15">
        <v>189838836</v>
      </c>
      <c r="B7" s="15"/>
      <c r="C7" s="15"/>
      <c r="D7" s="102" t="s">
        <v>47</v>
      </c>
      <c r="E7" s="102"/>
      <c r="F7" s="102"/>
      <c r="G7" s="102" t="s">
        <v>48</v>
      </c>
      <c r="H7" s="102"/>
      <c r="I7" s="102"/>
      <c r="J7" s="102"/>
      <c r="K7" s="102"/>
      <c r="L7" s="102"/>
    </row>
    <row r="8" spans="1:1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108" t="s">
        <v>49</v>
      </c>
      <c r="B11" s="108"/>
      <c r="C11" s="108"/>
      <c r="D11" s="108"/>
      <c r="E11" s="108"/>
      <c r="F11" s="108"/>
      <c r="G11" s="108" t="s">
        <v>50</v>
      </c>
      <c r="H11" s="108" t="s">
        <v>51</v>
      </c>
      <c r="I11" s="108" t="s">
        <v>52</v>
      </c>
      <c r="J11" s="108"/>
      <c r="K11" s="108" t="s">
        <v>53</v>
      </c>
      <c r="L11" s="108"/>
    </row>
    <row r="12" spans="1:12">
      <c r="A12" s="108"/>
      <c r="B12" s="108"/>
      <c r="C12" s="108"/>
      <c r="D12" s="108"/>
      <c r="E12" s="108"/>
      <c r="F12" s="108"/>
      <c r="G12" s="108"/>
      <c r="H12" s="108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>
      <c r="A13" s="106" t="s">
        <v>58</v>
      </c>
      <c r="B13" s="106"/>
      <c r="C13" s="106"/>
      <c r="D13" s="106"/>
      <c r="E13" s="106"/>
      <c r="F13" s="106"/>
      <c r="G13" s="21">
        <v>12255.93</v>
      </c>
      <c r="H13" s="22"/>
      <c r="I13" s="21"/>
      <c r="J13" s="21"/>
      <c r="K13" s="21"/>
      <c r="L13" s="21"/>
    </row>
    <row r="14" spans="1:12">
      <c r="A14" s="106" t="s">
        <v>59</v>
      </c>
      <c r="B14" s="106"/>
      <c r="C14" s="106"/>
      <c r="D14" s="106"/>
      <c r="E14" s="106"/>
      <c r="F14" s="106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>
      <c r="A15" s="107" t="s">
        <v>60</v>
      </c>
      <c r="B15" s="107"/>
      <c r="C15" s="107"/>
      <c r="D15" s="107"/>
      <c r="E15" s="107"/>
      <c r="F15" s="107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>
      <c r="A16" s="107" t="s">
        <v>61</v>
      </c>
      <c r="B16" s="107"/>
      <c r="C16" s="107"/>
      <c r="D16" s="107"/>
      <c r="E16" s="107"/>
      <c r="F16" s="107"/>
      <c r="G16" s="23"/>
      <c r="H16" s="24">
        <v>0</v>
      </c>
      <c r="I16" s="23">
        <f>G13/26*H16</f>
        <v>0</v>
      </c>
      <c r="J16" s="25"/>
      <c r="K16" s="26"/>
      <c r="L16" s="26"/>
    </row>
    <row r="17" spans="1:12">
      <c r="A17" s="107" t="s">
        <v>62</v>
      </c>
      <c r="B17" s="107"/>
      <c r="C17" s="107"/>
      <c r="D17" s="107"/>
      <c r="E17" s="107"/>
      <c r="F17" s="107"/>
      <c r="G17" s="23"/>
      <c r="H17" s="24">
        <v>0</v>
      </c>
      <c r="I17" s="23"/>
      <c r="J17" s="27">
        <f>G13/26*H17</f>
        <v>0</v>
      </c>
      <c r="K17" s="26"/>
      <c r="L17" s="26"/>
    </row>
    <row r="18" spans="1:12">
      <c r="A18" s="107" t="s">
        <v>63</v>
      </c>
      <c r="B18" s="107"/>
      <c r="C18" s="107"/>
      <c r="D18" s="107"/>
      <c r="E18" s="107"/>
      <c r="F18" s="107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>
      <c r="A19" s="107" t="s">
        <v>64</v>
      </c>
      <c r="B19" s="107"/>
      <c r="C19" s="107"/>
      <c r="D19" s="107"/>
      <c r="E19" s="107"/>
      <c r="F19" s="107"/>
      <c r="G19" s="23"/>
      <c r="H19" s="24">
        <v>0</v>
      </c>
      <c r="I19" s="23">
        <f>G13/26*H19</f>
        <v>0</v>
      </c>
      <c r="J19" s="25"/>
      <c r="K19" s="26"/>
      <c r="L19" s="26"/>
    </row>
    <row r="20" spans="1:12">
      <c r="A20" s="107" t="s">
        <v>65</v>
      </c>
      <c r="B20" s="107"/>
      <c r="C20" s="107"/>
      <c r="D20" s="107"/>
      <c r="E20" s="107"/>
      <c r="F20" s="107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>
      <c r="A21" s="107" t="s">
        <v>66</v>
      </c>
      <c r="B21" s="107"/>
      <c r="C21" s="107"/>
      <c r="D21" s="107"/>
      <c r="E21" s="107"/>
      <c r="F21" s="107"/>
      <c r="G21" s="29"/>
      <c r="H21" s="30"/>
      <c r="I21" s="30"/>
      <c r="J21" s="25"/>
      <c r="K21" s="26"/>
      <c r="L21" s="26"/>
    </row>
    <row r="22" spans="1:12">
      <c r="A22" s="109">
        <v>0.25</v>
      </c>
      <c r="B22" s="109"/>
      <c r="C22" s="109"/>
      <c r="D22" s="109"/>
      <c r="E22" s="109"/>
      <c r="F22" s="109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>
      <c r="A23" s="109">
        <v>0.5</v>
      </c>
      <c r="B23" s="109"/>
      <c r="C23" s="109"/>
      <c r="D23" s="109"/>
      <c r="E23" s="109"/>
      <c r="F23" s="109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>
      <c r="A24" s="109">
        <v>1</v>
      </c>
      <c r="B24" s="109"/>
      <c r="C24" s="109"/>
      <c r="D24" s="109"/>
      <c r="E24" s="109"/>
      <c r="F24" s="109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>
      <c r="A25" s="106" t="s">
        <v>67</v>
      </c>
      <c r="B25" s="106"/>
      <c r="C25" s="106"/>
      <c r="D25" s="106"/>
      <c r="E25" s="106"/>
      <c r="F25" s="106"/>
      <c r="G25" s="21"/>
      <c r="H25" s="22"/>
      <c r="I25" s="21">
        <f>SUM(I26:I27)</f>
        <v>612.79650000000004</v>
      </c>
      <c r="J25" s="21"/>
      <c r="K25" s="21"/>
      <c r="L25" s="21"/>
    </row>
    <row r="26" spans="1:12">
      <c r="A26" s="107" t="s">
        <v>68</v>
      </c>
      <c r="B26" s="107"/>
      <c r="C26" s="107"/>
      <c r="D26" s="107"/>
      <c r="E26" s="107"/>
      <c r="F26" s="107"/>
      <c r="G26" s="23">
        <f>(G3-A5)/360</f>
        <v>3.3444444444444446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>
      <c r="A27" s="107" t="s">
        <v>69</v>
      </c>
      <c r="B27" s="107"/>
      <c r="C27" s="107"/>
      <c r="D27" s="107"/>
      <c r="E27" s="107"/>
      <c r="F27" s="107"/>
      <c r="G27" s="23"/>
      <c r="H27" s="24"/>
      <c r="I27" s="23"/>
      <c r="J27" s="25"/>
      <c r="K27" s="26"/>
      <c r="L27" s="26"/>
    </row>
    <row r="28" spans="1:12">
      <c r="A28" s="106" t="s">
        <v>70</v>
      </c>
      <c r="B28" s="106"/>
      <c r="C28" s="106"/>
      <c r="D28" s="106"/>
      <c r="E28" s="106"/>
      <c r="F28" s="106"/>
      <c r="G28" s="21"/>
      <c r="H28" s="22"/>
      <c r="I28" s="21">
        <f>SUM(I29:I31)</f>
        <v>5000</v>
      </c>
      <c r="J28" s="21"/>
      <c r="K28" s="21"/>
      <c r="L28" s="21"/>
    </row>
    <row r="29" spans="1:12">
      <c r="A29" s="107" t="s">
        <v>71</v>
      </c>
      <c r="B29" s="107"/>
      <c r="C29" s="107"/>
      <c r="D29" s="107"/>
      <c r="E29" s="107"/>
      <c r="F29" s="107"/>
      <c r="G29" s="23"/>
      <c r="H29" s="24"/>
      <c r="I29" s="23">
        <v>2500</v>
      </c>
      <c r="J29" s="25"/>
      <c r="K29" s="26"/>
      <c r="L29" s="26"/>
    </row>
    <row r="30" spans="1:12">
      <c r="A30" s="107" t="s">
        <v>72</v>
      </c>
      <c r="B30" s="107"/>
      <c r="C30" s="107"/>
      <c r="D30" s="107"/>
      <c r="E30" s="107"/>
      <c r="F30" s="107"/>
      <c r="G30" s="23"/>
      <c r="H30" s="31">
        <v>0</v>
      </c>
      <c r="I30" s="23">
        <v>2500</v>
      </c>
      <c r="J30" s="25"/>
      <c r="K30" s="26"/>
      <c r="L30" s="26"/>
    </row>
    <row r="31" spans="1:12">
      <c r="A31" s="107" t="s">
        <v>73</v>
      </c>
      <c r="B31" s="107"/>
      <c r="C31" s="107"/>
      <c r="D31" s="107"/>
      <c r="E31" s="107"/>
      <c r="F31" s="107"/>
      <c r="G31" s="23"/>
      <c r="H31" s="24"/>
      <c r="I31" s="23"/>
      <c r="J31" s="25"/>
      <c r="K31" s="26"/>
      <c r="L31" s="26"/>
    </row>
    <row r="32" spans="1:12">
      <c r="A32" s="111" t="s">
        <v>74</v>
      </c>
      <c r="B32" s="111"/>
      <c r="C32" s="111"/>
      <c r="D32" s="111"/>
      <c r="E32" s="111"/>
      <c r="F32" s="111"/>
      <c r="G32" s="32"/>
      <c r="H32" s="33"/>
      <c r="I32" s="32">
        <f>I14+I25+I28</f>
        <v>17868.726500000001</v>
      </c>
      <c r="J32" s="33"/>
      <c r="K32" s="33"/>
      <c r="L32" s="33"/>
    </row>
    <row r="33" spans="1:12">
      <c r="A33" s="111" t="s">
        <v>75</v>
      </c>
      <c r="B33" s="111"/>
      <c r="C33" s="111"/>
      <c r="D33" s="111"/>
      <c r="E33" s="111"/>
      <c r="F33" s="111"/>
      <c r="G33" s="32"/>
      <c r="H33" s="33"/>
      <c r="I33" s="32">
        <f>I32-I28</f>
        <v>12868.726500000001</v>
      </c>
      <c r="J33" s="33"/>
      <c r="K33" s="33"/>
      <c r="L33" s="33"/>
    </row>
    <row r="34" spans="1:12">
      <c r="A34" s="107" t="s">
        <v>76</v>
      </c>
      <c r="B34" s="107"/>
      <c r="C34" s="107"/>
      <c r="D34" s="107"/>
      <c r="E34" s="107"/>
      <c r="F34" s="107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>
      <c r="A35" s="107" t="s">
        <v>77</v>
      </c>
      <c r="B35" s="107"/>
      <c r="C35" s="107"/>
      <c r="D35" s="107"/>
      <c r="E35" s="107"/>
      <c r="F35" s="107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>
      <c r="A36" s="107" t="s">
        <v>78</v>
      </c>
      <c r="B36" s="107"/>
      <c r="C36" s="107"/>
      <c r="D36" s="107"/>
      <c r="E36" s="107"/>
      <c r="F36" s="107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>
      <c r="A37" s="107" t="s">
        <v>79</v>
      </c>
      <c r="B37" s="107"/>
      <c r="C37" s="107"/>
      <c r="D37" s="107"/>
      <c r="E37" s="107"/>
      <c r="F37" s="107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>
      <c r="A38" s="107" t="s">
        <v>80</v>
      </c>
      <c r="B38" s="107"/>
      <c r="C38" s="107"/>
      <c r="D38" s="107"/>
      <c r="E38" s="107"/>
      <c r="F38" s="107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>
      <c r="A39" s="107" t="s">
        <v>81</v>
      </c>
      <c r="B39" s="107"/>
      <c r="C39" s="107"/>
      <c r="D39" s="107"/>
      <c r="E39" s="107"/>
      <c r="F39" s="107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>
      <c r="A40" s="107" t="s">
        <v>24</v>
      </c>
      <c r="B40" s="107"/>
      <c r="C40" s="107"/>
      <c r="D40" s="107"/>
      <c r="E40" s="107"/>
      <c r="F40" s="107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>
      <c r="A41" s="110" t="s">
        <v>82</v>
      </c>
      <c r="B41" s="110"/>
      <c r="C41" s="110"/>
      <c r="D41" s="110"/>
      <c r="E41" s="110"/>
      <c r="F41" s="110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>
      <c r="A42" s="110" t="s">
        <v>83</v>
      </c>
      <c r="B42" s="110"/>
      <c r="C42" s="110"/>
      <c r="D42" s="110"/>
      <c r="E42" s="110"/>
      <c r="F42" s="110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>
      <c r="A43" s="106" t="s">
        <v>84</v>
      </c>
      <c r="B43" s="106"/>
      <c r="C43" s="106"/>
      <c r="D43" s="106"/>
      <c r="E43" s="106"/>
      <c r="F43" s="106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>
      <c r="A44" s="107" t="s">
        <v>85</v>
      </c>
      <c r="B44" s="107"/>
      <c r="C44" s="107"/>
      <c r="D44" s="107"/>
      <c r="E44" s="107"/>
      <c r="F44" s="107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>
      <c r="A45" s="111" t="s">
        <v>86</v>
      </c>
      <c r="B45" s="111"/>
      <c r="C45" s="111"/>
      <c r="D45" s="111"/>
      <c r="E45" s="111"/>
      <c r="F45" s="111"/>
      <c r="G45" s="32"/>
      <c r="H45" s="33"/>
      <c r="I45" s="32">
        <f>I33-J43-J44</f>
        <v>9423.0314861000006</v>
      </c>
      <c r="J45" s="33"/>
      <c r="K45" s="33"/>
      <c r="L45" s="33"/>
    </row>
    <row r="46" spans="1:12">
      <c r="A46" s="107" t="s">
        <v>87</v>
      </c>
      <c r="B46" s="107"/>
      <c r="C46" s="107"/>
      <c r="D46" s="107"/>
      <c r="E46" s="107"/>
      <c r="F46" s="107"/>
      <c r="G46" s="23"/>
      <c r="H46" s="34"/>
      <c r="I46" s="23">
        <f>H46*180/360</f>
        <v>0</v>
      </c>
      <c r="J46" s="23"/>
      <c r="K46" s="46"/>
      <c r="L46" s="47"/>
    </row>
    <row r="47" spans="1:12">
      <c r="A47" s="111" t="s">
        <v>88</v>
      </c>
      <c r="B47" s="111"/>
      <c r="C47" s="111"/>
      <c r="D47" s="111"/>
      <c r="E47" s="111"/>
      <c r="F47" s="111"/>
      <c r="G47" s="32"/>
      <c r="H47" s="33"/>
      <c r="I47" s="32">
        <f>I45-I46</f>
        <v>9423.0314861000006</v>
      </c>
      <c r="J47" s="33"/>
      <c r="K47" s="33"/>
      <c r="L47" s="33"/>
    </row>
    <row r="48" spans="1:12">
      <c r="A48" s="107" t="s">
        <v>89</v>
      </c>
      <c r="B48" s="107"/>
      <c r="C48" s="107"/>
      <c r="D48" s="107"/>
      <c r="E48" s="107"/>
      <c r="F48" s="107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>
      <c r="A49" s="107" t="s">
        <v>90</v>
      </c>
      <c r="B49" s="107"/>
      <c r="C49" s="107"/>
      <c r="D49" s="107"/>
      <c r="E49" s="107"/>
      <c r="F49" s="107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>
      <c r="A50" s="106" t="s">
        <v>91</v>
      </c>
      <c r="B50" s="106"/>
      <c r="C50" s="106"/>
      <c r="D50" s="106"/>
      <c r="E50" s="106"/>
      <c r="F50" s="106"/>
      <c r="G50" s="21"/>
      <c r="H50" s="22"/>
      <c r="I50" s="21"/>
      <c r="J50" s="21">
        <f>J48-J49</f>
        <v>1770.4973719406673</v>
      </c>
      <c r="K50" s="21"/>
      <c r="L50" s="21"/>
    </row>
    <row r="51" spans="1:12">
      <c r="A51" s="112" t="s">
        <v>92</v>
      </c>
      <c r="B51" s="112"/>
      <c r="C51" s="112"/>
      <c r="D51" s="112"/>
      <c r="E51" s="112"/>
      <c r="F51" s="112"/>
      <c r="G51" s="25"/>
      <c r="H51" s="48"/>
      <c r="I51" s="47"/>
      <c r="J51" s="49">
        <v>0</v>
      </c>
      <c r="K51" s="46"/>
      <c r="L51" s="47"/>
    </row>
    <row r="52" spans="1:12">
      <c r="A52" s="107" t="s">
        <v>93</v>
      </c>
      <c r="B52" s="107"/>
      <c r="C52" s="107"/>
      <c r="D52" s="107"/>
      <c r="E52" s="107"/>
      <c r="F52" s="107"/>
      <c r="G52" s="25"/>
      <c r="H52" s="48"/>
      <c r="I52" s="44"/>
      <c r="J52" s="28">
        <v>0</v>
      </c>
      <c r="K52" s="46"/>
      <c r="L52" s="47"/>
    </row>
    <row r="53" spans="1:12">
      <c r="A53" s="113" t="s">
        <v>94</v>
      </c>
      <c r="B53" s="113"/>
      <c r="C53" s="113"/>
      <c r="D53" s="113"/>
      <c r="E53" s="113"/>
      <c r="F53" s="113"/>
      <c r="G53" s="41"/>
      <c r="H53" s="42"/>
      <c r="I53" s="28">
        <f>1-0.53</f>
        <v>0.47</v>
      </c>
      <c r="J53" s="41"/>
      <c r="K53" s="43"/>
      <c r="L53" s="44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13" t="s">
        <v>95</v>
      </c>
      <c r="B55" s="13" t="s">
        <v>96</v>
      </c>
      <c r="C55" s="13" t="s">
        <v>97</v>
      </c>
      <c r="D55" s="104" t="s">
        <v>98</v>
      </c>
      <c r="E55" s="104"/>
      <c r="F55" s="104"/>
      <c r="G55" s="13" t="s">
        <v>99</v>
      </c>
      <c r="H55" s="50"/>
      <c r="I55" s="51">
        <f>I32+I53</f>
        <v>17869.196500000002</v>
      </c>
      <c r="J55" s="51">
        <f>J43+J50+J51+J52</f>
        <v>2716.1923858406672</v>
      </c>
      <c r="K55" s="13" t="s">
        <v>100</v>
      </c>
      <c r="L55" s="51">
        <f>L43</f>
        <v>2354.57730915</v>
      </c>
    </row>
    <row r="56" spans="1:12">
      <c r="A56" s="51">
        <f>156411.11+I32</f>
        <v>174279.83649999998</v>
      </c>
      <c r="B56" s="51">
        <f>111411.11+I33</f>
        <v>124279.8365</v>
      </c>
      <c r="C56" s="51">
        <f>2419.2+J34</f>
        <v>2688</v>
      </c>
      <c r="D56" s="114">
        <f>14978.83+J50</f>
        <v>16749.327371940668</v>
      </c>
      <c r="E56" s="114"/>
      <c r="F56" s="114"/>
      <c r="G56" s="51">
        <f>133157+I55</f>
        <v>151026.19649999999</v>
      </c>
      <c r="H56" s="104" t="s">
        <v>101</v>
      </c>
      <c r="I56" s="104"/>
      <c r="J56" s="51">
        <f>I55-J55</f>
        <v>15153.004114159336</v>
      </c>
      <c r="K56" s="13" t="s">
        <v>102</v>
      </c>
      <c r="L56" s="51">
        <f>20499.47+L55</f>
        <v>22854.047309150003</v>
      </c>
    </row>
    <row r="57" spans="1:1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>
      <c r="A61" s="105" t="s">
        <v>26</v>
      </c>
      <c r="B61" s="105"/>
      <c r="C61" s="105" t="s">
        <v>27</v>
      </c>
      <c r="D61" s="105"/>
      <c r="E61" s="105"/>
      <c r="F61" s="105"/>
      <c r="G61" s="105" t="s">
        <v>28</v>
      </c>
      <c r="H61" s="105"/>
      <c r="I61" s="105"/>
      <c r="J61" s="105" t="s">
        <v>29</v>
      </c>
      <c r="K61" s="105"/>
      <c r="L61" s="105"/>
    </row>
    <row r="62" spans="1:12">
      <c r="A62" s="14" t="s">
        <v>30</v>
      </c>
      <c r="B62" s="104" t="s">
        <v>31</v>
      </c>
      <c r="C62" s="104"/>
      <c r="D62" s="104"/>
      <c r="E62" s="104"/>
      <c r="F62" s="104"/>
      <c r="G62" s="104" t="s">
        <v>32</v>
      </c>
      <c r="H62" s="104"/>
      <c r="I62" s="104"/>
      <c r="J62" s="104"/>
      <c r="K62" s="104"/>
      <c r="L62" s="104"/>
    </row>
    <row r="63" spans="1:12">
      <c r="A63" s="16">
        <v>3</v>
      </c>
      <c r="B63" s="102" t="s">
        <v>104</v>
      </c>
      <c r="C63" s="102"/>
      <c r="D63" s="102"/>
      <c r="E63" s="102"/>
      <c r="F63" s="102"/>
      <c r="G63" s="103">
        <v>42705</v>
      </c>
      <c r="H63" s="103"/>
      <c r="I63" s="103"/>
      <c r="J63" s="103">
        <v>42735</v>
      </c>
      <c r="K63" s="103"/>
      <c r="L63" s="103"/>
    </row>
    <row r="64" spans="1:12">
      <c r="A64" s="14" t="s">
        <v>34</v>
      </c>
      <c r="B64" s="14" t="s">
        <v>35</v>
      </c>
      <c r="C64" s="14" t="s">
        <v>36</v>
      </c>
      <c r="D64" s="14" t="s">
        <v>37</v>
      </c>
      <c r="E64" s="14" t="s">
        <v>38</v>
      </c>
      <c r="F64" s="14" t="s">
        <v>39</v>
      </c>
      <c r="G64" s="104" t="s">
        <v>40</v>
      </c>
      <c r="H64" s="104"/>
      <c r="I64" s="104"/>
      <c r="J64" s="104"/>
      <c r="K64" s="104"/>
      <c r="L64" s="104"/>
    </row>
    <row r="65" spans="1:12">
      <c r="A65" s="17">
        <v>41791</v>
      </c>
      <c r="B65" s="16"/>
      <c r="C65" s="17">
        <v>24557</v>
      </c>
      <c r="D65" s="16" t="s">
        <v>41</v>
      </c>
      <c r="E65" s="16">
        <v>0</v>
      </c>
      <c r="F65" s="16">
        <v>0</v>
      </c>
      <c r="G65" s="102"/>
      <c r="H65" s="102"/>
      <c r="I65" s="102"/>
      <c r="J65" s="102"/>
      <c r="K65" s="102"/>
      <c r="L65" s="102"/>
    </row>
    <row r="66" spans="1:12">
      <c r="A66" s="14" t="s">
        <v>42</v>
      </c>
      <c r="B66" s="14" t="s">
        <v>43</v>
      </c>
      <c r="C66" s="14" t="s">
        <v>44</v>
      </c>
      <c r="D66" s="104" t="s">
        <v>45</v>
      </c>
      <c r="E66" s="104"/>
      <c r="F66" s="104"/>
      <c r="G66" s="104" t="s">
        <v>46</v>
      </c>
      <c r="H66" s="104"/>
      <c r="I66" s="104"/>
      <c r="J66" s="104"/>
      <c r="K66" s="104"/>
      <c r="L66" s="104"/>
    </row>
    <row r="67" spans="1:12">
      <c r="A67" s="16">
        <v>141034737</v>
      </c>
      <c r="B67" s="16"/>
      <c r="C67" s="16"/>
      <c r="D67" s="102" t="s">
        <v>47</v>
      </c>
      <c r="E67" s="102"/>
      <c r="F67" s="102"/>
      <c r="G67" s="102" t="s">
        <v>105</v>
      </c>
      <c r="H67" s="102"/>
      <c r="I67" s="102"/>
      <c r="J67" s="102"/>
      <c r="K67" s="102"/>
      <c r="L67" s="102"/>
    </row>
    <row r="68" spans="1:1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>
      <c r="A71" s="108" t="s">
        <v>49</v>
      </c>
      <c r="B71" s="108"/>
      <c r="C71" s="108"/>
      <c r="D71" s="108"/>
      <c r="E71" s="108"/>
      <c r="F71" s="108"/>
      <c r="G71" s="108" t="s">
        <v>50</v>
      </c>
      <c r="H71" s="108" t="s">
        <v>51</v>
      </c>
      <c r="I71" s="108" t="s">
        <v>52</v>
      </c>
      <c r="J71" s="108"/>
      <c r="K71" s="108" t="s">
        <v>53</v>
      </c>
      <c r="L71" s="108"/>
    </row>
    <row r="72" spans="1:12">
      <c r="A72" s="108"/>
      <c r="B72" s="108"/>
      <c r="C72" s="108"/>
      <c r="D72" s="108"/>
      <c r="E72" s="108"/>
      <c r="F72" s="108"/>
      <c r="G72" s="108"/>
      <c r="H72" s="108"/>
      <c r="I72" s="20" t="s">
        <v>54</v>
      </c>
      <c r="J72" s="20" t="s">
        <v>55</v>
      </c>
      <c r="K72" s="20" t="s">
        <v>56</v>
      </c>
      <c r="L72" s="20" t="s">
        <v>57</v>
      </c>
    </row>
    <row r="73" spans="1:12">
      <c r="A73" s="106" t="s">
        <v>58</v>
      </c>
      <c r="B73" s="106"/>
      <c r="C73" s="106"/>
      <c r="D73" s="106"/>
      <c r="E73" s="106"/>
      <c r="F73" s="106"/>
      <c r="G73" s="21">
        <v>100000</v>
      </c>
      <c r="H73" s="22"/>
      <c r="I73" s="21"/>
      <c r="J73" s="21"/>
      <c r="K73" s="21"/>
      <c r="L73" s="21"/>
    </row>
    <row r="74" spans="1:12">
      <c r="A74" s="106" t="s">
        <v>59</v>
      </c>
      <c r="B74" s="106"/>
      <c r="C74" s="106"/>
      <c r="D74" s="106"/>
      <c r="E74" s="106"/>
      <c r="F74" s="106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>
      <c r="A75" s="107" t="s">
        <v>60</v>
      </c>
      <c r="B75" s="107"/>
      <c r="C75" s="107"/>
      <c r="D75" s="107"/>
      <c r="E75" s="107"/>
      <c r="F75" s="107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>
      <c r="A76" s="107" t="s">
        <v>61</v>
      </c>
      <c r="B76" s="107"/>
      <c r="C76" s="107"/>
      <c r="D76" s="107"/>
      <c r="E76" s="107"/>
      <c r="F76" s="107"/>
      <c r="G76" s="23"/>
      <c r="H76" s="24">
        <v>0</v>
      </c>
      <c r="I76" s="23">
        <f>G73/26*H76</f>
        <v>0</v>
      </c>
      <c r="J76" s="25"/>
      <c r="K76" s="26"/>
      <c r="L76" s="26"/>
    </row>
    <row r="77" spans="1:12">
      <c r="A77" s="107" t="s">
        <v>62</v>
      </c>
      <c r="B77" s="107"/>
      <c r="C77" s="107"/>
      <c r="D77" s="107"/>
      <c r="E77" s="107"/>
      <c r="F77" s="107"/>
      <c r="G77" s="23"/>
      <c r="H77" s="24">
        <v>0</v>
      </c>
      <c r="I77" s="23"/>
      <c r="J77" s="27">
        <f>G73/26*H77</f>
        <v>0</v>
      </c>
      <c r="K77" s="26"/>
      <c r="L77" s="26"/>
    </row>
    <row r="78" spans="1:12">
      <c r="A78" s="107" t="s">
        <v>63</v>
      </c>
      <c r="B78" s="107"/>
      <c r="C78" s="107"/>
      <c r="D78" s="107"/>
      <c r="E78" s="107"/>
      <c r="F78" s="107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>
      <c r="A79" s="107" t="s">
        <v>64</v>
      </c>
      <c r="B79" s="107"/>
      <c r="C79" s="107"/>
      <c r="D79" s="107"/>
      <c r="E79" s="107"/>
      <c r="F79" s="107"/>
      <c r="G79" s="23"/>
      <c r="H79" s="24">
        <v>0</v>
      </c>
      <c r="I79" s="23">
        <f>G73/26*H79</f>
        <v>0</v>
      </c>
      <c r="J79" s="25"/>
      <c r="K79" s="26"/>
      <c r="L79" s="26"/>
    </row>
    <row r="80" spans="1:12">
      <c r="A80" s="107" t="s">
        <v>65</v>
      </c>
      <c r="B80" s="107"/>
      <c r="C80" s="107"/>
      <c r="D80" s="107"/>
      <c r="E80" s="107"/>
      <c r="F80" s="107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>
      <c r="A81" s="107" t="s">
        <v>66</v>
      </c>
      <c r="B81" s="107"/>
      <c r="C81" s="107"/>
      <c r="D81" s="107"/>
      <c r="E81" s="107"/>
      <c r="F81" s="107"/>
      <c r="G81" s="29"/>
      <c r="H81" s="30"/>
      <c r="I81" s="30"/>
      <c r="J81" s="25"/>
      <c r="K81" s="26"/>
      <c r="L81" s="26"/>
    </row>
    <row r="82" spans="1:12">
      <c r="A82" s="109">
        <v>0.25</v>
      </c>
      <c r="B82" s="109"/>
      <c r="C82" s="109"/>
      <c r="D82" s="109"/>
      <c r="E82" s="109"/>
      <c r="F82" s="109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>
      <c r="A83" s="109">
        <v>0.5</v>
      </c>
      <c r="B83" s="109"/>
      <c r="C83" s="109"/>
      <c r="D83" s="109"/>
      <c r="E83" s="109"/>
      <c r="F83" s="109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>
      <c r="A84" s="109">
        <v>1</v>
      </c>
      <c r="B84" s="109"/>
      <c r="C84" s="109"/>
      <c r="D84" s="109"/>
      <c r="E84" s="109"/>
      <c r="F84" s="109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>
      <c r="A85" s="106" t="s">
        <v>67</v>
      </c>
      <c r="B85" s="106"/>
      <c r="C85" s="106"/>
      <c r="D85" s="106"/>
      <c r="E85" s="106"/>
      <c r="F85" s="106"/>
      <c r="G85" s="21"/>
      <c r="H85" s="22"/>
      <c r="I85" s="21">
        <f>SUM(I86:I87)</f>
        <v>5000</v>
      </c>
      <c r="J85" s="21"/>
      <c r="K85" s="21"/>
      <c r="L85" s="21"/>
    </row>
    <row r="86" spans="1:12">
      <c r="A86" s="107" t="s">
        <v>68</v>
      </c>
      <c r="B86" s="107"/>
      <c r="C86" s="107"/>
      <c r="D86" s="107"/>
      <c r="E86" s="107"/>
      <c r="F86" s="107"/>
      <c r="G86" s="23">
        <f>(G63-A65)/360</f>
        <v>2.5388888888888888</v>
      </c>
      <c r="H86" s="31">
        <f>IF(G86&lt;2,0,IF(AND(G86&gt;2,G86&lt;5),[1]Taux!A$33,IF(AND(G86&lt;12,G86&gt;5),[1]Taux!A$34,IF(AND(G86&gt;12,G86&lt;20),[1]Taux!A$35,IF(AND(G86&lt;25,G86&gt;20),[1]Taux!A$36,IF(G86&gt;25,[1]Taux!A$37))))))</f>
        <v>0.05</v>
      </c>
      <c r="I86" s="23">
        <f>I74*H86</f>
        <v>5000</v>
      </c>
      <c r="J86" s="25"/>
      <c r="K86" s="26"/>
      <c r="L86" s="26"/>
    </row>
    <row r="87" spans="1:12">
      <c r="A87" s="107" t="s">
        <v>69</v>
      </c>
      <c r="B87" s="107"/>
      <c r="C87" s="107"/>
      <c r="D87" s="107"/>
      <c r="E87" s="107"/>
      <c r="F87" s="107"/>
      <c r="G87" s="23"/>
      <c r="H87" s="24"/>
      <c r="I87" s="23"/>
      <c r="J87" s="25"/>
      <c r="K87" s="26"/>
      <c r="L87" s="26"/>
    </row>
    <row r="88" spans="1:12">
      <c r="A88" s="106" t="s">
        <v>70</v>
      </c>
      <c r="B88" s="106"/>
      <c r="C88" s="106"/>
      <c r="D88" s="106"/>
      <c r="E88" s="106"/>
      <c r="F88" s="106"/>
      <c r="G88" s="21"/>
      <c r="H88" s="22"/>
      <c r="I88" s="21">
        <f>SUM(I89:I91)</f>
        <v>6000</v>
      </c>
      <c r="J88" s="21"/>
      <c r="K88" s="21"/>
      <c r="L88" s="21"/>
    </row>
    <row r="89" spans="1:12">
      <c r="A89" s="107" t="s">
        <v>71</v>
      </c>
      <c r="B89" s="107"/>
      <c r="C89" s="107"/>
      <c r="D89" s="107"/>
      <c r="E89" s="107"/>
      <c r="F89" s="107"/>
      <c r="G89" s="23"/>
      <c r="H89" s="24"/>
      <c r="I89" s="23">
        <v>3000</v>
      </c>
      <c r="J89" s="25"/>
      <c r="K89" s="26"/>
      <c r="L89" s="26"/>
    </row>
    <row r="90" spans="1:12">
      <c r="A90" s="107" t="s">
        <v>72</v>
      </c>
      <c r="B90" s="107"/>
      <c r="C90" s="107"/>
      <c r="D90" s="107"/>
      <c r="E90" s="107"/>
      <c r="F90" s="107"/>
      <c r="G90" s="23"/>
      <c r="H90" s="31"/>
      <c r="I90" s="23">
        <v>3000</v>
      </c>
      <c r="J90" s="25"/>
      <c r="K90" s="26"/>
      <c r="L90" s="26"/>
    </row>
    <row r="91" spans="1:12">
      <c r="A91" s="107" t="s">
        <v>73</v>
      </c>
      <c r="B91" s="107"/>
      <c r="C91" s="107"/>
      <c r="D91" s="107"/>
      <c r="E91" s="107"/>
      <c r="F91" s="107"/>
      <c r="G91" s="23"/>
      <c r="H91" s="24"/>
      <c r="I91" s="23"/>
      <c r="J91" s="25"/>
      <c r="K91" s="26"/>
      <c r="L91" s="26"/>
    </row>
    <row r="92" spans="1:12">
      <c r="A92" s="111" t="s">
        <v>74</v>
      </c>
      <c r="B92" s="111"/>
      <c r="C92" s="111"/>
      <c r="D92" s="111"/>
      <c r="E92" s="111"/>
      <c r="F92" s="111"/>
      <c r="G92" s="32"/>
      <c r="H92" s="33"/>
      <c r="I92" s="32">
        <f>I74+I85+I88</f>
        <v>111000</v>
      </c>
      <c r="J92" s="33"/>
      <c r="K92" s="33"/>
      <c r="L92" s="33"/>
    </row>
    <row r="93" spans="1:12">
      <c r="A93" s="111" t="s">
        <v>75</v>
      </c>
      <c r="B93" s="111"/>
      <c r="C93" s="111"/>
      <c r="D93" s="111"/>
      <c r="E93" s="111"/>
      <c r="F93" s="111"/>
      <c r="G93" s="32"/>
      <c r="H93" s="33"/>
      <c r="I93" s="32">
        <f>I92-I88</f>
        <v>105000</v>
      </c>
      <c r="J93" s="33"/>
      <c r="K93" s="33"/>
      <c r="L93" s="33"/>
    </row>
    <row r="94" spans="1:12">
      <c r="A94" s="107" t="s">
        <v>76</v>
      </c>
      <c r="B94" s="107"/>
      <c r="C94" s="107"/>
      <c r="D94" s="107"/>
      <c r="E94" s="107"/>
      <c r="F94" s="107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>
      <c r="A95" s="107" t="s">
        <v>77</v>
      </c>
      <c r="B95" s="107"/>
      <c r="C95" s="107"/>
      <c r="D95" s="107"/>
      <c r="E95" s="107"/>
      <c r="F95" s="107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>
      <c r="A96" s="107" t="s">
        <v>78</v>
      </c>
      <c r="B96" s="107"/>
      <c r="C96" s="107"/>
      <c r="D96" s="107"/>
      <c r="E96" s="107"/>
      <c r="F96" s="107"/>
      <c r="G96" s="23"/>
      <c r="H96" s="34">
        <v>0.25</v>
      </c>
      <c r="I96" s="23"/>
      <c r="J96" s="23">
        <f>I93*H96</f>
        <v>26250</v>
      </c>
      <c r="K96" s="35">
        <v>0.06</v>
      </c>
      <c r="L96" s="23">
        <f>I93*K96</f>
        <v>6300</v>
      </c>
    </row>
    <row r="97" spans="1:12">
      <c r="A97" s="107" t="s">
        <v>79</v>
      </c>
      <c r="B97" s="107"/>
      <c r="C97" s="107"/>
      <c r="D97" s="107"/>
      <c r="E97" s="107"/>
      <c r="F97" s="107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>
      <c r="A98" s="107" t="s">
        <v>80</v>
      </c>
      <c r="B98" s="107"/>
      <c r="C98" s="107"/>
      <c r="D98" s="107"/>
      <c r="E98" s="107"/>
      <c r="F98" s="107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>
      <c r="A99" s="107" t="s">
        <v>81</v>
      </c>
      <c r="B99" s="107"/>
      <c r="C99" s="107"/>
      <c r="D99" s="107"/>
      <c r="E99" s="107"/>
      <c r="F99" s="107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>
      <c r="A100" s="107" t="s">
        <v>24</v>
      </c>
      <c r="B100" s="107"/>
      <c r="C100" s="107"/>
      <c r="D100" s="107"/>
      <c r="E100" s="107"/>
      <c r="F100" s="107"/>
      <c r="G100" s="23"/>
      <c r="H100" s="34" t="str">
        <f>[1]Taux!D$7</f>
        <v>2,26%</v>
      </c>
      <c r="I100" s="23"/>
      <c r="J100" s="23">
        <f>I93*H100</f>
        <v>2373</v>
      </c>
      <c r="K100" s="34" t="str">
        <f>[1]Taux!C$7</f>
        <v>4,11%</v>
      </c>
      <c r="L100" s="23">
        <f>I93*K100</f>
        <v>4315.5</v>
      </c>
    </row>
    <row r="101" spans="1:12">
      <c r="A101" s="110" t="s">
        <v>82</v>
      </c>
      <c r="B101" s="110"/>
      <c r="C101" s="110"/>
      <c r="D101" s="110"/>
      <c r="E101" s="110"/>
      <c r="F101" s="110"/>
      <c r="G101" s="37"/>
      <c r="H101" s="38"/>
      <c r="I101" s="39"/>
      <c r="J101" s="40"/>
      <c r="K101" s="34" t="str">
        <f>[1]Taux!C$4</f>
        <v>6,40%</v>
      </c>
      <c r="L101" s="23">
        <f>I93*K101</f>
        <v>6720</v>
      </c>
    </row>
    <row r="102" spans="1:12">
      <c r="A102" s="110" t="s">
        <v>83</v>
      </c>
      <c r="B102" s="110"/>
      <c r="C102" s="110"/>
      <c r="D102" s="110"/>
      <c r="E102" s="110"/>
      <c r="F102" s="110"/>
      <c r="G102" s="41"/>
      <c r="H102" s="42"/>
      <c r="I102" s="43"/>
      <c r="J102" s="44"/>
      <c r="K102" s="34" t="str">
        <f>[1]Taux!C$8</f>
        <v>1,6 %</v>
      </c>
      <c r="L102" s="23">
        <f>I93*K102</f>
        <v>1680</v>
      </c>
    </row>
    <row r="103" spans="1:12">
      <c r="A103" s="106" t="s">
        <v>84</v>
      </c>
      <c r="B103" s="106"/>
      <c r="C103" s="106"/>
      <c r="D103" s="106"/>
      <c r="E103" s="106"/>
      <c r="F103" s="106"/>
      <c r="G103" s="21"/>
      <c r="H103" s="22"/>
      <c r="I103" s="22"/>
      <c r="J103" s="21">
        <f>SUM(J94:J100)</f>
        <v>28891.8</v>
      </c>
      <c r="K103" s="21"/>
      <c r="L103" s="21">
        <f>SUM(L94:L102)</f>
        <v>19554.3</v>
      </c>
    </row>
    <row r="104" spans="1:12">
      <c r="A104" s="107" t="s">
        <v>85</v>
      </c>
      <c r="B104" s="107"/>
      <c r="C104" s="107"/>
      <c r="D104" s="107"/>
      <c r="E104" s="107"/>
      <c r="F104" s="107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>
      <c r="A105" s="111" t="s">
        <v>86</v>
      </c>
      <c r="B105" s="111"/>
      <c r="C105" s="111"/>
      <c r="D105" s="111"/>
      <c r="E105" s="111"/>
      <c r="F105" s="111"/>
      <c r="G105" s="32"/>
      <c r="H105" s="33"/>
      <c r="I105" s="32">
        <f>I93-J103-J104</f>
        <v>73608.2</v>
      </c>
      <c r="J105" s="33"/>
      <c r="K105" s="33"/>
      <c r="L105" s="33"/>
    </row>
    <row r="106" spans="1:12">
      <c r="A106" s="107" t="s">
        <v>87</v>
      </c>
      <c r="B106" s="107"/>
      <c r="C106" s="107"/>
      <c r="D106" s="107"/>
      <c r="E106" s="107"/>
      <c r="F106" s="107"/>
      <c r="G106" s="23"/>
      <c r="H106" s="34"/>
      <c r="I106" s="23">
        <f>H106*180/360</f>
        <v>0</v>
      </c>
      <c r="J106" s="23"/>
      <c r="K106" s="46"/>
      <c r="L106" s="47"/>
    </row>
    <row r="107" spans="1:12">
      <c r="A107" s="111" t="s">
        <v>88</v>
      </c>
      <c r="B107" s="111"/>
      <c r="C107" s="111"/>
      <c r="D107" s="111"/>
      <c r="E107" s="111"/>
      <c r="F107" s="111"/>
      <c r="G107" s="32"/>
      <c r="H107" s="33"/>
      <c r="I107" s="32">
        <f>I105-I106</f>
        <v>73608.2</v>
      </c>
      <c r="J107" s="33"/>
      <c r="K107" s="33"/>
      <c r="L107" s="33"/>
    </row>
    <row r="108" spans="1:12">
      <c r="A108" s="107" t="s">
        <v>89</v>
      </c>
      <c r="B108" s="107"/>
      <c r="C108" s="107"/>
      <c r="D108" s="107"/>
      <c r="E108" s="107"/>
      <c r="F108" s="107"/>
      <c r="G108" s="25"/>
      <c r="H108" s="48"/>
      <c r="I108" s="40"/>
      <c r="J108" s="23">
        <f>IF(AND(I107&gt;0,I107&lt;2500),I107*[1]Taux!C$15-[1]Taux!I$15,IF(AND(I107&gt;2500,I107&lt;4166.67),I107*[1]Taux!C$16-[1]Taux!I$16,IF(AND(I107&gt;4166.67,I107&lt;5000),I107*[1]Taux!C$17-[1]Taux!I$17,IF(AND(I107&gt;5000,I107&lt;6666.67),I107*[1]Taux!C$18-[1]Taux!I$18,IF(AND(I107&gt;6666.67,I107&lt;15000),I107*[1]Taux!C$19-[1]Taux!I$19,IF(I107&gt;15000,I107*[1]Taux!C$20-[1]Taux!I$20))))))</f>
        <v>25937.782666666666</v>
      </c>
      <c r="K108" s="46"/>
      <c r="L108" s="47"/>
    </row>
    <row r="109" spans="1:12">
      <c r="A109" s="107" t="s">
        <v>90</v>
      </c>
      <c r="B109" s="107"/>
      <c r="C109" s="107"/>
      <c r="D109" s="107"/>
      <c r="E109" s="107"/>
      <c r="F109" s="107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>
      <c r="A110" s="106" t="s">
        <v>91</v>
      </c>
      <c r="B110" s="106"/>
      <c r="C110" s="106"/>
      <c r="D110" s="106"/>
      <c r="E110" s="106"/>
      <c r="F110" s="106"/>
      <c r="G110" s="21"/>
      <c r="H110" s="22"/>
      <c r="I110" s="21"/>
      <c r="J110" s="21">
        <f>J108-J109</f>
        <v>25937.782666666666</v>
      </c>
      <c r="K110" s="21"/>
      <c r="L110" s="21"/>
    </row>
    <row r="111" spans="1:12">
      <c r="A111" s="112" t="s">
        <v>92</v>
      </c>
      <c r="B111" s="112"/>
      <c r="C111" s="112"/>
      <c r="D111" s="112"/>
      <c r="E111" s="112"/>
      <c r="F111" s="112"/>
      <c r="G111" s="25"/>
      <c r="H111" s="48"/>
      <c r="I111" s="47"/>
      <c r="J111" s="49">
        <v>0</v>
      </c>
      <c r="K111" s="46"/>
      <c r="L111" s="47"/>
    </row>
    <row r="112" spans="1:12">
      <c r="A112" s="107" t="s">
        <v>93</v>
      </c>
      <c r="B112" s="107"/>
      <c r="C112" s="107"/>
      <c r="D112" s="107"/>
      <c r="E112" s="107"/>
      <c r="F112" s="107"/>
      <c r="G112" s="25"/>
      <c r="H112" s="48"/>
      <c r="I112" s="44"/>
      <c r="J112" s="28">
        <v>0</v>
      </c>
      <c r="K112" s="46"/>
      <c r="L112" s="47"/>
    </row>
    <row r="113" spans="1:13">
      <c r="A113" s="113" t="s">
        <v>94</v>
      </c>
      <c r="B113" s="113"/>
      <c r="C113" s="113"/>
      <c r="D113" s="113"/>
      <c r="E113" s="113"/>
      <c r="F113" s="113"/>
      <c r="G113" s="41"/>
      <c r="H113" s="42"/>
      <c r="I113" s="28">
        <f>1-0.42</f>
        <v>0.58000000000000007</v>
      </c>
      <c r="J113" s="41"/>
      <c r="K113" s="43"/>
      <c r="L113" s="44"/>
    </row>
    <row r="114" spans="1:1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>
      <c r="A115" s="14" t="s">
        <v>95</v>
      </c>
      <c r="B115" s="14" t="s">
        <v>96</v>
      </c>
      <c r="C115" s="14" t="s">
        <v>97</v>
      </c>
      <c r="D115" s="104" t="s">
        <v>98</v>
      </c>
      <c r="E115" s="104"/>
      <c r="F115" s="104"/>
      <c r="G115" s="14" t="s">
        <v>99</v>
      </c>
      <c r="H115" s="50"/>
      <c r="I115" s="52">
        <f>I92+I113</f>
        <v>111000.58</v>
      </c>
      <c r="J115" s="52">
        <f>J103+J110+J111+J112</f>
        <v>54829.582666666669</v>
      </c>
      <c r="K115" s="14" t="s">
        <v>100</v>
      </c>
      <c r="L115" s="52">
        <f>L103</f>
        <v>19554.3</v>
      </c>
    </row>
    <row r="116" spans="1:13">
      <c r="A116" s="52">
        <f>974000+I92</f>
        <v>1085000</v>
      </c>
      <c r="B116" s="52">
        <f>920000+I93</f>
        <v>1025000</v>
      </c>
      <c r="C116" s="52">
        <f>2419.2+J94</f>
        <v>2688</v>
      </c>
      <c r="D116" s="114">
        <f>226529.75+J110</f>
        <v>252467.53266666667</v>
      </c>
      <c r="E116" s="114"/>
      <c r="F116" s="114"/>
      <c r="G116" s="52">
        <f>494263.97+I115</f>
        <v>605264.54999999993</v>
      </c>
      <c r="H116" s="104" t="s">
        <v>101</v>
      </c>
      <c r="I116" s="104"/>
      <c r="J116" s="52">
        <f>I115-J115</f>
        <v>56170.997333333333</v>
      </c>
      <c r="K116" s="14" t="s">
        <v>102</v>
      </c>
      <c r="L116" s="52">
        <f>171461.2+L115</f>
        <v>191015.5</v>
      </c>
    </row>
    <row r="117" spans="1: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75725.297333333336</v>
      </c>
    </row>
    <row r="118" spans="1: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>
      <c r="A121" s="105" t="s">
        <v>26</v>
      </c>
      <c r="B121" s="105"/>
      <c r="C121" s="105" t="s">
        <v>27</v>
      </c>
      <c r="D121" s="105"/>
      <c r="E121" s="105"/>
      <c r="F121" s="105"/>
      <c r="G121" s="105" t="s">
        <v>28</v>
      </c>
      <c r="H121" s="105"/>
      <c r="I121" s="105"/>
      <c r="J121" s="105" t="s">
        <v>29</v>
      </c>
      <c r="K121" s="105"/>
      <c r="L121" s="105"/>
    </row>
    <row r="122" spans="1:13">
      <c r="A122" s="13" t="s">
        <v>30</v>
      </c>
      <c r="B122" s="104" t="s">
        <v>31</v>
      </c>
      <c r="C122" s="104"/>
      <c r="D122" s="104"/>
      <c r="E122" s="104"/>
      <c r="F122" s="104"/>
      <c r="G122" s="104" t="s">
        <v>32</v>
      </c>
      <c r="H122" s="104"/>
      <c r="I122" s="104"/>
      <c r="J122" s="104"/>
      <c r="K122" s="104"/>
      <c r="L122" s="104"/>
    </row>
    <row r="123" spans="1:13">
      <c r="A123" s="15">
        <v>4</v>
      </c>
      <c r="B123" s="102" t="s">
        <v>106</v>
      </c>
      <c r="C123" s="102"/>
      <c r="D123" s="102"/>
      <c r="E123" s="102"/>
      <c r="F123" s="102"/>
      <c r="G123" s="103">
        <v>42705</v>
      </c>
      <c r="H123" s="103"/>
      <c r="I123" s="103"/>
      <c r="J123" s="103">
        <v>42735</v>
      </c>
      <c r="K123" s="103"/>
      <c r="L123" s="103"/>
    </row>
    <row r="124" spans="1:13">
      <c r="A124" s="13" t="s">
        <v>34</v>
      </c>
      <c r="B124" s="13" t="s">
        <v>35</v>
      </c>
      <c r="C124" s="13" t="s">
        <v>36</v>
      </c>
      <c r="D124" s="13" t="s">
        <v>37</v>
      </c>
      <c r="E124" s="13" t="s">
        <v>38</v>
      </c>
      <c r="F124" s="13" t="s">
        <v>39</v>
      </c>
      <c r="G124" s="104" t="s">
        <v>40</v>
      </c>
      <c r="H124" s="104"/>
      <c r="I124" s="104"/>
      <c r="J124" s="104"/>
      <c r="K124" s="104"/>
      <c r="L124" s="104"/>
    </row>
    <row r="125" spans="1:13">
      <c r="A125" s="17">
        <v>41791</v>
      </c>
      <c r="B125" s="15"/>
      <c r="C125" s="17">
        <v>28152</v>
      </c>
      <c r="D125" s="15" t="s">
        <v>41</v>
      </c>
      <c r="E125" s="15">
        <v>0</v>
      </c>
      <c r="F125" s="15">
        <v>0</v>
      </c>
      <c r="G125" s="102"/>
      <c r="H125" s="102"/>
      <c r="I125" s="102"/>
      <c r="J125" s="102"/>
      <c r="K125" s="102"/>
      <c r="L125" s="102"/>
    </row>
    <row r="126" spans="1:13">
      <c r="A126" s="13" t="s">
        <v>42</v>
      </c>
      <c r="B126" s="13" t="s">
        <v>43</v>
      </c>
      <c r="C126" s="13" t="s">
        <v>44</v>
      </c>
      <c r="D126" s="104" t="s">
        <v>45</v>
      </c>
      <c r="E126" s="104"/>
      <c r="F126" s="104"/>
      <c r="G126" s="104" t="s">
        <v>46</v>
      </c>
      <c r="H126" s="104"/>
      <c r="I126" s="104"/>
      <c r="J126" s="104"/>
      <c r="K126" s="104"/>
      <c r="L126" s="104"/>
    </row>
    <row r="127" spans="1:13">
      <c r="A127" s="15">
        <v>123952551</v>
      </c>
      <c r="B127" s="15"/>
      <c r="C127" s="15"/>
      <c r="D127" s="102" t="s">
        <v>47</v>
      </c>
      <c r="E127" s="102"/>
      <c r="F127" s="102"/>
      <c r="G127" s="102" t="s">
        <v>107</v>
      </c>
      <c r="H127" s="102"/>
      <c r="I127" s="102"/>
      <c r="J127" s="102"/>
      <c r="K127" s="102"/>
      <c r="L127" s="102"/>
    </row>
    <row r="128" spans="1: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>
      <c r="A131" s="108" t="s">
        <v>49</v>
      </c>
      <c r="B131" s="108"/>
      <c r="C131" s="108"/>
      <c r="D131" s="108"/>
      <c r="E131" s="108"/>
      <c r="F131" s="108"/>
      <c r="G131" s="108" t="s">
        <v>50</v>
      </c>
      <c r="H131" s="108" t="s">
        <v>51</v>
      </c>
      <c r="I131" s="108" t="s">
        <v>52</v>
      </c>
      <c r="J131" s="108"/>
      <c r="K131" s="108" t="s">
        <v>53</v>
      </c>
      <c r="L131" s="108"/>
    </row>
    <row r="132" spans="1:12">
      <c r="A132" s="108"/>
      <c r="B132" s="108"/>
      <c r="C132" s="108"/>
      <c r="D132" s="108"/>
      <c r="E132" s="108"/>
      <c r="F132" s="108"/>
      <c r="G132" s="108"/>
      <c r="H132" s="108"/>
      <c r="I132" s="20" t="s">
        <v>54</v>
      </c>
      <c r="J132" s="20" t="s">
        <v>55</v>
      </c>
      <c r="K132" s="20" t="s">
        <v>56</v>
      </c>
      <c r="L132" s="20" t="s">
        <v>57</v>
      </c>
    </row>
    <row r="133" spans="1:12">
      <c r="A133" s="106" t="s">
        <v>58</v>
      </c>
      <c r="B133" s="106"/>
      <c r="C133" s="106"/>
      <c r="D133" s="106"/>
      <c r="E133" s="106"/>
      <c r="F133" s="106"/>
      <c r="G133" s="21">
        <v>90000</v>
      </c>
      <c r="H133" s="22"/>
      <c r="I133" s="21"/>
      <c r="J133" s="21"/>
      <c r="K133" s="21"/>
      <c r="L133" s="21"/>
    </row>
    <row r="134" spans="1:12">
      <c r="A134" s="106" t="s">
        <v>59</v>
      </c>
      <c r="B134" s="106"/>
      <c r="C134" s="106"/>
      <c r="D134" s="106"/>
      <c r="E134" s="106"/>
      <c r="F134" s="106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>
      <c r="A135" s="107" t="s">
        <v>60</v>
      </c>
      <c r="B135" s="107"/>
      <c r="C135" s="107"/>
      <c r="D135" s="107"/>
      <c r="E135" s="107"/>
      <c r="F135" s="107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>
      <c r="A136" s="107" t="s">
        <v>61</v>
      </c>
      <c r="B136" s="107"/>
      <c r="C136" s="107"/>
      <c r="D136" s="107"/>
      <c r="E136" s="107"/>
      <c r="F136" s="107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>
      <c r="A137" s="107" t="s">
        <v>62</v>
      </c>
      <c r="B137" s="107"/>
      <c r="C137" s="107"/>
      <c r="D137" s="107"/>
      <c r="E137" s="107"/>
      <c r="F137" s="107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>
      <c r="A138" s="107" t="s">
        <v>63</v>
      </c>
      <c r="B138" s="107"/>
      <c r="C138" s="107"/>
      <c r="D138" s="107"/>
      <c r="E138" s="107"/>
      <c r="F138" s="107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>
      <c r="A139" s="107" t="s">
        <v>64</v>
      </c>
      <c r="B139" s="107"/>
      <c r="C139" s="107"/>
      <c r="D139" s="107"/>
      <c r="E139" s="107"/>
      <c r="F139" s="107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>
      <c r="A140" s="107" t="s">
        <v>65</v>
      </c>
      <c r="B140" s="107"/>
      <c r="C140" s="107"/>
      <c r="D140" s="107"/>
      <c r="E140" s="107"/>
      <c r="F140" s="107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>
      <c r="A141" s="107" t="s">
        <v>66</v>
      </c>
      <c r="B141" s="107"/>
      <c r="C141" s="107"/>
      <c r="D141" s="107"/>
      <c r="E141" s="107"/>
      <c r="F141" s="107"/>
      <c r="G141" s="29"/>
      <c r="H141" s="30"/>
      <c r="I141" s="30"/>
      <c r="J141" s="25"/>
      <c r="K141" s="26"/>
      <c r="L141" s="26"/>
    </row>
    <row r="142" spans="1:12">
      <c r="A142" s="109">
        <v>0.25</v>
      </c>
      <c r="B142" s="109"/>
      <c r="C142" s="109"/>
      <c r="D142" s="109"/>
      <c r="E142" s="109"/>
      <c r="F142" s="109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>
      <c r="A143" s="109">
        <v>0.5</v>
      </c>
      <c r="B143" s="109"/>
      <c r="C143" s="109"/>
      <c r="D143" s="109"/>
      <c r="E143" s="109"/>
      <c r="F143" s="109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>
      <c r="A144" s="109">
        <v>1</v>
      </c>
      <c r="B144" s="109"/>
      <c r="C144" s="109"/>
      <c r="D144" s="109"/>
      <c r="E144" s="109"/>
      <c r="F144" s="109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>
      <c r="A145" s="106" t="s">
        <v>67</v>
      </c>
      <c r="B145" s="106"/>
      <c r="C145" s="106"/>
      <c r="D145" s="106"/>
      <c r="E145" s="106"/>
      <c r="F145" s="106"/>
      <c r="G145" s="21"/>
      <c r="H145" s="22"/>
      <c r="I145" s="21">
        <f>SUM(I146:I147)</f>
        <v>4500</v>
      </c>
      <c r="J145" s="21"/>
      <c r="K145" s="21"/>
      <c r="L145" s="21"/>
    </row>
    <row r="146" spans="1:12">
      <c r="A146" s="107" t="s">
        <v>68</v>
      </c>
      <c r="B146" s="107"/>
      <c r="C146" s="107"/>
      <c r="D146" s="107"/>
      <c r="E146" s="107"/>
      <c r="F146" s="107"/>
      <c r="G146" s="23">
        <f>(G123-A125)/360</f>
        <v>2.5388888888888888</v>
      </c>
      <c r="H146" s="31">
        <f>IF(G146&lt;2,0,IF(AND(G146&gt;2,G146&lt;5),[1]Taux!A$33,IF(AND(G146&lt;12,G146&gt;5),[1]Taux!A$34,IF(AND(G146&gt;12,G146&lt;20),[1]Taux!A$35,IF(AND(G146&lt;25,G146&gt;20),[1]Taux!A$36,IF(G146&gt;25,[1]Taux!A$37))))))</f>
        <v>0.05</v>
      </c>
      <c r="I146" s="23">
        <f>I134*H146</f>
        <v>4500</v>
      </c>
      <c r="J146" s="25"/>
      <c r="K146" s="26"/>
      <c r="L146" s="26"/>
    </row>
    <row r="147" spans="1:12">
      <c r="A147" s="107" t="s">
        <v>69</v>
      </c>
      <c r="B147" s="107"/>
      <c r="C147" s="107"/>
      <c r="D147" s="107"/>
      <c r="E147" s="107"/>
      <c r="F147" s="107"/>
      <c r="G147" s="23"/>
      <c r="H147" s="24"/>
      <c r="I147" s="23"/>
      <c r="J147" s="25"/>
      <c r="K147" s="26"/>
      <c r="L147" s="26"/>
    </row>
    <row r="148" spans="1:12">
      <c r="A148" s="106" t="s">
        <v>70</v>
      </c>
      <c r="B148" s="106"/>
      <c r="C148" s="106"/>
      <c r="D148" s="106"/>
      <c r="E148" s="106"/>
      <c r="F148" s="106"/>
      <c r="G148" s="21"/>
      <c r="H148" s="22"/>
      <c r="I148" s="21">
        <f>SUM(I149:I151)</f>
        <v>6000</v>
      </c>
      <c r="J148" s="21"/>
      <c r="K148" s="21"/>
      <c r="L148" s="21"/>
    </row>
    <row r="149" spans="1:12">
      <c r="A149" s="107" t="s">
        <v>71</v>
      </c>
      <c r="B149" s="107"/>
      <c r="C149" s="107"/>
      <c r="D149" s="107"/>
      <c r="E149" s="107"/>
      <c r="F149" s="107"/>
      <c r="G149" s="23"/>
      <c r="H149" s="24"/>
      <c r="I149" s="23">
        <v>3000</v>
      </c>
      <c r="J149" s="25"/>
      <c r="K149" s="26"/>
      <c r="L149" s="26"/>
    </row>
    <row r="150" spans="1:12">
      <c r="A150" s="107" t="s">
        <v>72</v>
      </c>
      <c r="B150" s="107"/>
      <c r="C150" s="107"/>
      <c r="D150" s="107"/>
      <c r="E150" s="107"/>
      <c r="F150" s="107"/>
      <c r="G150" s="23"/>
      <c r="H150" s="31"/>
      <c r="I150" s="23">
        <v>3000</v>
      </c>
      <c r="J150" s="25"/>
      <c r="K150" s="26"/>
      <c r="L150" s="26"/>
    </row>
    <row r="151" spans="1:12">
      <c r="A151" s="107" t="s">
        <v>73</v>
      </c>
      <c r="B151" s="107"/>
      <c r="C151" s="107"/>
      <c r="D151" s="107"/>
      <c r="E151" s="107"/>
      <c r="F151" s="107"/>
      <c r="G151" s="23"/>
      <c r="H151" s="24"/>
      <c r="I151" s="23"/>
      <c r="J151" s="25"/>
      <c r="K151" s="26"/>
      <c r="L151" s="26"/>
    </row>
    <row r="152" spans="1:12">
      <c r="A152" s="111" t="s">
        <v>74</v>
      </c>
      <c r="B152" s="111"/>
      <c r="C152" s="111"/>
      <c r="D152" s="111"/>
      <c r="E152" s="111"/>
      <c r="F152" s="111"/>
      <c r="G152" s="32"/>
      <c r="H152" s="33"/>
      <c r="I152" s="32">
        <f>I134+I145+I148</f>
        <v>100500</v>
      </c>
      <c r="J152" s="33"/>
      <c r="K152" s="33"/>
      <c r="L152" s="33"/>
    </row>
    <row r="153" spans="1:12">
      <c r="A153" s="111" t="s">
        <v>75</v>
      </c>
      <c r="B153" s="111"/>
      <c r="C153" s="111"/>
      <c r="D153" s="111"/>
      <c r="E153" s="111"/>
      <c r="F153" s="111"/>
      <c r="G153" s="32"/>
      <c r="H153" s="33"/>
      <c r="I153" s="32">
        <f>I152-I148</f>
        <v>94500</v>
      </c>
      <c r="J153" s="33"/>
      <c r="K153" s="33"/>
      <c r="L153" s="33"/>
    </row>
    <row r="154" spans="1:12">
      <c r="A154" s="107" t="s">
        <v>76</v>
      </c>
      <c r="B154" s="107"/>
      <c r="C154" s="107"/>
      <c r="D154" s="107"/>
      <c r="E154" s="107"/>
      <c r="F154" s="107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>
      <c r="A155" s="107" t="s">
        <v>77</v>
      </c>
      <c r="B155" s="107"/>
      <c r="C155" s="107"/>
      <c r="D155" s="107"/>
      <c r="E155" s="107"/>
      <c r="F155" s="107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>
      <c r="A156" s="107" t="s">
        <v>78</v>
      </c>
      <c r="B156" s="107"/>
      <c r="C156" s="107"/>
      <c r="D156" s="107"/>
      <c r="E156" s="107"/>
      <c r="F156" s="107"/>
      <c r="G156" s="23"/>
      <c r="H156" s="34">
        <v>0.5</v>
      </c>
      <c r="I156" s="23"/>
      <c r="J156" s="23">
        <f>I153*H156</f>
        <v>47250</v>
      </c>
      <c r="K156" s="35">
        <v>0.06</v>
      </c>
      <c r="L156" s="23">
        <f>I153*K156</f>
        <v>5670</v>
      </c>
    </row>
    <row r="157" spans="1:12">
      <c r="A157" s="107" t="s">
        <v>79</v>
      </c>
      <c r="B157" s="107"/>
      <c r="C157" s="107"/>
      <c r="D157" s="107"/>
      <c r="E157" s="107"/>
      <c r="F157" s="107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>
      <c r="A158" s="107" t="s">
        <v>80</v>
      </c>
      <c r="B158" s="107"/>
      <c r="C158" s="107"/>
      <c r="D158" s="107"/>
      <c r="E158" s="107"/>
      <c r="F158" s="107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>
      <c r="A159" s="107" t="s">
        <v>81</v>
      </c>
      <c r="B159" s="107"/>
      <c r="C159" s="107"/>
      <c r="D159" s="107"/>
      <c r="E159" s="107"/>
      <c r="F159" s="107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>
      <c r="A160" s="107" t="s">
        <v>24</v>
      </c>
      <c r="B160" s="107"/>
      <c r="C160" s="107"/>
      <c r="D160" s="107"/>
      <c r="E160" s="107"/>
      <c r="F160" s="107"/>
      <c r="G160" s="23"/>
      <c r="H160" s="34" t="str">
        <f>[1]Taux!D$7</f>
        <v>2,26%</v>
      </c>
      <c r="I160" s="23"/>
      <c r="J160" s="23">
        <f>I153*H160</f>
        <v>2135.6999999999998</v>
      </c>
      <c r="K160" s="34" t="str">
        <f>[1]Taux!C$7</f>
        <v>4,11%</v>
      </c>
      <c r="L160" s="23">
        <f>I153*K160</f>
        <v>3883.95</v>
      </c>
    </row>
    <row r="161" spans="1:12">
      <c r="A161" s="110" t="s">
        <v>82</v>
      </c>
      <c r="B161" s="110"/>
      <c r="C161" s="110"/>
      <c r="D161" s="110"/>
      <c r="E161" s="110"/>
      <c r="F161" s="110"/>
      <c r="G161" s="37"/>
      <c r="H161" s="38"/>
      <c r="I161" s="39"/>
      <c r="J161" s="40"/>
      <c r="K161" s="34" t="str">
        <f>[1]Taux!C$4</f>
        <v>6,40%</v>
      </c>
      <c r="L161" s="23">
        <f>I153*K161</f>
        <v>6048</v>
      </c>
    </row>
    <row r="162" spans="1:12">
      <c r="A162" s="110" t="s">
        <v>83</v>
      </c>
      <c r="B162" s="110"/>
      <c r="C162" s="110"/>
      <c r="D162" s="110"/>
      <c r="E162" s="110"/>
      <c r="F162" s="110"/>
      <c r="G162" s="41"/>
      <c r="H162" s="42"/>
      <c r="I162" s="43"/>
      <c r="J162" s="44"/>
      <c r="K162" s="34" t="str">
        <f>[1]Taux!C$8</f>
        <v>1,6 %</v>
      </c>
      <c r="L162" s="23">
        <f>I153*K162</f>
        <v>1512</v>
      </c>
    </row>
    <row r="163" spans="1:12">
      <c r="A163" s="106" t="s">
        <v>84</v>
      </c>
      <c r="B163" s="106"/>
      <c r="C163" s="106"/>
      <c r="D163" s="106"/>
      <c r="E163" s="106"/>
      <c r="F163" s="106"/>
      <c r="G163" s="21"/>
      <c r="H163" s="22"/>
      <c r="I163" s="22"/>
      <c r="J163" s="21">
        <f>SUM(J154:J160)</f>
        <v>49654.5</v>
      </c>
      <c r="K163" s="21"/>
      <c r="L163" s="21">
        <f>SUM(L154:L162)</f>
        <v>17652.75</v>
      </c>
    </row>
    <row r="164" spans="1:12">
      <c r="A164" s="107" t="s">
        <v>85</v>
      </c>
      <c r="B164" s="107"/>
      <c r="C164" s="107"/>
      <c r="D164" s="107"/>
      <c r="E164" s="107"/>
      <c r="F164" s="107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>
      <c r="A165" s="111" t="s">
        <v>86</v>
      </c>
      <c r="B165" s="111"/>
      <c r="C165" s="111"/>
      <c r="D165" s="111"/>
      <c r="E165" s="111"/>
      <c r="F165" s="111"/>
      <c r="G165" s="32"/>
      <c r="H165" s="33"/>
      <c r="I165" s="32">
        <f>I153-J163-J164</f>
        <v>42345.5</v>
      </c>
      <c r="J165" s="33"/>
      <c r="K165" s="33"/>
      <c r="L165" s="33"/>
    </row>
    <row r="166" spans="1:12">
      <c r="A166" s="107" t="s">
        <v>87</v>
      </c>
      <c r="B166" s="107"/>
      <c r="C166" s="107"/>
      <c r="D166" s="107"/>
      <c r="E166" s="107"/>
      <c r="F166" s="107"/>
      <c r="G166" s="23"/>
      <c r="H166" s="34"/>
      <c r="I166" s="23">
        <f>H166*180/360</f>
        <v>0</v>
      </c>
      <c r="J166" s="23"/>
      <c r="K166" s="46"/>
      <c r="L166" s="47"/>
    </row>
    <row r="167" spans="1:12">
      <c r="A167" s="111" t="s">
        <v>88</v>
      </c>
      <c r="B167" s="111"/>
      <c r="C167" s="111"/>
      <c r="D167" s="111"/>
      <c r="E167" s="111"/>
      <c r="F167" s="111"/>
      <c r="G167" s="32"/>
      <c r="H167" s="33"/>
      <c r="I167" s="32">
        <f>I165-I166</f>
        <v>42345.5</v>
      </c>
      <c r="J167" s="33"/>
      <c r="K167" s="33"/>
      <c r="L167" s="33"/>
    </row>
    <row r="168" spans="1:12">
      <c r="A168" s="107" t="s">
        <v>89</v>
      </c>
      <c r="B168" s="107"/>
      <c r="C168" s="107"/>
      <c r="D168" s="107"/>
      <c r="E168" s="107"/>
      <c r="F168" s="107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14057.956666666667</v>
      </c>
      <c r="K168" s="46"/>
      <c r="L168" s="47"/>
    </row>
    <row r="169" spans="1:12">
      <c r="A169" s="107" t="s">
        <v>90</v>
      </c>
      <c r="B169" s="107"/>
      <c r="C169" s="107"/>
      <c r="D169" s="107"/>
      <c r="E169" s="107"/>
      <c r="F169" s="107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>
      <c r="A170" s="106" t="s">
        <v>91</v>
      </c>
      <c r="B170" s="106"/>
      <c r="C170" s="106"/>
      <c r="D170" s="106"/>
      <c r="E170" s="106"/>
      <c r="F170" s="106"/>
      <c r="G170" s="21"/>
      <c r="H170" s="22"/>
      <c r="I170" s="21"/>
      <c r="J170" s="21">
        <f>J168-J169</f>
        <v>14057.956666666667</v>
      </c>
      <c r="K170" s="21"/>
      <c r="L170" s="21"/>
    </row>
    <row r="171" spans="1:12">
      <c r="A171" s="112" t="s">
        <v>92</v>
      </c>
      <c r="B171" s="112"/>
      <c r="C171" s="112"/>
      <c r="D171" s="112"/>
      <c r="E171" s="112"/>
      <c r="F171" s="112"/>
      <c r="G171" s="25"/>
      <c r="H171" s="48"/>
      <c r="I171" s="47"/>
      <c r="J171" s="49">
        <v>0</v>
      </c>
      <c r="K171" s="46"/>
      <c r="L171" s="47"/>
    </row>
    <row r="172" spans="1:12">
      <c r="A172" s="107" t="s">
        <v>93</v>
      </c>
      <c r="B172" s="107"/>
      <c r="C172" s="107"/>
      <c r="D172" s="107"/>
      <c r="E172" s="107"/>
      <c r="F172" s="107"/>
      <c r="G172" s="25"/>
      <c r="H172" s="48"/>
      <c r="I172" s="44"/>
      <c r="J172" s="28">
        <v>0</v>
      </c>
      <c r="K172" s="46"/>
      <c r="L172" s="47"/>
    </row>
    <row r="173" spans="1:12">
      <c r="A173" s="113" t="s">
        <v>94</v>
      </c>
      <c r="B173" s="113"/>
      <c r="C173" s="113"/>
      <c r="D173" s="113"/>
      <c r="E173" s="113"/>
      <c r="F173" s="113"/>
      <c r="G173" s="41"/>
      <c r="H173" s="42"/>
      <c r="I173" s="28">
        <f>1-0.54</f>
        <v>0.45999999999999996</v>
      </c>
      <c r="J173" s="41"/>
      <c r="K173" s="43"/>
      <c r="L173" s="44"/>
    </row>
    <row r="174" spans="1:1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>
      <c r="A175" s="13" t="s">
        <v>95</v>
      </c>
      <c r="B175" s="13" t="s">
        <v>96</v>
      </c>
      <c r="C175" s="13" t="s">
        <v>97</v>
      </c>
      <c r="D175" s="104" t="s">
        <v>98</v>
      </c>
      <c r="E175" s="104"/>
      <c r="F175" s="104"/>
      <c r="G175" s="13" t="s">
        <v>99</v>
      </c>
      <c r="H175" s="50"/>
      <c r="I175" s="51">
        <f>I152+I173</f>
        <v>100500.46</v>
      </c>
      <c r="J175" s="51">
        <f>J163+J170+J171+J172</f>
        <v>63712.456666666665</v>
      </c>
      <c r="K175" s="13" t="s">
        <v>100</v>
      </c>
      <c r="L175" s="51">
        <f>L163</f>
        <v>17652.75</v>
      </c>
    </row>
    <row r="176" spans="1:12">
      <c r="A176" s="51">
        <f>882000+I152</f>
        <v>982500</v>
      </c>
      <c r="B176" s="51">
        <f>828000+I153</f>
        <v>922500</v>
      </c>
      <c r="C176" s="51">
        <f>2419.2+J154</f>
        <v>2688</v>
      </c>
      <c r="D176" s="114">
        <f>122440.83+J170</f>
        <v>136498.78666666668</v>
      </c>
      <c r="E176" s="114"/>
      <c r="F176" s="114"/>
      <c r="G176" s="51">
        <f>324432+I175</f>
        <v>424932.46</v>
      </c>
      <c r="H176" s="104" t="s">
        <v>101</v>
      </c>
      <c r="I176" s="104"/>
      <c r="J176" s="51">
        <f>I175-J175</f>
        <v>36788.003333333341</v>
      </c>
      <c r="K176" s="13" t="s">
        <v>102</v>
      </c>
      <c r="L176" s="51">
        <f>154800+L175</f>
        <v>172452.75</v>
      </c>
    </row>
    <row r="177" spans="1:1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54440.753333333341</v>
      </c>
    </row>
    <row r="181" spans="1:12">
      <c r="A181" s="105" t="s">
        <v>26</v>
      </c>
      <c r="B181" s="105"/>
      <c r="C181" s="105" t="s">
        <v>27</v>
      </c>
      <c r="D181" s="105"/>
      <c r="E181" s="105"/>
      <c r="F181" s="105"/>
      <c r="G181" s="105" t="s">
        <v>28</v>
      </c>
      <c r="H181" s="105"/>
      <c r="I181" s="105"/>
      <c r="J181" s="105" t="s">
        <v>29</v>
      </c>
      <c r="K181" s="105"/>
      <c r="L181" s="105"/>
    </row>
    <row r="182" spans="1:12">
      <c r="A182" s="13" t="s">
        <v>30</v>
      </c>
      <c r="B182" s="104" t="s">
        <v>31</v>
      </c>
      <c r="C182" s="104"/>
      <c r="D182" s="104"/>
      <c r="E182" s="104"/>
      <c r="F182" s="104"/>
      <c r="G182" s="104" t="s">
        <v>32</v>
      </c>
      <c r="H182" s="104"/>
      <c r="I182" s="104"/>
      <c r="J182" s="104"/>
      <c r="K182" s="104"/>
      <c r="L182" s="104"/>
    </row>
    <row r="183" spans="1:12">
      <c r="A183" s="15">
        <v>5</v>
      </c>
      <c r="B183" s="102" t="s">
        <v>108</v>
      </c>
      <c r="C183" s="102"/>
      <c r="D183" s="102"/>
      <c r="E183" s="102"/>
      <c r="F183" s="102"/>
      <c r="G183" s="103">
        <v>42705</v>
      </c>
      <c r="H183" s="103"/>
      <c r="I183" s="103"/>
      <c r="J183" s="103">
        <v>42735</v>
      </c>
      <c r="K183" s="103"/>
      <c r="L183" s="103"/>
    </row>
    <row r="184" spans="1:12">
      <c r="A184" s="13" t="s">
        <v>34</v>
      </c>
      <c r="B184" s="13" t="s">
        <v>35</v>
      </c>
      <c r="C184" s="13" t="s">
        <v>36</v>
      </c>
      <c r="D184" s="13" t="s">
        <v>37</v>
      </c>
      <c r="E184" s="13" t="s">
        <v>38</v>
      </c>
      <c r="F184" s="13" t="s">
        <v>39</v>
      </c>
      <c r="G184" s="104" t="s">
        <v>40</v>
      </c>
      <c r="H184" s="104"/>
      <c r="I184" s="104"/>
      <c r="J184" s="104"/>
      <c r="K184" s="104"/>
      <c r="L184" s="104"/>
    </row>
    <row r="185" spans="1:12">
      <c r="A185" s="17">
        <v>41791</v>
      </c>
      <c r="B185" s="15"/>
      <c r="C185" s="17">
        <v>21792</v>
      </c>
      <c r="D185" s="15" t="s">
        <v>41</v>
      </c>
      <c r="E185" s="15">
        <v>2</v>
      </c>
      <c r="F185" s="15">
        <v>3</v>
      </c>
      <c r="G185" s="102"/>
      <c r="H185" s="102"/>
      <c r="I185" s="102"/>
      <c r="J185" s="102"/>
      <c r="K185" s="102"/>
      <c r="L185" s="102"/>
    </row>
    <row r="186" spans="1:12">
      <c r="A186" s="13" t="s">
        <v>42</v>
      </c>
      <c r="B186" s="13" t="s">
        <v>43</v>
      </c>
      <c r="C186" s="13" t="s">
        <v>44</v>
      </c>
      <c r="D186" s="104" t="s">
        <v>45</v>
      </c>
      <c r="E186" s="104"/>
      <c r="F186" s="104"/>
      <c r="G186" s="104" t="s">
        <v>46</v>
      </c>
      <c r="H186" s="104"/>
      <c r="I186" s="104"/>
      <c r="J186" s="104"/>
      <c r="K186" s="104"/>
      <c r="L186" s="104"/>
    </row>
    <row r="187" spans="1:12">
      <c r="A187" s="15">
        <v>132944135</v>
      </c>
      <c r="B187" s="15"/>
      <c r="C187" s="15"/>
      <c r="D187" s="102" t="s">
        <v>47</v>
      </c>
      <c r="E187" s="102"/>
      <c r="F187" s="102"/>
      <c r="G187" s="102" t="s">
        <v>109</v>
      </c>
      <c r="H187" s="102"/>
      <c r="I187" s="102"/>
      <c r="J187" s="102"/>
      <c r="K187" s="102"/>
      <c r="L187" s="102"/>
    </row>
    <row r="188" spans="1:1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>
      <c r="A191" s="108" t="s">
        <v>49</v>
      </c>
      <c r="B191" s="108"/>
      <c r="C191" s="108"/>
      <c r="D191" s="108"/>
      <c r="E191" s="108"/>
      <c r="F191" s="108"/>
      <c r="G191" s="108" t="s">
        <v>50</v>
      </c>
      <c r="H191" s="108" t="s">
        <v>51</v>
      </c>
      <c r="I191" s="108" t="s">
        <v>52</v>
      </c>
      <c r="J191" s="108"/>
      <c r="K191" s="108" t="s">
        <v>53</v>
      </c>
      <c r="L191" s="108"/>
    </row>
    <row r="192" spans="1:12">
      <c r="A192" s="108"/>
      <c r="B192" s="108"/>
      <c r="C192" s="108"/>
      <c r="D192" s="108"/>
      <c r="E192" s="108"/>
      <c r="F192" s="108"/>
      <c r="G192" s="108"/>
      <c r="H192" s="108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>
      <c r="A193" s="106" t="s">
        <v>58</v>
      </c>
      <c r="B193" s="106"/>
      <c r="C193" s="106"/>
      <c r="D193" s="106"/>
      <c r="E193" s="106"/>
      <c r="F193" s="106"/>
      <c r="G193" s="21">
        <v>12125.57</v>
      </c>
      <c r="H193" s="22"/>
      <c r="I193" s="21"/>
      <c r="J193" s="21"/>
      <c r="K193" s="21"/>
      <c r="L193" s="21"/>
    </row>
    <row r="194" spans="1:12">
      <c r="A194" s="106" t="s">
        <v>59</v>
      </c>
      <c r="B194" s="106"/>
      <c r="C194" s="106"/>
      <c r="D194" s="106"/>
      <c r="E194" s="106"/>
      <c r="F194" s="106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>
      <c r="A195" s="107" t="s">
        <v>60</v>
      </c>
      <c r="B195" s="107"/>
      <c r="C195" s="107"/>
      <c r="D195" s="107"/>
      <c r="E195" s="107"/>
      <c r="F195" s="107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>
      <c r="A196" s="107" t="s">
        <v>61</v>
      </c>
      <c r="B196" s="107"/>
      <c r="C196" s="107"/>
      <c r="D196" s="107"/>
      <c r="E196" s="107"/>
      <c r="F196" s="107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>
      <c r="A197" s="107" t="s">
        <v>62</v>
      </c>
      <c r="B197" s="107"/>
      <c r="C197" s="107"/>
      <c r="D197" s="107"/>
      <c r="E197" s="107"/>
      <c r="F197" s="107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>
      <c r="A198" s="107" t="s">
        <v>63</v>
      </c>
      <c r="B198" s="107"/>
      <c r="C198" s="107"/>
      <c r="D198" s="107"/>
      <c r="E198" s="107"/>
      <c r="F198" s="107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>
      <c r="A199" s="107" t="s">
        <v>64</v>
      </c>
      <c r="B199" s="107"/>
      <c r="C199" s="107"/>
      <c r="D199" s="107"/>
      <c r="E199" s="107"/>
      <c r="F199" s="107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>
      <c r="A200" s="107" t="s">
        <v>65</v>
      </c>
      <c r="B200" s="107"/>
      <c r="C200" s="107"/>
      <c r="D200" s="107"/>
      <c r="E200" s="107"/>
      <c r="F200" s="107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>
      <c r="A201" s="107" t="s">
        <v>66</v>
      </c>
      <c r="B201" s="107"/>
      <c r="C201" s="107"/>
      <c r="D201" s="107"/>
      <c r="E201" s="107"/>
      <c r="F201" s="107"/>
      <c r="G201" s="29"/>
      <c r="H201" s="30"/>
      <c r="I201" s="30"/>
      <c r="J201" s="25"/>
      <c r="K201" s="26"/>
      <c r="L201" s="26"/>
    </row>
    <row r="202" spans="1:12">
      <c r="A202" s="109">
        <v>0.25</v>
      </c>
      <c r="B202" s="109"/>
      <c r="C202" s="109"/>
      <c r="D202" s="109"/>
      <c r="E202" s="109"/>
      <c r="F202" s="109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>
      <c r="A203" s="109">
        <v>0.5</v>
      </c>
      <c r="B203" s="109"/>
      <c r="C203" s="109"/>
      <c r="D203" s="109"/>
      <c r="E203" s="109"/>
      <c r="F203" s="109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>
      <c r="A204" s="109">
        <v>1</v>
      </c>
      <c r="B204" s="109"/>
      <c r="C204" s="109"/>
      <c r="D204" s="109"/>
      <c r="E204" s="109"/>
      <c r="F204" s="109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>
      <c r="A205" s="106" t="s">
        <v>67</v>
      </c>
      <c r="B205" s="106"/>
      <c r="C205" s="106"/>
      <c r="D205" s="106"/>
      <c r="E205" s="106"/>
      <c r="F205" s="106"/>
      <c r="G205" s="21"/>
      <c r="H205" s="22"/>
      <c r="I205" s="21">
        <f>SUM(I206:I207)</f>
        <v>606.27850000000001</v>
      </c>
      <c r="J205" s="21"/>
      <c r="K205" s="21"/>
      <c r="L205" s="21"/>
    </row>
    <row r="206" spans="1:12">
      <c r="A206" s="107" t="s">
        <v>68</v>
      </c>
      <c r="B206" s="107"/>
      <c r="C206" s="107"/>
      <c r="D206" s="107"/>
      <c r="E206" s="107"/>
      <c r="F206" s="107"/>
      <c r="G206" s="23">
        <f>(G183-A185)/360</f>
        <v>2.5388888888888888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0.05</v>
      </c>
      <c r="I206" s="23">
        <f>I194*H206</f>
        <v>606.27850000000001</v>
      </c>
      <c r="J206" s="25"/>
      <c r="K206" s="26"/>
      <c r="L206" s="26"/>
    </row>
    <row r="207" spans="1:12">
      <c r="A207" s="107" t="s">
        <v>69</v>
      </c>
      <c r="B207" s="107"/>
      <c r="C207" s="107"/>
      <c r="D207" s="107"/>
      <c r="E207" s="107"/>
      <c r="F207" s="107"/>
      <c r="G207" s="23"/>
      <c r="H207" s="24"/>
      <c r="I207" s="23"/>
      <c r="J207" s="25"/>
      <c r="K207" s="26"/>
      <c r="L207" s="26"/>
    </row>
    <row r="208" spans="1:12">
      <c r="A208" s="106" t="s">
        <v>70</v>
      </c>
      <c r="B208" s="106"/>
      <c r="C208" s="106"/>
      <c r="D208" s="106"/>
      <c r="E208" s="106"/>
      <c r="F208" s="106"/>
      <c r="G208" s="21"/>
      <c r="H208" s="22"/>
      <c r="I208" s="21">
        <f>SUM(I209:I211)</f>
        <v>5000</v>
      </c>
      <c r="J208" s="21"/>
      <c r="K208" s="21"/>
      <c r="L208" s="21"/>
    </row>
    <row r="209" spans="1:12">
      <c r="A209" s="107" t="s">
        <v>71</v>
      </c>
      <c r="B209" s="107"/>
      <c r="C209" s="107"/>
      <c r="D209" s="107"/>
      <c r="E209" s="107"/>
      <c r="F209" s="107"/>
      <c r="G209" s="23"/>
      <c r="H209" s="24"/>
      <c r="I209" s="23">
        <v>2500</v>
      </c>
      <c r="J209" s="25"/>
      <c r="K209" s="26"/>
      <c r="L209" s="26"/>
    </row>
    <row r="210" spans="1:12">
      <c r="A210" s="107" t="s">
        <v>72</v>
      </c>
      <c r="B210" s="107"/>
      <c r="C210" s="107"/>
      <c r="D210" s="107"/>
      <c r="E210" s="107"/>
      <c r="F210" s="107"/>
      <c r="G210" s="23"/>
      <c r="H210" s="31">
        <v>0</v>
      </c>
      <c r="I210" s="23">
        <v>2500</v>
      </c>
      <c r="J210" s="25"/>
      <c r="K210" s="26"/>
      <c r="L210" s="26"/>
    </row>
    <row r="211" spans="1:12">
      <c r="A211" s="107" t="s">
        <v>73</v>
      </c>
      <c r="B211" s="107"/>
      <c r="C211" s="107"/>
      <c r="D211" s="107"/>
      <c r="E211" s="107"/>
      <c r="F211" s="107"/>
      <c r="G211" s="23"/>
      <c r="H211" s="24"/>
      <c r="I211" s="23"/>
      <c r="J211" s="25"/>
      <c r="K211" s="26"/>
      <c r="L211" s="26"/>
    </row>
    <row r="212" spans="1:12">
      <c r="A212" s="111" t="s">
        <v>74</v>
      </c>
      <c r="B212" s="111"/>
      <c r="C212" s="111"/>
      <c r="D212" s="111"/>
      <c r="E212" s="111"/>
      <c r="F212" s="111"/>
      <c r="G212" s="32"/>
      <c r="H212" s="33"/>
      <c r="I212" s="32">
        <f>I194+I205+I208</f>
        <v>17731.8485</v>
      </c>
      <c r="J212" s="33"/>
      <c r="K212" s="33"/>
      <c r="L212" s="33"/>
    </row>
    <row r="213" spans="1:12">
      <c r="A213" s="111" t="s">
        <v>75</v>
      </c>
      <c r="B213" s="111"/>
      <c r="C213" s="111"/>
      <c r="D213" s="111"/>
      <c r="E213" s="111"/>
      <c r="F213" s="111"/>
      <c r="G213" s="32"/>
      <c r="H213" s="33"/>
      <c r="I213" s="32">
        <f>I212-I208</f>
        <v>12731.8485</v>
      </c>
      <c r="J213" s="33"/>
      <c r="K213" s="33"/>
      <c r="L213" s="33"/>
    </row>
    <row r="214" spans="1:12">
      <c r="A214" s="107" t="s">
        <v>76</v>
      </c>
      <c r="B214" s="107"/>
      <c r="C214" s="107"/>
      <c r="D214" s="107"/>
      <c r="E214" s="107"/>
      <c r="F214" s="107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>
      <c r="A215" s="107" t="s">
        <v>77</v>
      </c>
      <c r="B215" s="107"/>
      <c r="C215" s="107"/>
      <c r="D215" s="107"/>
      <c r="E215" s="107"/>
      <c r="F215" s="107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>
      <c r="A216" s="107" t="s">
        <v>78</v>
      </c>
      <c r="B216" s="107"/>
      <c r="C216" s="107"/>
      <c r="D216" s="107"/>
      <c r="E216" s="107"/>
      <c r="F216" s="107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>
      <c r="A217" s="107" t="s">
        <v>79</v>
      </c>
      <c r="B217" s="107"/>
      <c r="C217" s="107"/>
      <c r="D217" s="107"/>
      <c r="E217" s="107"/>
      <c r="F217" s="107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>
      <c r="A218" s="107" t="s">
        <v>80</v>
      </c>
      <c r="B218" s="107"/>
      <c r="C218" s="107"/>
      <c r="D218" s="107"/>
      <c r="E218" s="107"/>
      <c r="F218" s="107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>
      <c r="A219" s="107" t="s">
        <v>81</v>
      </c>
      <c r="B219" s="107"/>
      <c r="C219" s="107"/>
      <c r="D219" s="107"/>
      <c r="E219" s="107"/>
      <c r="F219" s="107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>
      <c r="A220" s="107" t="s">
        <v>24</v>
      </c>
      <c r="B220" s="107"/>
      <c r="C220" s="107"/>
      <c r="D220" s="107"/>
      <c r="E220" s="107"/>
      <c r="F220" s="107"/>
      <c r="G220" s="23"/>
      <c r="H220" s="34" t="str">
        <f>[1]Taux!D$7</f>
        <v>2,26%</v>
      </c>
      <c r="I220" s="23"/>
      <c r="J220" s="23">
        <f>I213*H220</f>
        <v>287.73977609999997</v>
      </c>
      <c r="K220" s="34" t="str">
        <f>[1]Taux!C$7</f>
        <v>4,11%</v>
      </c>
      <c r="L220" s="23">
        <f>I213*K220</f>
        <v>523.27897335</v>
      </c>
    </row>
    <row r="221" spans="1:12">
      <c r="A221" s="110" t="s">
        <v>82</v>
      </c>
      <c r="B221" s="110"/>
      <c r="C221" s="110"/>
      <c r="D221" s="110"/>
      <c r="E221" s="110"/>
      <c r="F221" s="110"/>
      <c r="G221" s="37"/>
      <c r="H221" s="38"/>
      <c r="I221" s="39"/>
      <c r="J221" s="40"/>
      <c r="K221" s="34" t="str">
        <f>[1]Taux!C$4</f>
        <v>6,40%</v>
      </c>
      <c r="L221" s="23">
        <f>I213*K221</f>
        <v>814.83830399999999</v>
      </c>
    </row>
    <row r="222" spans="1:12">
      <c r="A222" s="110" t="s">
        <v>83</v>
      </c>
      <c r="B222" s="110"/>
      <c r="C222" s="110"/>
      <c r="D222" s="110"/>
      <c r="E222" s="110"/>
      <c r="F222" s="110"/>
      <c r="G222" s="41"/>
      <c r="H222" s="42"/>
      <c r="I222" s="43"/>
      <c r="J222" s="44"/>
      <c r="K222" s="34" t="str">
        <f>[1]Taux!C$8</f>
        <v>1,6 %</v>
      </c>
      <c r="L222" s="23">
        <f>I213*K222</f>
        <v>203.709576</v>
      </c>
    </row>
    <row r="223" spans="1:12">
      <c r="A223" s="106" t="s">
        <v>84</v>
      </c>
      <c r="B223" s="106"/>
      <c r="C223" s="106"/>
      <c r="D223" s="106"/>
      <c r="E223" s="106"/>
      <c r="F223" s="106"/>
      <c r="G223" s="21"/>
      <c r="H223" s="22"/>
      <c r="I223" s="22"/>
      <c r="J223" s="21">
        <f>SUM(J214:J220)</f>
        <v>556.53977609999993</v>
      </c>
      <c r="K223" s="21"/>
      <c r="L223" s="21">
        <f>SUM(L214:L222)</f>
        <v>2080.6268533500001</v>
      </c>
    </row>
    <row r="224" spans="1:12">
      <c r="A224" s="107" t="s">
        <v>85</v>
      </c>
      <c r="B224" s="107"/>
      <c r="C224" s="107"/>
      <c r="D224" s="107"/>
      <c r="E224" s="107"/>
      <c r="F224" s="107"/>
      <c r="G224" s="23"/>
      <c r="H224" s="45">
        <v>0.2</v>
      </c>
      <c r="I224" s="23"/>
      <c r="J224" s="23">
        <f>IF(I213*H224&lt;2500,I213*H224,2500)</f>
        <v>2500</v>
      </c>
      <c r="K224" s="46"/>
      <c r="L224" s="47"/>
    </row>
    <row r="225" spans="1:12">
      <c r="A225" s="111" t="s">
        <v>86</v>
      </c>
      <c r="B225" s="111"/>
      <c r="C225" s="111"/>
      <c r="D225" s="111"/>
      <c r="E225" s="111"/>
      <c r="F225" s="111"/>
      <c r="G225" s="32"/>
      <c r="H225" s="33"/>
      <c r="I225" s="32">
        <f>I213-J223-J224</f>
        <v>9675.3087238999997</v>
      </c>
      <c r="J225" s="33"/>
      <c r="K225" s="33"/>
      <c r="L225" s="33"/>
    </row>
    <row r="226" spans="1:12">
      <c r="A226" s="107" t="s">
        <v>87</v>
      </c>
      <c r="B226" s="107"/>
      <c r="C226" s="107"/>
      <c r="D226" s="107"/>
      <c r="E226" s="107"/>
      <c r="F226" s="107"/>
      <c r="G226" s="23"/>
      <c r="H226" s="34"/>
      <c r="I226" s="23">
        <f>H226*180/360</f>
        <v>0</v>
      </c>
      <c r="J226" s="23"/>
      <c r="K226" s="46"/>
      <c r="L226" s="47"/>
    </row>
    <row r="227" spans="1:12">
      <c r="A227" s="111" t="s">
        <v>88</v>
      </c>
      <c r="B227" s="111"/>
      <c r="C227" s="111"/>
      <c r="D227" s="111"/>
      <c r="E227" s="111"/>
      <c r="F227" s="111"/>
      <c r="G227" s="32"/>
      <c r="H227" s="33"/>
      <c r="I227" s="32">
        <f>I225-I226</f>
        <v>9675.3087238999997</v>
      </c>
      <c r="J227" s="33"/>
      <c r="K227" s="33"/>
      <c r="L227" s="33"/>
    </row>
    <row r="228" spans="1:12">
      <c r="A228" s="107" t="s">
        <v>89</v>
      </c>
      <c r="B228" s="107"/>
      <c r="C228" s="107"/>
      <c r="D228" s="107"/>
      <c r="E228" s="107"/>
      <c r="F228" s="107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1856.2716327926667</v>
      </c>
      <c r="K228" s="46"/>
      <c r="L228" s="47"/>
    </row>
    <row r="229" spans="1:12">
      <c r="A229" s="107" t="s">
        <v>90</v>
      </c>
      <c r="B229" s="107"/>
      <c r="C229" s="107"/>
      <c r="D229" s="107"/>
      <c r="E229" s="107"/>
      <c r="F229" s="107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>
      <c r="A230" s="106" t="s">
        <v>91</v>
      </c>
      <c r="B230" s="106"/>
      <c r="C230" s="106"/>
      <c r="D230" s="106"/>
      <c r="E230" s="106"/>
      <c r="F230" s="106"/>
      <c r="G230" s="21"/>
      <c r="H230" s="22"/>
      <c r="I230" s="21"/>
      <c r="J230" s="21">
        <f>J228-J229</f>
        <v>1766.2716327926667</v>
      </c>
      <c r="K230" s="21"/>
      <c r="L230" s="21"/>
    </row>
    <row r="231" spans="1:12">
      <c r="A231" s="112" t="s">
        <v>92</v>
      </c>
      <c r="B231" s="112"/>
      <c r="C231" s="112"/>
      <c r="D231" s="112"/>
      <c r="E231" s="112"/>
      <c r="F231" s="112"/>
      <c r="G231" s="25"/>
      <c r="H231" s="48"/>
      <c r="I231" s="47"/>
      <c r="J231" s="49">
        <v>0</v>
      </c>
      <c r="K231" s="46"/>
      <c r="L231" s="47"/>
    </row>
    <row r="232" spans="1:12">
      <c r="A232" s="107" t="s">
        <v>93</v>
      </c>
      <c r="B232" s="107"/>
      <c r="C232" s="107"/>
      <c r="D232" s="107"/>
      <c r="E232" s="107"/>
      <c r="F232" s="107"/>
      <c r="G232" s="25"/>
      <c r="H232" s="48"/>
      <c r="I232" s="44"/>
      <c r="J232" s="28">
        <v>0</v>
      </c>
      <c r="K232" s="46"/>
      <c r="L232" s="47"/>
    </row>
    <row r="233" spans="1:12">
      <c r="A233" s="113" t="s">
        <v>94</v>
      </c>
      <c r="B233" s="113"/>
      <c r="C233" s="113"/>
      <c r="D233" s="113"/>
      <c r="E233" s="113"/>
      <c r="F233" s="113"/>
      <c r="G233" s="41"/>
      <c r="H233" s="42"/>
      <c r="I233" s="28">
        <f>1-0.04</f>
        <v>0.96</v>
      </c>
      <c r="J233" s="41"/>
      <c r="K233" s="43"/>
      <c r="L233" s="44"/>
    </row>
    <row r="234" spans="1:1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>
      <c r="A235" s="13" t="s">
        <v>95</v>
      </c>
      <c r="B235" s="13" t="s">
        <v>96</v>
      </c>
      <c r="C235" s="13" t="s">
        <v>97</v>
      </c>
      <c r="D235" s="104" t="s">
        <v>98</v>
      </c>
      <c r="E235" s="104"/>
      <c r="F235" s="104"/>
      <c r="G235" s="13" t="s">
        <v>99</v>
      </c>
      <c r="H235" s="50"/>
      <c r="I235" s="51">
        <f>I212+I233</f>
        <v>17732.808499999999</v>
      </c>
      <c r="J235" s="51">
        <f>J223+J230+J231+J232</f>
        <v>2322.8114088926668</v>
      </c>
      <c r="K235" s="13" t="s">
        <v>100</v>
      </c>
      <c r="L235" s="51">
        <f>L223</f>
        <v>2080.6268533500001</v>
      </c>
    </row>
    <row r="236" spans="1:12">
      <c r="A236" s="51">
        <f>156555.24+I212</f>
        <v>174287.08849999998</v>
      </c>
      <c r="B236" s="51">
        <f>111555.24+I213</f>
        <v>124287.08850000001</v>
      </c>
      <c r="C236" s="51">
        <f>2419.2+J214</f>
        <v>2688</v>
      </c>
      <c r="D236" s="114">
        <f>15016.37+J230</f>
        <v>16782.641632792667</v>
      </c>
      <c r="E236" s="114"/>
      <c r="F236" s="114"/>
      <c r="G236" s="51">
        <f>136602.47+I235</f>
        <v>154335.27850000001</v>
      </c>
      <c r="H236" s="104" t="s">
        <v>101</v>
      </c>
      <c r="I236" s="104"/>
      <c r="J236" s="51">
        <f>I235-J235</f>
        <v>15409.997091107332</v>
      </c>
      <c r="K236" s="13" t="s">
        <v>102</v>
      </c>
      <c r="L236" s="51">
        <f>20589.65+L235</f>
        <v>22670.276853350002</v>
      </c>
    </row>
    <row r="237" spans="1:1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17490.623944457333</v>
      </c>
    </row>
    <row r="241" spans="1:12">
      <c r="A241" s="105" t="s">
        <v>26</v>
      </c>
      <c r="B241" s="105"/>
      <c r="C241" s="105" t="s">
        <v>27</v>
      </c>
      <c r="D241" s="105"/>
      <c r="E241" s="105"/>
      <c r="F241" s="105"/>
      <c r="G241" s="105" t="s">
        <v>28</v>
      </c>
      <c r="H241" s="105"/>
      <c r="I241" s="105"/>
      <c r="J241" s="105" t="s">
        <v>29</v>
      </c>
      <c r="K241" s="105"/>
      <c r="L241" s="105"/>
    </row>
    <row r="242" spans="1:12">
      <c r="A242" s="13" t="s">
        <v>30</v>
      </c>
      <c r="B242" s="104" t="s">
        <v>31</v>
      </c>
      <c r="C242" s="104"/>
      <c r="D242" s="104"/>
      <c r="E242" s="104"/>
      <c r="F242" s="104"/>
      <c r="G242" s="104" t="s">
        <v>32</v>
      </c>
      <c r="H242" s="104"/>
      <c r="I242" s="104"/>
      <c r="J242" s="104"/>
      <c r="K242" s="104"/>
      <c r="L242" s="104"/>
    </row>
    <row r="243" spans="1:12">
      <c r="A243" s="15">
        <v>6</v>
      </c>
      <c r="B243" s="102" t="s">
        <v>110</v>
      </c>
      <c r="C243" s="102"/>
      <c r="D243" s="102"/>
      <c r="E243" s="102"/>
      <c r="F243" s="102"/>
      <c r="G243" s="103">
        <v>42705</v>
      </c>
      <c r="H243" s="103"/>
      <c r="I243" s="103"/>
      <c r="J243" s="103">
        <v>42735</v>
      </c>
      <c r="K243" s="103"/>
      <c r="L243" s="103"/>
    </row>
    <row r="244" spans="1:12">
      <c r="A244" s="13" t="s">
        <v>34</v>
      </c>
      <c r="B244" s="13" t="s">
        <v>35</v>
      </c>
      <c r="C244" s="13" t="s">
        <v>36</v>
      </c>
      <c r="D244" s="13" t="s">
        <v>37</v>
      </c>
      <c r="E244" s="13" t="s">
        <v>38</v>
      </c>
      <c r="F244" s="13" t="s">
        <v>39</v>
      </c>
      <c r="G244" s="104" t="s">
        <v>40</v>
      </c>
      <c r="H244" s="104"/>
      <c r="I244" s="104"/>
      <c r="J244" s="104"/>
      <c r="K244" s="104"/>
      <c r="L244" s="104"/>
    </row>
    <row r="245" spans="1:12">
      <c r="A245" s="17">
        <v>41821</v>
      </c>
      <c r="B245" s="15"/>
      <c r="C245" s="17">
        <v>31573</v>
      </c>
      <c r="D245" s="15" t="s">
        <v>111</v>
      </c>
      <c r="E245" s="15">
        <v>0</v>
      </c>
      <c r="F245" s="15">
        <v>0</v>
      </c>
      <c r="G245" s="102"/>
      <c r="H245" s="102"/>
      <c r="I245" s="102"/>
      <c r="J245" s="102"/>
      <c r="K245" s="102"/>
      <c r="L245" s="102"/>
    </row>
    <row r="246" spans="1:12">
      <c r="A246" s="13" t="s">
        <v>42</v>
      </c>
      <c r="B246" s="13" t="s">
        <v>43</v>
      </c>
      <c r="C246" s="13" t="s">
        <v>44</v>
      </c>
      <c r="D246" s="104" t="s">
        <v>45</v>
      </c>
      <c r="E246" s="104"/>
      <c r="F246" s="104"/>
      <c r="G246" s="104" t="s">
        <v>46</v>
      </c>
      <c r="H246" s="104"/>
      <c r="I246" s="104"/>
      <c r="J246" s="104"/>
      <c r="K246" s="104"/>
      <c r="L246" s="104"/>
    </row>
    <row r="247" spans="1:12">
      <c r="A247" s="15">
        <v>195441186</v>
      </c>
      <c r="B247" s="15"/>
      <c r="C247" s="15"/>
      <c r="D247" s="102" t="s">
        <v>47</v>
      </c>
      <c r="E247" s="102"/>
      <c r="F247" s="102"/>
      <c r="G247" s="102" t="s">
        <v>107</v>
      </c>
      <c r="H247" s="102"/>
      <c r="I247" s="102"/>
      <c r="J247" s="102"/>
      <c r="K247" s="102"/>
      <c r="L247" s="102"/>
    </row>
    <row r="248" spans="1:1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>
      <c r="A251" s="108" t="s">
        <v>49</v>
      </c>
      <c r="B251" s="108"/>
      <c r="C251" s="108"/>
      <c r="D251" s="108"/>
      <c r="E251" s="108"/>
      <c r="F251" s="108"/>
      <c r="G251" s="108" t="s">
        <v>50</v>
      </c>
      <c r="H251" s="108" t="s">
        <v>51</v>
      </c>
      <c r="I251" s="108" t="s">
        <v>52</v>
      </c>
      <c r="J251" s="108"/>
      <c r="K251" s="108" t="s">
        <v>53</v>
      </c>
      <c r="L251" s="108"/>
    </row>
    <row r="252" spans="1:12">
      <c r="A252" s="108"/>
      <c r="B252" s="108"/>
      <c r="C252" s="108"/>
      <c r="D252" s="108"/>
      <c r="E252" s="108"/>
      <c r="F252" s="108"/>
      <c r="G252" s="108"/>
      <c r="H252" s="108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>
      <c r="A253" s="106" t="s">
        <v>58</v>
      </c>
      <c r="B253" s="106"/>
      <c r="C253" s="106"/>
      <c r="D253" s="106"/>
      <c r="E253" s="106"/>
      <c r="F253" s="106"/>
      <c r="G253" s="21">
        <v>3823.53</v>
      </c>
      <c r="H253" s="22"/>
      <c r="I253" s="21"/>
      <c r="J253" s="21"/>
      <c r="K253" s="21"/>
      <c r="L253" s="21"/>
    </row>
    <row r="254" spans="1:12">
      <c r="A254" s="106" t="s">
        <v>59</v>
      </c>
      <c r="B254" s="106"/>
      <c r="C254" s="106"/>
      <c r="D254" s="106"/>
      <c r="E254" s="106"/>
      <c r="F254" s="106"/>
      <c r="G254" s="21"/>
      <c r="H254" s="21"/>
      <c r="I254" s="21">
        <f>IF(I255+I256-J257-J258+I259+I262+I263+I264+I260&lt;G253,I255+I256-J257-J258+I259+I262+I263+I264+I260,G253)</f>
        <v>3823.53</v>
      </c>
      <c r="J254" s="21"/>
      <c r="K254" s="21"/>
      <c r="L254" s="21"/>
    </row>
    <row r="255" spans="1:12">
      <c r="A255" s="107" t="s">
        <v>60</v>
      </c>
      <c r="B255" s="107"/>
      <c r="C255" s="107"/>
      <c r="D255" s="107"/>
      <c r="E255" s="107"/>
      <c r="F255" s="107"/>
      <c r="G255" s="23"/>
      <c r="H255" s="24">
        <v>26</v>
      </c>
      <c r="I255" s="23">
        <f>G253/26*H255</f>
        <v>3823.53</v>
      </c>
      <c r="J255" s="25"/>
      <c r="K255" s="26"/>
      <c r="L255" s="26"/>
    </row>
    <row r="256" spans="1:12">
      <c r="A256" s="107" t="s">
        <v>61</v>
      </c>
      <c r="B256" s="107"/>
      <c r="C256" s="107"/>
      <c r="D256" s="107"/>
      <c r="E256" s="107"/>
      <c r="F256" s="107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>
      <c r="A257" s="107" t="s">
        <v>62</v>
      </c>
      <c r="B257" s="107"/>
      <c r="C257" s="107"/>
      <c r="D257" s="107"/>
      <c r="E257" s="107"/>
      <c r="F257" s="107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>
      <c r="A258" s="107" t="s">
        <v>63</v>
      </c>
      <c r="B258" s="107"/>
      <c r="C258" s="107"/>
      <c r="D258" s="107"/>
      <c r="E258" s="107"/>
      <c r="F258" s="107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>
      <c r="A259" s="107" t="s">
        <v>64</v>
      </c>
      <c r="B259" s="107"/>
      <c r="C259" s="107"/>
      <c r="D259" s="107"/>
      <c r="E259" s="107"/>
      <c r="F259" s="107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>
      <c r="A260" s="107" t="s">
        <v>65</v>
      </c>
      <c r="B260" s="107"/>
      <c r="C260" s="107"/>
      <c r="D260" s="107"/>
      <c r="E260" s="107"/>
      <c r="F260" s="107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>
      <c r="A261" s="107" t="s">
        <v>66</v>
      </c>
      <c r="B261" s="107"/>
      <c r="C261" s="107"/>
      <c r="D261" s="107"/>
      <c r="E261" s="107"/>
      <c r="F261" s="107"/>
      <c r="G261" s="29"/>
      <c r="H261" s="30"/>
      <c r="I261" s="30"/>
      <c r="J261" s="25"/>
      <c r="K261" s="26"/>
      <c r="L261" s="26"/>
    </row>
    <row r="262" spans="1:12">
      <c r="A262" s="109">
        <v>0.25</v>
      </c>
      <c r="B262" s="109"/>
      <c r="C262" s="109"/>
      <c r="D262" s="109"/>
      <c r="E262" s="109"/>
      <c r="F262" s="109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>
      <c r="A263" s="109">
        <v>0.5</v>
      </c>
      <c r="B263" s="109"/>
      <c r="C263" s="109"/>
      <c r="D263" s="109"/>
      <c r="E263" s="109"/>
      <c r="F263" s="109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>
      <c r="A264" s="109">
        <v>1</v>
      </c>
      <c r="B264" s="109"/>
      <c r="C264" s="109"/>
      <c r="D264" s="109"/>
      <c r="E264" s="109"/>
      <c r="F264" s="109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>
      <c r="A265" s="106" t="s">
        <v>67</v>
      </c>
      <c r="B265" s="106"/>
      <c r="C265" s="106"/>
      <c r="D265" s="106"/>
      <c r="E265" s="106"/>
      <c r="F265" s="106"/>
      <c r="G265" s="21"/>
      <c r="H265" s="22"/>
      <c r="I265" s="21">
        <f>SUM(I266:I267)</f>
        <v>191.17650000000003</v>
      </c>
      <c r="J265" s="21"/>
      <c r="K265" s="21"/>
      <c r="L265" s="21"/>
    </row>
    <row r="266" spans="1:12">
      <c r="A266" s="107" t="s">
        <v>68</v>
      </c>
      <c r="B266" s="107"/>
      <c r="C266" s="107"/>
      <c r="D266" s="107"/>
      <c r="E266" s="107"/>
      <c r="F266" s="107"/>
      <c r="G266" s="23">
        <f>(G243-A245)/360</f>
        <v>2.4555555555555557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0.05</v>
      </c>
      <c r="I266" s="23">
        <f>I254*H266</f>
        <v>191.17650000000003</v>
      </c>
      <c r="J266" s="25"/>
      <c r="K266" s="26"/>
      <c r="L266" s="26"/>
    </row>
    <row r="267" spans="1:12">
      <c r="A267" s="107" t="s">
        <v>69</v>
      </c>
      <c r="B267" s="107"/>
      <c r="C267" s="107"/>
      <c r="D267" s="107"/>
      <c r="E267" s="107"/>
      <c r="F267" s="107"/>
      <c r="G267" s="23"/>
      <c r="H267" s="24"/>
      <c r="I267" s="23"/>
      <c r="J267" s="25"/>
      <c r="K267" s="26"/>
      <c r="L267" s="26"/>
    </row>
    <row r="268" spans="1:12">
      <c r="A268" s="106" t="s">
        <v>70</v>
      </c>
      <c r="B268" s="106"/>
      <c r="C268" s="106"/>
      <c r="D268" s="106"/>
      <c r="E268" s="106"/>
      <c r="F268" s="106"/>
      <c r="G268" s="21"/>
      <c r="H268" s="22"/>
      <c r="I268" s="21">
        <f>SUM(I269:I271)</f>
        <v>300</v>
      </c>
      <c r="J268" s="21"/>
      <c r="K268" s="21"/>
      <c r="L268" s="21"/>
    </row>
    <row r="269" spans="1:12">
      <c r="A269" s="107" t="s">
        <v>71</v>
      </c>
      <c r="B269" s="107"/>
      <c r="C269" s="107"/>
      <c r="D269" s="107"/>
      <c r="E269" s="107"/>
      <c r="F269" s="107"/>
      <c r="G269" s="23"/>
      <c r="H269" s="24"/>
      <c r="I269" s="23">
        <v>300</v>
      </c>
      <c r="J269" s="25"/>
      <c r="K269" s="26"/>
      <c r="L269" s="26"/>
    </row>
    <row r="270" spans="1:12">
      <c r="A270" s="107" t="s">
        <v>72</v>
      </c>
      <c r="B270" s="107"/>
      <c r="C270" s="107"/>
      <c r="D270" s="107"/>
      <c r="E270" s="107"/>
      <c r="F270" s="107"/>
      <c r="G270" s="23"/>
      <c r="H270" s="31">
        <v>0</v>
      </c>
      <c r="I270" s="23"/>
      <c r="J270" s="25"/>
      <c r="K270" s="26"/>
      <c r="L270" s="26"/>
    </row>
    <row r="271" spans="1:12">
      <c r="A271" s="107" t="s">
        <v>73</v>
      </c>
      <c r="B271" s="107"/>
      <c r="C271" s="107"/>
      <c r="D271" s="107"/>
      <c r="E271" s="107"/>
      <c r="F271" s="107"/>
      <c r="G271" s="23"/>
      <c r="H271" s="24"/>
      <c r="I271" s="23"/>
      <c r="J271" s="25"/>
      <c r="K271" s="26"/>
      <c r="L271" s="26"/>
    </row>
    <row r="272" spans="1:12">
      <c r="A272" s="111" t="s">
        <v>74</v>
      </c>
      <c r="B272" s="111"/>
      <c r="C272" s="111"/>
      <c r="D272" s="111"/>
      <c r="E272" s="111"/>
      <c r="F272" s="111"/>
      <c r="G272" s="32"/>
      <c r="H272" s="33"/>
      <c r="I272" s="32">
        <f>I254+I265+I268</f>
        <v>4314.7065000000002</v>
      </c>
      <c r="J272" s="33"/>
      <c r="K272" s="33"/>
      <c r="L272" s="33"/>
    </row>
    <row r="273" spans="1:12">
      <c r="A273" s="111" t="s">
        <v>75</v>
      </c>
      <c r="B273" s="111"/>
      <c r="C273" s="111"/>
      <c r="D273" s="111"/>
      <c r="E273" s="111"/>
      <c r="F273" s="111"/>
      <c r="G273" s="32"/>
      <c r="H273" s="33"/>
      <c r="I273" s="32">
        <f>I272-I268</f>
        <v>4014.7065000000002</v>
      </c>
      <c r="J273" s="33"/>
      <c r="K273" s="33"/>
      <c r="L273" s="33"/>
    </row>
    <row r="274" spans="1:12">
      <c r="A274" s="107" t="s">
        <v>76</v>
      </c>
      <c r="B274" s="107"/>
      <c r="C274" s="107"/>
      <c r="D274" s="107"/>
      <c r="E274" s="107"/>
      <c r="F274" s="107"/>
      <c r="G274" s="23"/>
      <c r="H274" s="34">
        <f>[1]Taux!D$5+[1]Taux!D$6</f>
        <v>4.4800000000000006E-2</v>
      </c>
      <c r="I274" s="23"/>
      <c r="J274" s="23">
        <f>IF(I273&lt;6000,I273*H274,6000*H274)</f>
        <v>179.85885120000003</v>
      </c>
      <c r="K274" s="35">
        <f>[1]Taux!C$5+[1]Taux!C$6</f>
        <v>8.9799999999999991E-2</v>
      </c>
      <c r="L274" s="23">
        <f>IF(I273&lt;6000,I273*K274,6000*K274)</f>
        <v>360.52064369999999</v>
      </c>
    </row>
    <row r="275" spans="1:12">
      <c r="A275" s="107" t="s">
        <v>77</v>
      </c>
      <c r="B275" s="107"/>
      <c r="C275" s="107"/>
      <c r="D275" s="107"/>
      <c r="E275" s="107"/>
      <c r="F275" s="107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>
      <c r="A276" s="107" t="s">
        <v>78</v>
      </c>
      <c r="B276" s="107"/>
      <c r="C276" s="107"/>
      <c r="D276" s="107"/>
      <c r="E276" s="107"/>
      <c r="F276" s="107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80.29413000000001</v>
      </c>
    </row>
    <row r="277" spans="1:12">
      <c r="A277" s="107" t="s">
        <v>79</v>
      </c>
      <c r="B277" s="107"/>
      <c r="C277" s="107"/>
      <c r="D277" s="107"/>
      <c r="E277" s="107"/>
      <c r="F277" s="107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>
      <c r="A278" s="107" t="s">
        <v>80</v>
      </c>
      <c r="B278" s="107"/>
      <c r="C278" s="107"/>
      <c r="D278" s="107"/>
      <c r="E278" s="107"/>
      <c r="F278" s="107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>
      <c r="A279" s="107" t="s">
        <v>81</v>
      </c>
      <c r="B279" s="107"/>
      <c r="C279" s="107"/>
      <c r="D279" s="107"/>
      <c r="E279" s="107"/>
      <c r="F279" s="107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>
      <c r="A280" s="107" t="s">
        <v>24</v>
      </c>
      <c r="B280" s="107"/>
      <c r="C280" s="107"/>
      <c r="D280" s="107"/>
      <c r="E280" s="107"/>
      <c r="F280" s="107"/>
      <c r="G280" s="23"/>
      <c r="H280" s="34" t="str">
        <f>[1]Taux!D$7</f>
        <v>2,26%</v>
      </c>
      <c r="I280" s="23"/>
      <c r="J280" s="23">
        <f>I273*H280</f>
        <v>90.732366900000002</v>
      </c>
      <c r="K280" s="34" t="str">
        <f>[1]Taux!C$7</f>
        <v>4,11%</v>
      </c>
      <c r="L280" s="23">
        <f>I273*K280</f>
        <v>165.00443715</v>
      </c>
    </row>
    <row r="281" spans="1:12">
      <c r="A281" s="110" t="s">
        <v>82</v>
      </c>
      <c r="B281" s="110"/>
      <c r="C281" s="110"/>
      <c r="D281" s="110"/>
      <c r="E281" s="110"/>
      <c r="F281" s="110"/>
      <c r="G281" s="37"/>
      <c r="H281" s="38"/>
      <c r="I281" s="39"/>
      <c r="J281" s="40"/>
      <c r="K281" s="34" t="str">
        <f>[1]Taux!C$4</f>
        <v>6,40%</v>
      </c>
      <c r="L281" s="23">
        <f>I273*K281</f>
        <v>256.941216</v>
      </c>
    </row>
    <row r="282" spans="1:12">
      <c r="A282" s="110" t="s">
        <v>83</v>
      </c>
      <c r="B282" s="110"/>
      <c r="C282" s="110"/>
      <c r="D282" s="110"/>
      <c r="E282" s="110"/>
      <c r="F282" s="110"/>
      <c r="G282" s="41"/>
      <c r="H282" s="42"/>
      <c r="I282" s="43"/>
      <c r="J282" s="44"/>
      <c r="K282" s="34" t="str">
        <f>[1]Taux!C$8</f>
        <v>1,6 %</v>
      </c>
      <c r="L282" s="23">
        <f>I273*K282</f>
        <v>64.235303999999999</v>
      </c>
    </row>
    <row r="283" spans="1:12">
      <c r="A283" s="106" t="s">
        <v>84</v>
      </c>
      <c r="B283" s="106"/>
      <c r="C283" s="106"/>
      <c r="D283" s="106"/>
      <c r="E283" s="106"/>
      <c r="F283" s="106"/>
      <c r="G283" s="21"/>
      <c r="H283" s="22"/>
      <c r="I283" s="22"/>
      <c r="J283" s="21">
        <f>SUM(J274:J280)</f>
        <v>270.59121810000005</v>
      </c>
      <c r="K283" s="21"/>
      <c r="L283" s="21">
        <f>SUM(L274:L282)</f>
        <v>926.99573084999997</v>
      </c>
    </row>
    <row r="284" spans="1:12">
      <c r="A284" s="107" t="s">
        <v>85</v>
      </c>
      <c r="B284" s="107"/>
      <c r="C284" s="107"/>
      <c r="D284" s="107"/>
      <c r="E284" s="107"/>
      <c r="F284" s="107"/>
      <c r="G284" s="23"/>
      <c r="H284" s="45">
        <v>0.2</v>
      </c>
      <c r="I284" s="23"/>
      <c r="J284" s="23">
        <f>IF(I273*H284&lt;2500,I273*H284,2500)</f>
        <v>802.94130000000007</v>
      </c>
      <c r="K284" s="46"/>
      <c r="L284" s="47"/>
    </row>
    <row r="285" spans="1:12">
      <c r="A285" s="111" t="s">
        <v>86</v>
      </c>
      <c r="B285" s="111"/>
      <c r="C285" s="111"/>
      <c r="D285" s="111"/>
      <c r="E285" s="111"/>
      <c r="F285" s="111"/>
      <c r="G285" s="32"/>
      <c r="H285" s="33"/>
      <c r="I285" s="32">
        <f>I273-J283-J284</f>
        <v>2941.1739819000004</v>
      </c>
      <c r="J285" s="33"/>
      <c r="K285" s="33"/>
      <c r="L285" s="33"/>
    </row>
    <row r="286" spans="1:12">
      <c r="A286" s="107" t="s">
        <v>87</v>
      </c>
      <c r="B286" s="107"/>
      <c r="C286" s="107"/>
      <c r="D286" s="107"/>
      <c r="E286" s="107"/>
      <c r="F286" s="107"/>
      <c r="G286" s="23"/>
      <c r="H286" s="34"/>
      <c r="I286" s="23">
        <f>H286*180/360</f>
        <v>0</v>
      </c>
      <c r="J286" s="23"/>
      <c r="K286" s="46"/>
      <c r="L286" s="47"/>
    </row>
    <row r="287" spans="1:12">
      <c r="A287" s="111" t="s">
        <v>88</v>
      </c>
      <c r="B287" s="111"/>
      <c r="C287" s="111"/>
      <c r="D287" s="111"/>
      <c r="E287" s="111"/>
      <c r="F287" s="111"/>
      <c r="G287" s="32"/>
      <c r="H287" s="33"/>
      <c r="I287" s="32">
        <f>I285-I286</f>
        <v>2941.1739819000004</v>
      </c>
      <c r="J287" s="33"/>
      <c r="K287" s="33"/>
      <c r="L287" s="33"/>
    </row>
    <row r="288" spans="1:12">
      <c r="A288" s="107" t="s">
        <v>89</v>
      </c>
      <c r="B288" s="107"/>
      <c r="C288" s="107"/>
      <c r="D288" s="107"/>
      <c r="E288" s="107"/>
      <c r="F288" s="107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44.117398190000074</v>
      </c>
      <c r="K288" s="46"/>
      <c r="L288" s="47"/>
    </row>
    <row r="289" spans="1:12">
      <c r="A289" s="107" t="s">
        <v>90</v>
      </c>
      <c r="B289" s="107"/>
      <c r="C289" s="107"/>
      <c r="D289" s="107"/>
      <c r="E289" s="107"/>
      <c r="F289" s="107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>
      <c r="A290" s="106" t="s">
        <v>91</v>
      </c>
      <c r="B290" s="106"/>
      <c r="C290" s="106"/>
      <c r="D290" s="106"/>
      <c r="E290" s="106"/>
      <c r="F290" s="106"/>
      <c r="G290" s="21"/>
      <c r="H290" s="22"/>
      <c r="I290" s="21"/>
      <c r="J290" s="21">
        <f>J288-J289</f>
        <v>44.117398190000074</v>
      </c>
      <c r="K290" s="21"/>
      <c r="L290" s="21"/>
    </row>
    <row r="291" spans="1:12">
      <c r="A291" s="112" t="s">
        <v>92</v>
      </c>
      <c r="B291" s="112"/>
      <c r="C291" s="112"/>
      <c r="D291" s="112"/>
      <c r="E291" s="112"/>
      <c r="F291" s="112"/>
      <c r="G291" s="25"/>
      <c r="H291" s="48"/>
      <c r="I291" s="47"/>
      <c r="J291" s="49">
        <v>0</v>
      </c>
      <c r="K291" s="46"/>
      <c r="L291" s="47"/>
    </row>
    <row r="292" spans="1:12">
      <c r="A292" s="107" t="s">
        <v>93</v>
      </c>
      <c r="B292" s="107"/>
      <c r="C292" s="107"/>
      <c r="D292" s="107"/>
      <c r="E292" s="107"/>
      <c r="F292" s="107"/>
      <c r="G292" s="25"/>
      <c r="H292" s="48"/>
      <c r="I292" s="44"/>
      <c r="J292" s="28"/>
      <c r="K292" s="46"/>
      <c r="L292" s="47"/>
    </row>
    <row r="293" spans="1:12">
      <c r="A293" s="113" t="s">
        <v>94</v>
      </c>
      <c r="B293" s="113"/>
      <c r="C293" s="113"/>
      <c r="D293" s="113"/>
      <c r="E293" s="113"/>
      <c r="F293" s="113"/>
      <c r="G293" s="41"/>
      <c r="H293" s="42"/>
      <c r="I293" s="28"/>
      <c r="J293" s="41"/>
      <c r="K293" s="43"/>
      <c r="L293" s="44"/>
    </row>
    <row r="294" spans="1:1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>
      <c r="A295" s="13" t="s">
        <v>95</v>
      </c>
      <c r="B295" s="13" t="s">
        <v>96</v>
      </c>
      <c r="C295" s="13" t="s">
        <v>97</v>
      </c>
      <c r="D295" s="104" t="s">
        <v>98</v>
      </c>
      <c r="E295" s="104"/>
      <c r="F295" s="104"/>
      <c r="G295" s="13" t="s">
        <v>99</v>
      </c>
      <c r="H295" s="50"/>
      <c r="I295" s="51">
        <f>I272+I293</f>
        <v>4314.7065000000002</v>
      </c>
      <c r="J295" s="51">
        <f>J283+J290+J291+J292</f>
        <v>314.70861629000012</v>
      </c>
      <c r="K295" s="13" t="s">
        <v>100</v>
      </c>
      <c r="L295" s="51">
        <f>L283</f>
        <v>926.99573084999997</v>
      </c>
    </row>
    <row r="296" spans="1:12">
      <c r="A296" s="51">
        <f>32114.9+I272</f>
        <v>36429.606500000002</v>
      </c>
      <c r="B296" s="51">
        <f>29414.9+I273</f>
        <v>33429.606500000002</v>
      </c>
      <c r="C296" s="51">
        <f>1317.78+J274</f>
        <v>1497.6388512000001</v>
      </c>
      <c r="D296" s="114">
        <f>132.35+J290</f>
        <v>176.46739819000007</v>
      </c>
      <c r="E296" s="114"/>
      <c r="F296" s="114"/>
      <c r="G296" s="51">
        <f>30000+I295</f>
        <v>34314.7065</v>
      </c>
      <c r="H296" s="104" t="s">
        <v>101</v>
      </c>
      <c r="I296" s="104"/>
      <c r="J296" s="51">
        <f>I295-J295</f>
        <v>3999.9978837100002</v>
      </c>
      <c r="K296" s="13" t="s">
        <v>102</v>
      </c>
      <c r="L296" s="51">
        <f>5864.92+L295</f>
        <v>6791.9157308499998</v>
      </c>
    </row>
    <row r="297" spans="1:1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4926.9936145600004</v>
      </c>
    </row>
    <row r="301" spans="1:12">
      <c r="A301" s="105" t="s">
        <v>26</v>
      </c>
      <c r="B301" s="105"/>
      <c r="C301" s="105" t="s">
        <v>27</v>
      </c>
      <c r="D301" s="105"/>
      <c r="E301" s="105"/>
      <c r="F301" s="105"/>
      <c r="G301" s="105" t="s">
        <v>28</v>
      </c>
      <c r="H301" s="105"/>
      <c r="I301" s="105"/>
      <c r="J301" s="105" t="s">
        <v>29</v>
      </c>
      <c r="K301" s="105"/>
      <c r="L301" s="105"/>
    </row>
    <row r="302" spans="1:12">
      <c r="A302" s="13" t="s">
        <v>30</v>
      </c>
      <c r="B302" s="104" t="s">
        <v>31</v>
      </c>
      <c r="C302" s="104"/>
      <c r="D302" s="104"/>
      <c r="E302" s="104"/>
      <c r="F302" s="104"/>
      <c r="G302" s="104" t="s">
        <v>32</v>
      </c>
      <c r="H302" s="104"/>
      <c r="I302" s="104"/>
      <c r="J302" s="104"/>
      <c r="K302" s="104"/>
      <c r="L302" s="104"/>
    </row>
    <row r="303" spans="1:12">
      <c r="A303" s="15">
        <v>7</v>
      </c>
      <c r="B303" s="102" t="s">
        <v>112</v>
      </c>
      <c r="C303" s="102"/>
      <c r="D303" s="102"/>
      <c r="E303" s="102"/>
      <c r="F303" s="102"/>
      <c r="G303" s="103">
        <v>42705</v>
      </c>
      <c r="H303" s="103"/>
      <c r="I303" s="103"/>
      <c r="J303" s="103">
        <v>42735</v>
      </c>
      <c r="K303" s="103"/>
      <c r="L303" s="103"/>
    </row>
    <row r="304" spans="1:12">
      <c r="A304" s="13" t="s">
        <v>34</v>
      </c>
      <c r="B304" s="13" t="s">
        <v>35</v>
      </c>
      <c r="C304" s="13" t="s">
        <v>36</v>
      </c>
      <c r="D304" s="13" t="s">
        <v>37</v>
      </c>
      <c r="E304" s="13" t="s">
        <v>38</v>
      </c>
      <c r="F304" s="13" t="s">
        <v>39</v>
      </c>
      <c r="G304" s="104" t="s">
        <v>40</v>
      </c>
      <c r="H304" s="104"/>
      <c r="I304" s="104"/>
      <c r="J304" s="104"/>
      <c r="K304" s="104"/>
      <c r="L304" s="104"/>
    </row>
    <row r="305" spans="1:12">
      <c r="A305" s="17">
        <v>42005</v>
      </c>
      <c r="B305" s="15"/>
      <c r="C305" s="17">
        <v>34565</v>
      </c>
      <c r="D305" s="15" t="s">
        <v>111</v>
      </c>
      <c r="E305" s="15">
        <v>0</v>
      </c>
      <c r="F305" s="15">
        <v>0</v>
      </c>
      <c r="G305" s="102"/>
      <c r="H305" s="102"/>
      <c r="I305" s="102"/>
      <c r="J305" s="102"/>
      <c r="K305" s="102"/>
      <c r="L305" s="102"/>
    </row>
    <row r="306" spans="1:12">
      <c r="A306" s="13" t="s">
        <v>42</v>
      </c>
      <c r="B306" s="13" t="s">
        <v>43</v>
      </c>
      <c r="C306" s="13" t="s">
        <v>44</v>
      </c>
      <c r="D306" s="104" t="s">
        <v>45</v>
      </c>
      <c r="E306" s="104"/>
      <c r="F306" s="104"/>
      <c r="G306" s="104" t="s">
        <v>46</v>
      </c>
      <c r="H306" s="104"/>
      <c r="I306" s="104"/>
      <c r="J306" s="104"/>
      <c r="K306" s="104"/>
      <c r="L306" s="104"/>
    </row>
    <row r="307" spans="1:12">
      <c r="A307" s="15">
        <v>168098097</v>
      </c>
      <c r="B307" s="15"/>
      <c r="C307" s="15"/>
      <c r="D307" s="102" t="s">
        <v>47</v>
      </c>
      <c r="E307" s="102"/>
      <c r="F307" s="102"/>
      <c r="G307" s="102" t="s">
        <v>107</v>
      </c>
      <c r="H307" s="102"/>
      <c r="I307" s="102"/>
      <c r="J307" s="102"/>
      <c r="K307" s="102"/>
      <c r="L307" s="102"/>
    </row>
    <row r="308" spans="1:1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>
      <c r="A311" s="108" t="s">
        <v>49</v>
      </c>
      <c r="B311" s="108"/>
      <c r="C311" s="108"/>
      <c r="D311" s="108"/>
      <c r="E311" s="108"/>
      <c r="F311" s="108"/>
      <c r="G311" s="108" t="s">
        <v>50</v>
      </c>
      <c r="H311" s="108" t="s">
        <v>51</v>
      </c>
      <c r="I311" s="108" t="s">
        <v>52</v>
      </c>
      <c r="J311" s="108"/>
      <c r="K311" s="108" t="s">
        <v>53</v>
      </c>
      <c r="L311" s="108"/>
    </row>
    <row r="312" spans="1:12">
      <c r="A312" s="108"/>
      <c r="B312" s="108"/>
      <c r="C312" s="108"/>
      <c r="D312" s="108"/>
      <c r="E312" s="108"/>
      <c r="F312" s="108"/>
      <c r="G312" s="108"/>
      <c r="H312" s="108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>
      <c r="A313" s="106" t="s">
        <v>58</v>
      </c>
      <c r="B313" s="106"/>
      <c r="C313" s="106"/>
      <c r="D313" s="106"/>
      <c r="E313" s="106"/>
      <c r="F313" s="106"/>
      <c r="G313" s="21">
        <v>2807.8</v>
      </c>
      <c r="H313" s="22"/>
      <c r="I313" s="21"/>
      <c r="J313" s="21"/>
      <c r="K313" s="21"/>
      <c r="L313" s="21"/>
    </row>
    <row r="314" spans="1:12">
      <c r="A314" s="106" t="s">
        <v>59</v>
      </c>
      <c r="B314" s="106"/>
      <c r="C314" s="106"/>
      <c r="D314" s="106"/>
      <c r="E314" s="106"/>
      <c r="F314" s="106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>
      <c r="A315" s="107" t="s">
        <v>60</v>
      </c>
      <c r="B315" s="107"/>
      <c r="C315" s="107"/>
      <c r="D315" s="107"/>
      <c r="E315" s="107"/>
      <c r="F315" s="107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>
      <c r="A316" s="107" t="s">
        <v>61</v>
      </c>
      <c r="B316" s="107"/>
      <c r="C316" s="107"/>
      <c r="D316" s="107"/>
      <c r="E316" s="107"/>
      <c r="F316" s="107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>
      <c r="A317" s="107" t="s">
        <v>62</v>
      </c>
      <c r="B317" s="107"/>
      <c r="C317" s="107"/>
      <c r="D317" s="107"/>
      <c r="E317" s="107"/>
      <c r="F317" s="107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>
      <c r="A318" s="107" t="s">
        <v>63</v>
      </c>
      <c r="B318" s="107"/>
      <c r="C318" s="107"/>
      <c r="D318" s="107"/>
      <c r="E318" s="107"/>
      <c r="F318" s="107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>
      <c r="A319" s="107" t="s">
        <v>64</v>
      </c>
      <c r="B319" s="107"/>
      <c r="C319" s="107"/>
      <c r="D319" s="107"/>
      <c r="E319" s="107"/>
      <c r="F319" s="107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>
      <c r="A320" s="107" t="s">
        <v>65</v>
      </c>
      <c r="B320" s="107"/>
      <c r="C320" s="107"/>
      <c r="D320" s="107"/>
      <c r="E320" s="107"/>
      <c r="F320" s="107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>
      <c r="A321" s="107" t="s">
        <v>66</v>
      </c>
      <c r="B321" s="107"/>
      <c r="C321" s="107"/>
      <c r="D321" s="107"/>
      <c r="E321" s="107"/>
      <c r="F321" s="107"/>
      <c r="G321" s="29"/>
      <c r="H321" s="30"/>
      <c r="I321" s="30"/>
      <c r="J321" s="25"/>
      <c r="K321" s="26"/>
      <c r="L321" s="26"/>
    </row>
    <row r="322" spans="1:12">
      <c r="A322" s="109">
        <v>0.25</v>
      </c>
      <c r="B322" s="109"/>
      <c r="C322" s="109"/>
      <c r="D322" s="109"/>
      <c r="E322" s="109"/>
      <c r="F322" s="109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>
      <c r="A323" s="109">
        <v>0.5</v>
      </c>
      <c r="B323" s="109"/>
      <c r="C323" s="109"/>
      <c r="D323" s="109"/>
      <c r="E323" s="109"/>
      <c r="F323" s="109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>
      <c r="A324" s="109">
        <v>1</v>
      </c>
      <c r="B324" s="109"/>
      <c r="C324" s="109"/>
      <c r="D324" s="109"/>
      <c r="E324" s="109"/>
      <c r="F324" s="109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>
      <c r="A325" s="106" t="s">
        <v>67</v>
      </c>
      <c r="B325" s="106"/>
      <c r="C325" s="106"/>
      <c r="D325" s="106"/>
      <c r="E325" s="106"/>
      <c r="F325" s="106"/>
      <c r="G325" s="21"/>
      <c r="H325" s="22"/>
      <c r="I325" s="21">
        <f>SUM(I326:I327)</f>
        <v>0</v>
      </c>
      <c r="J325" s="21"/>
      <c r="K325" s="21"/>
      <c r="L325" s="21"/>
    </row>
    <row r="326" spans="1:12">
      <c r="A326" s="107" t="s">
        <v>68</v>
      </c>
      <c r="B326" s="107"/>
      <c r="C326" s="107"/>
      <c r="D326" s="107"/>
      <c r="E326" s="107"/>
      <c r="F326" s="107"/>
      <c r="G326" s="23">
        <f>(G303-A305)/360</f>
        <v>1.9444444444444444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>
      <c r="A327" s="107" t="s">
        <v>69</v>
      </c>
      <c r="B327" s="107"/>
      <c r="C327" s="107"/>
      <c r="D327" s="107"/>
      <c r="E327" s="107"/>
      <c r="F327" s="107"/>
      <c r="G327" s="23"/>
      <c r="H327" s="24"/>
      <c r="I327" s="23"/>
      <c r="J327" s="25"/>
      <c r="K327" s="26"/>
      <c r="L327" s="26"/>
    </row>
    <row r="328" spans="1:12">
      <c r="A328" s="106" t="s">
        <v>70</v>
      </c>
      <c r="B328" s="106"/>
      <c r="C328" s="106"/>
      <c r="D328" s="106"/>
      <c r="E328" s="106"/>
      <c r="F328" s="106"/>
      <c r="G328" s="21"/>
      <c r="H328" s="22"/>
      <c r="I328" s="21">
        <f>SUM(I329:I331)</f>
        <v>0</v>
      </c>
      <c r="J328" s="21"/>
      <c r="K328" s="21"/>
      <c r="L328" s="21"/>
    </row>
    <row r="329" spans="1:12">
      <c r="A329" s="107" t="s">
        <v>71</v>
      </c>
      <c r="B329" s="107"/>
      <c r="C329" s="107"/>
      <c r="D329" s="107"/>
      <c r="E329" s="107"/>
      <c r="F329" s="107"/>
      <c r="G329" s="23"/>
      <c r="H329" s="24"/>
      <c r="I329" s="23"/>
      <c r="J329" s="25"/>
      <c r="K329" s="26"/>
      <c r="L329" s="26"/>
    </row>
    <row r="330" spans="1:12">
      <c r="A330" s="107" t="s">
        <v>72</v>
      </c>
      <c r="B330" s="107"/>
      <c r="C330" s="107"/>
      <c r="D330" s="107"/>
      <c r="E330" s="107"/>
      <c r="F330" s="107"/>
      <c r="G330" s="23"/>
      <c r="H330" s="31">
        <v>0</v>
      </c>
      <c r="I330" s="23"/>
      <c r="J330" s="25"/>
      <c r="K330" s="26"/>
      <c r="L330" s="26"/>
    </row>
    <row r="331" spans="1:12">
      <c r="A331" s="107" t="s">
        <v>73</v>
      </c>
      <c r="B331" s="107"/>
      <c r="C331" s="107"/>
      <c r="D331" s="107"/>
      <c r="E331" s="107"/>
      <c r="F331" s="107"/>
      <c r="G331" s="23"/>
      <c r="H331" s="24"/>
      <c r="I331" s="23"/>
      <c r="J331" s="25"/>
      <c r="K331" s="26"/>
      <c r="L331" s="26"/>
    </row>
    <row r="332" spans="1:12">
      <c r="A332" s="111" t="s">
        <v>74</v>
      </c>
      <c r="B332" s="111"/>
      <c r="C332" s="111"/>
      <c r="D332" s="111"/>
      <c r="E332" s="111"/>
      <c r="F332" s="111"/>
      <c r="G332" s="32"/>
      <c r="H332" s="33"/>
      <c r="I332" s="32">
        <f>I314+I325+I328</f>
        <v>2807.8</v>
      </c>
      <c r="J332" s="33"/>
      <c r="K332" s="33"/>
      <c r="L332" s="33"/>
    </row>
    <row r="333" spans="1:12">
      <c r="A333" s="111" t="s">
        <v>75</v>
      </c>
      <c r="B333" s="111"/>
      <c r="C333" s="111"/>
      <c r="D333" s="111"/>
      <c r="E333" s="111"/>
      <c r="F333" s="111"/>
      <c r="G333" s="32"/>
      <c r="H333" s="33"/>
      <c r="I333" s="32">
        <f>I332-I328</f>
        <v>2807.8</v>
      </c>
      <c r="J333" s="33"/>
      <c r="K333" s="33"/>
      <c r="L333" s="33"/>
    </row>
    <row r="334" spans="1:12">
      <c r="A334" s="107" t="s">
        <v>76</v>
      </c>
      <c r="B334" s="107"/>
      <c r="C334" s="107"/>
      <c r="D334" s="107"/>
      <c r="E334" s="107"/>
      <c r="F334" s="107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>
      <c r="A335" s="107" t="s">
        <v>77</v>
      </c>
      <c r="B335" s="107"/>
      <c r="C335" s="107"/>
      <c r="D335" s="107"/>
      <c r="E335" s="107"/>
      <c r="F335" s="107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>
      <c r="A336" s="107" t="s">
        <v>78</v>
      </c>
      <c r="B336" s="107"/>
      <c r="C336" s="107"/>
      <c r="D336" s="107"/>
      <c r="E336" s="107"/>
      <c r="F336" s="107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>
      <c r="A337" s="107" t="s">
        <v>79</v>
      </c>
      <c r="B337" s="107"/>
      <c r="C337" s="107"/>
      <c r="D337" s="107"/>
      <c r="E337" s="107"/>
      <c r="F337" s="107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>
      <c r="A338" s="107" t="s">
        <v>80</v>
      </c>
      <c r="B338" s="107"/>
      <c r="C338" s="107"/>
      <c r="D338" s="107"/>
      <c r="E338" s="107"/>
      <c r="F338" s="107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>
      <c r="A339" s="107" t="s">
        <v>81</v>
      </c>
      <c r="B339" s="107"/>
      <c r="C339" s="107"/>
      <c r="D339" s="107"/>
      <c r="E339" s="107"/>
      <c r="F339" s="107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>
      <c r="A340" s="107" t="s">
        <v>24</v>
      </c>
      <c r="B340" s="107"/>
      <c r="C340" s="107"/>
      <c r="D340" s="107"/>
      <c r="E340" s="107"/>
      <c r="F340" s="107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>
      <c r="A341" s="110" t="s">
        <v>82</v>
      </c>
      <c r="B341" s="110"/>
      <c r="C341" s="110"/>
      <c r="D341" s="110"/>
      <c r="E341" s="110"/>
      <c r="F341" s="110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>
      <c r="A342" s="110" t="s">
        <v>83</v>
      </c>
      <c r="B342" s="110"/>
      <c r="C342" s="110"/>
      <c r="D342" s="110"/>
      <c r="E342" s="110"/>
      <c r="F342" s="110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>
      <c r="A343" s="106" t="s">
        <v>84</v>
      </c>
      <c r="B343" s="106"/>
      <c r="C343" s="106"/>
      <c r="D343" s="106"/>
      <c r="E343" s="106"/>
      <c r="F343" s="106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>
      <c r="A344" s="107" t="s">
        <v>85</v>
      </c>
      <c r="B344" s="107"/>
      <c r="C344" s="107"/>
      <c r="D344" s="107"/>
      <c r="E344" s="107"/>
      <c r="F344" s="107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>
      <c r="A345" s="111" t="s">
        <v>86</v>
      </c>
      <c r="B345" s="111"/>
      <c r="C345" s="111"/>
      <c r="D345" s="111"/>
      <c r="E345" s="111"/>
      <c r="F345" s="111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>
      <c r="A346" s="107" t="s">
        <v>87</v>
      </c>
      <c r="B346" s="107"/>
      <c r="C346" s="107"/>
      <c r="D346" s="107"/>
      <c r="E346" s="107"/>
      <c r="F346" s="107"/>
      <c r="G346" s="23"/>
      <c r="H346" s="34"/>
      <c r="I346" s="23">
        <f>H346*180/360</f>
        <v>0</v>
      </c>
      <c r="J346" s="23"/>
      <c r="K346" s="46"/>
      <c r="L346" s="47"/>
    </row>
    <row r="347" spans="1:12">
      <c r="A347" s="111" t="s">
        <v>88</v>
      </c>
      <c r="B347" s="111"/>
      <c r="C347" s="111"/>
      <c r="D347" s="111"/>
      <c r="E347" s="111"/>
      <c r="F347" s="111"/>
      <c r="G347" s="32"/>
      <c r="H347" s="33"/>
      <c r="I347" s="32">
        <f>I345-I346</f>
        <v>2056.9942800000003</v>
      </c>
      <c r="J347" s="33"/>
      <c r="K347" s="33"/>
      <c r="L347" s="33"/>
    </row>
    <row r="348" spans="1:12">
      <c r="A348" s="107" t="s">
        <v>89</v>
      </c>
      <c r="B348" s="107"/>
      <c r="C348" s="107"/>
      <c r="D348" s="107"/>
      <c r="E348" s="107"/>
      <c r="F348" s="107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>
      <c r="A349" s="107" t="s">
        <v>90</v>
      </c>
      <c r="B349" s="107"/>
      <c r="C349" s="107"/>
      <c r="D349" s="107"/>
      <c r="E349" s="107"/>
      <c r="F349" s="107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>
      <c r="A350" s="106" t="s">
        <v>91</v>
      </c>
      <c r="B350" s="106"/>
      <c r="C350" s="106"/>
      <c r="D350" s="106"/>
      <c r="E350" s="106"/>
      <c r="F350" s="106"/>
      <c r="G350" s="21"/>
      <c r="H350" s="22"/>
      <c r="I350" s="21"/>
      <c r="J350" s="21">
        <f>J348-J349</f>
        <v>0</v>
      </c>
      <c r="K350" s="21"/>
      <c r="L350" s="21"/>
    </row>
    <row r="351" spans="1:12">
      <c r="A351" s="112" t="s">
        <v>92</v>
      </c>
      <c r="B351" s="112"/>
      <c r="C351" s="112"/>
      <c r="D351" s="112"/>
      <c r="E351" s="112"/>
      <c r="F351" s="112"/>
      <c r="G351" s="25"/>
      <c r="H351" s="48"/>
      <c r="I351" s="47"/>
      <c r="J351" s="49">
        <v>0</v>
      </c>
      <c r="K351" s="46"/>
      <c r="L351" s="47"/>
    </row>
    <row r="352" spans="1:12">
      <c r="A352" s="107" t="s">
        <v>93</v>
      </c>
      <c r="B352" s="107"/>
      <c r="C352" s="107"/>
      <c r="D352" s="107"/>
      <c r="E352" s="107"/>
      <c r="F352" s="107"/>
      <c r="G352" s="25"/>
      <c r="H352" s="48"/>
      <c r="I352" s="44"/>
      <c r="J352" s="28">
        <v>1000</v>
      </c>
      <c r="K352" s="46"/>
      <c r="L352" s="47"/>
    </row>
    <row r="353" spans="1:12">
      <c r="A353" s="113" t="s">
        <v>94</v>
      </c>
      <c r="B353" s="113"/>
      <c r="C353" s="113"/>
      <c r="D353" s="113"/>
      <c r="E353" s="113"/>
      <c r="F353" s="113"/>
      <c r="G353" s="41"/>
      <c r="H353" s="42"/>
      <c r="I353" s="28">
        <f>1-0.55</f>
        <v>0.44999999999999996</v>
      </c>
      <c r="J353" s="41"/>
      <c r="K353" s="43"/>
      <c r="L353" s="44"/>
    </row>
    <row r="354" spans="1:1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>
      <c r="A355" s="13" t="s">
        <v>95</v>
      </c>
      <c r="B355" s="13" t="s">
        <v>96</v>
      </c>
      <c r="C355" s="13" t="s">
        <v>97</v>
      </c>
      <c r="D355" s="104" t="s">
        <v>98</v>
      </c>
      <c r="E355" s="104"/>
      <c r="F355" s="104"/>
      <c r="G355" s="13" t="s">
        <v>99</v>
      </c>
      <c r="H355" s="50"/>
      <c r="I355" s="51">
        <f>I332+I353</f>
        <v>2808.25</v>
      </c>
      <c r="J355" s="51">
        <f>J343+J350+J351+J352</f>
        <v>1189.2457200000001</v>
      </c>
      <c r="K355" s="13" t="s">
        <v>100</v>
      </c>
      <c r="L355" s="51">
        <f>L343</f>
        <v>648.32101999999998</v>
      </c>
    </row>
    <row r="356" spans="1:12">
      <c r="A356" s="51">
        <f>25270.2+I332</f>
        <v>28078</v>
      </c>
      <c r="B356" s="51">
        <f>25270.2+I333</f>
        <v>28078</v>
      </c>
      <c r="C356" s="51">
        <f>1132.11+J334</f>
        <v>1257.8994399999999</v>
      </c>
      <c r="D356" s="114">
        <f>0+J350</f>
        <v>0</v>
      </c>
      <c r="E356" s="114"/>
      <c r="F356" s="114"/>
      <c r="G356" s="51">
        <f>17071.02+I355</f>
        <v>19879.27</v>
      </c>
      <c r="H356" s="104" t="s">
        <v>101</v>
      </c>
      <c r="I356" s="104"/>
      <c r="J356" s="51">
        <f>I355-J355</f>
        <v>1619.0042799999999</v>
      </c>
      <c r="K356" s="13" t="s">
        <v>102</v>
      </c>
      <c r="L356" s="51">
        <f>5834.88+L355</f>
        <v>6483.2010200000004</v>
      </c>
    </row>
    <row r="357" spans="1:1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2267.3253</v>
      </c>
    </row>
    <row r="361" spans="1:12">
      <c r="A361" s="105" t="s">
        <v>26</v>
      </c>
      <c r="B361" s="105"/>
      <c r="C361" s="105" t="s">
        <v>27</v>
      </c>
      <c r="D361" s="105"/>
      <c r="E361" s="105"/>
      <c r="F361" s="105"/>
      <c r="G361" s="105" t="s">
        <v>28</v>
      </c>
      <c r="H361" s="105"/>
      <c r="I361" s="105"/>
      <c r="J361" s="105" t="s">
        <v>29</v>
      </c>
      <c r="K361" s="105"/>
      <c r="L361" s="105"/>
    </row>
    <row r="362" spans="1:12">
      <c r="A362" s="13" t="s">
        <v>30</v>
      </c>
      <c r="B362" s="104" t="s">
        <v>31</v>
      </c>
      <c r="C362" s="104"/>
      <c r="D362" s="104"/>
      <c r="E362" s="104"/>
      <c r="F362" s="104"/>
      <c r="G362" s="104" t="s">
        <v>32</v>
      </c>
      <c r="H362" s="104"/>
      <c r="I362" s="104"/>
      <c r="J362" s="104"/>
      <c r="K362" s="104"/>
      <c r="L362" s="104"/>
    </row>
    <row r="363" spans="1:12">
      <c r="A363" s="15">
        <v>8</v>
      </c>
      <c r="B363" s="102" t="s">
        <v>113</v>
      </c>
      <c r="C363" s="102"/>
      <c r="D363" s="102"/>
      <c r="E363" s="102"/>
      <c r="F363" s="102"/>
      <c r="G363" s="103">
        <v>42705</v>
      </c>
      <c r="H363" s="103"/>
      <c r="I363" s="103"/>
      <c r="J363" s="103">
        <v>42735</v>
      </c>
      <c r="K363" s="103"/>
      <c r="L363" s="103"/>
    </row>
    <row r="364" spans="1:12">
      <c r="A364" s="13" t="s">
        <v>34</v>
      </c>
      <c r="B364" s="13" t="s">
        <v>35</v>
      </c>
      <c r="C364" s="13" t="s">
        <v>36</v>
      </c>
      <c r="D364" s="13" t="s">
        <v>37</v>
      </c>
      <c r="E364" s="13" t="s">
        <v>38</v>
      </c>
      <c r="F364" s="13" t="s">
        <v>39</v>
      </c>
      <c r="G364" s="104" t="s">
        <v>40</v>
      </c>
      <c r="H364" s="104"/>
      <c r="I364" s="104"/>
      <c r="J364" s="104"/>
      <c r="K364" s="104"/>
      <c r="L364" s="104"/>
    </row>
    <row r="365" spans="1:12">
      <c r="A365" s="17">
        <v>42278</v>
      </c>
      <c r="B365" s="15"/>
      <c r="C365" s="17">
        <v>33665</v>
      </c>
      <c r="D365" s="15" t="s">
        <v>111</v>
      </c>
      <c r="E365" s="15">
        <v>0</v>
      </c>
      <c r="F365" s="15">
        <v>0</v>
      </c>
      <c r="G365" s="102"/>
      <c r="H365" s="102"/>
      <c r="I365" s="102"/>
      <c r="J365" s="102"/>
      <c r="K365" s="102"/>
      <c r="L365" s="102"/>
    </row>
    <row r="366" spans="1:12">
      <c r="A366" s="13" t="s">
        <v>42</v>
      </c>
      <c r="B366" s="13" t="s">
        <v>43</v>
      </c>
      <c r="C366" s="13" t="s">
        <v>44</v>
      </c>
      <c r="D366" s="104" t="s">
        <v>45</v>
      </c>
      <c r="E366" s="104"/>
      <c r="F366" s="104"/>
      <c r="G366" s="104" t="s">
        <v>46</v>
      </c>
      <c r="H366" s="104"/>
      <c r="I366" s="104"/>
      <c r="J366" s="104"/>
      <c r="K366" s="104"/>
      <c r="L366" s="104"/>
    </row>
    <row r="367" spans="1:12">
      <c r="A367" s="15">
        <v>164315198</v>
      </c>
      <c r="B367" s="15"/>
      <c r="C367" s="15"/>
      <c r="D367" s="102" t="s">
        <v>47</v>
      </c>
      <c r="E367" s="102"/>
      <c r="F367" s="102"/>
      <c r="G367" s="102" t="s">
        <v>114</v>
      </c>
      <c r="H367" s="102"/>
      <c r="I367" s="102"/>
      <c r="J367" s="102"/>
      <c r="K367" s="102"/>
      <c r="L367" s="102"/>
    </row>
    <row r="368" spans="1:1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>
      <c r="A371" s="108" t="s">
        <v>49</v>
      </c>
      <c r="B371" s="108"/>
      <c r="C371" s="108"/>
      <c r="D371" s="108"/>
      <c r="E371" s="108"/>
      <c r="F371" s="108"/>
      <c r="G371" s="108" t="s">
        <v>50</v>
      </c>
      <c r="H371" s="108" t="s">
        <v>51</v>
      </c>
      <c r="I371" s="108" t="s">
        <v>52</v>
      </c>
      <c r="J371" s="108"/>
      <c r="K371" s="108" t="s">
        <v>53</v>
      </c>
      <c r="L371" s="108"/>
    </row>
    <row r="372" spans="1:12">
      <c r="A372" s="108"/>
      <c r="B372" s="108"/>
      <c r="C372" s="108"/>
      <c r="D372" s="108"/>
      <c r="E372" s="108"/>
      <c r="F372" s="108"/>
      <c r="G372" s="108"/>
      <c r="H372" s="108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>
      <c r="A373" s="106" t="s">
        <v>58</v>
      </c>
      <c r="B373" s="106"/>
      <c r="C373" s="106"/>
      <c r="D373" s="106"/>
      <c r="E373" s="106"/>
      <c r="F373" s="106"/>
      <c r="G373" s="21">
        <v>3665.6</v>
      </c>
      <c r="H373" s="22"/>
      <c r="I373" s="21"/>
      <c r="J373" s="21"/>
      <c r="K373" s="21"/>
      <c r="L373" s="21"/>
    </row>
    <row r="374" spans="1:12">
      <c r="A374" s="106" t="s">
        <v>59</v>
      </c>
      <c r="B374" s="106"/>
      <c r="C374" s="106"/>
      <c r="D374" s="106"/>
      <c r="E374" s="106"/>
      <c r="F374" s="106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>
      <c r="A375" s="107" t="s">
        <v>60</v>
      </c>
      <c r="B375" s="107"/>
      <c r="C375" s="107"/>
      <c r="D375" s="107"/>
      <c r="E375" s="107"/>
      <c r="F375" s="107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>
      <c r="A376" s="107" t="s">
        <v>61</v>
      </c>
      <c r="B376" s="107"/>
      <c r="C376" s="107"/>
      <c r="D376" s="107"/>
      <c r="E376" s="107"/>
      <c r="F376" s="107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>
      <c r="A377" s="107" t="s">
        <v>62</v>
      </c>
      <c r="B377" s="107"/>
      <c r="C377" s="107"/>
      <c r="D377" s="107"/>
      <c r="E377" s="107"/>
      <c r="F377" s="107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>
      <c r="A378" s="107" t="s">
        <v>63</v>
      </c>
      <c r="B378" s="107"/>
      <c r="C378" s="107"/>
      <c r="D378" s="107"/>
      <c r="E378" s="107"/>
      <c r="F378" s="107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>
      <c r="A379" s="107" t="s">
        <v>64</v>
      </c>
      <c r="B379" s="107"/>
      <c r="C379" s="107"/>
      <c r="D379" s="107"/>
      <c r="E379" s="107"/>
      <c r="F379" s="107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>
      <c r="A380" s="107" t="s">
        <v>65</v>
      </c>
      <c r="B380" s="107"/>
      <c r="C380" s="107"/>
      <c r="D380" s="107"/>
      <c r="E380" s="107"/>
      <c r="F380" s="107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>
      <c r="A381" s="107" t="s">
        <v>66</v>
      </c>
      <c r="B381" s="107"/>
      <c r="C381" s="107"/>
      <c r="D381" s="107"/>
      <c r="E381" s="107"/>
      <c r="F381" s="107"/>
      <c r="G381" s="29"/>
      <c r="H381" s="30"/>
      <c r="I381" s="30"/>
      <c r="J381" s="25"/>
      <c r="K381" s="26"/>
      <c r="L381" s="26"/>
    </row>
    <row r="382" spans="1:12">
      <c r="A382" s="109">
        <v>0.25</v>
      </c>
      <c r="B382" s="109"/>
      <c r="C382" s="109"/>
      <c r="D382" s="109"/>
      <c r="E382" s="109"/>
      <c r="F382" s="109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>
      <c r="A383" s="109">
        <v>0.5</v>
      </c>
      <c r="B383" s="109"/>
      <c r="C383" s="109"/>
      <c r="D383" s="109"/>
      <c r="E383" s="109"/>
      <c r="F383" s="109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>
      <c r="A384" s="109">
        <v>1</v>
      </c>
      <c r="B384" s="109"/>
      <c r="C384" s="109"/>
      <c r="D384" s="109"/>
      <c r="E384" s="109"/>
      <c r="F384" s="109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>
      <c r="A385" s="106" t="s">
        <v>67</v>
      </c>
      <c r="B385" s="106"/>
      <c r="C385" s="106"/>
      <c r="D385" s="106"/>
      <c r="E385" s="106"/>
      <c r="F385" s="106"/>
      <c r="G385" s="21"/>
      <c r="H385" s="22"/>
      <c r="I385" s="21">
        <f>SUM(I386:I387)</f>
        <v>0</v>
      </c>
      <c r="J385" s="21"/>
      <c r="K385" s="21"/>
      <c r="L385" s="21"/>
    </row>
    <row r="386" spans="1:12">
      <c r="A386" s="107" t="s">
        <v>68</v>
      </c>
      <c r="B386" s="107"/>
      <c r="C386" s="107"/>
      <c r="D386" s="107"/>
      <c r="E386" s="107"/>
      <c r="F386" s="107"/>
      <c r="G386" s="23">
        <f>(G363-A365)/360</f>
        <v>1.1861111111111111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>
      <c r="A387" s="107" t="s">
        <v>69</v>
      </c>
      <c r="B387" s="107"/>
      <c r="C387" s="107"/>
      <c r="D387" s="107"/>
      <c r="E387" s="107"/>
      <c r="F387" s="107"/>
      <c r="G387" s="23"/>
      <c r="H387" s="24"/>
      <c r="I387" s="23"/>
      <c r="J387" s="25"/>
      <c r="K387" s="26"/>
      <c r="L387" s="26"/>
    </row>
    <row r="388" spans="1:12">
      <c r="A388" s="106" t="s">
        <v>70</v>
      </c>
      <c r="B388" s="106"/>
      <c r="C388" s="106"/>
      <c r="D388" s="106"/>
      <c r="E388" s="106"/>
      <c r="F388" s="106"/>
      <c r="G388" s="21"/>
      <c r="H388" s="22"/>
      <c r="I388" s="21">
        <f>SUM(I389:I391)</f>
        <v>600</v>
      </c>
      <c r="J388" s="21"/>
      <c r="K388" s="21"/>
      <c r="L388" s="21"/>
    </row>
    <row r="389" spans="1:12">
      <c r="A389" s="107" t="s">
        <v>71</v>
      </c>
      <c r="B389" s="107"/>
      <c r="C389" s="107"/>
      <c r="D389" s="107"/>
      <c r="E389" s="107"/>
      <c r="F389" s="107"/>
      <c r="G389" s="23"/>
      <c r="H389" s="24"/>
      <c r="I389" s="23">
        <v>600</v>
      </c>
      <c r="J389" s="25"/>
      <c r="K389" s="26"/>
      <c r="L389" s="26"/>
    </row>
    <row r="390" spans="1:12">
      <c r="A390" s="107" t="s">
        <v>72</v>
      </c>
      <c r="B390" s="107"/>
      <c r="C390" s="107"/>
      <c r="D390" s="107"/>
      <c r="E390" s="107"/>
      <c r="F390" s="107"/>
      <c r="G390" s="23"/>
      <c r="H390" s="31">
        <v>0</v>
      </c>
      <c r="I390" s="23"/>
      <c r="J390" s="25"/>
      <c r="K390" s="26"/>
      <c r="L390" s="26"/>
    </row>
    <row r="391" spans="1:12">
      <c r="A391" s="107" t="s">
        <v>73</v>
      </c>
      <c r="B391" s="107"/>
      <c r="C391" s="107"/>
      <c r="D391" s="107"/>
      <c r="E391" s="107"/>
      <c r="F391" s="107"/>
      <c r="G391" s="23"/>
      <c r="H391" s="24"/>
      <c r="I391" s="23"/>
      <c r="J391" s="25"/>
      <c r="K391" s="26"/>
      <c r="L391" s="26"/>
    </row>
    <row r="392" spans="1:12">
      <c r="A392" s="111" t="s">
        <v>74</v>
      </c>
      <c r="B392" s="111"/>
      <c r="C392" s="111"/>
      <c r="D392" s="111"/>
      <c r="E392" s="111"/>
      <c r="F392" s="111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>
      <c r="A393" s="111" t="s">
        <v>75</v>
      </c>
      <c r="B393" s="111"/>
      <c r="C393" s="111"/>
      <c r="D393" s="111"/>
      <c r="E393" s="111"/>
      <c r="F393" s="111"/>
      <c r="G393" s="32"/>
      <c r="H393" s="33"/>
      <c r="I393" s="32">
        <f>I392-I388</f>
        <v>3665.6000000000004</v>
      </c>
      <c r="J393" s="33"/>
      <c r="K393" s="33"/>
      <c r="L393" s="33"/>
    </row>
    <row r="394" spans="1:12">
      <c r="A394" s="107" t="s">
        <v>76</v>
      </c>
      <c r="B394" s="107"/>
      <c r="C394" s="107"/>
      <c r="D394" s="107"/>
      <c r="E394" s="107"/>
      <c r="F394" s="107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>
      <c r="A395" s="107" t="s">
        <v>77</v>
      </c>
      <c r="B395" s="107"/>
      <c r="C395" s="107"/>
      <c r="D395" s="107"/>
      <c r="E395" s="107"/>
      <c r="F395" s="107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>
      <c r="A396" s="107" t="s">
        <v>78</v>
      </c>
      <c r="B396" s="107"/>
      <c r="C396" s="107"/>
      <c r="D396" s="107"/>
      <c r="E396" s="107"/>
      <c r="F396" s="107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>
      <c r="A397" s="107" t="s">
        <v>79</v>
      </c>
      <c r="B397" s="107"/>
      <c r="C397" s="107"/>
      <c r="D397" s="107"/>
      <c r="E397" s="107"/>
      <c r="F397" s="107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>
      <c r="A398" s="107" t="s">
        <v>80</v>
      </c>
      <c r="B398" s="107"/>
      <c r="C398" s="107"/>
      <c r="D398" s="107"/>
      <c r="E398" s="107"/>
      <c r="F398" s="107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>
      <c r="A399" s="107" t="s">
        <v>81</v>
      </c>
      <c r="B399" s="107"/>
      <c r="C399" s="107"/>
      <c r="D399" s="107"/>
      <c r="E399" s="107"/>
      <c r="F399" s="107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>
      <c r="A400" s="107" t="s">
        <v>24</v>
      </c>
      <c r="B400" s="107"/>
      <c r="C400" s="107"/>
      <c r="D400" s="107"/>
      <c r="E400" s="107"/>
      <c r="F400" s="107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>
      <c r="A401" s="110" t="s">
        <v>82</v>
      </c>
      <c r="B401" s="110"/>
      <c r="C401" s="110"/>
      <c r="D401" s="110"/>
      <c r="E401" s="110"/>
      <c r="F401" s="110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>
      <c r="A402" s="110" t="s">
        <v>83</v>
      </c>
      <c r="B402" s="110"/>
      <c r="C402" s="110"/>
      <c r="D402" s="110"/>
      <c r="E402" s="110"/>
      <c r="F402" s="110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>
      <c r="A403" s="106" t="s">
        <v>84</v>
      </c>
      <c r="B403" s="106"/>
      <c r="C403" s="106"/>
      <c r="D403" s="106"/>
      <c r="E403" s="106"/>
      <c r="F403" s="106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>
      <c r="A404" s="107" t="s">
        <v>85</v>
      </c>
      <c r="B404" s="107"/>
      <c r="C404" s="107"/>
      <c r="D404" s="107"/>
      <c r="E404" s="107"/>
      <c r="F404" s="107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>
      <c r="A405" s="111" t="s">
        <v>86</v>
      </c>
      <c r="B405" s="111"/>
      <c r="C405" s="111"/>
      <c r="D405" s="111"/>
      <c r="E405" s="111"/>
      <c r="F405" s="111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>
      <c r="A406" s="107" t="s">
        <v>87</v>
      </c>
      <c r="B406" s="107"/>
      <c r="C406" s="107"/>
      <c r="D406" s="107"/>
      <c r="E406" s="107"/>
      <c r="F406" s="107"/>
      <c r="G406" s="23"/>
      <c r="H406" s="34"/>
      <c r="I406" s="23">
        <f>H406*180/360</f>
        <v>0</v>
      </c>
      <c r="J406" s="23"/>
      <c r="K406" s="46"/>
      <c r="L406" s="47"/>
    </row>
    <row r="407" spans="1:12">
      <c r="A407" s="111" t="s">
        <v>115</v>
      </c>
      <c r="B407" s="111"/>
      <c r="C407" s="111"/>
      <c r="D407" s="111"/>
      <c r="E407" s="111"/>
      <c r="F407" s="111"/>
      <c r="G407" s="32"/>
      <c r="H407" s="33"/>
      <c r="I407" s="32">
        <f>I405-I406</f>
        <v>2685.4185600000001</v>
      </c>
      <c r="J407" s="33"/>
      <c r="K407" s="33"/>
      <c r="L407" s="33"/>
    </row>
    <row r="408" spans="1:12">
      <c r="A408" s="107" t="s">
        <v>89</v>
      </c>
      <c r="B408" s="107"/>
      <c r="C408" s="107"/>
      <c r="D408" s="107"/>
      <c r="E408" s="107"/>
      <c r="F408" s="107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>
      <c r="A409" s="107" t="s">
        <v>90</v>
      </c>
      <c r="B409" s="107"/>
      <c r="C409" s="107"/>
      <c r="D409" s="107"/>
      <c r="E409" s="107"/>
      <c r="F409" s="107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>
      <c r="A410" s="106" t="s">
        <v>91</v>
      </c>
      <c r="B410" s="106"/>
      <c r="C410" s="106"/>
      <c r="D410" s="106"/>
      <c r="E410" s="106"/>
      <c r="F410" s="106"/>
      <c r="G410" s="21"/>
      <c r="H410" s="22"/>
      <c r="I410" s="21"/>
      <c r="J410" s="21">
        <f>J408-J409</f>
        <v>18.541855999999996</v>
      </c>
      <c r="K410" s="21"/>
      <c r="L410" s="21"/>
    </row>
    <row r="411" spans="1:12">
      <c r="A411" s="112" t="s">
        <v>92</v>
      </c>
      <c r="B411" s="112"/>
      <c r="C411" s="112"/>
      <c r="D411" s="112"/>
      <c r="E411" s="112"/>
      <c r="F411" s="112"/>
      <c r="G411" s="25"/>
      <c r="H411" s="48"/>
      <c r="I411" s="47"/>
      <c r="J411" s="49">
        <v>0</v>
      </c>
      <c r="K411" s="46"/>
      <c r="L411" s="47"/>
    </row>
    <row r="412" spans="1:12">
      <c r="A412" s="107" t="s">
        <v>93</v>
      </c>
      <c r="B412" s="107"/>
      <c r="C412" s="107"/>
      <c r="D412" s="107"/>
      <c r="E412" s="107"/>
      <c r="F412" s="107"/>
      <c r="G412" s="25"/>
      <c r="H412" s="48"/>
      <c r="I412" s="44"/>
      <c r="J412" s="28">
        <v>0</v>
      </c>
      <c r="K412" s="46"/>
      <c r="L412" s="47"/>
    </row>
    <row r="413" spans="1:12">
      <c r="A413" s="113" t="s">
        <v>94</v>
      </c>
      <c r="B413" s="113"/>
      <c r="C413" s="113"/>
      <c r="D413" s="113"/>
      <c r="E413" s="113"/>
      <c r="F413" s="113"/>
      <c r="G413" s="41"/>
      <c r="H413" s="42"/>
      <c r="I413" s="28"/>
      <c r="J413" s="41"/>
      <c r="K413" s="43"/>
      <c r="L413" s="44"/>
    </row>
    <row r="414" spans="1:1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>
      <c r="A415" s="13" t="s">
        <v>95</v>
      </c>
      <c r="B415" s="13" t="s">
        <v>96</v>
      </c>
      <c r="C415" s="13" t="s">
        <v>97</v>
      </c>
      <c r="D415" s="104" t="s">
        <v>98</v>
      </c>
      <c r="E415" s="104"/>
      <c r="F415" s="104"/>
      <c r="G415" s="13" t="s">
        <v>99</v>
      </c>
      <c r="H415" s="50"/>
      <c r="I415" s="51">
        <f>I392+I413</f>
        <v>4265.6000000000004</v>
      </c>
      <c r="J415" s="51">
        <f>J403+J410+J411+J412</f>
        <v>265.60329600000006</v>
      </c>
      <c r="K415" s="13" t="s">
        <v>100</v>
      </c>
      <c r="L415" s="51">
        <f>L403</f>
        <v>846.38704000000007</v>
      </c>
    </row>
    <row r="416" spans="1:12">
      <c r="A416" s="51">
        <f>38390.4+I392</f>
        <v>42656</v>
      </c>
      <c r="B416" s="51">
        <f>32990.4+I393</f>
        <v>36656</v>
      </c>
      <c r="C416" s="51">
        <f>1477.98+J394</f>
        <v>1642.1988800000001</v>
      </c>
      <c r="D416" s="114">
        <f>166.87+J410</f>
        <v>185.411856</v>
      </c>
      <c r="E416" s="114"/>
      <c r="F416" s="114"/>
      <c r="G416" s="51">
        <f>36000+I415</f>
        <v>40265.599999999999</v>
      </c>
      <c r="H416" s="104" t="s">
        <v>101</v>
      </c>
      <c r="I416" s="104"/>
      <c r="J416" s="51">
        <f>I415-J415</f>
        <v>3999.9967040000001</v>
      </c>
      <c r="K416" s="13" t="s">
        <v>102</v>
      </c>
      <c r="L416" s="51">
        <f>8246.37+L415</f>
        <v>9092.7570400000004</v>
      </c>
    </row>
    <row r="417" spans="1:1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6"/>
  <sheetViews>
    <sheetView topLeftCell="A3" workbookViewId="0">
      <selection activeCell="B21" sqref="B21"/>
    </sheetView>
  </sheetViews>
  <sheetFormatPr baseColWidth="10" defaultRowHeight="15"/>
  <cols>
    <col min="1" max="1" width="34" bestFit="1" customWidth="1"/>
    <col min="2" max="2" width="20" bestFit="1" customWidth="1"/>
    <col min="3" max="3" width="11.140625" bestFit="1" customWidth="1"/>
    <col min="8" max="8" width="14" bestFit="1" customWidth="1"/>
    <col min="9" max="9" width="15.7109375" bestFit="1" customWidth="1"/>
  </cols>
  <sheetData>
    <row r="1" spans="1:9">
      <c r="A1" s="71" t="s">
        <v>124</v>
      </c>
      <c r="B1" s="11"/>
      <c r="C1" s="11"/>
      <c r="D1" s="11"/>
      <c r="E1" s="11"/>
      <c r="F1" s="11"/>
      <c r="G1" s="11"/>
      <c r="H1" s="11"/>
      <c r="I1" s="11"/>
    </row>
    <row r="2" spans="1:9" ht="25.5">
      <c r="A2" s="72" t="s">
        <v>125</v>
      </c>
      <c r="B2" s="72" t="s">
        <v>126</v>
      </c>
      <c r="C2" s="72" t="s">
        <v>127</v>
      </c>
      <c r="D2" s="72" t="s">
        <v>128</v>
      </c>
      <c r="E2" s="72" t="s">
        <v>129</v>
      </c>
      <c r="F2" s="11"/>
      <c r="G2" s="11"/>
      <c r="H2" s="11"/>
      <c r="I2" s="11"/>
    </row>
    <row r="3" spans="1:9" ht="30.75" customHeight="1">
      <c r="A3" s="73" t="s">
        <v>130</v>
      </c>
      <c r="B3" s="74" t="s">
        <v>131</v>
      </c>
      <c r="C3" s="75" t="s">
        <v>132</v>
      </c>
      <c r="D3" s="74" t="s">
        <v>133</v>
      </c>
      <c r="E3" s="75" t="s">
        <v>132</v>
      </c>
      <c r="F3" s="11"/>
      <c r="G3" s="11"/>
      <c r="H3" s="11"/>
      <c r="I3" s="11"/>
    </row>
    <row r="4" spans="1:9" ht="30.75" customHeight="1">
      <c r="A4" s="73" t="s">
        <v>134</v>
      </c>
      <c r="B4" s="74" t="s">
        <v>135</v>
      </c>
      <c r="C4" s="75" t="s">
        <v>136</v>
      </c>
      <c r="D4" s="75" t="s">
        <v>137</v>
      </c>
      <c r="E4" s="75" t="s">
        <v>138</v>
      </c>
      <c r="F4" s="11"/>
      <c r="G4" s="11"/>
      <c r="H4" s="11"/>
      <c r="I4" s="11"/>
    </row>
    <row r="5" spans="1:9" ht="26.25" customHeight="1">
      <c r="A5" s="73" t="s">
        <v>139</v>
      </c>
      <c r="B5" s="74" t="s">
        <v>135</v>
      </c>
      <c r="C5" s="75" t="s">
        <v>140</v>
      </c>
      <c r="D5" s="75" t="s">
        <v>141</v>
      </c>
      <c r="E5" s="75" t="s">
        <v>142</v>
      </c>
      <c r="F5" s="11"/>
      <c r="G5" s="11"/>
      <c r="H5" s="11"/>
      <c r="I5" s="11"/>
    </row>
    <row r="6" spans="1:9" ht="28.5" customHeight="1">
      <c r="A6" s="73" t="s">
        <v>143</v>
      </c>
      <c r="B6" s="74" t="s">
        <v>131</v>
      </c>
      <c r="C6" s="75" t="s">
        <v>144</v>
      </c>
      <c r="D6" s="75" t="s">
        <v>145</v>
      </c>
      <c r="E6" s="75" t="s">
        <v>146</v>
      </c>
      <c r="F6" s="11"/>
      <c r="G6" s="11"/>
      <c r="H6" s="11"/>
      <c r="I6" s="11"/>
    </row>
    <row r="7" spans="1:9" ht="25.5" customHeight="1">
      <c r="A7" s="73" t="s">
        <v>147</v>
      </c>
      <c r="B7" s="74" t="s">
        <v>131</v>
      </c>
      <c r="C7" s="75" t="s">
        <v>148</v>
      </c>
      <c r="D7" s="74" t="s">
        <v>133</v>
      </c>
      <c r="E7" s="75" t="s">
        <v>148</v>
      </c>
      <c r="F7" s="11"/>
      <c r="G7" s="11"/>
      <c r="H7" s="11"/>
      <c r="I7" s="11"/>
    </row>
    <row r="8" spans="1:9">
      <c r="A8" s="12"/>
      <c r="B8" s="12"/>
      <c r="C8" s="12"/>
      <c r="D8" s="12"/>
      <c r="E8" s="12"/>
      <c r="F8" s="11"/>
      <c r="G8" s="11"/>
      <c r="H8" s="11"/>
      <c r="I8" s="11"/>
    </row>
    <row r="9" spans="1:9">
      <c r="A9" s="92" t="s">
        <v>149</v>
      </c>
      <c r="B9" s="92"/>
      <c r="C9" s="92"/>
      <c r="D9" s="92"/>
      <c r="E9" s="92"/>
      <c r="F9" s="76"/>
      <c r="G9" s="76"/>
      <c r="H9" s="76"/>
      <c r="I9" s="76"/>
    </row>
    <row r="10" spans="1:9">
      <c r="A10" s="11"/>
      <c r="B10" s="11"/>
      <c r="C10" s="11"/>
      <c r="D10" s="11"/>
      <c r="E10" s="11"/>
      <c r="F10" s="11"/>
      <c r="G10" s="11"/>
      <c r="H10" s="11"/>
      <c r="I10" s="11"/>
    </row>
    <row r="11" spans="1:9">
      <c r="A11" s="71" t="s">
        <v>150</v>
      </c>
      <c r="B11" s="11"/>
      <c r="C11" s="11"/>
      <c r="D11" s="11"/>
      <c r="E11" s="11"/>
      <c r="F11" s="11"/>
      <c r="G11" s="11"/>
      <c r="H11" s="11"/>
      <c r="I11" s="11"/>
    </row>
    <row r="12" spans="1:9">
      <c r="A12" s="93" t="s">
        <v>151</v>
      </c>
      <c r="B12" s="93"/>
      <c r="C12" s="93"/>
      <c r="D12" s="93"/>
      <c r="E12" s="93"/>
      <c r="F12" s="93"/>
      <c r="G12" s="93"/>
      <c r="H12" s="93"/>
      <c r="I12" s="93"/>
    </row>
    <row r="13" spans="1:9">
      <c r="A13" s="93" t="s">
        <v>152</v>
      </c>
      <c r="B13" s="93"/>
      <c r="C13" s="61" t="s">
        <v>153</v>
      </c>
      <c r="D13" s="93" t="s">
        <v>154</v>
      </c>
      <c r="E13" s="93"/>
      <c r="F13" s="93"/>
      <c r="G13" s="93"/>
      <c r="H13" s="61" t="s">
        <v>155</v>
      </c>
      <c r="I13" s="61" t="s">
        <v>156</v>
      </c>
    </row>
    <row r="14" spans="1:9">
      <c r="A14" s="94" t="s">
        <v>157</v>
      </c>
      <c r="B14" s="94"/>
      <c r="C14" s="77">
        <v>0</v>
      </c>
      <c r="D14" s="94" t="s">
        <v>158</v>
      </c>
      <c r="E14" s="94"/>
      <c r="F14" s="94"/>
      <c r="G14" s="94"/>
      <c r="H14" s="62">
        <v>0</v>
      </c>
      <c r="I14" s="62">
        <f t="shared" ref="I14:I19" si="0">H14/12</f>
        <v>0</v>
      </c>
    </row>
    <row r="15" spans="1:9">
      <c r="A15" s="94" t="s">
        <v>159</v>
      </c>
      <c r="B15" s="94"/>
      <c r="C15" s="77">
        <v>0.1</v>
      </c>
      <c r="D15" s="94" t="s">
        <v>160</v>
      </c>
      <c r="E15" s="94"/>
      <c r="F15" s="94"/>
      <c r="G15" s="94"/>
      <c r="H15" s="62">
        <v>3000</v>
      </c>
      <c r="I15" s="62">
        <f t="shared" si="0"/>
        <v>250</v>
      </c>
    </row>
    <row r="16" spans="1:9">
      <c r="A16" s="94" t="s">
        <v>161</v>
      </c>
      <c r="B16" s="94"/>
      <c r="C16" s="77">
        <v>0.2</v>
      </c>
      <c r="D16" s="94" t="s">
        <v>162</v>
      </c>
      <c r="E16" s="94"/>
      <c r="F16" s="94"/>
      <c r="G16" s="94"/>
      <c r="H16" s="62">
        <v>8000</v>
      </c>
      <c r="I16" s="62">
        <f t="shared" si="0"/>
        <v>666.66666666666663</v>
      </c>
    </row>
    <row r="17" spans="1:9">
      <c r="A17" s="94" t="s">
        <v>163</v>
      </c>
      <c r="B17" s="94"/>
      <c r="C17" s="77">
        <v>0.30000000000000004</v>
      </c>
      <c r="D17" s="94" t="s">
        <v>164</v>
      </c>
      <c r="E17" s="94"/>
      <c r="F17" s="94"/>
      <c r="G17" s="94"/>
      <c r="H17" s="62">
        <v>14000</v>
      </c>
      <c r="I17" s="62">
        <f t="shared" si="0"/>
        <v>1166.6666666666667</v>
      </c>
    </row>
    <row r="18" spans="1:9">
      <c r="A18" s="94" t="s">
        <v>165</v>
      </c>
      <c r="B18" s="94"/>
      <c r="C18" s="77">
        <v>0.34</v>
      </c>
      <c r="D18" s="94" t="s">
        <v>166</v>
      </c>
      <c r="E18" s="94"/>
      <c r="F18" s="94"/>
      <c r="G18" s="94"/>
      <c r="H18" s="62">
        <v>17200</v>
      </c>
      <c r="I18" s="62">
        <f t="shared" si="0"/>
        <v>1433.3333333333333</v>
      </c>
    </row>
    <row r="19" spans="1:9">
      <c r="A19" s="94" t="s">
        <v>167</v>
      </c>
      <c r="B19" s="94"/>
      <c r="C19" s="77">
        <v>0.38</v>
      </c>
      <c r="D19" s="94" t="s">
        <v>168</v>
      </c>
      <c r="E19" s="94"/>
      <c r="F19" s="94"/>
      <c r="G19" s="94"/>
      <c r="H19" s="62">
        <v>24400</v>
      </c>
      <c r="I19" s="62">
        <f t="shared" si="0"/>
        <v>2033.3333333333333</v>
      </c>
    </row>
    <row r="20" spans="1:9">
      <c r="A20" s="93" t="s">
        <v>89</v>
      </c>
      <c r="B20" s="93"/>
      <c r="C20" s="93"/>
      <c r="D20" s="93"/>
      <c r="E20" s="93"/>
      <c r="F20" s="93"/>
      <c r="G20" s="93"/>
      <c r="H20" s="93"/>
      <c r="I20" s="93"/>
    </row>
    <row r="21" spans="1:9">
      <c r="A21" s="11"/>
      <c r="B21" s="11"/>
      <c r="C21" s="11"/>
      <c r="D21" s="11"/>
      <c r="E21" s="11"/>
      <c r="F21" s="11"/>
      <c r="G21" s="11"/>
      <c r="H21" s="11"/>
      <c r="I21" s="11"/>
    </row>
    <row r="22" spans="1:9">
      <c r="A22" s="71" t="s">
        <v>169</v>
      </c>
      <c r="B22" s="11"/>
      <c r="C22" s="11"/>
      <c r="D22" s="11"/>
      <c r="E22" s="11"/>
      <c r="F22" s="11"/>
      <c r="G22" s="11"/>
      <c r="H22" s="11"/>
      <c r="I22" s="11"/>
    </row>
    <row r="23" spans="1:9">
      <c r="A23" s="61" t="s">
        <v>52</v>
      </c>
      <c r="B23" s="61" t="s">
        <v>53</v>
      </c>
      <c r="C23" s="11"/>
      <c r="D23" s="11"/>
      <c r="E23" s="11"/>
      <c r="F23" s="11"/>
      <c r="G23" s="11"/>
      <c r="H23" s="11"/>
      <c r="I23" s="11"/>
    </row>
    <row r="24" spans="1:9">
      <c r="A24" s="62" t="s">
        <v>170</v>
      </c>
      <c r="B24" s="62" t="s">
        <v>171</v>
      </c>
      <c r="C24" s="11"/>
      <c r="D24" s="11"/>
      <c r="E24" s="11"/>
      <c r="F24" s="11"/>
      <c r="G24" s="11"/>
      <c r="H24" s="11"/>
      <c r="I24" s="11"/>
    </row>
    <row r="25" spans="1:9">
      <c r="A25" s="62" t="s">
        <v>172</v>
      </c>
      <c r="B25" s="62" t="s">
        <v>173</v>
      </c>
      <c r="C25" s="11"/>
      <c r="D25" s="11"/>
      <c r="E25" s="11"/>
      <c r="F25" s="11"/>
      <c r="G25" s="11"/>
      <c r="H25" s="11"/>
      <c r="I25" s="11"/>
    </row>
    <row r="26" spans="1:9">
      <c r="A26" s="62" t="s">
        <v>174</v>
      </c>
      <c r="B26" s="62" t="s">
        <v>175</v>
      </c>
      <c r="C26" s="11"/>
      <c r="D26" s="11"/>
      <c r="E26" s="11"/>
      <c r="F26" s="11"/>
      <c r="G26" s="11"/>
      <c r="H26" s="11"/>
      <c r="I26" s="11"/>
    </row>
    <row r="27" spans="1:9">
      <c r="A27" s="62" t="s">
        <v>176</v>
      </c>
      <c r="B27" s="62" t="s">
        <v>177</v>
      </c>
      <c r="C27" s="11"/>
      <c r="D27" s="11"/>
      <c r="E27" s="11"/>
      <c r="F27" s="11"/>
      <c r="G27" s="11"/>
      <c r="H27" s="11"/>
      <c r="I27" s="11"/>
    </row>
    <row r="28" spans="1:9">
      <c r="A28" s="62" t="s">
        <v>178</v>
      </c>
      <c r="B28" s="62" t="s">
        <v>179</v>
      </c>
      <c r="C28" s="11"/>
      <c r="D28" s="11"/>
      <c r="E28" s="11"/>
      <c r="F28" s="11"/>
      <c r="G28" s="11"/>
      <c r="H28" s="11"/>
      <c r="I28" s="11"/>
    </row>
    <row r="29" spans="1:9">
      <c r="A29" s="11"/>
      <c r="B29" s="11"/>
      <c r="C29" s="11"/>
      <c r="D29" s="11"/>
      <c r="E29" s="11"/>
      <c r="F29" s="11"/>
      <c r="G29" s="11"/>
      <c r="H29" s="11"/>
      <c r="I29" s="11"/>
    </row>
    <row r="30" spans="1:9">
      <c r="A30" s="71" t="s">
        <v>180</v>
      </c>
      <c r="B30" s="11"/>
      <c r="C30" s="11"/>
      <c r="D30" s="11"/>
      <c r="E30" s="11"/>
      <c r="F30" s="11"/>
      <c r="G30" s="11"/>
      <c r="H30" s="11"/>
      <c r="I30" s="11"/>
    </row>
    <row r="31" spans="1:9">
      <c r="A31" s="61" t="s">
        <v>153</v>
      </c>
      <c r="B31" s="61" t="s">
        <v>181</v>
      </c>
      <c r="C31" s="11"/>
      <c r="D31" s="11"/>
      <c r="E31" s="11"/>
      <c r="F31" s="11"/>
      <c r="G31" s="11"/>
      <c r="H31" s="11"/>
      <c r="I31" s="11"/>
    </row>
    <row r="32" spans="1:9">
      <c r="A32" s="77">
        <v>0.05</v>
      </c>
      <c r="B32" s="78" t="s">
        <v>182</v>
      </c>
      <c r="C32" s="11"/>
      <c r="D32" s="11"/>
      <c r="E32" s="11"/>
      <c r="F32" s="11"/>
      <c r="G32" s="11"/>
      <c r="H32" s="11"/>
      <c r="I32" s="11"/>
    </row>
    <row r="33" spans="1:9">
      <c r="A33" s="77">
        <v>0.1</v>
      </c>
      <c r="B33" s="78" t="s">
        <v>183</v>
      </c>
      <c r="C33" s="11"/>
      <c r="D33" s="11"/>
      <c r="E33" s="11"/>
      <c r="F33" s="11"/>
      <c r="G33" s="11"/>
      <c r="H33" s="11"/>
      <c r="I33" s="11"/>
    </row>
    <row r="34" spans="1:9">
      <c r="A34" s="77">
        <v>0.15</v>
      </c>
      <c r="B34" s="78" t="s">
        <v>184</v>
      </c>
      <c r="C34" s="11"/>
      <c r="D34" s="11"/>
      <c r="E34" s="11"/>
      <c r="F34" s="11"/>
      <c r="G34" s="11"/>
      <c r="H34" s="11"/>
      <c r="I34" s="11"/>
    </row>
    <row r="35" spans="1:9">
      <c r="A35" s="77">
        <v>0.2</v>
      </c>
      <c r="B35" s="78" t="s">
        <v>185</v>
      </c>
      <c r="C35" s="11"/>
      <c r="D35" s="11"/>
      <c r="E35" s="11"/>
      <c r="F35" s="11"/>
      <c r="G35" s="11"/>
      <c r="H35" s="11"/>
      <c r="I35" s="11"/>
    </row>
    <row r="36" spans="1:9">
      <c r="A36" s="77">
        <v>0.25</v>
      </c>
      <c r="B36" s="78" t="s">
        <v>186</v>
      </c>
      <c r="C36" s="11"/>
      <c r="D36" s="11"/>
      <c r="E36" s="11"/>
      <c r="F36" s="11"/>
      <c r="G36" s="11"/>
      <c r="H36" s="11"/>
      <c r="I36" s="11"/>
    </row>
    <row r="37" spans="1:9">
      <c r="A37" s="79" t="s">
        <v>187</v>
      </c>
      <c r="B37" s="11"/>
      <c r="C37" s="11"/>
      <c r="D37" s="11"/>
      <c r="E37" s="11"/>
      <c r="F37" s="11"/>
      <c r="G37" s="11"/>
      <c r="H37" s="11"/>
      <c r="I37" s="11"/>
    </row>
    <row r="38" spans="1:9">
      <c r="A38" s="11"/>
      <c r="B38" s="11"/>
      <c r="C38" s="11"/>
      <c r="D38" s="11"/>
      <c r="E38" s="11"/>
      <c r="F38" s="11"/>
      <c r="G38" s="11"/>
      <c r="H38" s="11"/>
      <c r="I38" s="11"/>
    </row>
    <row r="39" spans="1:9">
      <c r="A39" s="71" t="s">
        <v>188</v>
      </c>
      <c r="B39" s="11"/>
      <c r="C39" s="11"/>
      <c r="D39" s="11"/>
      <c r="E39" s="11"/>
      <c r="F39" s="11"/>
      <c r="G39" s="11"/>
      <c r="H39" s="11"/>
      <c r="I39" s="11"/>
    </row>
    <row r="40" spans="1:9">
      <c r="A40" s="61" t="s">
        <v>189</v>
      </c>
      <c r="B40" s="93" t="s">
        <v>190</v>
      </c>
      <c r="C40" s="93"/>
      <c r="D40" s="93"/>
      <c r="E40" s="93"/>
      <c r="F40" s="93"/>
      <c r="G40" s="93"/>
      <c r="H40" s="93"/>
      <c r="I40" s="93"/>
    </row>
    <row r="41" spans="1:9">
      <c r="A41" s="94" t="s">
        <v>191</v>
      </c>
      <c r="B41" s="96" t="s">
        <v>192</v>
      </c>
      <c r="C41" s="96"/>
      <c r="D41" s="96"/>
      <c r="E41" s="96"/>
      <c r="F41" s="96"/>
      <c r="G41" s="96"/>
      <c r="H41" s="96"/>
      <c r="I41" s="96"/>
    </row>
    <row r="42" spans="1:9">
      <c r="A42" s="94"/>
      <c r="B42" s="97" t="s">
        <v>193</v>
      </c>
      <c r="C42" s="97"/>
      <c r="D42" s="97"/>
      <c r="E42" s="97"/>
      <c r="F42" s="97"/>
      <c r="G42" s="97"/>
      <c r="H42" s="97"/>
      <c r="I42" s="97"/>
    </row>
    <row r="43" spans="1:9">
      <c r="A43" s="94" t="s">
        <v>194</v>
      </c>
      <c r="B43" s="97" t="s">
        <v>195</v>
      </c>
      <c r="C43" s="97"/>
      <c r="D43" s="97"/>
      <c r="E43" s="97"/>
      <c r="F43" s="97"/>
      <c r="G43" s="97"/>
      <c r="H43" s="97"/>
      <c r="I43" s="97"/>
    </row>
    <row r="44" spans="1:9">
      <c r="A44" s="94"/>
      <c r="B44" s="98" t="s">
        <v>196</v>
      </c>
      <c r="C44" s="98"/>
      <c r="D44" s="98"/>
      <c r="E44" s="98"/>
      <c r="F44" s="98"/>
      <c r="G44" s="98"/>
      <c r="H44" s="98"/>
      <c r="I44" s="98"/>
    </row>
    <row r="45" spans="1:9">
      <c r="A45" s="95" t="s">
        <v>197</v>
      </c>
      <c r="B45" s="95"/>
      <c r="C45" s="95"/>
      <c r="D45" s="95"/>
      <c r="E45" s="95"/>
      <c r="F45" s="11"/>
      <c r="G45" s="11"/>
      <c r="H45" s="11"/>
      <c r="I45" s="11"/>
    </row>
    <row r="46" spans="1:9">
      <c r="A46" s="11"/>
      <c r="B46" s="11"/>
      <c r="C46" s="11"/>
      <c r="D46" s="11"/>
      <c r="E46" s="11"/>
      <c r="F46" s="11"/>
      <c r="G46" s="11"/>
      <c r="H46" s="11"/>
      <c r="I46" s="11"/>
    </row>
  </sheetData>
  <mergeCells count="24">
    <mergeCell ref="A45:E45"/>
    <mergeCell ref="A18:B18"/>
    <mergeCell ref="D18:G18"/>
    <mergeCell ref="A19:B19"/>
    <mergeCell ref="D19:G19"/>
    <mergeCell ref="A20:I20"/>
    <mergeCell ref="B40:I40"/>
    <mergeCell ref="A41:A44"/>
    <mergeCell ref="B41:I41"/>
    <mergeCell ref="B42:I42"/>
    <mergeCell ref="B43:I43"/>
    <mergeCell ref="B44:I44"/>
    <mergeCell ref="A15:B15"/>
    <mergeCell ref="D15:G15"/>
    <mergeCell ref="A16:B16"/>
    <mergeCell ref="D16:G16"/>
    <mergeCell ref="A17:B17"/>
    <mergeCell ref="D17:G17"/>
    <mergeCell ref="A9:E9"/>
    <mergeCell ref="A12:I12"/>
    <mergeCell ref="A13:B13"/>
    <mergeCell ref="D13:G13"/>
    <mergeCell ref="A14:B14"/>
    <mergeCell ref="D14:G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Q11"/>
  <sheetViews>
    <sheetView tabSelected="1" topLeftCell="E3" workbookViewId="0">
      <selection activeCell="M5" sqref="M5:M11"/>
    </sheetView>
  </sheetViews>
  <sheetFormatPr baseColWidth="10" defaultRowHeight="15"/>
  <cols>
    <col min="1" max="1" width="19.28515625" bestFit="1" customWidth="1"/>
    <col min="2" max="2" width="20.7109375" bestFit="1" customWidth="1"/>
    <col min="3" max="3" width="15.42578125" bestFit="1" customWidth="1"/>
    <col min="4" max="5" width="13" customWidth="1"/>
    <col min="6" max="6" width="15" customWidth="1"/>
    <col min="7" max="7" width="12.42578125" customWidth="1"/>
    <col min="8" max="8" width="18" bestFit="1" customWidth="1"/>
    <col min="9" max="9" width="16" customWidth="1"/>
    <col min="10" max="10" width="15.140625" bestFit="1" customWidth="1"/>
    <col min="11" max="11" width="15.140625" customWidth="1"/>
    <col min="12" max="12" width="15.7109375" bestFit="1" customWidth="1"/>
    <col min="13" max="13" width="11.5703125" bestFit="1" customWidth="1"/>
    <col min="16" max="16" width="17.42578125" bestFit="1" customWidth="1"/>
  </cols>
  <sheetData>
    <row r="2" spans="1:17" ht="15.75" thickBot="1"/>
    <row r="3" spans="1:17" ht="15.75" thickBot="1">
      <c r="C3" s="99" t="s">
        <v>117</v>
      </c>
      <c r="D3" s="100"/>
      <c r="E3" s="100"/>
      <c r="F3" s="100"/>
      <c r="G3" s="101"/>
    </row>
    <row r="4" spans="1:17" ht="15.75" thickBot="1">
      <c r="B4" s="55" t="s">
        <v>118</v>
      </c>
      <c r="C4" s="8" t="s">
        <v>22</v>
      </c>
      <c r="D4" s="10" t="s">
        <v>23</v>
      </c>
      <c r="E4" s="56" t="s">
        <v>123</v>
      </c>
      <c r="F4" s="9" t="s">
        <v>24</v>
      </c>
      <c r="G4" s="10" t="s">
        <v>25</v>
      </c>
      <c r="H4" s="55" t="s">
        <v>119</v>
      </c>
      <c r="I4" s="65" t="s">
        <v>21</v>
      </c>
      <c r="J4" s="66" t="s">
        <v>90</v>
      </c>
      <c r="K4" s="66" t="s">
        <v>120</v>
      </c>
      <c r="L4" s="66" t="s">
        <v>121</v>
      </c>
      <c r="M4" s="67" t="s">
        <v>122</v>
      </c>
      <c r="N4" s="65" t="s">
        <v>90</v>
      </c>
      <c r="O4" s="67" t="s">
        <v>91</v>
      </c>
      <c r="P4" s="65" t="s">
        <v>198</v>
      </c>
      <c r="Q4" s="65" t="s">
        <v>199</v>
      </c>
    </row>
    <row r="5" spans="1:17" ht="15.75" thickBot="1">
      <c r="A5" s="3" t="s">
        <v>0</v>
      </c>
      <c r="B5" s="64">
        <f>'BULLTEIN DE PAIE MOIS 01'!I33+'BULLTEIN DE PAIE MOIS 02'!I33+'BULLTEIN DE PAIE MOIS 03'!I33+'BULLTEIN DE PAIE MOIS 04'!I33+'BULLTEIN DE PAIE MOIS 05'!I33+'BULLTEIN DE PAIE MOIS 06'!I33+'BULLTEIN DE PAIE MOIS 07'!I33+'BULLTEIN DE PAIE MOIS 08'!I33+'BULLTEIN DE PAIE MOIS 09'!I33+'BULLTEIN DE PAIE MOIS 10'!I33+'BULLTEIN DE PAIE MOIS 11'!I33+'BULLTEIN DE PAIE MOIS 12'!I33</f>
        <v>150960.06086538461</v>
      </c>
      <c r="C5" s="64">
        <f>'BULLTEIN DE PAIE MOIS 01'!J34+'BULLTEIN DE PAIE MOIS 02'!J34+'BULLTEIN DE PAIE MOIS 03'!J34+'BULLTEIN DE PAIE MOIS 04'!J34+'BULLTEIN DE PAIE MOIS 05'!J34+'BULLTEIN DE PAIE MOIS 06'!J34+'BULLTEIN DE PAIE MOIS 07'!J34+'BULLTEIN DE PAIE MOIS 08'!J34+'BULLTEIN DE PAIE MOIS 09'!J34+'BULLTEIN DE PAIE MOIS 10'!J34+'BULLTEIN DE PAIE MOIS 11'!J34+'BULLTEIN DE PAIE MOIS 12'!J34</f>
        <v>3225.6000000000008</v>
      </c>
      <c r="D5" s="64">
        <f>'BULLTEIN DE PAIE MOIS 01'!J35+'BULLTEIN DE PAIE MOIS 02'!J35+'BULLTEIN DE PAIE MOIS 03'!J35+'BULLTEIN DE PAIE MOIS 04'!J35+'BULLTEIN DE PAIE MOIS 05'!J35+'BULLTEIN DE PAIE MOIS 06'!J35+'BULLTEIN DE PAIE MOIS 07'!J35+'BULLTEIN DE PAIE MOIS 08'!J35+'BULLTEIN DE PAIE MOIS 09'!J35+'BULLTEIN DE PAIE MOIS 10'!J35+'BULLTEIN DE PAIE MOIS 11'!J35+'BULLTEIN DE PAIE MOIS 12'!J35</f>
        <v>0</v>
      </c>
      <c r="E5" s="64">
        <f>'BULLTEIN DE PAIE MOIS 01'!J36+'BULLTEIN DE PAIE MOIS 02'!J36+'BULLTEIN DE PAIE MOIS 03'!J36+'BULLTEIN DE PAIE MOIS 04'!J36+'BULLTEIN DE PAIE MOIS 05'!J36+'BULLTEIN DE PAIE MOIS 06'!J36+'BULLTEIN DE PAIE MOIS 07'!J36+'BULLTEIN DE PAIE MOIS 08'!J36+'BULLTEIN DE PAIE MOIS 09'!J36+'BULLTEIN DE PAIE MOIS 10'!J36+'BULLTEIN DE PAIE MOIS 11'!J36+'BULLTEIN DE PAIE MOIS 12'!J36</f>
        <v>4528.8018259615383</v>
      </c>
      <c r="F5" s="64">
        <f>'BULLTEIN DE PAIE MOIS 01'!J40+'BULLTEIN DE PAIE MOIS 02'!J40+'BULLTEIN DE PAIE MOIS 03'!J40+'BULLTEIN DE PAIE MOIS 04'!J40+'BULLTEIN DE PAIE MOIS 05'!J40+'BULLTEIN DE PAIE MOIS 06'!J40+'BULLTEIN DE PAIE MOIS 07'!J40+'BULLTEIN DE PAIE MOIS 08'!J40+'BULLTEIN DE PAIE MOIS 09'!J40+'BULLTEIN DE PAIE MOIS 10'!J40+'BULLTEIN DE PAIE MOIS 11'!J40+'BULLTEIN DE PAIE MOIS 12'!J40</f>
        <v>3411.6973755576928</v>
      </c>
      <c r="G5" s="64"/>
      <c r="H5" s="64">
        <f>'BULLTEIN DE PAIE MOIS 01'!J44+'BULLTEIN DE PAIE MOIS 02'!J44+'BULLTEIN DE PAIE MOIS 03'!J44+'BULLTEIN DE PAIE MOIS 04'!J44+'BULLTEIN DE PAIE MOIS 05'!J44+'BULLTEIN DE PAIE MOIS 06'!J44+'BULLTEIN DE PAIE MOIS 07'!J44+'BULLTEIN DE PAIE MOIS 08'!J44+'BULLTEIN DE PAIE MOIS 09'!J44+'BULLTEIN DE PAIE MOIS 10'!J44+'BULLTEIN DE PAIE MOIS 11'!J44+'BULLTEIN DE PAIE MOIS 12'!J44</f>
        <v>29528.304473076922</v>
      </c>
      <c r="I5" s="64">
        <f t="shared" ref="I5:I11" si="0">B5-C5-D5-E5-F5-G5-H5</f>
        <v>110265.65719078845</v>
      </c>
      <c r="J5" s="64">
        <f>'BULLTEIN DE PAIE MOIS 01'!I46+'BULLTEIN DE PAIE MOIS 02'!I46+'BULLTEIN DE PAIE MOIS 03'!I46+'BULLTEIN DE PAIE MOIS 04'!J49+'BULLTEIN DE PAIE MOIS 05'!J49+'BULLTEIN DE PAIE MOIS 06'!J49+'BULLTEIN DE PAIE MOIS 07'!J49+'BULLTEIN DE PAIE MOIS 08'!J49+'BULLTEIN DE PAIE MOIS 09'!J49+'BULLTEIN DE PAIE MOIS 10'!I46+'BULLTEIN DE PAIE MOIS 11'!I46+'BULLTEIN DE PAIE MOIS 12'!I46</f>
        <v>0</v>
      </c>
      <c r="K5" s="64">
        <f>I5-J5</f>
        <v>110265.65719078845</v>
      </c>
      <c r="L5" s="64" t="str">
        <f>Barème!A18</f>
        <v>[80 000 ;180 000[</v>
      </c>
      <c r="M5" s="64">
        <f>IF(K5&lt;30000,K5*34/100,IF(K5&lt;50000,K5*0.1-3000,IF(K5&lt;60000,K5*0.2-8000,IF(K5&lt;80000,K5*0.3-14000,IF(K5&lt;180000,K5*0.34-17200,K5*0.38-"24400")))))</f>
        <v>20290.323444868074</v>
      </c>
      <c r="N5" s="64">
        <f>'BULLTEIN DE PAIE MOIS 01'!J49-'BULLTEIN DE PAIE MOIS 02'!J49-'BULLTEIN DE PAIE MOIS 03'!J49-'BULLTEIN DE PAIE MOIS 04'!J49-'BULLTEIN DE PAIE MOIS 05'!J49-'BULLTEIN DE PAIE MOIS 06'!J49-'BULLTEIN DE PAIE MOIS 07'!J49-'BULLTEIN DE PAIE MOIS 08'!J49-'BULLTEIN DE PAIE MOIS 09'!J49-'BULLTEIN DE PAIE MOIS 10'!J49-'BULLTEIN DE PAIE MOIS 11'!J49-'BULLTEIN DE PAIE MOIS 12'!J51</f>
        <v>0</v>
      </c>
      <c r="O5" s="68">
        <f>M5-N5</f>
        <v>20290.323444868074</v>
      </c>
      <c r="P5" s="68">
        <f>'IR CALCULE'!N5</f>
        <v>20290.323444868081</v>
      </c>
      <c r="Q5" s="68">
        <f>O5-P5</f>
        <v>0</v>
      </c>
    </row>
    <row r="6" spans="1:17" ht="15.75" thickBot="1">
      <c r="A6" s="3" t="s">
        <v>17</v>
      </c>
      <c r="B6" s="70">
        <f>'BULLTEIN DE PAIE MOIS 01'!I93+'BULLTEIN DE PAIE MOIS 02'!I93+'BULLTEIN DE PAIE MOIS 03'!I93+'BULLTEIN DE PAIE MOIS 04'!I93+'BULLTEIN DE PAIE MOIS 05'!I93+'BULLTEIN DE PAIE MOIS 06'!I93+'BULLTEIN DE PAIE MOIS 07'!I93+'BULLTEIN DE PAIE MOIS 08'!I93+'BULLTEIN DE PAIE MOIS 09'!I93+'BULLTEIN DE PAIE MOIS 10'!I93+'BULLTEIN DE PAIE MOIS 11'!I93+'BULLTEIN DE PAIE MOIS 12'!I93</f>
        <v>1235000</v>
      </c>
      <c r="C6" s="64">
        <f>'BULLTEIN DE PAIE MOIS 01'!J34+'BULLTEIN DE PAIE MOIS 02'!J94+'BULLTEIN DE PAIE MOIS 03'!J94+'BULLTEIN DE PAIE MOIS 04'!J94+'BULLTEIN DE PAIE MOIS 05'!J94+'BULLTEIN DE PAIE MOIS 06'!J94+'BULLTEIN DE PAIE MOIS 07'!J94+'BULLTEIN DE PAIE MOIS 08'!J94+'BULLTEIN DE PAIE MOIS 09'!J94+'BULLTEIN DE PAIE MOIS 10'!J94+'BULLTEIN DE PAIE MOIS 11'!J94+'BULLTEIN DE PAIE MOIS 12'!J94</f>
        <v>3225.6000000000008</v>
      </c>
      <c r="D6" s="64">
        <f>'BULLTEIN DE PAIE MOIS 01'!J35+'BULLTEIN DE PAIE MOIS 02'!J95+'BULLTEIN DE PAIE MOIS 03'!J95+'BULLTEIN DE PAIE MOIS 04'!J95+'BULLTEIN DE PAIE MOIS 05'!J95+'BULLTEIN DE PAIE MOIS 06'!J95+'BULLTEIN DE PAIE MOIS 07'!J95+'BULLTEIN DE PAIE MOIS 08'!J95+'BULLTEIN DE PAIE MOIS 09'!J95+'BULLTEIN DE PAIE MOIS 10'!J95+'BULLTEIN DE PAIE MOIS 11'!J95+'BULLTEIN DE PAIE MOIS 12'!J95</f>
        <v>0</v>
      </c>
      <c r="E6" s="64">
        <f>'BULLTEIN DE PAIE MOIS 01'!J96+'BULLTEIN DE PAIE MOIS 02'!J96+'BULLTEIN DE PAIE MOIS 03'!J96+'BULLTEIN DE PAIE MOIS 04'!J96+'BULLTEIN DE PAIE MOIS 05'!J96+'BULLTEIN DE PAIE MOIS 06'!J96+'BULLTEIN DE PAIE MOIS 07'!J96+'BULLTEIN DE PAIE MOIS 08'!J96+'BULLTEIN DE PAIE MOIS 09'!J96+'BULLTEIN DE PAIE MOIS 10'!J96+'BULLTEIN DE PAIE MOIS 11'!J96+'BULLTEIN DE PAIE MOIS 12'!J96</f>
        <v>308750</v>
      </c>
      <c r="F6" s="64">
        <f>'BULLTEIN DE PAIE MOIS 01'!J100+'BULLTEIN DE PAIE MOIS 02'!J100+'BULLTEIN DE PAIE MOIS 03'!J100+'BULLTEIN DE PAIE MOIS 04'!J100+'BULLTEIN DE PAIE MOIS 05'!J100+'BULLTEIN DE PAIE MOIS 06'!J100+'BULLTEIN DE PAIE MOIS 07'!J100+'BULLTEIN DE PAIE MOIS 08'!J100+'BULLTEIN DE PAIE MOIS 09'!J100+'BULLTEIN DE PAIE MOIS 10'!J100+'BULLTEIN DE PAIE MOIS 11'!J100+'BULLTEIN DE PAIE MOIS 12'!J100</f>
        <v>27911</v>
      </c>
      <c r="G6" s="64"/>
      <c r="H6" s="64">
        <f>'BULLTEIN DE PAIE MOIS 01'!J104+'BULLTEIN DE PAIE MOIS 02'!J104+'BULLTEIN DE PAIE MOIS 03'!J104+'BULLTEIN DE PAIE MOIS 04'!J104+'BULLTEIN DE PAIE MOIS 05'!J104+'BULLTEIN DE PAIE MOIS 06'!J104+'BULLTEIN DE PAIE MOIS 07'!J104+'BULLTEIN DE PAIE MOIS 08'!J104+'BULLTEIN DE PAIE MOIS 09'!J104+'BULLTEIN DE PAIE MOIS 10'!J104+'BULLTEIN DE PAIE MOIS 11'!J104+'BULLTEIN DE PAIE MOIS 12'!J104</f>
        <v>30000</v>
      </c>
      <c r="I6" s="64">
        <f t="shared" si="0"/>
        <v>865113.39999999991</v>
      </c>
      <c r="J6" s="64">
        <f>'BULLTEIN DE PAIE MOIS 01'!J109+'BULLTEIN DE PAIE MOIS 02'!I106+'BULLTEIN DE PAIE MOIS 03'!I106+'BULLTEIN DE PAIE MOIS 04'!I106+'BULLTEIN DE PAIE MOIS 05'!I106+'BULLTEIN DE PAIE MOIS 06'!I106+'BULLTEIN DE PAIE MOIS 07'!I106+'BULLTEIN DE PAIE MOIS 08'!I106+'BULLTEIN DE PAIE MOIS 09'!I106+'BULLTEIN DE PAIE MOIS 10'!I106+'BULLTEIN DE PAIE MOIS 11'!I106+'BULLTEIN DE PAIE MOIS 12'!I106</f>
        <v>0</v>
      </c>
      <c r="K6" s="64">
        <f t="shared" ref="K6:K11" si="1">I6-J6</f>
        <v>865113.39999999991</v>
      </c>
      <c r="L6" s="64" t="str">
        <f>Barème!A19</f>
        <v>&gt;180 000</v>
      </c>
      <c r="M6" s="64">
        <f t="shared" ref="M6:M11" si="2">IF(K6&lt;30000,K6*34/100,IF(K6&lt;50000,K6*0.1-3000,IF(K6&lt;60000,K6*0.2-8000,IF(K6&lt;80000,K6*0.3-14000,IF(K6&lt;180000,K6*0.34-17200,K6*0.38-"24400")))))</f>
        <v>304343.09199999995</v>
      </c>
      <c r="N6" s="64">
        <f>'BULLTEIN DE PAIE MOIS 01'!J109+'BULLTEIN DE PAIE MOIS 02'!J109+'BULLTEIN DE PAIE MOIS 03'!J109+'BULLTEIN DE PAIE MOIS 04'!J109+'BULLTEIN DE PAIE MOIS 05'!J109+'BULLTEIN DE PAIE MOIS 06'!J109+'BULLTEIN DE PAIE MOIS 07'!J109+'BULLTEIN DE PAIE MOIS 08'!J109+'BULLTEIN DE PAIE MOIS 09'!J109+'BULLTEIN DE PAIE MOIS 10'!J109+'BULLTEIN DE PAIE MOIS 11'!J109+'BULLTEIN DE PAIE MOIS 12'!J109</f>
        <v>0</v>
      </c>
      <c r="O6" s="68">
        <f t="shared" ref="O6:O11" si="3">M6-N6</f>
        <v>304343.09199999995</v>
      </c>
      <c r="P6" s="68">
        <f>'IR CALCULE'!N6</f>
        <v>304343.07866666664</v>
      </c>
      <c r="Q6" s="68">
        <f t="shared" ref="Q6:Q11" si="4">O6-P6</f>
        <v>1.333333330694586E-2</v>
      </c>
    </row>
    <row r="7" spans="1:17" ht="15.75" thickBot="1">
      <c r="A7" s="3" t="s">
        <v>1</v>
      </c>
      <c r="B7" s="80">
        <f>'BULLTEIN DE PAIE MOIS 01'!I153+'BULLTEIN DE PAIE MOIS 02'!I153+'BULLTEIN DE PAIE MOIS 03'!I153+'BULLTEIN DE PAIE MOIS 04'!I153+'BULLTEIN DE PAIE MOIS 05'!I153+'BULLTEIN DE PAIE MOIS 06'!I153+'BULLTEIN DE PAIE MOIS 07'!I153+'BULLTEIN DE PAIE MOIS 08'!I153+'BULLTEIN DE PAIE MOIS 09'!I153+'BULLTEIN DE PAIE MOIS 10'!I153+'BULLTEIN DE PAIE MOIS 11'!I153+'BULLTEIN DE PAIE MOIS 12'!I153</f>
        <v>1111500</v>
      </c>
      <c r="C7" s="64">
        <f>'BULLTEIN DE PAIE MOIS 01'!J154+'BULLTEIN DE PAIE MOIS 02'!J154+'BULLTEIN DE PAIE MOIS 03'!J154+'BULLTEIN DE PAIE MOIS 04'!J154+'BULLTEIN DE PAIE MOIS 05'!J154+'BULLTEIN DE PAIE MOIS 06'!J154+'BULLTEIN DE PAIE MOIS 07'!J154+'BULLTEIN DE PAIE MOIS 08'!J154+'BULLTEIN DE PAIE MOIS 09'!J154+'BULLTEIN DE PAIE MOIS 10'!J154+'BULLTEIN DE PAIE MOIS 11'!J154+'BULLTEIN DE PAIE MOIS 12'!J154</f>
        <v>3225.6000000000008</v>
      </c>
      <c r="D7" s="64">
        <f>'BULLTEIN DE PAIE MOIS 01'!J155+'BULLTEIN DE PAIE MOIS 02'!J155+'BULLTEIN DE PAIE MOIS 03'!J155+'BULLTEIN DE PAIE MOIS 04'!J155+'BULLTEIN DE PAIE MOIS 05'!J155+'BULLTEIN DE PAIE MOIS 06'!J155+'BULLTEIN DE PAIE MOIS 07'!J155+'BULLTEIN DE PAIE MOIS 08'!J155+'BULLTEIN DE PAIE MOIS 09'!J155+'BULLTEIN DE PAIE MOIS 10'!J155+'BULLTEIN DE PAIE MOIS 11'!J155+'BULLTEIN DE PAIE MOIS 12'!J155</f>
        <v>0</v>
      </c>
      <c r="E7" s="64">
        <f>'BULLTEIN DE PAIE MOIS 01'!J156+'BULLTEIN DE PAIE MOIS 02'!J156+'BULLTEIN DE PAIE MOIS 03'!J156+'BULLTEIN DE PAIE MOIS 04'!J156+'BULLTEIN DE PAIE MOIS 05'!J156+'BULLTEIN DE PAIE MOIS 06'!J156+'BULLTEIN DE PAIE MOIS 07'!J156+'BULLTEIN DE PAIE MOIS 08'!J156+'BULLTEIN DE PAIE MOIS 09'!J156+'BULLTEIN DE PAIE MOIS 10'!J156+'BULLTEIN DE PAIE MOIS 11'!J156+'BULLTEIN DE PAIE MOIS 12'!J156</f>
        <v>555750</v>
      </c>
      <c r="F7" s="64">
        <f>'BULLTEIN DE PAIE MOIS 01'!J160+'BULLTEIN DE PAIE MOIS 02'!J160+'BULLTEIN DE PAIE MOIS 03'!J160+'BULLTEIN DE PAIE MOIS 04'!J160+'BULLTEIN DE PAIE MOIS 05'!J160+'BULLTEIN DE PAIE MOIS 06'!J160+'BULLTEIN DE PAIE MOIS 07'!J160+'BULLTEIN DE PAIE MOIS 08'!J160+'BULLTEIN DE PAIE MOIS 09'!J160+'BULLTEIN DE PAIE MOIS 10'!J160+'BULLTEIN DE PAIE MOIS 11'!J160+'BULLTEIN DE PAIE MOIS 12'!J160</f>
        <v>25119.9</v>
      </c>
      <c r="G7" s="64"/>
      <c r="H7" s="64">
        <f>'BULLTEIN DE PAIE MOIS 01'!J164+'BULLTEIN DE PAIE MOIS 02'!J164+'BULLTEIN DE PAIE MOIS 03'!J164+'BULLTEIN DE PAIE MOIS 04'!J164+'BULLTEIN DE PAIE MOIS 05'!J164+'BULLTEIN DE PAIE MOIS 06'!J164+'BULLTEIN DE PAIE MOIS 07'!J164+'BULLTEIN DE PAIE MOIS 08'!J164+'BULLTEIN DE PAIE MOIS 09'!J164+'BULLTEIN DE PAIE MOIS 10'!J164+'BULLTEIN DE PAIE MOIS 11'!J164+'BULLTEIN DE PAIE MOIS 12'!J164</f>
        <v>30000</v>
      </c>
      <c r="I7" s="64">
        <f t="shared" si="0"/>
        <v>497404.49999999988</v>
      </c>
      <c r="J7" s="64">
        <f>'BULLTEIN DE PAIE MOIS 01'!I166+'BULLTEIN DE PAIE MOIS 02'!I166+'BULLTEIN DE PAIE MOIS 03'!I166+'BULLTEIN DE PAIE MOIS 04'!I166+'BULLTEIN DE PAIE MOIS 05'!I166+'BULLTEIN DE PAIE MOIS 06'!I166+'BULLTEIN DE PAIE MOIS 07'!I166+'BULLTEIN DE PAIE MOIS 08'!I166+'BULLTEIN DE PAIE MOIS 09'!I166+'BULLTEIN DE PAIE MOIS 10'!I166+'BULLTEIN DE PAIE MOIS 11'!I166+'BULLTEIN DE PAIE MOIS 12'!I166</f>
        <v>0</v>
      </c>
      <c r="K7" s="64">
        <f t="shared" si="1"/>
        <v>497404.49999999988</v>
      </c>
      <c r="L7" s="64" t="str">
        <f>Barème!A19</f>
        <v>&gt;180 000</v>
      </c>
      <c r="M7" s="64">
        <f t="shared" si="2"/>
        <v>164613.70999999996</v>
      </c>
      <c r="N7" s="64">
        <f>'BULLTEIN DE PAIE MOIS 01'!J169+'BULLTEIN DE PAIE MOIS 02'!J169+'BULLTEIN DE PAIE MOIS 03'!J169+'BULLTEIN DE PAIE MOIS 04'!J169+'BULLTEIN DE PAIE MOIS 05'!J169+'BULLTEIN DE PAIE MOIS 06'!J169+'BULLTEIN DE PAIE MOIS 07'!J169+'BULLTEIN DE PAIE MOIS 08'!J169+'BULLTEIN DE PAIE MOIS 09'!J169+'BULLTEIN DE PAIE MOIS 10'!J169+'BULLTEIN DE PAIE MOIS 11'!J169+'BULLTEIN DE PAIE MOIS 12'!J169</f>
        <v>0</v>
      </c>
      <c r="O7" s="68">
        <f t="shared" si="3"/>
        <v>164613.70999999996</v>
      </c>
      <c r="P7" s="68">
        <f>'IR CALCULE'!N7</f>
        <v>164613.71</v>
      </c>
      <c r="Q7" s="68">
        <f t="shared" si="4"/>
        <v>0</v>
      </c>
    </row>
    <row r="8" spans="1:17" ht="15.75" thickBot="1">
      <c r="A8" s="3" t="s">
        <v>20</v>
      </c>
      <c r="B8" s="81">
        <f>'BULLTEIN DE PAIE MOIS 01'!I213+'BULLTEIN DE PAIE MOIS 02'!I213+'BULLTEIN DE PAIE MOIS 03'!I213+'BULLTEIN DE PAIE MOIS 04'!I213+'BULLTEIN DE PAIE MOIS 05'!I213+'BULLTEIN DE PAIE MOIS 06'!I213+'BULLTEIN DE PAIE MOIS 07'!I213+'BULLTEIN DE PAIE MOIS 08'!I213+'BULLTEIN DE PAIE MOIS 09'!I213+'BULLTEIN DE PAIE MOIS 10'!I213+'BULLTEIN DE PAIE MOIS 11'!I213+'BULLTEIN DE PAIE MOIS 12'!I213</f>
        <v>149750.78949999996</v>
      </c>
      <c r="C8" s="64">
        <f>'BULLTEIN DE PAIE MOIS 01'!J214+'BULLTEIN DE PAIE MOIS 02'!J214+'BULLTEIN DE PAIE MOIS 03'!J214+'BULLTEIN DE PAIE MOIS 04'!J214+'BULLTEIN DE PAIE MOIS 05'!J214+'BULLTEIN DE PAIE MOIS 06'!J214+'BULLTEIN DE PAIE MOIS 07'!J214+'BULLTEIN DE PAIE MOIS 08'!J214+'BULLTEIN DE PAIE MOIS 09'!J214+'BULLTEIN DE PAIE MOIS 10'!J214+'BULLTEIN DE PAIE MOIS 11'!J214+'BULLTEIN DE PAIE MOIS 12'!J214</f>
        <v>3225.6000000000008</v>
      </c>
      <c r="D8" s="64">
        <f>'BULLTEIN DE PAIE MOIS 01'!J215+'BULLTEIN DE PAIE MOIS 02'!J215+'BULLTEIN DE PAIE MOIS 03'!J215+'BULLTEIN DE PAIE MOIS 04'!J215+'BULLTEIN DE PAIE MOIS 05'!J215+'BULLTEIN DE PAIE MOIS 06'!J215+'BULLTEIN DE PAIE MOIS 07'!J215+'BULLTEIN DE PAIE MOIS 08'!J215+'BULLTEIN DE PAIE MOIS 09'!J215+'BULLTEIN DE PAIE MOIS 10'!J215+'BULLTEIN DE PAIE MOIS 11'!J215+'BULLTEIN DE PAIE MOIS 12'!J215</f>
        <v>0</v>
      </c>
      <c r="E8" s="64">
        <f>'BULLTEIN DE PAIE MOIS 01'!J216+'BULLTEIN DE PAIE MOIS 02'!J216+'BULLTEIN DE PAIE MOIS 03'!J216+'BULLTEIN DE PAIE MOIS 04'!J216+'BULLTEIN DE PAIE MOIS 05'!J216+'BULLTEIN DE PAIE MOIS 06'!J216+'BULLTEIN DE PAIE MOIS 07'!J216+'BULLTEIN DE PAIE MOIS 08'!J216+'BULLTEIN DE PAIE MOIS 09'!J216+'BULLTEIN DE PAIE MOIS 10'!J215+'BULLTEIN DE PAIE MOIS 11'!J215+'BULLTEIN DE PAIE MOIS 12'!J215</f>
        <v>0</v>
      </c>
      <c r="F8" s="64">
        <f>'BULLTEIN DE PAIE MOIS 01'!J220+'BULLTEIN DE PAIE MOIS 02'!J220+'BULLTEIN DE PAIE MOIS 03'!J220+'BULLTEIN DE PAIE MOIS 04'!J220+'BULLTEIN DE PAIE MOIS 05'!J220+'BULLTEIN DE PAIE MOIS 06'!J220+'BULLTEIN DE PAIE MOIS 07'!J220+'BULLTEIN DE PAIE MOIS 08'!J220+'BULLTEIN DE PAIE MOIS 09'!J220+'BULLTEIN DE PAIE MOIS 10'!J220+'BULLTEIN DE PAIE MOIS 11'!J220+'BULLTEIN DE PAIE MOIS 12'!J220</f>
        <v>3384.3678427000004</v>
      </c>
      <c r="G8" s="64"/>
      <c r="H8" s="64">
        <f>+'BULLTEIN DE PAIE MOIS 01'!J224+'BULLTEIN DE PAIE MOIS 02'!J224+'BULLTEIN DE PAIE MOIS 03'!J224+'BULLTEIN DE PAIE MOIS 04'!J224+'BULLTEIN DE PAIE MOIS 05'!J224+'BULLTEIN DE PAIE MOIS 06'!J224+'BULLTEIN DE PAIE MOIS 07'!J224+'BULLTEIN DE PAIE MOIS 08'!J224+'BULLTEIN DE PAIE MOIS 09'!J224+'BULLTEIN DE PAIE MOIS 10'!J224+'BULLTEIN DE PAIE MOIS 11'!J224+'BULLTEIN DE PAIE MOIS 12'!J224</f>
        <v>29625.57</v>
      </c>
      <c r="I8" s="64">
        <f t="shared" si="0"/>
        <v>113515.25165729993</v>
      </c>
      <c r="J8" s="64">
        <f>+'BULLTEIN DE PAIE MOIS 01'!I226+'BULLTEIN DE PAIE MOIS 02'!I226+'BULLTEIN DE PAIE MOIS 03'!I226+'BULLTEIN DE PAIE MOIS 04'!I226+'BULLTEIN DE PAIE MOIS 05'!I226+'BULLTEIN DE PAIE MOIS 06'!I226+'BULLTEIN DE PAIE MOIS 07'!I226+'BULLTEIN DE PAIE MOIS 08'!I226+'BULLTEIN DE PAIE MOIS 09'!I226+'BULLTEIN DE PAIE MOIS 10'!I226+'BULLTEIN DE PAIE MOIS 11'!I226+'BULLTEIN DE PAIE MOIS 12'!I226</f>
        <v>0</v>
      </c>
      <c r="K8" s="64">
        <f t="shared" si="1"/>
        <v>113515.25165729993</v>
      </c>
      <c r="L8" s="64" t="str">
        <f>+Barème!A18</f>
        <v>[80 000 ;180 000[</v>
      </c>
      <c r="M8" s="64">
        <f t="shared" si="2"/>
        <v>21395.18556348198</v>
      </c>
      <c r="N8" s="64">
        <f>+'BULLTEIN DE PAIE MOIS 01'!J229+'BULLTEIN DE PAIE MOIS 02'!J229+'BULLTEIN DE PAIE MOIS 03'!J229+'BULLTEIN DE PAIE MOIS 04'!J229+'BULLTEIN DE PAIE MOIS 05'!J229+'BULLTEIN DE PAIE MOIS 06'!J229+'BULLTEIN DE PAIE MOIS 07'!J229+'BULLTEIN DE PAIE MOIS 08'!J229+'BULLTEIN DE PAIE MOIS 09'!J229+'BULLTEIN DE PAIE MOIS 10'!J229+'BULLTEIN DE PAIE MOIS 11'!J229+'BULLTEIN DE PAIE MOIS 12'!J229</f>
        <v>1080</v>
      </c>
      <c r="O8" s="68">
        <f t="shared" si="3"/>
        <v>20315.18556348198</v>
      </c>
      <c r="P8" s="68">
        <f>'IR CALCULE'!N8</f>
        <v>20315.185563482006</v>
      </c>
      <c r="Q8" s="68">
        <f t="shared" si="4"/>
        <v>0</v>
      </c>
    </row>
    <row r="9" spans="1:17" ht="15.75" thickBot="1">
      <c r="A9" s="3" t="s">
        <v>19</v>
      </c>
      <c r="B9" s="83">
        <f>'BULLTEIN DE PAIE MOIS 01'!I273+'BULLTEIN DE PAIE MOIS 02'!I273+'BULLTEIN DE PAIE MOIS 03'!I273+'BULLTEIN DE PAIE MOIS 04'!I273+'BULLTEIN DE PAIE MOIS 05'!I273+'BULLTEIN DE PAIE MOIS 06'!I273+'BULLTEIN DE PAIE MOIS 07'!I273+'BULLTEIN DE PAIE MOIS 08'!I273+'BULLTEIN DE PAIE MOIS 09'!I273+'BULLTEIN DE PAIE MOIS 10'!I273+'BULLTEIN DE PAIE MOIS 11'!I273+'BULLTEIN DE PAIE MOIS 12'!I273</f>
        <v>41459.019</v>
      </c>
      <c r="C9" s="64">
        <f>'BULLTEIN DE PAIE MOIS 01'!J274+'BULLTEIN DE PAIE MOIS 02'!J274+'BULLTEIN DE PAIE MOIS 03'!J274+'BULLTEIN DE PAIE MOIS 04'!J274+'BULLTEIN DE PAIE MOIS 05'!J274+'BULLTEIN DE PAIE MOIS 06'!J274+'BULLTEIN DE PAIE MOIS 07'!J274+'BULLTEIN DE PAIE MOIS 08'!J274+'BULLTEIN DE PAIE MOIS 09'!J274+'BULLTEIN DE PAIE MOIS 10'!J274+'BULLTEIN DE PAIE MOIS 11'!J274+'BULLTEIN DE PAIE MOIS 12'!J274</f>
        <v>1857.3640512000006</v>
      </c>
      <c r="D9" s="64">
        <f>+'BULLTEIN DE PAIE MOIS 01'!J275+'BULLTEIN DE PAIE MOIS 02'!J275+'BULLTEIN DE PAIE MOIS 03'!J275+'BULLTEIN DE PAIE MOIS 04'!J275+'BULLTEIN DE PAIE MOIS 05'!J275+'BULLTEIN DE PAIE MOIS 06'!J275+'BULLTEIN DE PAIE MOIS 07'!J275+'BULLTEIN DE PAIE MOIS 08'!J275+'BULLTEIN DE PAIE MOIS 09'!J275+'BULLTEIN DE PAIE MOIS 10'!J275+'BULLTEIN DE PAIE MOIS 11'!J275+'BULLTEIN DE PAIE MOIS 12'!J275</f>
        <v>0</v>
      </c>
      <c r="E9" s="64">
        <f>+'BULLTEIN DE PAIE MOIS 01'!J276+'BULLTEIN DE PAIE MOIS 02'!J276+'BULLTEIN DE PAIE MOIS 03'!J276+'BULLTEIN DE PAIE MOIS 04'!J276+'BULLTEIN DE PAIE MOIS 05'!J276+'BULLTEIN DE PAIE MOIS 06'!J276+'BULLTEIN DE PAIE MOIS 07'!J276+'BULLTEIN DE PAIE MOIS 08'!J276+'BULLTEIN DE PAIE MOIS 09'!J276+'BULLTEIN DE PAIE MOIS 10'!J276+'BULLTEIN DE PAIE MOIS 11'!J276+'BULLTEIN DE PAIE MOIS 11'!J276</f>
        <v>0</v>
      </c>
      <c r="F9" s="64">
        <f>+'BULLTEIN DE PAIE MOIS 01'!J280+'BULLTEIN DE PAIE MOIS 02'!J280+'BULLTEIN DE PAIE MOIS 03'!J280+'BULLTEIN DE PAIE MOIS 04'!J280+'BULLTEIN DE PAIE MOIS 05'!J280+'BULLTEIN DE PAIE MOIS 06'!J280+'BULLTEIN DE PAIE MOIS 07'!J280+'BULLTEIN DE PAIE MOIS 08'!J280+'BULLTEIN DE PAIE MOIS 09'!J280+'BULLTEIN DE PAIE MOIS 10'!J280+'BULLTEIN DE PAIE MOIS 11'!J280+'BULLTEIN DE PAIE MOIS 12'!J280</f>
        <v>936.97382939999989</v>
      </c>
      <c r="G9" s="64"/>
      <c r="H9" s="64">
        <f>+'BULLTEIN DE PAIE MOIS 01'!J284+'BULLTEIN DE PAIE MOIS 02'!J284+'BULLTEIN DE PAIE MOIS 03'!J284+'BULLTEIN DE PAIE MOIS 04'!J284+'BULLTEIN DE PAIE MOIS 05'!J284+'BULLTEIN DE PAIE MOIS 06'!J284+'BULLTEIN DE PAIE MOIS 07'!J284+'BULLTEIN DE PAIE MOIS 08'!J284+'BULLTEIN DE PAIE MOIS 09'!J284+'BULLTEIN DE PAIE MOIS 10'!J284+'BULLTEIN DE PAIE MOIS 11'!J284+'BULLTEIN DE PAIE MOIS 12'!J284</f>
        <v>8291.8038000000015</v>
      </c>
      <c r="I9" s="64">
        <f>B9-C9-F9-H9</f>
        <v>30372.877319400002</v>
      </c>
      <c r="J9" s="64">
        <f>+'BULLTEIN DE PAIE MOIS 01'!I286+'BULLTEIN DE PAIE MOIS 02'!I286+'BULLTEIN DE PAIE MOIS 03'!I286+'BULLTEIN DE PAIE MOIS 04'!I286+'BULLTEIN DE PAIE MOIS 05'!I286+'BULLTEIN DE PAIE MOIS 06'!I286+'BULLTEIN DE PAIE MOIS 07'!I286+'BULLTEIN DE PAIE MOIS 08'!I286+'BULLTEIN DE PAIE MOIS 09'!I286+'BULLTEIN DE PAIE MOIS 10'!I286+'BULLTEIN DE PAIE MOIS 11'!I286+'BULLTEIN DE PAIE MOIS 12'!I286</f>
        <v>0</v>
      </c>
      <c r="K9" s="64">
        <f t="shared" si="1"/>
        <v>30372.877319400002</v>
      </c>
      <c r="L9" s="64" t="str">
        <f>Barème!A15</f>
        <v>[30 000 ;50 000[</v>
      </c>
      <c r="M9" s="64">
        <f t="shared" si="2"/>
        <v>37.287731940000413</v>
      </c>
      <c r="N9" s="64">
        <f>'BULLTEIN DE PAIE MOIS 01'!J289+'BULLTEIN DE PAIE MOIS 02'!J289+'BULLTEIN DE PAIE MOIS 03'!J289+'BULLTEIN DE PAIE MOIS 04'!J289+'BULLTEIN DE PAIE MOIS 05'!J289+'BULLTEIN DE PAIE MOIS 06'!J289+'BULLTEIN DE PAIE MOIS 07'!J289+'BULLTEIN DE PAIE MOIS 08'!J289+'BULLTEIN DE PAIE MOIS 09'!J289+'BULLTEIN DE PAIE MOIS 10'!J289+'BULLTEIN DE PAIE MOIS 11'!J289+'BULLTEIN DE PAIE MOIS 12'!J289</f>
        <v>0</v>
      </c>
      <c r="O9" s="82">
        <f>M9-N9</f>
        <v>37.287731940000413</v>
      </c>
      <c r="P9" s="68">
        <f>'IR CALCULE'!N9</f>
        <v>264.70438914000044</v>
      </c>
      <c r="Q9" s="68">
        <f t="shared" si="4"/>
        <v>-227.41665720000003</v>
      </c>
    </row>
    <row r="10" spans="1:17" ht="15.75" thickBot="1">
      <c r="A10" s="3" t="s">
        <v>18</v>
      </c>
      <c r="B10" s="69">
        <f>'BULLTEIN DE PAIE MOIS 01'!I333+'BULLTEIN DE PAIE MOIS 02'!I333+'BULLTEIN DE PAIE MOIS 03'!I333+'BULLTEIN DE PAIE MOIS 04'!I333+'BULLTEIN DE PAIE MOIS 05'!I333+'BULLTEIN DE PAIE MOIS 06'!I333+'BULLTEIN DE PAIE MOIS 07'!I333+'BULLTEIN DE PAIE MOIS 08'!I333+'BULLTEIN DE PAIE MOIS 09'!I333+'BULLTEIN DE PAIE MOIS 10'!I333+'BULLTEIN DE PAIE MOIS 11'!I333+'BULLTEIN DE PAIE MOIS 12'!I333</f>
        <v>33693.599999999999</v>
      </c>
      <c r="C10" s="64">
        <f>'BULLTEIN DE PAIE MOIS 01'!J334+'BULLTEIN DE PAIE MOIS 02'!J334+'BULLTEIN DE PAIE MOIS 03'!J334+'BULLTEIN DE PAIE MOIS 04'!J334+'BULLTEIN DE PAIE MOIS 05'!J334+'BULLTEIN DE PAIE MOIS 06'!J334+'BULLTEIN DE PAIE MOIS 07'!J334+'BULLTEIN DE PAIE MOIS 08'!J334+'BULLTEIN DE PAIE MOIS 09'!J334+'BULLTEIN DE PAIE MOIS 10'!J334+'BULLTEIN DE PAIE MOIS 11'!J334+'BULLTEIN DE PAIE MOIS 12'!J334</f>
        <v>1509.4732800000004</v>
      </c>
      <c r="D10" s="64">
        <f>'BULLTEIN DE PAIE MOIS 01'!J335+'BULLTEIN DE PAIE MOIS 02'!J335+'BULLTEIN DE PAIE MOIS 03'!J335+'BULLTEIN DE PAIE MOIS 04'!J335+'BULLTEIN DE PAIE MOIS 05'!J335+'BULLTEIN DE PAIE MOIS 06'!J335+'BULLTEIN DE PAIE MOIS 07'!J335+'BULLTEIN DE PAIE MOIS 08'!J335+'BULLTEIN DE PAIE MOIS 09'!J335+'BULLTEIN DE PAIE MOIS 10'!J335+'BULLTEIN DE PAIE MOIS 11'!J335+'BULLTEIN DE PAIE MOIS 12'!J335</f>
        <v>0</v>
      </c>
      <c r="E10" s="64">
        <f>'BULLTEIN DE PAIE MOIS 01'!J336+'BULLTEIN DE PAIE MOIS 02'!J336+'BULLTEIN DE PAIE MOIS 03'!J336+'BULLTEIN DE PAIE MOIS 04'!J336+'BULLTEIN DE PAIE MOIS 05'!J336+'BULLTEIN DE PAIE MOIS 06'!J336+'BULLTEIN DE PAIE MOIS 07'!J336+'BULLTEIN DE PAIE MOIS 08'!J336+'BULLTEIN DE PAIE MOIS 09'!J336+'BULLTEIN DE PAIE MOIS 10'!J336+'BULLTEIN DE PAIE MOIS 11'!J336+'BULLTEIN DE PAIE MOIS 12'!J336</f>
        <v>0</v>
      </c>
      <c r="F10" s="64">
        <f>'BULLTEIN DE PAIE MOIS 01'!J340+'BULLTEIN DE PAIE MOIS 02'!J340+'BULLTEIN DE PAIE MOIS 03'!J340+'BULLTEIN DE PAIE MOIS 04'!J340+'BULLTEIN DE PAIE MOIS 05'!J340+'BULLTEIN DE PAIE MOIS 06'!J340+'BULLTEIN DE PAIE MOIS 07'!J340+'BULLTEIN DE PAIE MOIS 08'!J340+'BULLTEIN DE PAIE MOIS 09'!J340+'BULLTEIN DE PAIE MOIS 10'!J340+'BULLTEIN DE PAIE MOIS 11'!J340+'BULLTEIN DE PAIE MOIS 12'!J340</f>
        <v>761.47536000000002</v>
      </c>
      <c r="G10" s="64"/>
      <c r="H10" s="64">
        <f>'BULLTEIN DE PAIE MOIS 01'!J344+'BULLTEIN DE PAIE MOIS 02'!J344+'BULLTEIN DE PAIE MOIS 03'!J344+'BULLTEIN DE PAIE MOIS 04'!J344+'BULLTEIN DE PAIE MOIS 05'!J344+'BULLTEIN DE PAIE MOIS 06'!J344+'BULLTEIN DE PAIE MOIS 07'!J344+'BULLTEIN DE PAIE MOIS 08'!J344+'BULLTEIN DE PAIE MOIS 09'!J344+'BULLTEIN DE PAIE MOIS 10'!J344+'BULLTEIN DE PAIE MOIS 11'!J344+'BULLTEIN DE PAIE MOIS 12'!J344</f>
        <v>6738.7200000000021</v>
      </c>
      <c r="I10" s="64">
        <f t="shared" si="0"/>
        <v>24683.931359999995</v>
      </c>
      <c r="J10" s="64">
        <f>'BULLTEIN DE PAIE MOIS 01'!I346+'BULLTEIN DE PAIE MOIS 02'!I346+'BULLTEIN DE PAIE MOIS 03'!I346+'BULLTEIN DE PAIE MOIS 04'!I346+'BULLTEIN DE PAIE MOIS 05'!I346+'BULLTEIN DE PAIE MOIS 06'!I346+'BULLTEIN DE PAIE MOIS 07'!I346+'BULLTEIN DE PAIE MOIS 08'!I346+'BULLTEIN DE PAIE MOIS 09'!I346+'BULLTEIN DE PAIE MOIS 10'!I346+'BULLTEIN DE PAIE MOIS 11'!I346+'BULLTEIN DE PAIE MOIS 12'!I346</f>
        <v>0</v>
      </c>
      <c r="K10" s="64">
        <f t="shared" si="1"/>
        <v>24683.931359999995</v>
      </c>
      <c r="L10" s="64" t="str">
        <f>Barème!A14</f>
        <v>[0 ;30 000[</v>
      </c>
      <c r="M10" s="64">
        <f t="shared" si="2"/>
        <v>8392.536662399998</v>
      </c>
      <c r="N10" s="64">
        <f>'BULLTEIN DE PAIE MOIS 01'!J349+'BULLTEIN DE PAIE MOIS 02'!J349+'BULLTEIN DE PAIE MOIS 03'!J349+'BULLTEIN DE PAIE MOIS 04'!J349+'BULLTEIN DE PAIE MOIS 05'!J349+'BULLTEIN DE PAIE MOIS 06'!J349+'BULLTEIN DE PAIE MOIS 07'!J349+'BULLTEIN DE PAIE MOIS 08'!J349+'BULLTEIN DE PAIE MOIS 09'!J349+'BULLTEIN DE PAIE MOIS 10'!J349+'BULLTEIN DE PAIE MOIS 11'!J349+'BULLTEIN DE PAIE MOIS 12'!J349</f>
        <v>0</v>
      </c>
      <c r="O10" s="68">
        <f t="shared" si="3"/>
        <v>8392.536662399998</v>
      </c>
      <c r="P10" s="68">
        <f>'IR CALCULE'!N10</f>
        <v>0</v>
      </c>
      <c r="Q10" s="68">
        <f t="shared" si="4"/>
        <v>8392.536662399998</v>
      </c>
    </row>
    <row r="11" spans="1:17" ht="15.75" thickBot="1">
      <c r="A11" s="3" t="s">
        <v>2</v>
      </c>
      <c r="B11" s="80">
        <f>'BULLTEIN DE PAIE MOIS 01'!I393+'BULLTEIN DE PAIE MOIS 02'!I393+'BULLTEIN DE PAIE MOIS 03'!I393+'BULLTEIN DE PAIE MOIS 04'!I393+'BULLTEIN DE PAIE MOIS 05'!I393+'BULLTEIN DE PAIE MOIS 06'!I393+'BULLTEIN DE PAIE MOIS 07'!I393+'BULLTEIN DE PAIE MOIS 08'!I393+'BULLTEIN DE PAIE MOIS 09'!I393+'BULLTEIN DE PAIE MOIS 10'!I393+'BULLTEIN DE PAIE MOIS 11'!I393+'BULLTEIN DE PAIE MOIS 12'!I393</f>
        <v>43987.19999999999</v>
      </c>
      <c r="C11" s="69">
        <f>'BULLTEIN DE PAIE MOIS 01'!J394+'BULLTEIN DE PAIE MOIS 02'!J394+'BULLTEIN DE PAIE MOIS 03'!J394+'BULLTEIN DE PAIE MOIS 04'!J394+'BULLTEIN DE PAIE MOIS 05'!J394+'BULLTEIN DE PAIE MOIS 06'!J394+'BULLTEIN DE PAIE MOIS 07'!J394+'BULLTEIN DE PAIE MOIS 08'!J394+'BULLTEIN DE PAIE MOIS 09'!J394+'BULLTEIN DE PAIE MOIS 10'!J394+'BULLTEIN DE PAIE MOIS 11'!J394+'BULLTEIN DE PAIE MOIS 12'!J394</f>
        <v>1970.6265600000008</v>
      </c>
      <c r="D11" s="69">
        <f>'BULLTEIN DE PAIE MOIS 01'!J395+'BULLTEIN DE PAIE MOIS 02'!J395+'BULLTEIN DE PAIE MOIS 03'!J395+'BULLTEIN DE PAIE MOIS 04'!J395+'BULLTEIN DE PAIE MOIS 05'!J395+'BULLTEIN DE PAIE MOIS 06'!J395+'BULLTEIN DE PAIE MOIS 07'!J395+'BULLTEIN DE PAIE MOIS 08'!J395+'BULLTEIN DE PAIE MOIS 09'!J395+'BULLTEIN DE PAIE MOIS 10'!J395+'BULLTEIN DE PAIE MOIS 11'!J395+'BULLTEIN DE PAIE MOIS 12'!J395</f>
        <v>0</v>
      </c>
      <c r="E11" s="69">
        <f>'BULLTEIN DE PAIE MOIS 01'!J396+'BULLTEIN DE PAIE MOIS 02'!J396+'BULLTEIN DE PAIE MOIS 03'!J396+'BULLTEIN DE PAIE MOIS 04'!J397+'BULLTEIN DE PAIE MOIS 05'!J396+'BULLTEIN DE PAIE MOIS 06'!J396+'BULLTEIN DE PAIE MOIS 07'!J396+'BULLTEIN DE PAIE MOIS 08'!J396+'BULLTEIN DE PAIE MOIS 09'!J396+'BULLTEIN DE PAIE MOIS 10'!J396+'BULLTEIN DE PAIE MOIS 11'!J396+'BULLTEIN DE PAIE MOIS 12'!J396</f>
        <v>0</v>
      </c>
      <c r="F11" s="69">
        <f>'BULLTEIN DE PAIE MOIS 01'!J400+'BULLTEIN DE PAIE MOIS 02'!J400+'BULLTEIN DE PAIE MOIS 03'!J400+'BULLTEIN DE PAIE MOIS 04'!J400+'BULLTEIN DE PAIE MOIS 05'!J400+'BULLTEIN DE PAIE MOIS 06'!J400+'BULLTEIN DE PAIE MOIS 07'!J400+'BULLTEIN DE PAIE MOIS 08'!J400+'BULLTEIN DE PAIE MOIS 09'!J400+'BULLTEIN DE PAIE MOIS 10'!J400+'BULLTEIN DE PAIE MOIS 11'!J400+'BULLTEIN DE PAIE MOIS 12'!J400</f>
        <v>994.11072000000024</v>
      </c>
      <c r="G11" s="69"/>
      <c r="H11" s="69">
        <f>'BULLTEIN DE PAIE MOIS 01'!J404+'BULLTEIN DE PAIE MOIS 02'!J404+'BULLTEIN DE PAIE MOIS 03'!J404+'BULLTEIN DE PAIE MOIS 04'!J404+'BULLTEIN DE PAIE MOIS 05'!J404+'BULLTEIN DE PAIE MOIS 06'!J404+'BULLTEIN DE PAIE MOIS 07'!J404+'BULLTEIN DE PAIE MOIS 08'!J404+'BULLTEIN DE PAIE MOIS 09'!J404+'BULLTEIN DE PAIE MOIS 10'!J404+'BULLTEIN DE PAIE MOIS 11'!J404+'BULLTEIN DE PAIE MOIS 12'!J404</f>
        <v>8797.44</v>
      </c>
      <c r="I11" s="69">
        <f t="shared" si="0"/>
        <v>32225.022719999986</v>
      </c>
      <c r="J11" s="69">
        <f>'BULLTEIN DE PAIE MOIS 01'!I406+'BULLTEIN DE PAIE MOIS 02'!I406+'BULLTEIN DE PAIE MOIS 03'!I406+'BULLTEIN DE PAIE MOIS 04'!I406+'BULLTEIN DE PAIE MOIS 05'!I406+'BULLTEIN DE PAIE MOIS 06'!I406+'BULLTEIN DE PAIE MOIS 07'!I406+'BULLTEIN DE PAIE MOIS 08'!I406+'BULLTEIN DE PAIE MOIS 09'!I406+'BULLTEIN DE PAIE MOIS 10'!I406+'BULLTEIN DE PAIE MOIS 11'!I406+'BULLTEIN DE PAIE MOIS 12'!I406</f>
        <v>0</v>
      </c>
      <c r="K11" s="69">
        <f t="shared" si="1"/>
        <v>32225.022719999986</v>
      </c>
      <c r="L11" s="69" t="str">
        <f>Barème!A15</f>
        <v>[30 000 ;50 000[</v>
      </c>
      <c r="M11" s="64">
        <f t="shared" si="2"/>
        <v>222.50227199999881</v>
      </c>
      <c r="N11" s="69">
        <v>0</v>
      </c>
      <c r="O11" s="70">
        <f t="shared" si="3"/>
        <v>222.50227199999881</v>
      </c>
      <c r="P11" s="70">
        <f>'IR CALCULE'!N11</f>
        <v>222.50227199999995</v>
      </c>
      <c r="Q11" s="70">
        <f t="shared" si="4"/>
        <v>-1.1368683772161603E-12</v>
      </c>
    </row>
  </sheetData>
  <mergeCells count="1">
    <mergeCell ref="C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17"/>
  <sheetViews>
    <sheetView workbookViewId="0">
      <selection activeCell="I273" sqref="I273"/>
    </sheetView>
  </sheetViews>
  <sheetFormatPr baseColWidth="10" defaultRowHeight="15"/>
  <sheetData>
    <row r="1" spans="1:12">
      <c r="A1" s="105" t="s">
        <v>26</v>
      </c>
      <c r="B1" s="105"/>
      <c r="C1" s="105" t="s">
        <v>27</v>
      </c>
      <c r="D1" s="105"/>
      <c r="E1" s="105"/>
      <c r="F1" s="105"/>
      <c r="G1" s="105" t="s">
        <v>28</v>
      </c>
      <c r="H1" s="105"/>
      <c r="I1" s="105"/>
      <c r="J1" s="105" t="s">
        <v>29</v>
      </c>
      <c r="K1" s="105"/>
      <c r="L1" s="105"/>
    </row>
    <row r="2" spans="1:12">
      <c r="A2" s="13" t="s">
        <v>30</v>
      </c>
      <c r="B2" s="104" t="s">
        <v>31</v>
      </c>
      <c r="C2" s="104"/>
      <c r="D2" s="104"/>
      <c r="E2" s="104"/>
      <c r="F2" s="104"/>
      <c r="G2" s="104" t="s">
        <v>32</v>
      </c>
      <c r="H2" s="104"/>
      <c r="I2" s="104"/>
      <c r="J2" s="104"/>
      <c r="K2" s="104"/>
      <c r="L2" s="104"/>
    </row>
    <row r="3" spans="1:12">
      <c r="A3" s="15">
        <v>1</v>
      </c>
      <c r="B3" s="102" t="s">
        <v>33</v>
      </c>
      <c r="C3" s="102"/>
      <c r="D3" s="102"/>
      <c r="E3" s="102"/>
      <c r="F3" s="102"/>
      <c r="G3" s="103">
        <v>42370</v>
      </c>
      <c r="H3" s="103"/>
      <c r="I3" s="103"/>
      <c r="J3" s="103">
        <v>42399</v>
      </c>
      <c r="K3" s="103"/>
      <c r="L3" s="103"/>
    </row>
    <row r="4" spans="1:12">
      <c r="A4" s="13" t="s">
        <v>34</v>
      </c>
      <c r="B4" s="13" t="s">
        <v>35</v>
      </c>
      <c r="C4" s="13" t="s">
        <v>36</v>
      </c>
      <c r="D4" s="13" t="s">
        <v>37</v>
      </c>
      <c r="E4" s="13" t="s">
        <v>38</v>
      </c>
      <c r="F4" s="13" t="s">
        <v>39</v>
      </c>
      <c r="G4" s="104" t="s">
        <v>40</v>
      </c>
      <c r="H4" s="104"/>
      <c r="I4" s="104"/>
      <c r="J4" s="104"/>
      <c r="K4" s="104"/>
      <c r="L4" s="104"/>
    </row>
    <row r="5" spans="1:12">
      <c r="A5" s="17">
        <v>41501</v>
      </c>
      <c r="B5" s="15"/>
      <c r="C5" s="17">
        <v>24624</v>
      </c>
      <c r="D5" s="15" t="s">
        <v>41</v>
      </c>
      <c r="E5" s="15">
        <v>0</v>
      </c>
      <c r="F5" s="15">
        <v>0</v>
      </c>
      <c r="G5" s="102"/>
      <c r="H5" s="102"/>
      <c r="I5" s="102"/>
      <c r="J5" s="102"/>
      <c r="K5" s="102"/>
      <c r="L5" s="102"/>
    </row>
    <row r="6" spans="1:12">
      <c r="A6" s="13" t="s">
        <v>42</v>
      </c>
      <c r="B6" s="13" t="s">
        <v>43</v>
      </c>
      <c r="C6" s="13" t="s">
        <v>44</v>
      </c>
      <c r="D6" s="104" t="s">
        <v>45</v>
      </c>
      <c r="E6" s="104"/>
      <c r="F6" s="104"/>
      <c r="G6" s="104" t="s">
        <v>46</v>
      </c>
      <c r="H6" s="104"/>
      <c r="I6" s="104"/>
      <c r="J6" s="104"/>
      <c r="K6" s="104"/>
      <c r="L6" s="104"/>
    </row>
    <row r="7" spans="1:12">
      <c r="A7" s="15">
        <v>189838836</v>
      </c>
      <c r="B7" s="15"/>
      <c r="C7" s="15"/>
      <c r="D7" s="102" t="s">
        <v>47</v>
      </c>
      <c r="E7" s="102"/>
      <c r="F7" s="102"/>
      <c r="G7" s="102" t="s">
        <v>48</v>
      </c>
      <c r="H7" s="102"/>
      <c r="I7" s="102"/>
      <c r="J7" s="102"/>
      <c r="K7" s="102"/>
      <c r="L7" s="102"/>
    </row>
    <row r="8" spans="1:1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108" t="s">
        <v>49</v>
      </c>
      <c r="B11" s="108"/>
      <c r="C11" s="108"/>
      <c r="D11" s="108"/>
      <c r="E11" s="108"/>
      <c r="F11" s="108"/>
      <c r="G11" s="108" t="s">
        <v>50</v>
      </c>
      <c r="H11" s="108" t="s">
        <v>51</v>
      </c>
      <c r="I11" s="108" t="s">
        <v>52</v>
      </c>
      <c r="J11" s="108"/>
      <c r="K11" s="108" t="s">
        <v>53</v>
      </c>
      <c r="L11" s="108"/>
    </row>
    <row r="12" spans="1:12">
      <c r="A12" s="108"/>
      <c r="B12" s="108"/>
      <c r="C12" s="108"/>
      <c r="D12" s="108"/>
      <c r="E12" s="108"/>
      <c r="F12" s="108"/>
      <c r="G12" s="108"/>
      <c r="H12" s="108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>
      <c r="A13" s="106" t="s">
        <v>58</v>
      </c>
      <c r="B13" s="106"/>
      <c r="C13" s="106"/>
      <c r="D13" s="106"/>
      <c r="E13" s="106"/>
      <c r="F13" s="106"/>
      <c r="G13" s="21">
        <v>12255.93</v>
      </c>
      <c r="H13" s="22"/>
      <c r="I13" s="21"/>
      <c r="J13" s="21"/>
      <c r="K13" s="21"/>
      <c r="L13" s="21"/>
    </row>
    <row r="14" spans="1:12">
      <c r="A14" s="106" t="s">
        <v>59</v>
      </c>
      <c r="B14" s="106"/>
      <c r="C14" s="106"/>
      <c r="D14" s="106"/>
      <c r="E14" s="106"/>
      <c r="F14" s="106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>
      <c r="A15" s="107" t="s">
        <v>60</v>
      </c>
      <c r="B15" s="107"/>
      <c r="C15" s="107"/>
      <c r="D15" s="107"/>
      <c r="E15" s="107"/>
      <c r="F15" s="107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>
      <c r="A16" s="107" t="s">
        <v>61</v>
      </c>
      <c r="B16" s="107"/>
      <c r="C16" s="107"/>
      <c r="D16" s="107"/>
      <c r="E16" s="107"/>
      <c r="F16" s="107"/>
      <c r="G16" s="23"/>
      <c r="H16" s="24">
        <v>0</v>
      </c>
      <c r="I16" s="23">
        <f>G13/26*H16</f>
        <v>0</v>
      </c>
      <c r="J16" s="25"/>
      <c r="K16" s="26"/>
      <c r="L16" s="26"/>
    </row>
    <row r="17" spans="1:12">
      <c r="A17" s="107" t="s">
        <v>62</v>
      </c>
      <c r="B17" s="107"/>
      <c r="C17" s="107"/>
      <c r="D17" s="107"/>
      <c r="E17" s="107"/>
      <c r="F17" s="107"/>
      <c r="G17" s="23"/>
      <c r="H17" s="24">
        <v>0</v>
      </c>
      <c r="I17" s="23"/>
      <c r="J17" s="27">
        <f>G13/26*H17</f>
        <v>0</v>
      </c>
      <c r="K17" s="26"/>
      <c r="L17" s="26"/>
    </row>
    <row r="18" spans="1:12">
      <c r="A18" s="107" t="s">
        <v>63</v>
      </c>
      <c r="B18" s="107"/>
      <c r="C18" s="107"/>
      <c r="D18" s="107"/>
      <c r="E18" s="107"/>
      <c r="F18" s="107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>
      <c r="A19" s="107" t="s">
        <v>64</v>
      </c>
      <c r="B19" s="107"/>
      <c r="C19" s="107"/>
      <c r="D19" s="107"/>
      <c r="E19" s="107"/>
      <c r="F19" s="107"/>
      <c r="G19" s="23"/>
      <c r="H19" s="24">
        <v>0</v>
      </c>
      <c r="I19" s="23">
        <f>G13/26*H19</f>
        <v>0</v>
      </c>
      <c r="J19" s="25"/>
      <c r="K19" s="26"/>
      <c r="L19" s="26"/>
    </row>
    <row r="20" spans="1:12">
      <c r="A20" s="107" t="s">
        <v>65</v>
      </c>
      <c r="B20" s="107"/>
      <c r="C20" s="107"/>
      <c r="D20" s="107"/>
      <c r="E20" s="107"/>
      <c r="F20" s="107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>
      <c r="A21" s="107" t="s">
        <v>66</v>
      </c>
      <c r="B21" s="107"/>
      <c r="C21" s="107"/>
      <c r="D21" s="107"/>
      <c r="E21" s="107"/>
      <c r="F21" s="107"/>
      <c r="G21" s="29"/>
      <c r="H21" s="30"/>
      <c r="I21" s="30"/>
      <c r="J21" s="25"/>
      <c r="K21" s="26"/>
      <c r="L21" s="26"/>
    </row>
    <row r="22" spans="1:12">
      <c r="A22" s="109">
        <v>0.25</v>
      </c>
      <c r="B22" s="109"/>
      <c r="C22" s="109"/>
      <c r="D22" s="109"/>
      <c r="E22" s="109"/>
      <c r="F22" s="109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>
      <c r="A23" s="109">
        <v>0.5</v>
      </c>
      <c r="B23" s="109"/>
      <c r="C23" s="109"/>
      <c r="D23" s="109"/>
      <c r="E23" s="109"/>
      <c r="F23" s="109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>
      <c r="A24" s="109">
        <v>1</v>
      </c>
      <c r="B24" s="109"/>
      <c r="C24" s="109"/>
      <c r="D24" s="109"/>
      <c r="E24" s="109"/>
      <c r="F24" s="109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>
      <c r="A25" s="106" t="s">
        <v>67</v>
      </c>
      <c r="B25" s="106"/>
      <c r="C25" s="106"/>
      <c r="D25" s="106"/>
      <c r="E25" s="106"/>
      <c r="F25" s="106"/>
      <c r="G25" s="21"/>
      <c r="H25" s="22"/>
      <c r="I25" s="21">
        <f>SUM(I26:I27)</f>
        <v>612.79650000000004</v>
      </c>
      <c r="J25" s="21"/>
      <c r="K25" s="21"/>
      <c r="L25" s="21"/>
    </row>
    <row r="26" spans="1:12">
      <c r="A26" s="107" t="s">
        <v>68</v>
      </c>
      <c r="B26" s="107"/>
      <c r="C26" s="107"/>
      <c r="D26" s="107"/>
      <c r="E26" s="107"/>
      <c r="F26" s="107"/>
      <c r="G26" s="23">
        <f>(G3-A5)/360</f>
        <v>2.4138888888888888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>
      <c r="A27" s="107" t="s">
        <v>69</v>
      </c>
      <c r="B27" s="107"/>
      <c r="C27" s="107"/>
      <c r="D27" s="107"/>
      <c r="E27" s="107"/>
      <c r="F27" s="107"/>
      <c r="G27" s="23"/>
      <c r="H27" s="24"/>
      <c r="I27" s="23"/>
      <c r="J27" s="25"/>
      <c r="K27" s="26"/>
      <c r="L27" s="26"/>
    </row>
    <row r="28" spans="1:12">
      <c r="A28" s="106" t="s">
        <v>70</v>
      </c>
      <c r="B28" s="106"/>
      <c r="C28" s="106"/>
      <c r="D28" s="106"/>
      <c r="E28" s="106"/>
      <c r="F28" s="106"/>
      <c r="G28" s="21"/>
      <c r="H28" s="22"/>
      <c r="I28" s="21">
        <f>SUM(I29:I31)</f>
        <v>5000</v>
      </c>
      <c r="J28" s="21"/>
      <c r="K28" s="21"/>
      <c r="L28" s="21"/>
    </row>
    <row r="29" spans="1:12">
      <c r="A29" s="107" t="s">
        <v>71</v>
      </c>
      <c r="B29" s="107"/>
      <c r="C29" s="107"/>
      <c r="D29" s="107"/>
      <c r="E29" s="107"/>
      <c r="F29" s="107"/>
      <c r="G29" s="23"/>
      <c r="H29" s="24"/>
      <c r="I29" s="23">
        <v>2500</v>
      </c>
      <c r="J29" s="25"/>
      <c r="K29" s="26"/>
      <c r="L29" s="26"/>
    </row>
    <row r="30" spans="1:12">
      <c r="A30" s="107" t="s">
        <v>72</v>
      </c>
      <c r="B30" s="107"/>
      <c r="C30" s="107"/>
      <c r="D30" s="107"/>
      <c r="E30" s="107"/>
      <c r="F30" s="107"/>
      <c r="G30" s="23"/>
      <c r="H30" s="31">
        <v>0</v>
      </c>
      <c r="I30" s="23">
        <v>2500</v>
      </c>
      <c r="J30" s="25"/>
      <c r="K30" s="26"/>
      <c r="L30" s="26"/>
    </row>
    <row r="31" spans="1:12">
      <c r="A31" s="107" t="s">
        <v>73</v>
      </c>
      <c r="B31" s="107"/>
      <c r="C31" s="107"/>
      <c r="D31" s="107"/>
      <c r="E31" s="107"/>
      <c r="F31" s="107"/>
      <c r="G31" s="23"/>
      <c r="H31" s="24"/>
      <c r="I31" s="23"/>
      <c r="J31" s="25"/>
      <c r="K31" s="26"/>
      <c r="L31" s="26"/>
    </row>
    <row r="32" spans="1:12">
      <c r="A32" s="111" t="s">
        <v>74</v>
      </c>
      <c r="B32" s="111"/>
      <c r="C32" s="111"/>
      <c r="D32" s="111"/>
      <c r="E32" s="111"/>
      <c r="F32" s="111"/>
      <c r="G32" s="32"/>
      <c r="H32" s="33"/>
      <c r="I32" s="32">
        <f>I14+I25+I28</f>
        <v>17868.726500000001</v>
      </c>
      <c r="J32" s="33"/>
      <c r="K32" s="33"/>
      <c r="L32" s="33"/>
    </row>
    <row r="33" spans="1:12">
      <c r="A33" s="111" t="s">
        <v>75</v>
      </c>
      <c r="B33" s="111"/>
      <c r="C33" s="111"/>
      <c r="D33" s="111"/>
      <c r="E33" s="111"/>
      <c r="F33" s="111"/>
      <c r="G33" s="32"/>
      <c r="H33" s="33"/>
      <c r="I33" s="32">
        <f>I32-I28</f>
        <v>12868.726500000001</v>
      </c>
      <c r="J33" s="33"/>
      <c r="K33" s="33"/>
      <c r="L33" s="33"/>
    </row>
    <row r="34" spans="1:12">
      <c r="A34" s="107" t="s">
        <v>76</v>
      </c>
      <c r="B34" s="107"/>
      <c r="C34" s="107"/>
      <c r="D34" s="107"/>
      <c r="E34" s="107"/>
      <c r="F34" s="107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>
      <c r="A35" s="107" t="s">
        <v>77</v>
      </c>
      <c r="B35" s="107"/>
      <c r="C35" s="107"/>
      <c r="D35" s="107"/>
      <c r="E35" s="107"/>
      <c r="F35" s="107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>
      <c r="A36" s="107" t="s">
        <v>78</v>
      </c>
      <c r="B36" s="107"/>
      <c r="C36" s="107"/>
      <c r="D36" s="107"/>
      <c r="E36" s="107"/>
      <c r="F36" s="107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>
      <c r="A37" s="107" t="s">
        <v>79</v>
      </c>
      <c r="B37" s="107"/>
      <c r="C37" s="107"/>
      <c r="D37" s="107"/>
      <c r="E37" s="107"/>
      <c r="F37" s="107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>
      <c r="A38" s="107" t="s">
        <v>80</v>
      </c>
      <c r="B38" s="107"/>
      <c r="C38" s="107"/>
      <c r="D38" s="107"/>
      <c r="E38" s="107"/>
      <c r="F38" s="107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>
      <c r="A39" s="107" t="s">
        <v>81</v>
      </c>
      <c r="B39" s="107"/>
      <c r="C39" s="107"/>
      <c r="D39" s="107"/>
      <c r="E39" s="107"/>
      <c r="F39" s="107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>
      <c r="A40" s="107" t="s">
        <v>24</v>
      </c>
      <c r="B40" s="107"/>
      <c r="C40" s="107"/>
      <c r="D40" s="107"/>
      <c r="E40" s="107"/>
      <c r="F40" s="107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>
      <c r="A41" s="110" t="s">
        <v>82</v>
      </c>
      <c r="B41" s="110"/>
      <c r="C41" s="110"/>
      <c r="D41" s="110"/>
      <c r="E41" s="110"/>
      <c r="F41" s="110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>
      <c r="A42" s="110" t="s">
        <v>83</v>
      </c>
      <c r="B42" s="110"/>
      <c r="C42" s="110"/>
      <c r="D42" s="110"/>
      <c r="E42" s="110"/>
      <c r="F42" s="110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>
      <c r="A43" s="106" t="s">
        <v>84</v>
      </c>
      <c r="B43" s="106"/>
      <c r="C43" s="106"/>
      <c r="D43" s="106"/>
      <c r="E43" s="106"/>
      <c r="F43" s="106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>
      <c r="A44" s="107" t="s">
        <v>85</v>
      </c>
      <c r="B44" s="107"/>
      <c r="C44" s="107"/>
      <c r="D44" s="107"/>
      <c r="E44" s="107"/>
      <c r="F44" s="107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>
      <c r="A45" s="111" t="s">
        <v>86</v>
      </c>
      <c r="B45" s="111"/>
      <c r="C45" s="111"/>
      <c r="D45" s="111"/>
      <c r="E45" s="111"/>
      <c r="F45" s="111"/>
      <c r="G45" s="32"/>
      <c r="H45" s="33"/>
      <c r="I45" s="32">
        <f>I33-J43-J44</f>
        <v>9423.0314861000006</v>
      </c>
      <c r="J45" s="33"/>
      <c r="K45" s="33"/>
      <c r="L45" s="33"/>
    </row>
    <row r="46" spans="1:12">
      <c r="A46" s="107" t="s">
        <v>87</v>
      </c>
      <c r="B46" s="107"/>
      <c r="C46" s="107"/>
      <c r="D46" s="107"/>
      <c r="E46" s="107"/>
      <c r="F46" s="107"/>
      <c r="G46" s="23"/>
      <c r="H46" s="34"/>
      <c r="I46" s="23">
        <f>H46*180/360</f>
        <v>0</v>
      </c>
      <c r="J46" s="23"/>
      <c r="K46" s="46"/>
      <c r="L46" s="47"/>
    </row>
    <row r="47" spans="1:12">
      <c r="A47" s="111" t="s">
        <v>88</v>
      </c>
      <c r="B47" s="111"/>
      <c r="C47" s="111"/>
      <c r="D47" s="111"/>
      <c r="E47" s="111"/>
      <c r="F47" s="111"/>
      <c r="G47" s="32"/>
      <c r="H47" s="33"/>
      <c r="I47" s="32">
        <f>I45-I46</f>
        <v>9423.0314861000006</v>
      </c>
      <c r="J47" s="33"/>
      <c r="K47" s="33"/>
      <c r="L47" s="33"/>
    </row>
    <row r="48" spans="1:12">
      <c r="A48" s="107" t="s">
        <v>89</v>
      </c>
      <c r="B48" s="107"/>
      <c r="C48" s="107"/>
      <c r="D48" s="107"/>
      <c r="E48" s="107"/>
      <c r="F48" s="107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>
      <c r="A49" s="107" t="s">
        <v>90</v>
      </c>
      <c r="B49" s="107"/>
      <c r="C49" s="107"/>
      <c r="D49" s="107"/>
      <c r="E49" s="107"/>
      <c r="F49" s="107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>
      <c r="A50" s="106" t="s">
        <v>91</v>
      </c>
      <c r="B50" s="106"/>
      <c r="C50" s="106"/>
      <c r="D50" s="106"/>
      <c r="E50" s="106"/>
      <c r="F50" s="106"/>
      <c r="G50" s="21"/>
      <c r="H50" s="22"/>
      <c r="I50" s="21"/>
      <c r="J50" s="21">
        <f>J48-J49</f>
        <v>1770.4973719406673</v>
      </c>
      <c r="K50" s="21"/>
      <c r="L50" s="21"/>
    </row>
    <row r="51" spans="1:12">
      <c r="A51" s="112" t="s">
        <v>92</v>
      </c>
      <c r="B51" s="112"/>
      <c r="C51" s="112"/>
      <c r="D51" s="112"/>
      <c r="E51" s="112"/>
      <c r="F51" s="112"/>
      <c r="G51" s="25"/>
      <c r="H51" s="48"/>
      <c r="I51" s="47"/>
      <c r="J51" s="49">
        <v>0</v>
      </c>
      <c r="K51" s="46"/>
      <c r="L51" s="47"/>
    </row>
    <row r="52" spans="1:12">
      <c r="A52" s="107" t="s">
        <v>93</v>
      </c>
      <c r="B52" s="107"/>
      <c r="C52" s="107"/>
      <c r="D52" s="107"/>
      <c r="E52" s="107"/>
      <c r="F52" s="107"/>
      <c r="G52" s="25"/>
      <c r="H52" s="48"/>
      <c r="I52" s="44"/>
      <c r="J52" s="28">
        <v>0</v>
      </c>
      <c r="K52" s="46"/>
      <c r="L52" s="47"/>
    </row>
    <row r="53" spans="1:12">
      <c r="A53" s="113" t="s">
        <v>94</v>
      </c>
      <c r="B53" s="113"/>
      <c r="C53" s="113"/>
      <c r="D53" s="113"/>
      <c r="E53" s="113"/>
      <c r="F53" s="113"/>
      <c r="G53" s="41"/>
      <c r="H53" s="42"/>
      <c r="I53" s="28">
        <f>1-0.53</f>
        <v>0.47</v>
      </c>
      <c r="J53" s="41"/>
      <c r="K53" s="43"/>
      <c r="L53" s="44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13" t="s">
        <v>95</v>
      </c>
      <c r="B55" s="13" t="s">
        <v>96</v>
      </c>
      <c r="C55" s="13" t="s">
        <v>97</v>
      </c>
      <c r="D55" s="104" t="s">
        <v>98</v>
      </c>
      <c r="E55" s="104"/>
      <c r="F55" s="104"/>
      <c r="G55" s="13" t="s">
        <v>99</v>
      </c>
      <c r="H55" s="50"/>
      <c r="I55" s="51">
        <f>I32+I53</f>
        <v>17869.196500000002</v>
      </c>
      <c r="J55" s="51">
        <f>J43+J50+J51+J52</f>
        <v>2716.1923858406672</v>
      </c>
      <c r="K55" s="13" t="s">
        <v>100</v>
      </c>
      <c r="L55" s="51">
        <f>L43</f>
        <v>2354.57730915</v>
      </c>
    </row>
    <row r="56" spans="1:12">
      <c r="A56" s="51">
        <f>156411.11+I32</f>
        <v>174279.83649999998</v>
      </c>
      <c r="B56" s="51">
        <f>111411.11+I33</f>
        <v>124279.8365</v>
      </c>
      <c r="C56" s="51">
        <f>2419.2+J34</f>
        <v>2688</v>
      </c>
      <c r="D56" s="114">
        <f>14978.83+J50</f>
        <v>16749.327371940668</v>
      </c>
      <c r="E56" s="114"/>
      <c r="F56" s="114"/>
      <c r="G56" s="51">
        <f>133157+I55</f>
        <v>151026.19649999999</v>
      </c>
      <c r="H56" s="104" t="s">
        <v>101</v>
      </c>
      <c r="I56" s="104"/>
      <c r="J56" s="51">
        <f>I55-J55</f>
        <v>15153.004114159336</v>
      </c>
      <c r="K56" s="13" t="s">
        <v>102</v>
      </c>
      <c r="L56" s="51">
        <f>20499.47+L55</f>
        <v>22854.047309150003</v>
      </c>
    </row>
    <row r="57" spans="1:1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>
      <c r="A61" s="105" t="s">
        <v>26</v>
      </c>
      <c r="B61" s="105"/>
      <c r="C61" s="105" t="s">
        <v>27</v>
      </c>
      <c r="D61" s="105"/>
      <c r="E61" s="105"/>
      <c r="F61" s="105"/>
      <c r="G61" s="105" t="s">
        <v>28</v>
      </c>
      <c r="H61" s="105"/>
      <c r="I61" s="105"/>
      <c r="J61" s="105" t="s">
        <v>29</v>
      </c>
      <c r="K61" s="105"/>
      <c r="L61" s="105"/>
    </row>
    <row r="62" spans="1:12">
      <c r="A62" s="14" t="s">
        <v>30</v>
      </c>
      <c r="B62" s="104" t="s">
        <v>31</v>
      </c>
      <c r="C62" s="104"/>
      <c r="D62" s="104"/>
      <c r="E62" s="104"/>
      <c r="F62" s="104"/>
      <c r="G62" s="104" t="s">
        <v>32</v>
      </c>
      <c r="H62" s="104"/>
      <c r="I62" s="104"/>
      <c r="J62" s="104"/>
      <c r="K62" s="104"/>
      <c r="L62" s="104"/>
    </row>
    <row r="63" spans="1:12">
      <c r="A63" s="16">
        <v>3</v>
      </c>
      <c r="B63" s="102" t="s">
        <v>104</v>
      </c>
      <c r="C63" s="102"/>
      <c r="D63" s="102"/>
      <c r="E63" s="102"/>
      <c r="F63" s="102"/>
      <c r="G63" s="103">
        <v>42370</v>
      </c>
      <c r="H63" s="103"/>
      <c r="I63" s="103"/>
      <c r="J63" s="103">
        <v>42399</v>
      </c>
      <c r="K63" s="103"/>
      <c r="L63" s="103"/>
    </row>
    <row r="64" spans="1:12">
      <c r="A64" s="14" t="s">
        <v>34</v>
      </c>
      <c r="B64" s="14" t="s">
        <v>35</v>
      </c>
      <c r="C64" s="14" t="s">
        <v>36</v>
      </c>
      <c r="D64" s="14" t="s">
        <v>37</v>
      </c>
      <c r="E64" s="14" t="s">
        <v>38</v>
      </c>
      <c r="F64" s="14" t="s">
        <v>39</v>
      </c>
      <c r="G64" s="104" t="s">
        <v>40</v>
      </c>
      <c r="H64" s="104"/>
      <c r="I64" s="104"/>
      <c r="J64" s="104"/>
      <c r="K64" s="104"/>
      <c r="L64" s="104"/>
    </row>
    <row r="65" spans="1:12">
      <c r="A65" s="17">
        <v>41791</v>
      </c>
      <c r="B65" s="16"/>
      <c r="C65" s="17">
        <v>24557</v>
      </c>
      <c r="D65" s="16" t="s">
        <v>41</v>
      </c>
      <c r="E65" s="16">
        <v>0</v>
      </c>
      <c r="F65" s="16">
        <v>0</v>
      </c>
      <c r="G65" s="102"/>
      <c r="H65" s="102"/>
      <c r="I65" s="102"/>
      <c r="J65" s="102"/>
      <c r="K65" s="102"/>
      <c r="L65" s="102"/>
    </row>
    <row r="66" spans="1:12">
      <c r="A66" s="14" t="s">
        <v>42</v>
      </c>
      <c r="B66" s="14" t="s">
        <v>43</v>
      </c>
      <c r="C66" s="14" t="s">
        <v>44</v>
      </c>
      <c r="D66" s="104" t="s">
        <v>45</v>
      </c>
      <c r="E66" s="104"/>
      <c r="F66" s="104"/>
      <c r="G66" s="104" t="s">
        <v>46</v>
      </c>
      <c r="H66" s="104"/>
      <c r="I66" s="104"/>
      <c r="J66" s="104"/>
      <c r="K66" s="104"/>
      <c r="L66" s="104"/>
    </row>
    <row r="67" spans="1:12">
      <c r="A67" s="16">
        <v>141034737</v>
      </c>
      <c r="B67" s="16"/>
      <c r="C67" s="16"/>
      <c r="D67" s="102" t="s">
        <v>47</v>
      </c>
      <c r="E67" s="102"/>
      <c r="F67" s="102"/>
      <c r="G67" s="102" t="s">
        <v>105</v>
      </c>
      <c r="H67" s="102"/>
      <c r="I67" s="102"/>
      <c r="J67" s="102"/>
      <c r="K67" s="102"/>
      <c r="L67" s="102"/>
    </row>
    <row r="68" spans="1:1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>
      <c r="A71" s="108" t="s">
        <v>49</v>
      </c>
      <c r="B71" s="108"/>
      <c r="C71" s="108"/>
      <c r="D71" s="108"/>
      <c r="E71" s="108"/>
      <c r="F71" s="108"/>
      <c r="G71" s="108" t="s">
        <v>50</v>
      </c>
      <c r="H71" s="108" t="s">
        <v>51</v>
      </c>
      <c r="I71" s="108" t="s">
        <v>52</v>
      </c>
      <c r="J71" s="108"/>
      <c r="K71" s="108" t="s">
        <v>53</v>
      </c>
      <c r="L71" s="108"/>
    </row>
    <row r="72" spans="1:12">
      <c r="A72" s="108"/>
      <c r="B72" s="108"/>
      <c r="C72" s="108"/>
      <c r="D72" s="108"/>
      <c r="E72" s="108"/>
      <c r="F72" s="108"/>
      <c r="G72" s="108"/>
      <c r="H72" s="108"/>
      <c r="I72" s="20" t="s">
        <v>54</v>
      </c>
      <c r="J72" s="20" t="s">
        <v>55</v>
      </c>
      <c r="K72" s="20" t="s">
        <v>56</v>
      </c>
      <c r="L72" s="20" t="s">
        <v>57</v>
      </c>
    </row>
    <row r="73" spans="1:12">
      <c r="A73" s="106" t="s">
        <v>58</v>
      </c>
      <c r="B73" s="106"/>
      <c r="C73" s="106"/>
      <c r="D73" s="106"/>
      <c r="E73" s="106"/>
      <c r="F73" s="106"/>
      <c r="G73" s="21">
        <v>100000</v>
      </c>
      <c r="H73" s="22"/>
      <c r="I73" s="21"/>
      <c r="J73" s="21"/>
      <c r="K73" s="21"/>
      <c r="L73" s="21"/>
    </row>
    <row r="74" spans="1:12">
      <c r="A74" s="106" t="s">
        <v>59</v>
      </c>
      <c r="B74" s="106"/>
      <c r="C74" s="106"/>
      <c r="D74" s="106"/>
      <c r="E74" s="106"/>
      <c r="F74" s="106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>
      <c r="A75" s="107" t="s">
        <v>60</v>
      </c>
      <c r="B75" s="107"/>
      <c r="C75" s="107"/>
      <c r="D75" s="107"/>
      <c r="E75" s="107"/>
      <c r="F75" s="107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>
      <c r="A76" s="107" t="s">
        <v>61</v>
      </c>
      <c r="B76" s="107"/>
      <c r="C76" s="107"/>
      <c r="D76" s="107"/>
      <c r="E76" s="107"/>
      <c r="F76" s="107"/>
      <c r="G76" s="23"/>
      <c r="H76" s="24">
        <v>0</v>
      </c>
      <c r="I76" s="23">
        <f>G73/26*H76</f>
        <v>0</v>
      </c>
      <c r="J76" s="25"/>
      <c r="K76" s="26"/>
      <c r="L76" s="26"/>
    </row>
    <row r="77" spans="1:12">
      <c r="A77" s="107" t="s">
        <v>62</v>
      </c>
      <c r="B77" s="107"/>
      <c r="C77" s="107"/>
      <c r="D77" s="107"/>
      <c r="E77" s="107"/>
      <c r="F77" s="107"/>
      <c r="G77" s="23"/>
      <c r="H77" s="24">
        <v>0</v>
      </c>
      <c r="I77" s="23"/>
      <c r="J77" s="27">
        <f>G73/26*H77</f>
        <v>0</v>
      </c>
      <c r="K77" s="26"/>
      <c r="L77" s="26"/>
    </row>
    <row r="78" spans="1:12">
      <c r="A78" s="107" t="s">
        <v>63</v>
      </c>
      <c r="B78" s="107"/>
      <c r="C78" s="107"/>
      <c r="D78" s="107"/>
      <c r="E78" s="107"/>
      <c r="F78" s="107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>
      <c r="A79" s="107" t="s">
        <v>64</v>
      </c>
      <c r="B79" s="107"/>
      <c r="C79" s="107"/>
      <c r="D79" s="107"/>
      <c r="E79" s="107"/>
      <c r="F79" s="107"/>
      <c r="G79" s="23"/>
      <c r="H79" s="24">
        <v>0</v>
      </c>
      <c r="I79" s="23">
        <f>G73/26*H79</f>
        <v>0</v>
      </c>
      <c r="J79" s="25"/>
      <c r="K79" s="26"/>
      <c r="L79" s="26"/>
    </row>
    <row r="80" spans="1:12">
      <c r="A80" s="107" t="s">
        <v>65</v>
      </c>
      <c r="B80" s="107"/>
      <c r="C80" s="107"/>
      <c r="D80" s="107"/>
      <c r="E80" s="107"/>
      <c r="F80" s="107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>
      <c r="A81" s="107" t="s">
        <v>66</v>
      </c>
      <c r="B81" s="107"/>
      <c r="C81" s="107"/>
      <c r="D81" s="107"/>
      <c r="E81" s="107"/>
      <c r="F81" s="107"/>
      <c r="G81" s="29"/>
      <c r="H81" s="30"/>
      <c r="I81" s="30"/>
      <c r="J81" s="25"/>
      <c r="K81" s="26"/>
      <c r="L81" s="26"/>
    </row>
    <row r="82" spans="1:12">
      <c r="A82" s="109">
        <v>0.25</v>
      </c>
      <c r="B82" s="109"/>
      <c r="C82" s="109"/>
      <c r="D82" s="109"/>
      <c r="E82" s="109"/>
      <c r="F82" s="109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>
      <c r="A83" s="109">
        <v>0.5</v>
      </c>
      <c r="B83" s="109"/>
      <c r="C83" s="109"/>
      <c r="D83" s="109"/>
      <c r="E83" s="109"/>
      <c r="F83" s="109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>
      <c r="A84" s="109">
        <v>1</v>
      </c>
      <c r="B84" s="109"/>
      <c r="C84" s="109"/>
      <c r="D84" s="109"/>
      <c r="E84" s="109"/>
      <c r="F84" s="109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>
      <c r="A85" s="106" t="s">
        <v>67</v>
      </c>
      <c r="B85" s="106"/>
      <c r="C85" s="106"/>
      <c r="D85" s="106"/>
      <c r="E85" s="106"/>
      <c r="F85" s="106"/>
      <c r="G85" s="21"/>
      <c r="H85" s="22"/>
      <c r="I85" s="21">
        <f>SUM(I86:I87)</f>
        <v>0</v>
      </c>
      <c r="J85" s="21"/>
      <c r="K85" s="21"/>
      <c r="L85" s="21"/>
    </row>
    <row r="86" spans="1:12">
      <c r="A86" s="107" t="s">
        <v>68</v>
      </c>
      <c r="B86" s="107"/>
      <c r="C86" s="107"/>
      <c r="D86" s="107"/>
      <c r="E86" s="107"/>
      <c r="F86" s="107"/>
      <c r="G86" s="23">
        <f>(G63-A65)/360</f>
        <v>1.6083333333333334</v>
      </c>
      <c r="H86" s="31">
        <f>IF(G86&lt;2,0,IF(AND(G86&gt;2,G86&lt;5),[1]Taux!A$33,IF(AND(G86&lt;12,G86&gt;5),[1]Taux!A$34,IF(AND(G86&gt;12,G86&lt;20),[1]Taux!A$35,IF(AND(G86&lt;25,G86&gt;20),[1]Taux!A$36,IF(G86&gt;25,[1]Taux!A$37))))))</f>
        <v>0</v>
      </c>
      <c r="I86" s="23">
        <f>I74*H86</f>
        <v>0</v>
      </c>
      <c r="J86" s="25"/>
      <c r="K86" s="26"/>
      <c r="L86" s="26"/>
    </row>
    <row r="87" spans="1:12">
      <c r="A87" s="107" t="s">
        <v>69</v>
      </c>
      <c r="B87" s="107"/>
      <c r="C87" s="107"/>
      <c r="D87" s="107"/>
      <c r="E87" s="107"/>
      <c r="F87" s="107"/>
      <c r="G87" s="23"/>
      <c r="H87" s="24"/>
      <c r="I87" s="23"/>
      <c r="J87" s="25"/>
      <c r="K87" s="26"/>
      <c r="L87" s="26"/>
    </row>
    <row r="88" spans="1:12">
      <c r="A88" s="106" t="s">
        <v>70</v>
      </c>
      <c r="B88" s="106"/>
      <c r="C88" s="106"/>
      <c r="D88" s="106"/>
      <c r="E88" s="106"/>
      <c r="F88" s="106"/>
      <c r="G88" s="21"/>
      <c r="H88" s="22"/>
      <c r="I88" s="21">
        <f>SUM(I89:I91)</f>
        <v>6000</v>
      </c>
      <c r="J88" s="21"/>
      <c r="K88" s="21"/>
      <c r="L88" s="21"/>
    </row>
    <row r="89" spans="1:12">
      <c r="A89" s="107" t="s">
        <v>71</v>
      </c>
      <c r="B89" s="107"/>
      <c r="C89" s="107"/>
      <c r="D89" s="107"/>
      <c r="E89" s="107"/>
      <c r="F89" s="107"/>
      <c r="G89" s="23"/>
      <c r="H89" s="24"/>
      <c r="I89" s="23">
        <v>3000</v>
      </c>
      <c r="J89" s="25"/>
      <c r="K89" s="26"/>
      <c r="L89" s="26"/>
    </row>
    <row r="90" spans="1:12">
      <c r="A90" s="107" t="s">
        <v>72</v>
      </c>
      <c r="B90" s="107"/>
      <c r="C90" s="107"/>
      <c r="D90" s="107"/>
      <c r="E90" s="107"/>
      <c r="F90" s="107"/>
      <c r="G90" s="23"/>
      <c r="H90" s="31"/>
      <c r="I90" s="23">
        <v>3000</v>
      </c>
      <c r="J90" s="25"/>
      <c r="K90" s="26"/>
      <c r="L90" s="26"/>
    </row>
    <row r="91" spans="1:12">
      <c r="A91" s="107" t="s">
        <v>73</v>
      </c>
      <c r="B91" s="107"/>
      <c r="C91" s="107"/>
      <c r="D91" s="107"/>
      <c r="E91" s="107"/>
      <c r="F91" s="107"/>
      <c r="G91" s="23"/>
      <c r="H91" s="24"/>
      <c r="I91" s="23"/>
      <c r="J91" s="25"/>
      <c r="K91" s="26"/>
      <c r="L91" s="26"/>
    </row>
    <row r="92" spans="1:12">
      <c r="A92" s="111" t="s">
        <v>74</v>
      </c>
      <c r="B92" s="111"/>
      <c r="C92" s="111"/>
      <c r="D92" s="111"/>
      <c r="E92" s="111"/>
      <c r="F92" s="111"/>
      <c r="G92" s="32"/>
      <c r="H92" s="33"/>
      <c r="I92" s="32">
        <f>I74+I85+I88</f>
        <v>106000</v>
      </c>
      <c r="J92" s="33"/>
      <c r="K92" s="33"/>
      <c r="L92" s="33"/>
    </row>
    <row r="93" spans="1:12">
      <c r="A93" s="111" t="s">
        <v>75</v>
      </c>
      <c r="B93" s="111"/>
      <c r="C93" s="111"/>
      <c r="D93" s="111"/>
      <c r="E93" s="111"/>
      <c r="F93" s="111"/>
      <c r="G93" s="32"/>
      <c r="H93" s="33"/>
      <c r="I93" s="32">
        <f>I92-I88</f>
        <v>100000</v>
      </c>
      <c r="J93" s="33"/>
      <c r="K93" s="33"/>
      <c r="L93" s="33"/>
    </row>
    <row r="94" spans="1:12">
      <c r="A94" s="107" t="s">
        <v>76</v>
      </c>
      <c r="B94" s="107"/>
      <c r="C94" s="107"/>
      <c r="D94" s="107"/>
      <c r="E94" s="107"/>
      <c r="F94" s="107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>
      <c r="A95" s="107" t="s">
        <v>77</v>
      </c>
      <c r="B95" s="107"/>
      <c r="C95" s="107"/>
      <c r="D95" s="107"/>
      <c r="E95" s="107"/>
      <c r="F95" s="107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>
      <c r="A96" s="107" t="s">
        <v>78</v>
      </c>
      <c r="B96" s="107"/>
      <c r="C96" s="107"/>
      <c r="D96" s="107"/>
      <c r="E96" s="107"/>
      <c r="F96" s="107"/>
      <c r="G96" s="23"/>
      <c r="H96" s="34">
        <v>0.25</v>
      </c>
      <c r="I96" s="23"/>
      <c r="J96" s="23">
        <f>I93*H96</f>
        <v>25000</v>
      </c>
      <c r="K96" s="35">
        <v>0.06</v>
      </c>
      <c r="L96" s="23">
        <f>I93*K96</f>
        <v>6000</v>
      </c>
    </row>
    <row r="97" spans="1:12">
      <c r="A97" s="107" t="s">
        <v>79</v>
      </c>
      <c r="B97" s="107"/>
      <c r="C97" s="107"/>
      <c r="D97" s="107"/>
      <c r="E97" s="107"/>
      <c r="F97" s="107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>
      <c r="A98" s="107" t="s">
        <v>80</v>
      </c>
      <c r="B98" s="107"/>
      <c r="C98" s="107"/>
      <c r="D98" s="107"/>
      <c r="E98" s="107"/>
      <c r="F98" s="107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>
      <c r="A99" s="107" t="s">
        <v>81</v>
      </c>
      <c r="B99" s="107"/>
      <c r="C99" s="107"/>
      <c r="D99" s="107"/>
      <c r="E99" s="107"/>
      <c r="F99" s="107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>
      <c r="A100" s="107" t="s">
        <v>24</v>
      </c>
      <c r="B100" s="107"/>
      <c r="C100" s="107"/>
      <c r="D100" s="107"/>
      <c r="E100" s="107"/>
      <c r="F100" s="107"/>
      <c r="G100" s="23"/>
      <c r="H100" s="34" t="str">
        <f>[1]Taux!D$7</f>
        <v>2,26%</v>
      </c>
      <c r="I100" s="23"/>
      <c r="J100" s="23">
        <f>I93*H100</f>
        <v>2260</v>
      </c>
      <c r="K100" s="34" t="str">
        <f>[1]Taux!C$7</f>
        <v>4,11%</v>
      </c>
      <c r="L100" s="23">
        <f>I93*K100</f>
        <v>4110</v>
      </c>
    </row>
    <row r="101" spans="1:12">
      <c r="A101" s="110" t="s">
        <v>82</v>
      </c>
      <c r="B101" s="110"/>
      <c r="C101" s="110"/>
      <c r="D101" s="110"/>
      <c r="E101" s="110"/>
      <c r="F101" s="110"/>
      <c r="G101" s="37"/>
      <c r="H101" s="38"/>
      <c r="I101" s="39"/>
      <c r="J101" s="40"/>
      <c r="K101" s="34" t="str">
        <f>[1]Taux!C$4</f>
        <v>6,40%</v>
      </c>
      <c r="L101" s="23">
        <f>I93*K101</f>
        <v>6400</v>
      </c>
    </row>
    <row r="102" spans="1:12">
      <c r="A102" s="110" t="s">
        <v>83</v>
      </c>
      <c r="B102" s="110"/>
      <c r="C102" s="110"/>
      <c r="D102" s="110"/>
      <c r="E102" s="110"/>
      <c r="F102" s="110"/>
      <c r="G102" s="41"/>
      <c r="H102" s="42"/>
      <c r="I102" s="43"/>
      <c r="J102" s="44"/>
      <c r="K102" s="34" t="str">
        <f>[1]Taux!C$8</f>
        <v>1,6 %</v>
      </c>
      <c r="L102" s="23">
        <f>I93*K102</f>
        <v>1600</v>
      </c>
    </row>
    <row r="103" spans="1:12">
      <c r="A103" s="106" t="s">
        <v>84</v>
      </c>
      <c r="B103" s="106"/>
      <c r="C103" s="106"/>
      <c r="D103" s="106"/>
      <c r="E103" s="106"/>
      <c r="F103" s="106"/>
      <c r="G103" s="21"/>
      <c r="H103" s="22"/>
      <c r="I103" s="22"/>
      <c r="J103" s="21">
        <f>SUM(J94:J100)</f>
        <v>27528.799999999999</v>
      </c>
      <c r="K103" s="21"/>
      <c r="L103" s="21">
        <f>SUM(L94:L102)</f>
        <v>18648.8</v>
      </c>
    </row>
    <row r="104" spans="1:12">
      <c r="A104" s="107" t="s">
        <v>85</v>
      </c>
      <c r="B104" s="107"/>
      <c r="C104" s="107"/>
      <c r="D104" s="107"/>
      <c r="E104" s="107"/>
      <c r="F104" s="107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>
      <c r="A105" s="111" t="s">
        <v>86</v>
      </c>
      <c r="B105" s="111"/>
      <c r="C105" s="111"/>
      <c r="D105" s="111"/>
      <c r="E105" s="111"/>
      <c r="F105" s="111"/>
      <c r="G105" s="32"/>
      <c r="H105" s="33"/>
      <c r="I105" s="32">
        <f>I93-J103-J104</f>
        <v>69971.199999999997</v>
      </c>
      <c r="J105" s="33"/>
      <c r="K105" s="33"/>
      <c r="L105" s="33"/>
    </row>
    <row r="106" spans="1:12">
      <c r="A106" s="107" t="s">
        <v>87</v>
      </c>
      <c r="B106" s="107"/>
      <c r="C106" s="107"/>
      <c r="D106" s="107"/>
      <c r="E106" s="107"/>
      <c r="F106" s="107"/>
      <c r="G106" s="23"/>
      <c r="H106" s="34"/>
      <c r="I106" s="23">
        <f>H106*180/360</f>
        <v>0</v>
      </c>
      <c r="J106" s="23"/>
      <c r="K106" s="46"/>
      <c r="L106" s="47"/>
    </row>
    <row r="107" spans="1:12">
      <c r="A107" s="111" t="s">
        <v>88</v>
      </c>
      <c r="B107" s="111"/>
      <c r="C107" s="111"/>
      <c r="D107" s="111"/>
      <c r="E107" s="111"/>
      <c r="F107" s="111"/>
      <c r="G107" s="32"/>
      <c r="H107" s="33"/>
      <c r="I107" s="32">
        <f>I105-I106</f>
        <v>69971.199999999997</v>
      </c>
      <c r="J107" s="33"/>
      <c r="K107" s="33"/>
      <c r="L107" s="33"/>
    </row>
    <row r="108" spans="1:12">
      <c r="A108" s="107" t="s">
        <v>89</v>
      </c>
      <c r="B108" s="107"/>
      <c r="C108" s="107"/>
      <c r="D108" s="107"/>
      <c r="E108" s="107"/>
      <c r="F108" s="107"/>
      <c r="G108" s="25"/>
      <c r="H108" s="48"/>
      <c r="I108" s="40"/>
      <c r="J108" s="23">
        <f>IF(AND(I107&gt;0,I107&lt;2500),I107*[1]Taux!C$15-[1]Taux!I$15,IF(AND(I107&gt;2500,I107&lt;4166.67),I107*[1]Taux!C$16-[1]Taux!I$16,IF(AND(I107&gt;4166.67,I107&lt;5000),I107*[1]Taux!C$17-[1]Taux!I$17,IF(AND(I107&gt;5000,I107&lt;6666.67),I107*[1]Taux!C$18-[1]Taux!I$18,IF(AND(I107&gt;6666.67,I107&lt;15000),I107*[1]Taux!C$19-[1]Taux!I$19,IF(I107&gt;15000,I107*[1]Taux!C$20-[1]Taux!I$20))))))</f>
        <v>24555.722666666668</v>
      </c>
      <c r="K108" s="46"/>
      <c r="L108" s="47"/>
    </row>
    <row r="109" spans="1:12">
      <c r="A109" s="107" t="s">
        <v>90</v>
      </c>
      <c r="B109" s="107"/>
      <c r="C109" s="107"/>
      <c r="D109" s="107"/>
      <c r="E109" s="107"/>
      <c r="F109" s="107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>
      <c r="A110" s="106" t="s">
        <v>91</v>
      </c>
      <c r="B110" s="106"/>
      <c r="C110" s="106"/>
      <c r="D110" s="106"/>
      <c r="E110" s="106"/>
      <c r="F110" s="106"/>
      <c r="G110" s="21"/>
      <c r="H110" s="22"/>
      <c r="I110" s="21"/>
      <c r="J110" s="21">
        <f>J108-J109</f>
        <v>24555.722666666668</v>
      </c>
      <c r="K110" s="21"/>
      <c r="L110" s="21"/>
    </row>
    <row r="111" spans="1:12">
      <c r="A111" s="112" t="s">
        <v>92</v>
      </c>
      <c r="B111" s="112"/>
      <c r="C111" s="112"/>
      <c r="D111" s="112"/>
      <c r="E111" s="112"/>
      <c r="F111" s="112"/>
      <c r="G111" s="25"/>
      <c r="H111" s="48"/>
      <c r="I111" s="47"/>
      <c r="J111" s="49">
        <v>0</v>
      </c>
      <c r="K111" s="46"/>
      <c r="L111" s="47"/>
    </row>
    <row r="112" spans="1:12">
      <c r="A112" s="107" t="s">
        <v>93</v>
      </c>
      <c r="B112" s="107"/>
      <c r="C112" s="107"/>
      <c r="D112" s="107"/>
      <c r="E112" s="107"/>
      <c r="F112" s="107"/>
      <c r="G112" s="25"/>
      <c r="H112" s="48"/>
      <c r="I112" s="44"/>
      <c r="J112" s="28">
        <v>0</v>
      </c>
      <c r="K112" s="46"/>
      <c r="L112" s="47"/>
    </row>
    <row r="113" spans="1:13">
      <c r="A113" s="113" t="s">
        <v>94</v>
      </c>
      <c r="B113" s="113"/>
      <c r="C113" s="113"/>
      <c r="D113" s="113"/>
      <c r="E113" s="113"/>
      <c r="F113" s="113"/>
      <c r="G113" s="41"/>
      <c r="H113" s="42"/>
      <c r="I113" s="28">
        <f>1-0.42</f>
        <v>0.58000000000000007</v>
      </c>
      <c r="J113" s="41"/>
      <c r="K113" s="43"/>
      <c r="L113" s="44"/>
    </row>
    <row r="114" spans="1:1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>
      <c r="A115" s="14" t="s">
        <v>95</v>
      </c>
      <c r="B115" s="14" t="s">
        <v>96</v>
      </c>
      <c r="C115" s="14" t="s">
        <v>97</v>
      </c>
      <c r="D115" s="104" t="s">
        <v>98</v>
      </c>
      <c r="E115" s="104"/>
      <c r="F115" s="104"/>
      <c r="G115" s="14" t="s">
        <v>99</v>
      </c>
      <c r="H115" s="50"/>
      <c r="I115" s="52">
        <f>I92+I113</f>
        <v>106000.58</v>
      </c>
      <c r="J115" s="52">
        <f>J103+J110+J111+J112</f>
        <v>52084.522666666671</v>
      </c>
      <c r="K115" s="14" t="s">
        <v>100</v>
      </c>
      <c r="L115" s="52">
        <f>L103</f>
        <v>18648.8</v>
      </c>
    </row>
    <row r="116" spans="1:13">
      <c r="A116" s="52">
        <f>974000+I92</f>
        <v>1080000</v>
      </c>
      <c r="B116" s="52">
        <f>920000+I93</f>
        <v>1020000</v>
      </c>
      <c r="C116" s="52">
        <f>2419.2+J94</f>
        <v>2688</v>
      </c>
      <c r="D116" s="114">
        <f>226529.75+J110</f>
        <v>251085.47266666667</v>
      </c>
      <c r="E116" s="114"/>
      <c r="F116" s="114"/>
      <c r="G116" s="52">
        <f>494263.97+I115</f>
        <v>600264.54999999993</v>
      </c>
      <c r="H116" s="104" t="s">
        <v>101</v>
      </c>
      <c r="I116" s="104"/>
      <c r="J116" s="52">
        <f>I115-J115</f>
        <v>53916.05733333333</v>
      </c>
      <c r="K116" s="14" t="s">
        <v>102</v>
      </c>
      <c r="L116" s="52">
        <f>171461.2+L115</f>
        <v>190110</v>
      </c>
    </row>
    <row r="117" spans="1: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72564.857333333333</v>
      </c>
    </row>
    <row r="118" spans="1: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>
      <c r="A121" s="105" t="s">
        <v>26</v>
      </c>
      <c r="B121" s="105"/>
      <c r="C121" s="105" t="s">
        <v>27</v>
      </c>
      <c r="D121" s="105"/>
      <c r="E121" s="105"/>
      <c r="F121" s="105"/>
      <c r="G121" s="105" t="s">
        <v>28</v>
      </c>
      <c r="H121" s="105"/>
      <c r="I121" s="105"/>
      <c r="J121" s="105" t="s">
        <v>29</v>
      </c>
      <c r="K121" s="105"/>
      <c r="L121" s="105"/>
    </row>
    <row r="122" spans="1:13">
      <c r="A122" s="13" t="s">
        <v>30</v>
      </c>
      <c r="B122" s="104" t="s">
        <v>31</v>
      </c>
      <c r="C122" s="104"/>
      <c r="D122" s="104"/>
      <c r="E122" s="104"/>
      <c r="F122" s="104"/>
      <c r="G122" s="104" t="s">
        <v>32</v>
      </c>
      <c r="H122" s="104"/>
      <c r="I122" s="104"/>
      <c r="J122" s="104"/>
      <c r="K122" s="104"/>
      <c r="L122" s="104"/>
    </row>
    <row r="123" spans="1:13">
      <c r="A123" s="15">
        <v>4</v>
      </c>
      <c r="B123" s="102" t="s">
        <v>106</v>
      </c>
      <c r="C123" s="102"/>
      <c r="D123" s="102"/>
      <c r="E123" s="102"/>
      <c r="F123" s="102"/>
      <c r="G123" s="103">
        <v>42370</v>
      </c>
      <c r="H123" s="103"/>
      <c r="I123" s="103"/>
      <c r="J123" s="103">
        <v>42399</v>
      </c>
      <c r="K123" s="103"/>
      <c r="L123" s="103"/>
    </row>
    <row r="124" spans="1:13">
      <c r="A124" s="13" t="s">
        <v>34</v>
      </c>
      <c r="B124" s="13" t="s">
        <v>35</v>
      </c>
      <c r="C124" s="13" t="s">
        <v>36</v>
      </c>
      <c r="D124" s="13" t="s">
        <v>37</v>
      </c>
      <c r="E124" s="13" t="s">
        <v>38</v>
      </c>
      <c r="F124" s="13" t="s">
        <v>39</v>
      </c>
      <c r="G124" s="104" t="s">
        <v>40</v>
      </c>
      <c r="H124" s="104"/>
      <c r="I124" s="104"/>
      <c r="J124" s="104"/>
      <c r="K124" s="104"/>
      <c r="L124" s="104"/>
    </row>
    <row r="125" spans="1:13">
      <c r="A125" s="17">
        <v>41791</v>
      </c>
      <c r="B125" s="15"/>
      <c r="C125" s="17">
        <v>28152</v>
      </c>
      <c r="D125" s="15" t="s">
        <v>41</v>
      </c>
      <c r="E125" s="15">
        <v>0</v>
      </c>
      <c r="F125" s="15">
        <v>0</v>
      </c>
      <c r="G125" s="102"/>
      <c r="H125" s="102"/>
      <c r="I125" s="102"/>
      <c r="J125" s="102"/>
      <c r="K125" s="102"/>
      <c r="L125" s="102"/>
    </row>
    <row r="126" spans="1:13">
      <c r="A126" s="13" t="s">
        <v>42</v>
      </c>
      <c r="B126" s="13" t="s">
        <v>43</v>
      </c>
      <c r="C126" s="13" t="s">
        <v>44</v>
      </c>
      <c r="D126" s="104" t="s">
        <v>45</v>
      </c>
      <c r="E126" s="104"/>
      <c r="F126" s="104"/>
      <c r="G126" s="104" t="s">
        <v>46</v>
      </c>
      <c r="H126" s="104"/>
      <c r="I126" s="104"/>
      <c r="J126" s="104"/>
      <c r="K126" s="104"/>
      <c r="L126" s="104"/>
    </row>
    <row r="127" spans="1:13">
      <c r="A127" s="15">
        <v>123952551</v>
      </c>
      <c r="B127" s="15"/>
      <c r="C127" s="15"/>
      <c r="D127" s="102" t="s">
        <v>47</v>
      </c>
      <c r="E127" s="102"/>
      <c r="F127" s="102"/>
      <c r="G127" s="102" t="s">
        <v>107</v>
      </c>
      <c r="H127" s="102"/>
      <c r="I127" s="102"/>
      <c r="J127" s="102"/>
      <c r="K127" s="102"/>
      <c r="L127" s="102"/>
    </row>
    <row r="128" spans="1: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>
      <c r="A131" s="108" t="s">
        <v>49</v>
      </c>
      <c r="B131" s="108"/>
      <c r="C131" s="108"/>
      <c r="D131" s="108"/>
      <c r="E131" s="108"/>
      <c r="F131" s="108"/>
      <c r="G131" s="108" t="s">
        <v>50</v>
      </c>
      <c r="H131" s="108" t="s">
        <v>51</v>
      </c>
      <c r="I131" s="108" t="s">
        <v>52</v>
      </c>
      <c r="J131" s="108"/>
      <c r="K131" s="108" t="s">
        <v>53</v>
      </c>
      <c r="L131" s="108"/>
    </row>
    <row r="132" spans="1:12">
      <c r="A132" s="108"/>
      <c r="B132" s="108"/>
      <c r="C132" s="108"/>
      <c r="D132" s="108"/>
      <c r="E132" s="108"/>
      <c r="F132" s="108"/>
      <c r="G132" s="108"/>
      <c r="H132" s="108"/>
      <c r="I132" s="20" t="s">
        <v>54</v>
      </c>
      <c r="J132" s="20" t="s">
        <v>55</v>
      </c>
      <c r="K132" s="20" t="s">
        <v>56</v>
      </c>
      <c r="L132" s="20" t="s">
        <v>57</v>
      </c>
    </row>
    <row r="133" spans="1:12">
      <c r="A133" s="106" t="s">
        <v>58</v>
      </c>
      <c r="B133" s="106"/>
      <c r="C133" s="106"/>
      <c r="D133" s="106"/>
      <c r="E133" s="106"/>
      <c r="F133" s="106"/>
      <c r="G133" s="21">
        <v>90000</v>
      </c>
      <c r="H133" s="22"/>
      <c r="I133" s="21"/>
      <c r="J133" s="21"/>
      <c r="K133" s="21"/>
      <c r="L133" s="21"/>
    </row>
    <row r="134" spans="1:12">
      <c r="A134" s="106" t="s">
        <v>59</v>
      </c>
      <c r="B134" s="106"/>
      <c r="C134" s="106"/>
      <c r="D134" s="106"/>
      <c r="E134" s="106"/>
      <c r="F134" s="106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>
      <c r="A135" s="107" t="s">
        <v>60</v>
      </c>
      <c r="B135" s="107"/>
      <c r="C135" s="107"/>
      <c r="D135" s="107"/>
      <c r="E135" s="107"/>
      <c r="F135" s="107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>
      <c r="A136" s="107" t="s">
        <v>61</v>
      </c>
      <c r="B136" s="107"/>
      <c r="C136" s="107"/>
      <c r="D136" s="107"/>
      <c r="E136" s="107"/>
      <c r="F136" s="107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>
      <c r="A137" s="107" t="s">
        <v>62</v>
      </c>
      <c r="B137" s="107"/>
      <c r="C137" s="107"/>
      <c r="D137" s="107"/>
      <c r="E137" s="107"/>
      <c r="F137" s="107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>
      <c r="A138" s="107" t="s">
        <v>63</v>
      </c>
      <c r="B138" s="107"/>
      <c r="C138" s="107"/>
      <c r="D138" s="107"/>
      <c r="E138" s="107"/>
      <c r="F138" s="107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>
      <c r="A139" s="107" t="s">
        <v>64</v>
      </c>
      <c r="B139" s="107"/>
      <c r="C139" s="107"/>
      <c r="D139" s="107"/>
      <c r="E139" s="107"/>
      <c r="F139" s="107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>
      <c r="A140" s="107" t="s">
        <v>65</v>
      </c>
      <c r="B140" s="107"/>
      <c r="C140" s="107"/>
      <c r="D140" s="107"/>
      <c r="E140" s="107"/>
      <c r="F140" s="107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>
      <c r="A141" s="107" t="s">
        <v>66</v>
      </c>
      <c r="B141" s="107"/>
      <c r="C141" s="107"/>
      <c r="D141" s="107"/>
      <c r="E141" s="107"/>
      <c r="F141" s="107"/>
      <c r="G141" s="29"/>
      <c r="H141" s="30"/>
      <c r="I141" s="30"/>
      <c r="J141" s="25"/>
      <c r="K141" s="26"/>
      <c r="L141" s="26"/>
    </row>
    <row r="142" spans="1:12">
      <c r="A142" s="109">
        <v>0.25</v>
      </c>
      <c r="B142" s="109"/>
      <c r="C142" s="109"/>
      <c r="D142" s="109"/>
      <c r="E142" s="109"/>
      <c r="F142" s="109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>
      <c r="A143" s="109">
        <v>0.5</v>
      </c>
      <c r="B143" s="109"/>
      <c r="C143" s="109"/>
      <c r="D143" s="109"/>
      <c r="E143" s="109"/>
      <c r="F143" s="109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>
      <c r="A144" s="109">
        <v>1</v>
      </c>
      <c r="B144" s="109"/>
      <c r="C144" s="109"/>
      <c r="D144" s="109"/>
      <c r="E144" s="109"/>
      <c r="F144" s="109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>
      <c r="A145" s="106" t="s">
        <v>67</v>
      </c>
      <c r="B145" s="106"/>
      <c r="C145" s="106"/>
      <c r="D145" s="106"/>
      <c r="E145" s="106"/>
      <c r="F145" s="106"/>
      <c r="G145" s="21"/>
      <c r="H145" s="22"/>
      <c r="I145" s="21">
        <f>SUM(I146:I147)</f>
        <v>0</v>
      </c>
      <c r="J145" s="21"/>
      <c r="K145" s="21"/>
      <c r="L145" s="21"/>
    </row>
    <row r="146" spans="1:12">
      <c r="A146" s="107" t="s">
        <v>68</v>
      </c>
      <c r="B146" s="107"/>
      <c r="C146" s="107"/>
      <c r="D146" s="107"/>
      <c r="E146" s="107"/>
      <c r="F146" s="107"/>
      <c r="G146" s="23">
        <f>(G123-A125)/360</f>
        <v>1.6083333333333334</v>
      </c>
      <c r="H146" s="31">
        <f>IF(G146&lt;2,0,IF(AND(G146&gt;2,G146&lt;5),[1]Taux!A$33,IF(AND(G146&lt;12,G146&gt;5),[1]Taux!A$34,IF(AND(G146&gt;12,G146&lt;20),[1]Taux!A$35,IF(AND(G146&lt;25,G146&gt;20),[1]Taux!A$36,IF(G146&gt;25,[1]Taux!A$37))))))</f>
        <v>0</v>
      </c>
      <c r="I146" s="23">
        <f>I134*H146</f>
        <v>0</v>
      </c>
      <c r="J146" s="25"/>
      <c r="K146" s="26"/>
      <c r="L146" s="26"/>
    </row>
    <row r="147" spans="1:12">
      <c r="A147" s="107" t="s">
        <v>69</v>
      </c>
      <c r="B147" s="107"/>
      <c r="C147" s="107"/>
      <c r="D147" s="107"/>
      <c r="E147" s="107"/>
      <c r="F147" s="107"/>
      <c r="G147" s="23"/>
      <c r="H147" s="24"/>
      <c r="I147" s="23"/>
      <c r="J147" s="25"/>
      <c r="K147" s="26"/>
      <c r="L147" s="26"/>
    </row>
    <row r="148" spans="1:12">
      <c r="A148" s="106" t="s">
        <v>70</v>
      </c>
      <c r="B148" s="106"/>
      <c r="C148" s="106"/>
      <c r="D148" s="106"/>
      <c r="E148" s="106"/>
      <c r="F148" s="106"/>
      <c r="G148" s="21"/>
      <c r="H148" s="22"/>
      <c r="I148" s="21">
        <f>SUM(I149:I151)</f>
        <v>6000</v>
      </c>
      <c r="J148" s="21"/>
      <c r="K148" s="21"/>
      <c r="L148" s="21"/>
    </row>
    <row r="149" spans="1:12">
      <c r="A149" s="107" t="s">
        <v>71</v>
      </c>
      <c r="B149" s="107"/>
      <c r="C149" s="107"/>
      <c r="D149" s="107"/>
      <c r="E149" s="107"/>
      <c r="F149" s="107"/>
      <c r="G149" s="23"/>
      <c r="H149" s="24"/>
      <c r="I149" s="23">
        <v>3000</v>
      </c>
      <c r="J149" s="25"/>
      <c r="K149" s="26"/>
      <c r="L149" s="26"/>
    </row>
    <row r="150" spans="1:12">
      <c r="A150" s="107" t="s">
        <v>72</v>
      </c>
      <c r="B150" s="107"/>
      <c r="C150" s="107"/>
      <c r="D150" s="107"/>
      <c r="E150" s="107"/>
      <c r="F150" s="107"/>
      <c r="G150" s="23"/>
      <c r="H150" s="31"/>
      <c r="I150" s="23">
        <v>3000</v>
      </c>
      <c r="J150" s="25"/>
      <c r="K150" s="26"/>
      <c r="L150" s="26"/>
    </row>
    <row r="151" spans="1:12">
      <c r="A151" s="107" t="s">
        <v>73</v>
      </c>
      <c r="B151" s="107"/>
      <c r="C151" s="107"/>
      <c r="D151" s="107"/>
      <c r="E151" s="107"/>
      <c r="F151" s="107"/>
      <c r="G151" s="23"/>
      <c r="H151" s="24"/>
      <c r="I151" s="23"/>
      <c r="J151" s="25"/>
      <c r="K151" s="26"/>
      <c r="L151" s="26"/>
    </row>
    <row r="152" spans="1:12">
      <c r="A152" s="111" t="s">
        <v>74</v>
      </c>
      <c r="B152" s="111"/>
      <c r="C152" s="111"/>
      <c r="D152" s="111"/>
      <c r="E152" s="111"/>
      <c r="F152" s="111"/>
      <c r="G152" s="32"/>
      <c r="H152" s="33"/>
      <c r="I152" s="32">
        <f>I134+I145+I148</f>
        <v>96000</v>
      </c>
      <c r="J152" s="33"/>
      <c r="K152" s="33"/>
      <c r="L152" s="33"/>
    </row>
    <row r="153" spans="1:12">
      <c r="A153" s="111" t="s">
        <v>75</v>
      </c>
      <c r="B153" s="111"/>
      <c r="C153" s="111"/>
      <c r="D153" s="111"/>
      <c r="E153" s="111"/>
      <c r="F153" s="111"/>
      <c r="G153" s="32"/>
      <c r="H153" s="33"/>
      <c r="I153" s="32">
        <f>I152-I148</f>
        <v>90000</v>
      </c>
      <c r="J153" s="33"/>
      <c r="K153" s="33"/>
      <c r="L153" s="33"/>
    </row>
    <row r="154" spans="1:12">
      <c r="A154" s="107" t="s">
        <v>76</v>
      </c>
      <c r="B154" s="107"/>
      <c r="C154" s="107"/>
      <c r="D154" s="107"/>
      <c r="E154" s="107"/>
      <c r="F154" s="107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>
      <c r="A155" s="107" t="s">
        <v>77</v>
      </c>
      <c r="B155" s="107"/>
      <c r="C155" s="107"/>
      <c r="D155" s="107"/>
      <c r="E155" s="107"/>
      <c r="F155" s="107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>
      <c r="A156" s="107" t="s">
        <v>78</v>
      </c>
      <c r="B156" s="107"/>
      <c r="C156" s="107"/>
      <c r="D156" s="107"/>
      <c r="E156" s="107"/>
      <c r="F156" s="107"/>
      <c r="G156" s="23"/>
      <c r="H156" s="34">
        <v>0.5</v>
      </c>
      <c r="I156" s="23"/>
      <c r="J156" s="23">
        <f>I153*H156</f>
        <v>45000</v>
      </c>
      <c r="K156" s="35">
        <v>0.06</v>
      </c>
      <c r="L156" s="23">
        <f>I153*K156</f>
        <v>5400</v>
      </c>
    </row>
    <row r="157" spans="1:12">
      <c r="A157" s="107" t="s">
        <v>79</v>
      </c>
      <c r="B157" s="107"/>
      <c r="C157" s="107"/>
      <c r="D157" s="107"/>
      <c r="E157" s="107"/>
      <c r="F157" s="107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>
      <c r="A158" s="107" t="s">
        <v>80</v>
      </c>
      <c r="B158" s="107"/>
      <c r="C158" s="107"/>
      <c r="D158" s="107"/>
      <c r="E158" s="107"/>
      <c r="F158" s="107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>
      <c r="A159" s="107" t="s">
        <v>81</v>
      </c>
      <c r="B159" s="107"/>
      <c r="C159" s="107"/>
      <c r="D159" s="107"/>
      <c r="E159" s="107"/>
      <c r="F159" s="107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>
      <c r="A160" s="107" t="s">
        <v>24</v>
      </c>
      <c r="B160" s="107"/>
      <c r="C160" s="107"/>
      <c r="D160" s="107"/>
      <c r="E160" s="107"/>
      <c r="F160" s="107"/>
      <c r="G160" s="23"/>
      <c r="H160" s="34" t="str">
        <f>[1]Taux!D$7</f>
        <v>2,26%</v>
      </c>
      <c r="I160" s="23"/>
      <c r="J160" s="23">
        <f>I153*H160</f>
        <v>2033.9999999999998</v>
      </c>
      <c r="K160" s="34" t="str">
        <f>[1]Taux!C$7</f>
        <v>4,11%</v>
      </c>
      <c r="L160" s="23">
        <f>I153*K160</f>
        <v>3699</v>
      </c>
    </row>
    <row r="161" spans="1:12">
      <c r="A161" s="110" t="s">
        <v>82</v>
      </c>
      <c r="B161" s="110"/>
      <c r="C161" s="110"/>
      <c r="D161" s="110"/>
      <c r="E161" s="110"/>
      <c r="F161" s="110"/>
      <c r="G161" s="37"/>
      <c r="H161" s="38"/>
      <c r="I161" s="39"/>
      <c r="J161" s="40"/>
      <c r="K161" s="34" t="str">
        <f>[1]Taux!C$4</f>
        <v>6,40%</v>
      </c>
      <c r="L161" s="23">
        <f>I153*K161</f>
        <v>5760</v>
      </c>
    </row>
    <row r="162" spans="1:12">
      <c r="A162" s="110" t="s">
        <v>83</v>
      </c>
      <c r="B162" s="110"/>
      <c r="C162" s="110"/>
      <c r="D162" s="110"/>
      <c r="E162" s="110"/>
      <c r="F162" s="110"/>
      <c r="G162" s="41"/>
      <c r="H162" s="42"/>
      <c r="I162" s="43"/>
      <c r="J162" s="44"/>
      <c r="K162" s="34" t="str">
        <f>[1]Taux!C$8</f>
        <v>1,6 %</v>
      </c>
      <c r="L162" s="23">
        <f>I153*K162</f>
        <v>1440</v>
      </c>
    </row>
    <row r="163" spans="1:12">
      <c r="A163" s="106" t="s">
        <v>84</v>
      </c>
      <c r="B163" s="106"/>
      <c r="C163" s="106"/>
      <c r="D163" s="106"/>
      <c r="E163" s="106"/>
      <c r="F163" s="106"/>
      <c r="G163" s="21"/>
      <c r="H163" s="22"/>
      <c r="I163" s="22"/>
      <c r="J163" s="21">
        <f>SUM(J154:J160)</f>
        <v>47302.8</v>
      </c>
      <c r="K163" s="21"/>
      <c r="L163" s="21">
        <f>SUM(L154:L162)</f>
        <v>16837.8</v>
      </c>
    </row>
    <row r="164" spans="1:12">
      <c r="A164" s="107" t="s">
        <v>85</v>
      </c>
      <c r="B164" s="107"/>
      <c r="C164" s="107"/>
      <c r="D164" s="107"/>
      <c r="E164" s="107"/>
      <c r="F164" s="107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>
      <c r="A165" s="111" t="s">
        <v>86</v>
      </c>
      <c r="B165" s="111"/>
      <c r="C165" s="111"/>
      <c r="D165" s="111"/>
      <c r="E165" s="111"/>
      <c r="F165" s="111"/>
      <c r="G165" s="32"/>
      <c r="H165" s="33"/>
      <c r="I165" s="32">
        <f>I153-J163-J164</f>
        <v>40197.199999999997</v>
      </c>
      <c r="J165" s="33"/>
      <c r="K165" s="33"/>
      <c r="L165" s="33"/>
    </row>
    <row r="166" spans="1:12">
      <c r="A166" s="107" t="s">
        <v>87</v>
      </c>
      <c r="B166" s="107"/>
      <c r="C166" s="107"/>
      <c r="D166" s="107"/>
      <c r="E166" s="107"/>
      <c r="F166" s="107"/>
      <c r="G166" s="23"/>
      <c r="H166" s="34"/>
      <c r="I166" s="23">
        <f>H166*180/360</f>
        <v>0</v>
      </c>
      <c r="J166" s="23"/>
      <c r="K166" s="46"/>
      <c r="L166" s="47"/>
    </row>
    <row r="167" spans="1:12">
      <c r="A167" s="111" t="s">
        <v>88</v>
      </c>
      <c r="B167" s="111"/>
      <c r="C167" s="111"/>
      <c r="D167" s="111"/>
      <c r="E167" s="111"/>
      <c r="F167" s="111"/>
      <c r="G167" s="32"/>
      <c r="H167" s="33"/>
      <c r="I167" s="32">
        <f>I165-I166</f>
        <v>40197.199999999997</v>
      </c>
      <c r="J167" s="33"/>
      <c r="K167" s="33"/>
      <c r="L167" s="33"/>
    </row>
    <row r="168" spans="1:12">
      <c r="A168" s="107" t="s">
        <v>89</v>
      </c>
      <c r="B168" s="107"/>
      <c r="C168" s="107"/>
      <c r="D168" s="107"/>
      <c r="E168" s="107"/>
      <c r="F168" s="107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13241.602666666666</v>
      </c>
      <c r="K168" s="46"/>
      <c r="L168" s="47"/>
    </row>
    <row r="169" spans="1:12">
      <c r="A169" s="107" t="s">
        <v>90</v>
      </c>
      <c r="B169" s="107"/>
      <c r="C169" s="107"/>
      <c r="D169" s="107"/>
      <c r="E169" s="107"/>
      <c r="F169" s="107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>
      <c r="A170" s="106" t="s">
        <v>91</v>
      </c>
      <c r="B170" s="106"/>
      <c r="C170" s="106"/>
      <c r="D170" s="106"/>
      <c r="E170" s="106"/>
      <c r="F170" s="106"/>
      <c r="G170" s="21"/>
      <c r="H170" s="22"/>
      <c r="I170" s="21"/>
      <c r="J170" s="21">
        <f>J168-J169</f>
        <v>13241.602666666666</v>
      </c>
      <c r="K170" s="21"/>
      <c r="L170" s="21"/>
    </row>
    <row r="171" spans="1:12">
      <c r="A171" s="112" t="s">
        <v>92</v>
      </c>
      <c r="B171" s="112"/>
      <c r="C171" s="112"/>
      <c r="D171" s="112"/>
      <c r="E171" s="112"/>
      <c r="F171" s="112"/>
      <c r="G171" s="25"/>
      <c r="H171" s="48"/>
      <c r="I171" s="47"/>
      <c r="J171" s="49">
        <v>0</v>
      </c>
      <c r="K171" s="46"/>
      <c r="L171" s="47"/>
    </row>
    <row r="172" spans="1:12">
      <c r="A172" s="107" t="s">
        <v>93</v>
      </c>
      <c r="B172" s="107"/>
      <c r="C172" s="107"/>
      <c r="D172" s="107"/>
      <c r="E172" s="107"/>
      <c r="F172" s="107"/>
      <c r="G172" s="25"/>
      <c r="H172" s="48"/>
      <c r="I172" s="44"/>
      <c r="J172" s="28">
        <v>0</v>
      </c>
      <c r="K172" s="46"/>
      <c r="L172" s="47"/>
    </row>
    <row r="173" spans="1:12">
      <c r="A173" s="113" t="s">
        <v>94</v>
      </c>
      <c r="B173" s="113"/>
      <c r="C173" s="113"/>
      <c r="D173" s="113"/>
      <c r="E173" s="113"/>
      <c r="F173" s="113"/>
      <c r="G173" s="41"/>
      <c r="H173" s="42"/>
      <c r="I173" s="28">
        <f>1-0.54</f>
        <v>0.45999999999999996</v>
      </c>
      <c r="J173" s="41"/>
      <c r="K173" s="43"/>
      <c r="L173" s="44"/>
    </row>
    <row r="174" spans="1:1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>
      <c r="A175" s="13" t="s">
        <v>95</v>
      </c>
      <c r="B175" s="13" t="s">
        <v>96</v>
      </c>
      <c r="C175" s="13" t="s">
        <v>97</v>
      </c>
      <c r="D175" s="104" t="s">
        <v>98</v>
      </c>
      <c r="E175" s="104"/>
      <c r="F175" s="104"/>
      <c r="G175" s="13" t="s">
        <v>99</v>
      </c>
      <c r="H175" s="50"/>
      <c r="I175" s="51">
        <f>I152+I173</f>
        <v>96000.46</v>
      </c>
      <c r="J175" s="51">
        <f>J163+J170+J171+J172</f>
        <v>60544.402666666669</v>
      </c>
      <c r="K175" s="13" t="s">
        <v>100</v>
      </c>
      <c r="L175" s="51">
        <f>L163</f>
        <v>16837.8</v>
      </c>
    </row>
    <row r="176" spans="1:12">
      <c r="A176" s="51">
        <f>882000+I152</f>
        <v>978000</v>
      </c>
      <c r="B176" s="51">
        <f>828000+I153</f>
        <v>918000</v>
      </c>
      <c r="C176" s="51">
        <f>2419.2+J154</f>
        <v>2688</v>
      </c>
      <c r="D176" s="114">
        <f>122440.83+J170</f>
        <v>135682.43266666666</v>
      </c>
      <c r="E176" s="114"/>
      <c r="F176" s="114"/>
      <c r="G176" s="51">
        <f>324432+I175</f>
        <v>420432.46</v>
      </c>
      <c r="H176" s="104" t="s">
        <v>101</v>
      </c>
      <c r="I176" s="104"/>
      <c r="J176" s="51">
        <f>I175-J175</f>
        <v>35456.057333333338</v>
      </c>
      <c r="K176" s="13" t="s">
        <v>102</v>
      </c>
      <c r="L176" s="51">
        <f>154800+L175</f>
        <v>171637.8</v>
      </c>
    </row>
    <row r="177" spans="1:1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52293.857333333333</v>
      </c>
    </row>
    <row r="181" spans="1:12">
      <c r="A181" s="105" t="s">
        <v>26</v>
      </c>
      <c r="B181" s="105"/>
      <c r="C181" s="105" t="s">
        <v>27</v>
      </c>
      <c r="D181" s="105"/>
      <c r="E181" s="105"/>
      <c r="F181" s="105"/>
      <c r="G181" s="105" t="s">
        <v>28</v>
      </c>
      <c r="H181" s="105"/>
      <c r="I181" s="105"/>
      <c r="J181" s="105" t="s">
        <v>29</v>
      </c>
      <c r="K181" s="105"/>
      <c r="L181" s="105"/>
    </row>
    <row r="182" spans="1:12">
      <c r="A182" s="13" t="s">
        <v>30</v>
      </c>
      <c r="B182" s="104" t="s">
        <v>31</v>
      </c>
      <c r="C182" s="104"/>
      <c r="D182" s="104"/>
      <c r="E182" s="104"/>
      <c r="F182" s="104"/>
      <c r="G182" s="104" t="s">
        <v>32</v>
      </c>
      <c r="H182" s="104"/>
      <c r="I182" s="104"/>
      <c r="J182" s="104"/>
      <c r="K182" s="104"/>
      <c r="L182" s="104"/>
    </row>
    <row r="183" spans="1:12">
      <c r="A183" s="15">
        <v>5</v>
      </c>
      <c r="B183" s="102" t="s">
        <v>108</v>
      </c>
      <c r="C183" s="102"/>
      <c r="D183" s="102"/>
      <c r="E183" s="102"/>
      <c r="F183" s="102"/>
      <c r="G183" s="103">
        <v>42370</v>
      </c>
      <c r="H183" s="103"/>
      <c r="I183" s="103"/>
      <c r="J183" s="103">
        <v>42399</v>
      </c>
      <c r="K183" s="103"/>
      <c r="L183" s="103"/>
    </row>
    <row r="184" spans="1:12">
      <c r="A184" s="13" t="s">
        <v>34</v>
      </c>
      <c r="B184" s="13" t="s">
        <v>35</v>
      </c>
      <c r="C184" s="13" t="s">
        <v>36</v>
      </c>
      <c r="D184" s="13" t="s">
        <v>37</v>
      </c>
      <c r="E184" s="13" t="s">
        <v>38</v>
      </c>
      <c r="F184" s="13" t="s">
        <v>39</v>
      </c>
      <c r="G184" s="104" t="s">
        <v>40</v>
      </c>
      <c r="H184" s="104"/>
      <c r="I184" s="104"/>
      <c r="J184" s="104"/>
      <c r="K184" s="104"/>
      <c r="L184" s="104"/>
    </row>
    <row r="185" spans="1:12">
      <c r="A185" s="17">
        <v>41791</v>
      </c>
      <c r="B185" s="15"/>
      <c r="C185" s="17">
        <v>21792</v>
      </c>
      <c r="D185" s="15" t="s">
        <v>41</v>
      </c>
      <c r="E185" s="15">
        <v>2</v>
      </c>
      <c r="F185" s="15">
        <v>3</v>
      </c>
      <c r="G185" s="102"/>
      <c r="H185" s="102"/>
      <c r="I185" s="102"/>
      <c r="J185" s="102"/>
      <c r="K185" s="102"/>
      <c r="L185" s="102"/>
    </row>
    <row r="186" spans="1:12">
      <c r="A186" s="13" t="s">
        <v>42</v>
      </c>
      <c r="B186" s="13" t="s">
        <v>43</v>
      </c>
      <c r="C186" s="13" t="s">
        <v>44</v>
      </c>
      <c r="D186" s="104" t="s">
        <v>45</v>
      </c>
      <c r="E186" s="104"/>
      <c r="F186" s="104"/>
      <c r="G186" s="104" t="s">
        <v>46</v>
      </c>
      <c r="H186" s="104"/>
      <c r="I186" s="104"/>
      <c r="J186" s="104"/>
      <c r="K186" s="104"/>
      <c r="L186" s="104"/>
    </row>
    <row r="187" spans="1:12">
      <c r="A187" s="15">
        <v>132944135</v>
      </c>
      <c r="B187" s="15"/>
      <c r="C187" s="15"/>
      <c r="D187" s="102" t="s">
        <v>47</v>
      </c>
      <c r="E187" s="102"/>
      <c r="F187" s="102"/>
      <c r="G187" s="102" t="s">
        <v>109</v>
      </c>
      <c r="H187" s="102"/>
      <c r="I187" s="102"/>
      <c r="J187" s="102"/>
      <c r="K187" s="102"/>
      <c r="L187" s="102"/>
    </row>
    <row r="188" spans="1:1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>
      <c r="A191" s="108" t="s">
        <v>49</v>
      </c>
      <c r="B191" s="108"/>
      <c r="C191" s="108"/>
      <c r="D191" s="108"/>
      <c r="E191" s="108"/>
      <c r="F191" s="108"/>
      <c r="G191" s="108" t="s">
        <v>50</v>
      </c>
      <c r="H191" s="108" t="s">
        <v>51</v>
      </c>
      <c r="I191" s="108" t="s">
        <v>52</v>
      </c>
      <c r="J191" s="108"/>
      <c r="K191" s="108" t="s">
        <v>53</v>
      </c>
      <c r="L191" s="108"/>
    </row>
    <row r="192" spans="1:12">
      <c r="A192" s="108"/>
      <c r="B192" s="108"/>
      <c r="C192" s="108"/>
      <c r="D192" s="108"/>
      <c r="E192" s="108"/>
      <c r="F192" s="108"/>
      <c r="G192" s="108"/>
      <c r="H192" s="108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>
      <c r="A193" s="106" t="s">
        <v>58</v>
      </c>
      <c r="B193" s="106"/>
      <c r="C193" s="106"/>
      <c r="D193" s="106"/>
      <c r="E193" s="106"/>
      <c r="F193" s="106"/>
      <c r="G193" s="21">
        <v>12125.57</v>
      </c>
      <c r="H193" s="22"/>
      <c r="I193" s="21"/>
      <c r="J193" s="21"/>
      <c r="K193" s="21"/>
      <c r="L193" s="21"/>
    </row>
    <row r="194" spans="1:12">
      <c r="A194" s="106" t="s">
        <v>59</v>
      </c>
      <c r="B194" s="106"/>
      <c r="C194" s="106"/>
      <c r="D194" s="106"/>
      <c r="E194" s="106"/>
      <c r="F194" s="106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>
      <c r="A195" s="107" t="s">
        <v>60</v>
      </c>
      <c r="B195" s="107"/>
      <c r="C195" s="107"/>
      <c r="D195" s="107"/>
      <c r="E195" s="107"/>
      <c r="F195" s="107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>
      <c r="A196" s="107" t="s">
        <v>61</v>
      </c>
      <c r="B196" s="107"/>
      <c r="C196" s="107"/>
      <c r="D196" s="107"/>
      <c r="E196" s="107"/>
      <c r="F196" s="107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>
      <c r="A197" s="107" t="s">
        <v>62</v>
      </c>
      <c r="B197" s="107"/>
      <c r="C197" s="107"/>
      <c r="D197" s="107"/>
      <c r="E197" s="107"/>
      <c r="F197" s="107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>
      <c r="A198" s="107" t="s">
        <v>63</v>
      </c>
      <c r="B198" s="107"/>
      <c r="C198" s="107"/>
      <c r="D198" s="107"/>
      <c r="E198" s="107"/>
      <c r="F198" s="107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>
      <c r="A199" s="107" t="s">
        <v>64</v>
      </c>
      <c r="B199" s="107"/>
      <c r="C199" s="107"/>
      <c r="D199" s="107"/>
      <c r="E199" s="107"/>
      <c r="F199" s="107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>
      <c r="A200" s="107" t="s">
        <v>65</v>
      </c>
      <c r="B200" s="107"/>
      <c r="C200" s="107"/>
      <c r="D200" s="107"/>
      <c r="E200" s="107"/>
      <c r="F200" s="107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>
      <c r="A201" s="107" t="s">
        <v>66</v>
      </c>
      <c r="B201" s="107"/>
      <c r="C201" s="107"/>
      <c r="D201" s="107"/>
      <c r="E201" s="107"/>
      <c r="F201" s="107"/>
      <c r="G201" s="29"/>
      <c r="H201" s="30"/>
      <c r="I201" s="30"/>
      <c r="J201" s="25"/>
      <c r="K201" s="26"/>
      <c r="L201" s="26"/>
    </row>
    <row r="202" spans="1:12">
      <c r="A202" s="109">
        <v>0.25</v>
      </c>
      <c r="B202" s="109"/>
      <c r="C202" s="109"/>
      <c r="D202" s="109"/>
      <c r="E202" s="109"/>
      <c r="F202" s="109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>
      <c r="A203" s="109">
        <v>0.5</v>
      </c>
      <c r="B203" s="109"/>
      <c r="C203" s="109"/>
      <c r="D203" s="109"/>
      <c r="E203" s="109"/>
      <c r="F203" s="109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>
      <c r="A204" s="109">
        <v>1</v>
      </c>
      <c r="B204" s="109"/>
      <c r="C204" s="109"/>
      <c r="D204" s="109"/>
      <c r="E204" s="109"/>
      <c r="F204" s="109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>
      <c r="A205" s="106" t="s">
        <v>67</v>
      </c>
      <c r="B205" s="106"/>
      <c r="C205" s="106"/>
      <c r="D205" s="106"/>
      <c r="E205" s="106"/>
      <c r="F205" s="106"/>
      <c r="G205" s="21"/>
      <c r="H205" s="22"/>
      <c r="I205" s="21">
        <f>SUM(I206:I207)</f>
        <v>0</v>
      </c>
      <c r="J205" s="21"/>
      <c r="K205" s="21"/>
      <c r="L205" s="21"/>
    </row>
    <row r="206" spans="1:12">
      <c r="A206" s="107" t="s">
        <v>68</v>
      </c>
      <c r="B206" s="107"/>
      <c r="C206" s="107"/>
      <c r="D206" s="107"/>
      <c r="E206" s="107"/>
      <c r="F206" s="107"/>
      <c r="G206" s="23">
        <f>(G183-A185)/360</f>
        <v>1.6083333333333334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</v>
      </c>
      <c r="I206" s="23">
        <f>I194*H206</f>
        <v>0</v>
      </c>
      <c r="J206" s="25"/>
      <c r="K206" s="26"/>
      <c r="L206" s="26"/>
    </row>
    <row r="207" spans="1:12">
      <c r="A207" s="107" t="s">
        <v>69</v>
      </c>
      <c r="B207" s="107"/>
      <c r="C207" s="107"/>
      <c r="D207" s="107"/>
      <c r="E207" s="107"/>
      <c r="F207" s="107"/>
      <c r="G207" s="23"/>
      <c r="H207" s="24"/>
      <c r="I207" s="23"/>
      <c r="J207" s="25"/>
      <c r="K207" s="26"/>
      <c r="L207" s="26"/>
    </row>
    <row r="208" spans="1:12">
      <c r="A208" s="106" t="s">
        <v>70</v>
      </c>
      <c r="B208" s="106"/>
      <c r="C208" s="106"/>
      <c r="D208" s="106"/>
      <c r="E208" s="106"/>
      <c r="F208" s="106"/>
      <c r="G208" s="21"/>
      <c r="H208" s="22"/>
      <c r="I208" s="21">
        <f>SUM(I209:I211)</f>
        <v>5000</v>
      </c>
      <c r="J208" s="21"/>
      <c r="K208" s="21"/>
      <c r="L208" s="21"/>
    </row>
    <row r="209" spans="1:12">
      <c r="A209" s="107" t="s">
        <v>71</v>
      </c>
      <c r="B209" s="107"/>
      <c r="C209" s="107"/>
      <c r="D209" s="107"/>
      <c r="E209" s="107"/>
      <c r="F209" s="107"/>
      <c r="G209" s="23"/>
      <c r="H209" s="24"/>
      <c r="I209" s="23">
        <v>2500</v>
      </c>
      <c r="J209" s="25"/>
      <c r="K209" s="26"/>
      <c r="L209" s="26"/>
    </row>
    <row r="210" spans="1:12">
      <c r="A210" s="107" t="s">
        <v>72</v>
      </c>
      <c r="B210" s="107"/>
      <c r="C210" s="107"/>
      <c r="D210" s="107"/>
      <c r="E210" s="107"/>
      <c r="F210" s="107"/>
      <c r="G210" s="23"/>
      <c r="H210" s="31">
        <v>0</v>
      </c>
      <c r="I210" s="23">
        <v>2500</v>
      </c>
      <c r="J210" s="25"/>
      <c r="K210" s="26"/>
      <c r="L210" s="26"/>
    </row>
    <row r="211" spans="1:12">
      <c r="A211" s="107" t="s">
        <v>73</v>
      </c>
      <c r="B211" s="107"/>
      <c r="C211" s="107"/>
      <c r="D211" s="107"/>
      <c r="E211" s="107"/>
      <c r="F211" s="107"/>
      <c r="G211" s="23"/>
      <c r="H211" s="24"/>
      <c r="I211" s="23"/>
      <c r="J211" s="25"/>
      <c r="K211" s="26"/>
      <c r="L211" s="26"/>
    </row>
    <row r="212" spans="1:12">
      <c r="A212" s="111" t="s">
        <v>74</v>
      </c>
      <c r="B212" s="111"/>
      <c r="C212" s="111"/>
      <c r="D212" s="111"/>
      <c r="E212" s="111"/>
      <c r="F212" s="111"/>
      <c r="G212" s="32"/>
      <c r="H212" s="33"/>
      <c r="I212" s="32">
        <f>I194+I205+I208</f>
        <v>17125.57</v>
      </c>
      <c r="J212" s="33"/>
      <c r="K212" s="33"/>
      <c r="L212" s="33"/>
    </row>
    <row r="213" spans="1:12">
      <c r="A213" s="111" t="s">
        <v>75</v>
      </c>
      <c r="B213" s="111"/>
      <c r="C213" s="111"/>
      <c r="D213" s="111"/>
      <c r="E213" s="111"/>
      <c r="F213" s="111"/>
      <c r="G213" s="32"/>
      <c r="H213" s="33"/>
      <c r="I213" s="32">
        <f>I212-I208</f>
        <v>12125.57</v>
      </c>
      <c r="J213" s="33"/>
      <c r="K213" s="33"/>
      <c r="L213" s="33"/>
    </row>
    <row r="214" spans="1:12">
      <c r="A214" s="107" t="s">
        <v>76</v>
      </c>
      <c r="B214" s="107"/>
      <c r="C214" s="107"/>
      <c r="D214" s="107"/>
      <c r="E214" s="107"/>
      <c r="F214" s="107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>
      <c r="A215" s="107" t="s">
        <v>77</v>
      </c>
      <c r="B215" s="107"/>
      <c r="C215" s="107"/>
      <c r="D215" s="107"/>
      <c r="E215" s="107"/>
      <c r="F215" s="107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>
      <c r="A216" s="107" t="s">
        <v>78</v>
      </c>
      <c r="B216" s="107"/>
      <c r="C216" s="107"/>
      <c r="D216" s="107"/>
      <c r="E216" s="107"/>
      <c r="F216" s="107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>
      <c r="A217" s="107" t="s">
        <v>79</v>
      </c>
      <c r="B217" s="107"/>
      <c r="C217" s="107"/>
      <c r="D217" s="107"/>
      <c r="E217" s="107"/>
      <c r="F217" s="107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>
      <c r="A218" s="107" t="s">
        <v>80</v>
      </c>
      <c r="B218" s="107"/>
      <c r="C218" s="107"/>
      <c r="D218" s="107"/>
      <c r="E218" s="107"/>
      <c r="F218" s="107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>
      <c r="A219" s="107" t="s">
        <v>81</v>
      </c>
      <c r="B219" s="107"/>
      <c r="C219" s="107"/>
      <c r="D219" s="107"/>
      <c r="E219" s="107"/>
      <c r="F219" s="107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>
      <c r="A220" s="107" t="s">
        <v>24</v>
      </c>
      <c r="B220" s="107"/>
      <c r="C220" s="107"/>
      <c r="D220" s="107"/>
      <c r="E220" s="107"/>
      <c r="F220" s="107"/>
      <c r="G220" s="23"/>
      <c r="H220" s="34" t="str">
        <f>[1]Taux!D$7</f>
        <v>2,26%</v>
      </c>
      <c r="I220" s="23"/>
      <c r="J220" s="23">
        <f>I213*H220</f>
        <v>274.03788199999997</v>
      </c>
      <c r="K220" s="34" t="str">
        <f>[1]Taux!C$7</f>
        <v>4,11%</v>
      </c>
      <c r="L220" s="23">
        <f>I213*K220</f>
        <v>498.36092699999995</v>
      </c>
    </row>
    <row r="221" spans="1:12">
      <c r="A221" s="110" t="s">
        <v>82</v>
      </c>
      <c r="B221" s="110"/>
      <c r="C221" s="110"/>
      <c r="D221" s="110"/>
      <c r="E221" s="110"/>
      <c r="F221" s="110"/>
      <c r="G221" s="37"/>
      <c r="H221" s="38"/>
      <c r="I221" s="39"/>
      <c r="J221" s="40"/>
      <c r="K221" s="34" t="str">
        <f>[1]Taux!C$4</f>
        <v>6,40%</v>
      </c>
      <c r="L221" s="23">
        <f>I213*K221</f>
        <v>776.03647999999998</v>
      </c>
    </row>
    <row r="222" spans="1:12">
      <c r="A222" s="110" t="s">
        <v>83</v>
      </c>
      <c r="B222" s="110"/>
      <c r="C222" s="110"/>
      <c r="D222" s="110"/>
      <c r="E222" s="110"/>
      <c r="F222" s="110"/>
      <c r="G222" s="41"/>
      <c r="H222" s="42"/>
      <c r="I222" s="43"/>
      <c r="J222" s="44"/>
      <c r="K222" s="34" t="str">
        <f>[1]Taux!C$8</f>
        <v>1,6 %</v>
      </c>
      <c r="L222" s="23">
        <f>I213*K222</f>
        <v>194.00912</v>
      </c>
    </row>
    <row r="223" spans="1:12">
      <c r="A223" s="106" t="s">
        <v>84</v>
      </c>
      <c r="B223" s="106"/>
      <c r="C223" s="106"/>
      <c r="D223" s="106"/>
      <c r="E223" s="106"/>
      <c r="F223" s="106"/>
      <c r="G223" s="21"/>
      <c r="H223" s="22"/>
      <c r="I223" s="22"/>
      <c r="J223" s="21">
        <f>SUM(J214:J220)</f>
        <v>542.83788200000004</v>
      </c>
      <c r="K223" s="21"/>
      <c r="L223" s="21">
        <f>SUM(L214:L222)</f>
        <v>2007.2065269999998</v>
      </c>
    </row>
    <row r="224" spans="1:12">
      <c r="A224" s="107" t="s">
        <v>85</v>
      </c>
      <c r="B224" s="107"/>
      <c r="C224" s="107"/>
      <c r="D224" s="107"/>
      <c r="E224" s="107"/>
      <c r="F224" s="107"/>
      <c r="G224" s="23"/>
      <c r="H224" s="45">
        <v>0.2</v>
      </c>
      <c r="I224" s="23"/>
      <c r="J224" s="23">
        <f>IF(I213*H224&lt;2500,I213*H224,2500)</f>
        <v>2425.114</v>
      </c>
      <c r="K224" s="46"/>
      <c r="L224" s="47"/>
    </row>
    <row r="225" spans="1:12">
      <c r="A225" s="111" t="s">
        <v>86</v>
      </c>
      <c r="B225" s="111"/>
      <c r="C225" s="111"/>
      <c r="D225" s="111"/>
      <c r="E225" s="111"/>
      <c r="F225" s="111"/>
      <c r="G225" s="32"/>
      <c r="H225" s="33"/>
      <c r="I225" s="32">
        <f>I213-J223-J224</f>
        <v>9157.6181180000003</v>
      </c>
      <c r="J225" s="33"/>
      <c r="K225" s="33"/>
      <c r="L225" s="33"/>
    </row>
    <row r="226" spans="1:12">
      <c r="A226" s="107" t="s">
        <v>87</v>
      </c>
      <c r="B226" s="107"/>
      <c r="C226" s="107"/>
      <c r="D226" s="107"/>
      <c r="E226" s="107"/>
      <c r="F226" s="107"/>
      <c r="G226" s="23"/>
      <c r="H226" s="34"/>
      <c r="I226" s="23">
        <f>H226*180/360</f>
        <v>0</v>
      </c>
      <c r="J226" s="23"/>
      <c r="K226" s="46"/>
      <c r="L226" s="47"/>
    </row>
    <row r="227" spans="1:12">
      <c r="A227" s="111" t="s">
        <v>88</v>
      </c>
      <c r="B227" s="111"/>
      <c r="C227" s="111"/>
      <c r="D227" s="111"/>
      <c r="E227" s="111"/>
      <c r="F227" s="111"/>
      <c r="G227" s="32"/>
      <c r="H227" s="33"/>
      <c r="I227" s="32">
        <f>I225-I226</f>
        <v>9157.6181180000003</v>
      </c>
      <c r="J227" s="33"/>
      <c r="K227" s="33"/>
      <c r="L227" s="33"/>
    </row>
    <row r="228" spans="1:12">
      <c r="A228" s="107" t="s">
        <v>89</v>
      </c>
      <c r="B228" s="107"/>
      <c r="C228" s="107"/>
      <c r="D228" s="107"/>
      <c r="E228" s="107"/>
      <c r="F228" s="107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1680.256826786667</v>
      </c>
      <c r="K228" s="46"/>
      <c r="L228" s="47"/>
    </row>
    <row r="229" spans="1:12">
      <c r="A229" s="107" t="s">
        <v>90</v>
      </c>
      <c r="B229" s="107"/>
      <c r="C229" s="107"/>
      <c r="D229" s="107"/>
      <c r="E229" s="107"/>
      <c r="F229" s="107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>
      <c r="A230" s="106" t="s">
        <v>91</v>
      </c>
      <c r="B230" s="106"/>
      <c r="C230" s="106"/>
      <c r="D230" s="106"/>
      <c r="E230" s="106"/>
      <c r="F230" s="106"/>
      <c r="G230" s="21"/>
      <c r="H230" s="22"/>
      <c r="I230" s="21"/>
      <c r="J230" s="21">
        <f>J228-J229</f>
        <v>1590.256826786667</v>
      </c>
      <c r="K230" s="21"/>
      <c r="L230" s="21"/>
    </row>
    <row r="231" spans="1:12">
      <c r="A231" s="112" t="s">
        <v>92</v>
      </c>
      <c r="B231" s="112"/>
      <c r="C231" s="112"/>
      <c r="D231" s="112"/>
      <c r="E231" s="112"/>
      <c r="F231" s="112"/>
      <c r="G231" s="25"/>
      <c r="H231" s="48"/>
      <c r="I231" s="47"/>
      <c r="J231" s="49">
        <v>0</v>
      </c>
      <c r="K231" s="46"/>
      <c r="L231" s="47"/>
    </row>
    <row r="232" spans="1:12">
      <c r="A232" s="107" t="s">
        <v>93</v>
      </c>
      <c r="B232" s="107"/>
      <c r="C232" s="107"/>
      <c r="D232" s="107"/>
      <c r="E232" s="107"/>
      <c r="F232" s="107"/>
      <c r="G232" s="25"/>
      <c r="H232" s="48"/>
      <c r="I232" s="44"/>
      <c r="J232" s="28">
        <v>0</v>
      </c>
      <c r="K232" s="46"/>
      <c r="L232" s="47"/>
    </row>
    <row r="233" spans="1:12">
      <c r="A233" s="113" t="s">
        <v>94</v>
      </c>
      <c r="B233" s="113"/>
      <c r="C233" s="113"/>
      <c r="D233" s="113"/>
      <c r="E233" s="113"/>
      <c r="F233" s="113"/>
      <c r="G233" s="41"/>
      <c r="H233" s="42"/>
      <c r="I233" s="28">
        <f>1-0.04</f>
        <v>0.96</v>
      </c>
      <c r="J233" s="41"/>
      <c r="K233" s="43"/>
      <c r="L233" s="44"/>
    </row>
    <row r="234" spans="1:1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>
      <c r="A235" s="13" t="s">
        <v>95</v>
      </c>
      <c r="B235" s="13" t="s">
        <v>96</v>
      </c>
      <c r="C235" s="13" t="s">
        <v>97</v>
      </c>
      <c r="D235" s="104" t="s">
        <v>98</v>
      </c>
      <c r="E235" s="104"/>
      <c r="F235" s="104"/>
      <c r="G235" s="13" t="s">
        <v>99</v>
      </c>
      <c r="H235" s="50"/>
      <c r="I235" s="51">
        <f>I212+I233</f>
        <v>17126.53</v>
      </c>
      <c r="J235" s="51">
        <f>J223+J230+J231+J232</f>
        <v>2133.0947087866671</v>
      </c>
      <c r="K235" s="13" t="s">
        <v>100</v>
      </c>
      <c r="L235" s="51">
        <f>L223</f>
        <v>2007.2065269999998</v>
      </c>
    </row>
    <row r="236" spans="1:12">
      <c r="A236" s="51">
        <f>156555.24+I212</f>
        <v>173680.81</v>
      </c>
      <c r="B236" s="51">
        <f>111555.24+I213</f>
        <v>123680.81</v>
      </c>
      <c r="C236" s="51">
        <f>2419.2+J214</f>
        <v>2688</v>
      </c>
      <c r="D236" s="114">
        <f>15016.37+J230</f>
        <v>16606.626826786669</v>
      </c>
      <c r="E236" s="114"/>
      <c r="F236" s="114"/>
      <c r="G236" s="51">
        <f>136602.47+I235</f>
        <v>153729</v>
      </c>
      <c r="H236" s="104" t="s">
        <v>101</v>
      </c>
      <c r="I236" s="104"/>
      <c r="J236" s="51">
        <f>I235-J235</f>
        <v>14993.435291213333</v>
      </c>
      <c r="K236" s="13" t="s">
        <v>102</v>
      </c>
      <c r="L236" s="51">
        <f>20589.65+L235</f>
        <v>22596.856527</v>
      </c>
    </row>
    <row r="237" spans="1:1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17000.641818213331</v>
      </c>
    </row>
    <row r="241" spans="1:12">
      <c r="A241" s="105" t="s">
        <v>26</v>
      </c>
      <c r="B241" s="105"/>
      <c r="C241" s="105" t="s">
        <v>27</v>
      </c>
      <c r="D241" s="105"/>
      <c r="E241" s="105"/>
      <c r="F241" s="105"/>
      <c r="G241" s="105" t="s">
        <v>28</v>
      </c>
      <c r="H241" s="105"/>
      <c r="I241" s="105"/>
      <c r="J241" s="105" t="s">
        <v>29</v>
      </c>
      <c r="K241" s="105"/>
      <c r="L241" s="105"/>
    </row>
    <row r="242" spans="1:12">
      <c r="A242" s="13" t="s">
        <v>30</v>
      </c>
      <c r="B242" s="104" t="s">
        <v>31</v>
      </c>
      <c r="C242" s="104"/>
      <c r="D242" s="104"/>
      <c r="E242" s="104"/>
      <c r="F242" s="104"/>
      <c r="G242" s="104" t="s">
        <v>32</v>
      </c>
      <c r="H242" s="104"/>
      <c r="I242" s="104"/>
      <c r="J242" s="104"/>
      <c r="K242" s="104"/>
      <c r="L242" s="104"/>
    </row>
    <row r="243" spans="1:12">
      <c r="A243" s="15">
        <v>6</v>
      </c>
      <c r="B243" s="102" t="s">
        <v>110</v>
      </c>
      <c r="C243" s="102"/>
      <c r="D243" s="102"/>
      <c r="E243" s="102"/>
      <c r="F243" s="102"/>
      <c r="G243" s="103">
        <v>42370</v>
      </c>
      <c r="H243" s="103"/>
      <c r="I243" s="103"/>
      <c r="J243" s="103">
        <v>42399</v>
      </c>
      <c r="K243" s="103"/>
      <c r="L243" s="103"/>
    </row>
    <row r="244" spans="1:12">
      <c r="A244" s="13" t="s">
        <v>34</v>
      </c>
      <c r="B244" s="13" t="s">
        <v>35</v>
      </c>
      <c r="C244" s="13" t="s">
        <v>36</v>
      </c>
      <c r="D244" s="13" t="s">
        <v>37</v>
      </c>
      <c r="E244" s="13" t="s">
        <v>38</v>
      </c>
      <c r="F244" s="13" t="s">
        <v>39</v>
      </c>
      <c r="G244" s="104" t="s">
        <v>40</v>
      </c>
      <c r="H244" s="104"/>
      <c r="I244" s="104"/>
      <c r="J244" s="104"/>
      <c r="K244" s="104"/>
      <c r="L244" s="104"/>
    </row>
    <row r="245" spans="1:12">
      <c r="A245" s="17">
        <v>41821</v>
      </c>
      <c r="B245" s="15"/>
      <c r="C245" s="17">
        <v>31573</v>
      </c>
      <c r="D245" s="15" t="s">
        <v>111</v>
      </c>
      <c r="E245" s="15">
        <v>0</v>
      </c>
      <c r="F245" s="15">
        <v>0</v>
      </c>
      <c r="G245" s="102"/>
      <c r="H245" s="102"/>
      <c r="I245" s="102"/>
      <c r="J245" s="102"/>
      <c r="K245" s="102"/>
      <c r="L245" s="102"/>
    </row>
    <row r="246" spans="1:12">
      <c r="A246" s="13" t="s">
        <v>42</v>
      </c>
      <c r="B246" s="13" t="s">
        <v>43</v>
      </c>
      <c r="C246" s="13" t="s">
        <v>44</v>
      </c>
      <c r="D246" s="104" t="s">
        <v>45</v>
      </c>
      <c r="E246" s="104"/>
      <c r="F246" s="104"/>
      <c r="G246" s="104" t="s">
        <v>46</v>
      </c>
      <c r="H246" s="104"/>
      <c r="I246" s="104"/>
      <c r="J246" s="104"/>
      <c r="K246" s="104"/>
      <c r="L246" s="104"/>
    </row>
    <row r="247" spans="1:12">
      <c r="A247" s="15">
        <v>195441186</v>
      </c>
      <c r="B247" s="15"/>
      <c r="C247" s="15"/>
      <c r="D247" s="102" t="s">
        <v>47</v>
      </c>
      <c r="E247" s="102"/>
      <c r="F247" s="102"/>
      <c r="G247" s="102" t="s">
        <v>107</v>
      </c>
      <c r="H247" s="102"/>
      <c r="I247" s="102"/>
      <c r="J247" s="102"/>
      <c r="K247" s="102"/>
      <c r="L247" s="102"/>
    </row>
    <row r="248" spans="1:1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>
      <c r="A251" s="108" t="s">
        <v>49</v>
      </c>
      <c r="B251" s="108"/>
      <c r="C251" s="108"/>
      <c r="D251" s="108"/>
      <c r="E251" s="108"/>
      <c r="F251" s="108"/>
      <c r="G251" s="108" t="s">
        <v>50</v>
      </c>
      <c r="H251" s="108" t="s">
        <v>51</v>
      </c>
      <c r="I251" s="108" t="s">
        <v>52</v>
      </c>
      <c r="J251" s="108"/>
      <c r="K251" s="108" t="s">
        <v>53</v>
      </c>
      <c r="L251" s="108"/>
    </row>
    <row r="252" spans="1:12">
      <c r="A252" s="108"/>
      <c r="B252" s="108"/>
      <c r="C252" s="108"/>
      <c r="D252" s="108"/>
      <c r="E252" s="108"/>
      <c r="F252" s="108"/>
      <c r="G252" s="108"/>
      <c r="H252" s="108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>
      <c r="A253" s="106" t="s">
        <v>58</v>
      </c>
      <c r="B253" s="106"/>
      <c r="C253" s="106"/>
      <c r="D253" s="106"/>
      <c r="E253" s="106"/>
      <c r="F253" s="106"/>
      <c r="G253" s="21">
        <v>2895.13</v>
      </c>
      <c r="H253" s="22"/>
      <c r="I253" s="21"/>
      <c r="J253" s="21"/>
      <c r="K253" s="21"/>
      <c r="L253" s="21"/>
    </row>
    <row r="254" spans="1:12">
      <c r="A254" s="106" t="s">
        <v>59</v>
      </c>
      <c r="B254" s="106"/>
      <c r="C254" s="106"/>
      <c r="D254" s="106"/>
      <c r="E254" s="106"/>
      <c r="F254" s="106"/>
      <c r="G254" s="21"/>
      <c r="H254" s="21"/>
      <c r="I254" s="21">
        <f>IF(I255+I256-J257-J258+I259+I262+I263+I264+I260&lt;G253,I255+I256-J257-J258+I259+I262+I263+I264+I260,G253)</f>
        <v>2895.13</v>
      </c>
      <c r="J254" s="21"/>
      <c r="K254" s="21"/>
      <c r="L254" s="21"/>
    </row>
    <row r="255" spans="1:12">
      <c r="A255" s="107" t="s">
        <v>60</v>
      </c>
      <c r="B255" s="107"/>
      <c r="C255" s="107"/>
      <c r="D255" s="107"/>
      <c r="E255" s="107"/>
      <c r="F255" s="107"/>
      <c r="G255" s="23"/>
      <c r="H255" s="24">
        <v>26</v>
      </c>
      <c r="I255" s="23">
        <f>G253/26*H255</f>
        <v>2895.13</v>
      </c>
      <c r="J255" s="25"/>
      <c r="K255" s="26"/>
      <c r="L255" s="26"/>
    </row>
    <row r="256" spans="1:12">
      <c r="A256" s="107" t="s">
        <v>61</v>
      </c>
      <c r="B256" s="107"/>
      <c r="C256" s="107"/>
      <c r="D256" s="107"/>
      <c r="E256" s="107"/>
      <c r="F256" s="107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>
      <c r="A257" s="107" t="s">
        <v>62</v>
      </c>
      <c r="B257" s="107"/>
      <c r="C257" s="107"/>
      <c r="D257" s="107"/>
      <c r="E257" s="107"/>
      <c r="F257" s="107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>
      <c r="A258" s="107" t="s">
        <v>63</v>
      </c>
      <c r="B258" s="107"/>
      <c r="C258" s="107"/>
      <c r="D258" s="107"/>
      <c r="E258" s="107"/>
      <c r="F258" s="107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>
      <c r="A259" s="107" t="s">
        <v>64</v>
      </c>
      <c r="B259" s="107"/>
      <c r="C259" s="107"/>
      <c r="D259" s="107"/>
      <c r="E259" s="107"/>
      <c r="F259" s="107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>
      <c r="A260" s="107" t="s">
        <v>65</v>
      </c>
      <c r="B260" s="107"/>
      <c r="C260" s="107"/>
      <c r="D260" s="107"/>
      <c r="E260" s="107"/>
      <c r="F260" s="107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>
      <c r="A261" s="107" t="s">
        <v>66</v>
      </c>
      <c r="B261" s="107"/>
      <c r="C261" s="107"/>
      <c r="D261" s="107"/>
      <c r="E261" s="107"/>
      <c r="F261" s="107"/>
      <c r="G261" s="29"/>
      <c r="H261" s="30"/>
      <c r="I261" s="30"/>
      <c r="J261" s="25"/>
      <c r="K261" s="26"/>
      <c r="L261" s="26"/>
    </row>
    <row r="262" spans="1:12">
      <c r="A262" s="109">
        <v>0.25</v>
      </c>
      <c r="B262" s="109"/>
      <c r="C262" s="109"/>
      <c r="D262" s="109"/>
      <c r="E262" s="109"/>
      <c r="F262" s="109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>
      <c r="A263" s="109">
        <v>0.5</v>
      </c>
      <c r="B263" s="109"/>
      <c r="C263" s="109"/>
      <c r="D263" s="109"/>
      <c r="E263" s="109"/>
      <c r="F263" s="109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>
      <c r="A264" s="109">
        <v>1</v>
      </c>
      <c r="B264" s="109"/>
      <c r="C264" s="109"/>
      <c r="D264" s="109"/>
      <c r="E264" s="109"/>
      <c r="F264" s="109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>
      <c r="A265" s="106" t="s">
        <v>67</v>
      </c>
      <c r="B265" s="106"/>
      <c r="C265" s="106"/>
      <c r="D265" s="106"/>
      <c r="E265" s="106"/>
      <c r="F265" s="106"/>
      <c r="G265" s="21"/>
      <c r="H265" s="22"/>
      <c r="I265" s="21">
        <f>SUM(I266:I267)</f>
        <v>0</v>
      </c>
      <c r="J265" s="21"/>
      <c r="K265" s="21"/>
      <c r="L265" s="21"/>
    </row>
    <row r="266" spans="1:12">
      <c r="A266" s="107" t="s">
        <v>68</v>
      </c>
      <c r="B266" s="107"/>
      <c r="C266" s="107"/>
      <c r="D266" s="107"/>
      <c r="E266" s="107"/>
      <c r="F266" s="107"/>
      <c r="G266" s="23">
        <f>(G243-A245)/360</f>
        <v>1.5249999999999999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</v>
      </c>
      <c r="I266" s="23">
        <f>I254*H266</f>
        <v>0</v>
      </c>
      <c r="J266" s="25"/>
      <c r="K266" s="26"/>
      <c r="L266" s="26"/>
    </row>
    <row r="267" spans="1:12">
      <c r="A267" s="107" t="s">
        <v>69</v>
      </c>
      <c r="B267" s="107"/>
      <c r="C267" s="107"/>
      <c r="D267" s="107"/>
      <c r="E267" s="107"/>
      <c r="F267" s="107"/>
      <c r="G267" s="23"/>
      <c r="H267" s="24"/>
      <c r="I267" s="23"/>
      <c r="J267" s="25"/>
      <c r="K267" s="26"/>
      <c r="L267" s="26"/>
    </row>
    <row r="268" spans="1:12">
      <c r="A268" s="106" t="s">
        <v>70</v>
      </c>
      <c r="B268" s="106"/>
      <c r="C268" s="106"/>
      <c r="D268" s="106"/>
      <c r="E268" s="106"/>
      <c r="F268" s="106"/>
      <c r="G268" s="21"/>
      <c r="H268" s="22"/>
      <c r="I268" s="21">
        <f>SUM(I269:I271)</f>
        <v>300</v>
      </c>
      <c r="J268" s="21"/>
      <c r="K268" s="21"/>
      <c r="L268" s="21"/>
    </row>
    <row r="269" spans="1:12">
      <c r="A269" s="107" t="s">
        <v>71</v>
      </c>
      <c r="B269" s="107"/>
      <c r="C269" s="107"/>
      <c r="D269" s="107"/>
      <c r="E269" s="107"/>
      <c r="F269" s="107"/>
      <c r="G269" s="23"/>
      <c r="H269" s="24"/>
      <c r="I269" s="23">
        <v>300</v>
      </c>
      <c r="J269" s="25"/>
      <c r="K269" s="26"/>
      <c r="L269" s="26"/>
    </row>
    <row r="270" spans="1:12">
      <c r="A270" s="107" t="s">
        <v>72</v>
      </c>
      <c r="B270" s="107"/>
      <c r="C270" s="107"/>
      <c r="D270" s="107"/>
      <c r="E270" s="107"/>
      <c r="F270" s="107"/>
      <c r="G270" s="23"/>
      <c r="H270" s="31">
        <v>0</v>
      </c>
      <c r="I270" s="23"/>
      <c r="J270" s="25"/>
      <c r="K270" s="26"/>
      <c r="L270" s="26"/>
    </row>
    <row r="271" spans="1:12">
      <c r="A271" s="107" t="s">
        <v>73</v>
      </c>
      <c r="B271" s="107"/>
      <c r="C271" s="107"/>
      <c r="D271" s="107"/>
      <c r="E271" s="107"/>
      <c r="F271" s="107"/>
      <c r="G271" s="23"/>
      <c r="H271" s="24"/>
      <c r="I271" s="23"/>
      <c r="J271" s="25"/>
      <c r="K271" s="26"/>
      <c r="L271" s="26"/>
    </row>
    <row r="272" spans="1:12">
      <c r="A272" s="111" t="s">
        <v>74</v>
      </c>
      <c r="B272" s="111"/>
      <c r="C272" s="111"/>
      <c r="D272" s="111"/>
      <c r="E272" s="111"/>
      <c r="F272" s="111"/>
      <c r="G272" s="32"/>
      <c r="H272" s="33"/>
      <c r="I272" s="32">
        <f>I254+I265+I268</f>
        <v>3195.13</v>
      </c>
      <c r="J272" s="33"/>
      <c r="K272" s="33"/>
      <c r="L272" s="33"/>
    </row>
    <row r="273" spans="1:12">
      <c r="A273" s="111" t="s">
        <v>75</v>
      </c>
      <c r="B273" s="111"/>
      <c r="C273" s="111"/>
      <c r="D273" s="111"/>
      <c r="E273" s="111"/>
      <c r="F273" s="111"/>
      <c r="G273" s="32"/>
      <c r="H273" s="33"/>
      <c r="I273" s="32">
        <f>I272-I268</f>
        <v>2895.13</v>
      </c>
      <c r="J273" s="33"/>
      <c r="K273" s="33"/>
      <c r="L273" s="33"/>
    </row>
    <row r="274" spans="1:12">
      <c r="A274" s="107" t="s">
        <v>76</v>
      </c>
      <c r="B274" s="107"/>
      <c r="C274" s="107"/>
      <c r="D274" s="107"/>
      <c r="E274" s="107"/>
      <c r="F274" s="107"/>
      <c r="G274" s="23"/>
      <c r="H274" s="34">
        <f>[1]Taux!D$5+[1]Taux!D$6</f>
        <v>4.4800000000000006E-2</v>
      </c>
      <c r="I274" s="23"/>
      <c r="J274" s="23">
        <f>IF(I273&lt;6000,I273*H274,6000*H274)</f>
        <v>129.70182400000002</v>
      </c>
      <c r="K274" s="35">
        <f>[1]Taux!C$5+[1]Taux!C$6</f>
        <v>8.9799999999999991E-2</v>
      </c>
      <c r="L274" s="23">
        <f>IF(I273&lt;6000,I273*K274,6000*K274)</f>
        <v>259.98267399999997</v>
      </c>
    </row>
    <row r="275" spans="1:12">
      <c r="A275" s="107" t="s">
        <v>77</v>
      </c>
      <c r="B275" s="107"/>
      <c r="C275" s="107"/>
      <c r="D275" s="107"/>
      <c r="E275" s="107"/>
      <c r="F275" s="107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>
      <c r="A276" s="107" t="s">
        <v>78</v>
      </c>
      <c r="B276" s="107"/>
      <c r="C276" s="107"/>
      <c r="D276" s="107"/>
      <c r="E276" s="107"/>
      <c r="F276" s="107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57.902600000000007</v>
      </c>
    </row>
    <row r="277" spans="1:12">
      <c r="A277" s="107" t="s">
        <v>79</v>
      </c>
      <c r="B277" s="107"/>
      <c r="C277" s="107"/>
      <c r="D277" s="107"/>
      <c r="E277" s="107"/>
      <c r="F277" s="107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>
      <c r="A278" s="107" t="s">
        <v>80</v>
      </c>
      <c r="B278" s="107"/>
      <c r="C278" s="107"/>
      <c r="D278" s="107"/>
      <c r="E278" s="107"/>
      <c r="F278" s="107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>
      <c r="A279" s="107" t="s">
        <v>81</v>
      </c>
      <c r="B279" s="107"/>
      <c r="C279" s="107"/>
      <c r="D279" s="107"/>
      <c r="E279" s="107"/>
      <c r="F279" s="107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>
      <c r="A280" s="107" t="s">
        <v>24</v>
      </c>
      <c r="B280" s="107"/>
      <c r="C280" s="107"/>
      <c r="D280" s="107"/>
      <c r="E280" s="107"/>
      <c r="F280" s="107"/>
      <c r="G280" s="23"/>
      <c r="H280" s="34" t="str">
        <f>[1]Taux!D$7</f>
        <v>2,26%</v>
      </c>
      <c r="I280" s="23"/>
      <c r="J280" s="23">
        <f>I273*H280</f>
        <v>65.429937999999993</v>
      </c>
      <c r="K280" s="34" t="str">
        <f>[1]Taux!C$7</f>
        <v>4,11%</v>
      </c>
      <c r="L280" s="23">
        <f>I273*K280</f>
        <v>118.98984299999999</v>
      </c>
    </row>
    <row r="281" spans="1:12">
      <c r="A281" s="110" t="s">
        <v>82</v>
      </c>
      <c r="B281" s="110"/>
      <c r="C281" s="110"/>
      <c r="D281" s="110"/>
      <c r="E281" s="110"/>
      <c r="F281" s="110"/>
      <c r="G281" s="37"/>
      <c r="H281" s="38"/>
      <c r="I281" s="39"/>
      <c r="J281" s="40"/>
      <c r="K281" s="34" t="str">
        <f>[1]Taux!C$4</f>
        <v>6,40%</v>
      </c>
      <c r="L281" s="23">
        <f>I273*K281</f>
        <v>185.28832</v>
      </c>
    </row>
    <row r="282" spans="1:12">
      <c r="A282" s="110" t="s">
        <v>83</v>
      </c>
      <c r="B282" s="110"/>
      <c r="C282" s="110"/>
      <c r="D282" s="110"/>
      <c r="E282" s="110"/>
      <c r="F282" s="110"/>
      <c r="G282" s="41"/>
      <c r="H282" s="42"/>
      <c r="I282" s="43"/>
      <c r="J282" s="44"/>
      <c r="K282" s="34" t="str">
        <f>[1]Taux!C$8</f>
        <v>1,6 %</v>
      </c>
      <c r="L282" s="23">
        <f>I273*K282</f>
        <v>46.32208</v>
      </c>
    </row>
    <row r="283" spans="1:12">
      <c r="A283" s="106" t="s">
        <v>84</v>
      </c>
      <c r="B283" s="106"/>
      <c r="C283" s="106"/>
      <c r="D283" s="106"/>
      <c r="E283" s="106"/>
      <c r="F283" s="106"/>
      <c r="G283" s="21"/>
      <c r="H283" s="22"/>
      <c r="I283" s="22"/>
      <c r="J283" s="21">
        <f>SUM(J274:J280)</f>
        <v>195.13176200000001</v>
      </c>
      <c r="K283" s="21"/>
      <c r="L283" s="21">
        <f>SUM(L274:L282)</f>
        <v>668.48551699999996</v>
      </c>
    </row>
    <row r="284" spans="1:12">
      <c r="A284" s="107" t="s">
        <v>85</v>
      </c>
      <c r="B284" s="107"/>
      <c r="C284" s="107"/>
      <c r="D284" s="107"/>
      <c r="E284" s="107"/>
      <c r="F284" s="107"/>
      <c r="G284" s="23"/>
      <c r="H284" s="45">
        <v>0.2</v>
      </c>
      <c r="I284" s="23"/>
      <c r="J284" s="23">
        <f>IF(I273*H284&lt;2500,I273*H284,2500)</f>
        <v>579.02600000000007</v>
      </c>
      <c r="K284" s="46"/>
      <c r="L284" s="47"/>
    </row>
    <row r="285" spans="1:12">
      <c r="A285" s="111" t="s">
        <v>86</v>
      </c>
      <c r="B285" s="111"/>
      <c r="C285" s="111"/>
      <c r="D285" s="111"/>
      <c r="E285" s="111"/>
      <c r="F285" s="111"/>
      <c r="G285" s="32"/>
      <c r="H285" s="33"/>
      <c r="I285" s="32">
        <f>I273-J283-J284</f>
        <v>2120.9722380000003</v>
      </c>
      <c r="J285" s="33"/>
      <c r="K285" s="33"/>
      <c r="L285" s="33"/>
    </row>
    <row r="286" spans="1:12">
      <c r="A286" s="107" t="s">
        <v>87</v>
      </c>
      <c r="B286" s="107"/>
      <c r="C286" s="107"/>
      <c r="D286" s="107"/>
      <c r="E286" s="107"/>
      <c r="F286" s="107"/>
      <c r="G286" s="23"/>
      <c r="H286" s="34"/>
      <c r="I286" s="23">
        <f>H286*180/360</f>
        <v>0</v>
      </c>
      <c r="J286" s="23"/>
      <c r="K286" s="46"/>
      <c r="L286" s="47"/>
    </row>
    <row r="287" spans="1:12">
      <c r="A287" s="111" t="s">
        <v>88</v>
      </c>
      <c r="B287" s="111"/>
      <c r="C287" s="111"/>
      <c r="D287" s="111"/>
      <c r="E287" s="111"/>
      <c r="F287" s="111"/>
      <c r="G287" s="32"/>
      <c r="H287" s="33"/>
      <c r="I287" s="32">
        <f>I285-I286</f>
        <v>2120.9722380000003</v>
      </c>
      <c r="J287" s="33"/>
      <c r="K287" s="33"/>
      <c r="L287" s="33"/>
    </row>
    <row r="288" spans="1:12">
      <c r="A288" s="107" t="s">
        <v>89</v>
      </c>
      <c r="B288" s="107"/>
      <c r="C288" s="107"/>
      <c r="D288" s="107"/>
      <c r="E288" s="107"/>
      <c r="F288" s="107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0</v>
      </c>
      <c r="K288" s="46"/>
      <c r="L288" s="47"/>
    </row>
    <row r="289" spans="1:12">
      <c r="A289" s="107" t="s">
        <v>90</v>
      </c>
      <c r="B289" s="107"/>
      <c r="C289" s="107"/>
      <c r="D289" s="107"/>
      <c r="E289" s="107"/>
      <c r="F289" s="107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>
      <c r="A290" s="106" t="s">
        <v>91</v>
      </c>
      <c r="B290" s="106"/>
      <c r="C290" s="106"/>
      <c r="D290" s="106"/>
      <c r="E290" s="106"/>
      <c r="F290" s="106"/>
      <c r="G290" s="21"/>
      <c r="H290" s="22"/>
      <c r="I290" s="21"/>
      <c r="J290" s="21">
        <f>J288-J289</f>
        <v>0</v>
      </c>
      <c r="K290" s="21"/>
      <c r="L290" s="21"/>
    </row>
    <row r="291" spans="1:12">
      <c r="A291" s="112" t="s">
        <v>92</v>
      </c>
      <c r="B291" s="112"/>
      <c r="C291" s="112"/>
      <c r="D291" s="112"/>
      <c r="E291" s="112"/>
      <c r="F291" s="112"/>
      <c r="G291" s="25"/>
      <c r="H291" s="48"/>
      <c r="I291" s="47"/>
      <c r="J291" s="49">
        <v>0</v>
      </c>
      <c r="K291" s="46"/>
      <c r="L291" s="47"/>
    </row>
    <row r="292" spans="1:12">
      <c r="A292" s="107" t="s">
        <v>93</v>
      </c>
      <c r="B292" s="107"/>
      <c r="C292" s="107"/>
      <c r="D292" s="107"/>
      <c r="E292" s="107"/>
      <c r="F292" s="107"/>
      <c r="G292" s="25"/>
      <c r="H292" s="48"/>
      <c r="I292" s="44"/>
      <c r="J292" s="28"/>
      <c r="K292" s="46"/>
      <c r="L292" s="47"/>
    </row>
    <row r="293" spans="1:12">
      <c r="A293" s="113" t="s">
        <v>94</v>
      </c>
      <c r="B293" s="113"/>
      <c r="C293" s="113"/>
      <c r="D293" s="113"/>
      <c r="E293" s="113"/>
      <c r="F293" s="113"/>
      <c r="G293" s="41"/>
      <c r="H293" s="42"/>
      <c r="I293" s="28"/>
      <c r="J293" s="41"/>
      <c r="K293" s="43"/>
      <c r="L293" s="44"/>
    </row>
    <row r="294" spans="1:1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>
      <c r="A295" s="13" t="s">
        <v>95</v>
      </c>
      <c r="B295" s="13" t="s">
        <v>96</v>
      </c>
      <c r="C295" s="13" t="s">
        <v>97</v>
      </c>
      <c r="D295" s="104" t="s">
        <v>98</v>
      </c>
      <c r="E295" s="104"/>
      <c r="F295" s="104"/>
      <c r="G295" s="13" t="s">
        <v>99</v>
      </c>
      <c r="H295" s="50"/>
      <c r="I295" s="51">
        <f>I272+I293</f>
        <v>3195.13</v>
      </c>
      <c r="J295" s="51">
        <f>J283+J290+J291+J292</f>
        <v>195.13176200000001</v>
      </c>
      <c r="K295" s="13" t="s">
        <v>100</v>
      </c>
      <c r="L295" s="51">
        <f>L283</f>
        <v>668.48551699999996</v>
      </c>
    </row>
    <row r="296" spans="1:12">
      <c r="A296" s="51">
        <f>32114.9+I272</f>
        <v>35310.03</v>
      </c>
      <c r="B296" s="51">
        <f>29414.9+I273</f>
        <v>32310.030000000002</v>
      </c>
      <c r="C296" s="51">
        <f>1317.78+J274</f>
        <v>1447.481824</v>
      </c>
      <c r="D296" s="114">
        <f>132.35+J290</f>
        <v>132.35</v>
      </c>
      <c r="E296" s="114"/>
      <c r="F296" s="114"/>
      <c r="G296" s="51">
        <f>30000+I295</f>
        <v>33195.129999999997</v>
      </c>
      <c r="H296" s="104" t="s">
        <v>101</v>
      </c>
      <c r="I296" s="104"/>
      <c r="J296" s="51">
        <f>I295-J295</f>
        <v>2999.9982380000001</v>
      </c>
      <c r="K296" s="13" t="s">
        <v>102</v>
      </c>
      <c r="L296" s="51">
        <f>5864.92+L295</f>
        <v>6533.4055170000001</v>
      </c>
    </row>
    <row r="297" spans="1:1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3668.4837550000002</v>
      </c>
    </row>
    <row r="301" spans="1:12">
      <c r="A301" s="105" t="s">
        <v>26</v>
      </c>
      <c r="B301" s="105"/>
      <c r="C301" s="105" t="s">
        <v>27</v>
      </c>
      <c r="D301" s="105"/>
      <c r="E301" s="105"/>
      <c r="F301" s="105"/>
      <c r="G301" s="105" t="s">
        <v>28</v>
      </c>
      <c r="H301" s="105"/>
      <c r="I301" s="105"/>
      <c r="J301" s="105" t="s">
        <v>29</v>
      </c>
      <c r="K301" s="105"/>
      <c r="L301" s="105"/>
    </row>
    <row r="302" spans="1:12">
      <c r="A302" s="13" t="s">
        <v>30</v>
      </c>
      <c r="B302" s="104" t="s">
        <v>31</v>
      </c>
      <c r="C302" s="104"/>
      <c r="D302" s="104"/>
      <c r="E302" s="104"/>
      <c r="F302" s="104"/>
      <c r="G302" s="104" t="s">
        <v>32</v>
      </c>
      <c r="H302" s="104"/>
      <c r="I302" s="104"/>
      <c r="J302" s="104"/>
      <c r="K302" s="104"/>
      <c r="L302" s="104"/>
    </row>
    <row r="303" spans="1:12">
      <c r="A303" s="15">
        <v>7</v>
      </c>
      <c r="B303" s="102" t="s">
        <v>112</v>
      </c>
      <c r="C303" s="102"/>
      <c r="D303" s="102"/>
      <c r="E303" s="102"/>
      <c r="F303" s="102"/>
      <c r="G303" s="103">
        <v>42370</v>
      </c>
      <c r="H303" s="103"/>
      <c r="I303" s="103"/>
      <c r="J303" s="103">
        <v>42399</v>
      </c>
      <c r="K303" s="103"/>
      <c r="L303" s="103"/>
    </row>
    <row r="304" spans="1:12">
      <c r="A304" s="13" t="s">
        <v>34</v>
      </c>
      <c r="B304" s="13" t="s">
        <v>35</v>
      </c>
      <c r="C304" s="13" t="s">
        <v>36</v>
      </c>
      <c r="D304" s="13" t="s">
        <v>37</v>
      </c>
      <c r="E304" s="13" t="s">
        <v>38</v>
      </c>
      <c r="F304" s="13" t="s">
        <v>39</v>
      </c>
      <c r="G304" s="104" t="s">
        <v>40</v>
      </c>
      <c r="H304" s="104"/>
      <c r="I304" s="104"/>
      <c r="J304" s="104"/>
      <c r="K304" s="104"/>
      <c r="L304" s="104"/>
    </row>
    <row r="305" spans="1:12">
      <c r="A305" s="17">
        <v>42005</v>
      </c>
      <c r="B305" s="15"/>
      <c r="C305" s="17">
        <v>34565</v>
      </c>
      <c r="D305" s="15" t="s">
        <v>111</v>
      </c>
      <c r="E305" s="15">
        <v>0</v>
      </c>
      <c r="F305" s="15">
        <v>0</v>
      </c>
      <c r="G305" s="102"/>
      <c r="H305" s="102"/>
      <c r="I305" s="102"/>
      <c r="J305" s="102"/>
      <c r="K305" s="102"/>
      <c r="L305" s="102"/>
    </row>
    <row r="306" spans="1:12">
      <c r="A306" s="13" t="s">
        <v>42</v>
      </c>
      <c r="B306" s="13" t="s">
        <v>43</v>
      </c>
      <c r="C306" s="13" t="s">
        <v>44</v>
      </c>
      <c r="D306" s="104" t="s">
        <v>45</v>
      </c>
      <c r="E306" s="104"/>
      <c r="F306" s="104"/>
      <c r="G306" s="104" t="s">
        <v>46</v>
      </c>
      <c r="H306" s="104"/>
      <c r="I306" s="104"/>
      <c r="J306" s="104"/>
      <c r="K306" s="104"/>
      <c r="L306" s="104"/>
    </row>
    <row r="307" spans="1:12">
      <c r="A307" s="15">
        <v>168098097</v>
      </c>
      <c r="B307" s="15"/>
      <c r="C307" s="15"/>
      <c r="D307" s="102" t="s">
        <v>47</v>
      </c>
      <c r="E307" s="102"/>
      <c r="F307" s="102"/>
      <c r="G307" s="102" t="s">
        <v>107</v>
      </c>
      <c r="H307" s="102"/>
      <c r="I307" s="102"/>
      <c r="J307" s="102"/>
      <c r="K307" s="102"/>
      <c r="L307" s="102"/>
    </row>
    <row r="308" spans="1:1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>
      <c r="A311" s="108" t="s">
        <v>49</v>
      </c>
      <c r="B311" s="108"/>
      <c r="C311" s="108"/>
      <c r="D311" s="108"/>
      <c r="E311" s="108"/>
      <c r="F311" s="108"/>
      <c r="G311" s="108" t="s">
        <v>50</v>
      </c>
      <c r="H311" s="108" t="s">
        <v>51</v>
      </c>
      <c r="I311" s="108" t="s">
        <v>52</v>
      </c>
      <c r="J311" s="108"/>
      <c r="K311" s="108" t="s">
        <v>53</v>
      </c>
      <c r="L311" s="108"/>
    </row>
    <row r="312" spans="1:12">
      <c r="A312" s="108"/>
      <c r="B312" s="108"/>
      <c r="C312" s="108"/>
      <c r="D312" s="108"/>
      <c r="E312" s="108"/>
      <c r="F312" s="108"/>
      <c r="G312" s="108"/>
      <c r="H312" s="108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>
      <c r="A313" s="106" t="s">
        <v>58</v>
      </c>
      <c r="B313" s="106"/>
      <c r="C313" s="106"/>
      <c r="D313" s="106"/>
      <c r="E313" s="106"/>
      <c r="F313" s="106"/>
      <c r="G313" s="21">
        <v>2807.8</v>
      </c>
      <c r="H313" s="22"/>
      <c r="I313" s="21"/>
      <c r="J313" s="21"/>
      <c r="K313" s="21"/>
      <c r="L313" s="21"/>
    </row>
    <row r="314" spans="1:12">
      <c r="A314" s="106" t="s">
        <v>59</v>
      </c>
      <c r="B314" s="106"/>
      <c r="C314" s="106"/>
      <c r="D314" s="106"/>
      <c r="E314" s="106"/>
      <c r="F314" s="106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>
      <c r="A315" s="107" t="s">
        <v>60</v>
      </c>
      <c r="B315" s="107"/>
      <c r="C315" s="107"/>
      <c r="D315" s="107"/>
      <c r="E315" s="107"/>
      <c r="F315" s="107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>
      <c r="A316" s="107" t="s">
        <v>61</v>
      </c>
      <c r="B316" s="107"/>
      <c r="C316" s="107"/>
      <c r="D316" s="107"/>
      <c r="E316" s="107"/>
      <c r="F316" s="107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>
      <c r="A317" s="107" t="s">
        <v>62</v>
      </c>
      <c r="B317" s="107"/>
      <c r="C317" s="107"/>
      <c r="D317" s="107"/>
      <c r="E317" s="107"/>
      <c r="F317" s="107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>
      <c r="A318" s="107" t="s">
        <v>63</v>
      </c>
      <c r="B318" s="107"/>
      <c r="C318" s="107"/>
      <c r="D318" s="107"/>
      <c r="E318" s="107"/>
      <c r="F318" s="107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>
      <c r="A319" s="107" t="s">
        <v>64</v>
      </c>
      <c r="B319" s="107"/>
      <c r="C319" s="107"/>
      <c r="D319" s="107"/>
      <c r="E319" s="107"/>
      <c r="F319" s="107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>
      <c r="A320" s="107" t="s">
        <v>65</v>
      </c>
      <c r="B320" s="107"/>
      <c r="C320" s="107"/>
      <c r="D320" s="107"/>
      <c r="E320" s="107"/>
      <c r="F320" s="107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>
      <c r="A321" s="107" t="s">
        <v>66</v>
      </c>
      <c r="B321" s="107"/>
      <c r="C321" s="107"/>
      <c r="D321" s="107"/>
      <c r="E321" s="107"/>
      <c r="F321" s="107"/>
      <c r="G321" s="29"/>
      <c r="H321" s="30"/>
      <c r="I321" s="30"/>
      <c r="J321" s="25"/>
      <c r="K321" s="26"/>
      <c r="L321" s="26"/>
    </row>
    <row r="322" spans="1:12">
      <c r="A322" s="109">
        <v>0.25</v>
      </c>
      <c r="B322" s="109"/>
      <c r="C322" s="109"/>
      <c r="D322" s="109"/>
      <c r="E322" s="109"/>
      <c r="F322" s="109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>
      <c r="A323" s="109">
        <v>0.5</v>
      </c>
      <c r="B323" s="109"/>
      <c r="C323" s="109"/>
      <c r="D323" s="109"/>
      <c r="E323" s="109"/>
      <c r="F323" s="109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>
      <c r="A324" s="109">
        <v>1</v>
      </c>
      <c r="B324" s="109"/>
      <c r="C324" s="109"/>
      <c r="D324" s="109"/>
      <c r="E324" s="109"/>
      <c r="F324" s="109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>
      <c r="A325" s="106" t="s">
        <v>67</v>
      </c>
      <c r="B325" s="106"/>
      <c r="C325" s="106"/>
      <c r="D325" s="106"/>
      <c r="E325" s="106"/>
      <c r="F325" s="106"/>
      <c r="G325" s="21"/>
      <c r="H325" s="22"/>
      <c r="I325" s="21">
        <f>SUM(I326:I327)</f>
        <v>0</v>
      </c>
      <c r="J325" s="21"/>
      <c r="K325" s="21"/>
      <c r="L325" s="21"/>
    </row>
    <row r="326" spans="1:12">
      <c r="A326" s="107" t="s">
        <v>68</v>
      </c>
      <c r="B326" s="107"/>
      <c r="C326" s="107"/>
      <c r="D326" s="107"/>
      <c r="E326" s="107"/>
      <c r="F326" s="107"/>
      <c r="G326" s="23">
        <f>(G303-A305)/360</f>
        <v>1.0138888888888888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>
      <c r="A327" s="107" t="s">
        <v>69</v>
      </c>
      <c r="B327" s="107"/>
      <c r="C327" s="107"/>
      <c r="D327" s="107"/>
      <c r="E327" s="107"/>
      <c r="F327" s="107"/>
      <c r="G327" s="23"/>
      <c r="H327" s="24"/>
      <c r="I327" s="23"/>
      <c r="J327" s="25"/>
      <c r="K327" s="26"/>
      <c r="L327" s="26"/>
    </row>
    <row r="328" spans="1:12">
      <c r="A328" s="106" t="s">
        <v>70</v>
      </c>
      <c r="B328" s="106"/>
      <c r="C328" s="106"/>
      <c r="D328" s="106"/>
      <c r="E328" s="106"/>
      <c r="F328" s="106"/>
      <c r="G328" s="21"/>
      <c r="H328" s="22"/>
      <c r="I328" s="21">
        <f>SUM(I329:I331)</f>
        <v>0</v>
      </c>
      <c r="J328" s="21"/>
      <c r="K328" s="21"/>
      <c r="L328" s="21"/>
    </row>
    <row r="329" spans="1:12">
      <c r="A329" s="107" t="s">
        <v>71</v>
      </c>
      <c r="B329" s="107"/>
      <c r="C329" s="107"/>
      <c r="D329" s="107"/>
      <c r="E329" s="107"/>
      <c r="F329" s="107"/>
      <c r="G329" s="23"/>
      <c r="H329" s="24"/>
      <c r="I329" s="23"/>
      <c r="J329" s="25"/>
      <c r="K329" s="26"/>
      <c r="L329" s="26"/>
    </row>
    <row r="330" spans="1:12">
      <c r="A330" s="107" t="s">
        <v>72</v>
      </c>
      <c r="B330" s="107"/>
      <c r="C330" s="107"/>
      <c r="D330" s="107"/>
      <c r="E330" s="107"/>
      <c r="F330" s="107"/>
      <c r="G330" s="23"/>
      <c r="H330" s="31">
        <v>0</v>
      </c>
      <c r="I330" s="23"/>
      <c r="J330" s="25"/>
      <c r="K330" s="26"/>
      <c r="L330" s="26"/>
    </row>
    <row r="331" spans="1:12">
      <c r="A331" s="107" t="s">
        <v>73</v>
      </c>
      <c r="B331" s="107"/>
      <c r="C331" s="107"/>
      <c r="D331" s="107"/>
      <c r="E331" s="107"/>
      <c r="F331" s="107"/>
      <c r="G331" s="23"/>
      <c r="H331" s="24"/>
      <c r="I331" s="23"/>
      <c r="J331" s="25"/>
      <c r="K331" s="26"/>
      <c r="L331" s="26"/>
    </row>
    <row r="332" spans="1:12">
      <c r="A332" s="111" t="s">
        <v>74</v>
      </c>
      <c r="B332" s="111"/>
      <c r="C332" s="111"/>
      <c r="D332" s="111"/>
      <c r="E332" s="111"/>
      <c r="F332" s="111"/>
      <c r="G332" s="32"/>
      <c r="H332" s="33"/>
      <c r="I332" s="32">
        <f>I314+I325+I328</f>
        <v>2807.8</v>
      </c>
      <c r="J332" s="33"/>
      <c r="K332" s="33"/>
      <c r="L332" s="33"/>
    </row>
    <row r="333" spans="1:12">
      <c r="A333" s="111" t="s">
        <v>75</v>
      </c>
      <c r="B333" s="111"/>
      <c r="C333" s="111"/>
      <c r="D333" s="111"/>
      <c r="E333" s="111"/>
      <c r="F333" s="111"/>
      <c r="G333" s="32"/>
      <c r="H333" s="33"/>
      <c r="I333" s="32">
        <f>I332-I328</f>
        <v>2807.8</v>
      </c>
      <c r="J333" s="33"/>
      <c r="K333" s="33"/>
      <c r="L333" s="33"/>
    </row>
    <row r="334" spans="1:12">
      <c r="A334" s="107" t="s">
        <v>76</v>
      </c>
      <c r="B334" s="107"/>
      <c r="C334" s="107"/>
      <c r="D334" s="107"/>
      <c r="E334" s="107"/>
      <c r="F334" s="107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>
      <c r="A335" s="107" t="s">
        <v>77</v>
      </c>
      <c r="B335" s="107"/>
      <c r="C335" s="107"/>
      <c r="D335" s="107"/>
      <c r="E335" s="107"/>
      <c r="F335" s="107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>
      <c r="A336" s="107" t="s">
        <v>78</v>
      </c>
      <c r="B336" s="107"/>
      <c r="C336" s="107"/>
      <c r="D336" s="107"/>
      <c r="E336" s="107"/>
      <c r="F336" s="107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>
      <c r="A337" s="107" t="s">
        <v>79</v>
      </c>
      <c r="B337" s="107"/>
      <c r="C337" s="107"/>
      <c r="D337" s="107"/>
      <c r="E337" s="107"/>
      <c r="F337" s="107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>
      <c r="A338" s="107" t="s">
        <v>80</v>
      </c>
      <c r="B338" s="107"/>
      <c r="C338" s="107"/>
      <c r="D338" s="107"/>
      <c r="E338" s="107"/>
      <c r="F338" s="107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>
      <c r="A339" s="107" t="s">
        <v>81</v>
      </c>
      <c r="B339" s="107"/>
      <c r="C339" s="107"/>
      <c r="D339" s="107"/>
      <c r="E339" s="107"/>
      <c r="F339" s="107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>
      <c r="A340" s="107" t="s">
        <v>24</v>
      </c>
      <c r="B340" s="107"/>
      <c r="C340" s="107"/>
      <c r="D340" s="107"/>
      <c r="E340" s="107"/>
      <c r="F340" s="107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>
      <c r="A341" s="110" t="s">
        <v>82</v>
      </c>
      <c r="B341" s="110"/>
      <c r="C341" s="110"/>
      <c r="D341" s="110"/>
      <c r="E341" s="110"/>
      <c r="F341" s="110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>
      <c r="A342" s="110" t="s">
        <v>83</v>
      </c>
      <c r="B342" s="110"/>
      <c r="C342" s="110"/>
      <c r="D342" s="110"/>
      <c r="E342" s="110"/>
      <c r="F342" s="110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>
      <c r="A343" s="106" t="s">
        <v>84</v>
      </c>
      <c r="B343" s="106"/>
      <c r="C343" s="106"/>
      <c r="D343" s="106"/>
      <c r="E343" s="106"/>
      <c r="F343" s="106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>
      <c r="A344" s="107" t="s">
        <v>85</v>
      </c>
      <c r="B344" s="107"/>
      <c r="C344" s="107"/>
      <c r="D344" s="107"/>
      <c r="E344" s="107"/>
      <c r="F344" s="107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>
      <c r="A345" s="111" t="s">
        <v>86</v>
      </c>
      <c r="B345" s="111"/>
      <c r="C345" s="111"/>
      <c r="D345" s="111"/>
      <c r="E345" s="111"/>
      <c r="F345" s="111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>
      <c r="A346" s="107" t="s">
        <v>87</v>
      </c>
      <c r="B346" s="107"/>
      <c r="C346" s="107"/>
      <c r="D346" s="107"/>
      <c r="E346" s="107"/>
      <c r="F346" s="107"/>
      <c r="G346" s="23"/>
      <c r="H346" s="34"/>
      <c r="I346" s="23">
        <f>H346*180/360</f>
        <v>0</v>
      </c>
      <c r="J346" s="23"/>
      <c r="K346" s="46"/>
      <c r="L346" s="47"/>
    </row>
    <row r="347" spans="1:12">
      <c r="A347" s="111" t="s">
        <v>88</v>
      </c>
      <c r="B347" s="111"/>
      <c r="C347" s="111"/>
      <c r="D347" s="111"/>
      <c r="E347" s="111"/>
      <c r="F347" s="111"/>
      <c r="G347" s="32"/>
      <c r="H347" s="33"/>
      <c r="I347" s="32">
        <f>I345-I346</f>
        <v>2056.9942800000003</v>
      </c>
      <c r="J347" s="33"/>
      <c r="K347" s="33"/>
      <c r="L347" s="33"/>
    </row>
    <row r="348" spans="1:12">
      <c r="A348" s="107" t="s">
        <v>89</v>
      </c>
      <c r="B348" s="107"/>
      <c r="C348" s="107"/>
      <c r="D348" s="107"/>
      <c r="E348" s="107"/>
      <c r="F348" s="107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>
      <c r="A349" s="107" t="s">
        <v>90</v>
      </c>
      <c r="B349" s="107"/>
      <c r="C349" s="107"/>
      <c r="D349" s="107"/>
      <c r="E349" s="107"/>
      <c r="F349" s="107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>
      <c r="A350" s="106" t="s">
        <v>91</v>
      </c>
      <c r="B350" s="106"/>
      <c r="C350" s="106"/>
      <c r="D350" s="106"/>
      <c r="E350" s="106"/>
      <c r="F350" s="106"/>
      <c r="G350" s="21"/>
      <c r="H350" s="22"/>
      <c r="I350" s="21"/>
      <c r="J350" s="21">
        <f>J348-J349</f>
        <v>0</v>
      </c>
      <c r="K350" s="21"/>
      <c r="L350" s="21"/>
    </row>
    <row r="351" spans="1:12">
      <c r="A351" s="112" t="s">
        <v>92</v>
      </c>
      <c r="B351" s="112"/>
      <c r="C351" s="112"/>
      <c r="D351" s="112"/>
      <c r="E351" s="112"/>
      <c r="F351" s="112"/>
      <c r="G351" s="25"/>
      <c r="H351" s="48"/>
      <c r="I351" s="47"/>
      <c r="J351" s="49">
        <v>0</v>
      </c>
      <c r="K351" s="46"/>
      <c r="L351" s="47"/>
    </row>
    <row r="352" spans="1:12">
      <c r="A352" s="107" t="s">
        <v>93</v>
      </c>
      <c r="B352" s="107"/>
      <c r="C352" s="107"/>
      <c r="D352" s="107"/>
      <c r="E352" s="107"/>
      <c r="F352" s="107"/>
      <c r="G352" s="25"/>
      <c r="H352" s="48"/>
      <c r="I352" s="44"/>
      <c r="J352" s="28">
        <v>1000</v>
      </c>
      <c r="K352" s="46"/>
      <c r="L352" s="47"/>
    </row>
    <row r="353" spans="1:12">
      <c r="A353" s="113" t="s">
        <v>94</v>
      </c>
      <c r="B353" s="113"/>
      <c r="C353" s="113"/>
      <c r="D353" s="113"/>
      <c r="E353" s="113"/>
      <c r="F353" s="113"/>
      <c r="G353" s="41"/>
      <c r="H353" s="42"/>
      <c r="I353" s="28">
        <f>1-0.55</f>
        <v>0.44999999999999996</v>
      </c>
      <c r="J353" s="41"/>
      <c r="K353" s="43"/>
      <c r="L353" s="44"/>
    </row>
    <row r="354" spans="1:1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>
      <c r="A355" s="13" t="s">
        <v>95</v>
      </c>
      <c r="B355" s="13" t="s">
        <v>96</v>
      </c>
      <c r="C355" s="13" t="s">
        <v>97</v>
      </c>
      <c r="D355" s="104" t="s">
        <v>98</v>
      </c>
      <c r="E355" s="104"/>
      <c r="F355" s="104"/>
      <c r="G355" s="13" t="s">
        <v>99</v>
      </c>
      <c r="H355" s="50"/>
      <c r="I355" s="51">
        <f>I332+I353</f>
        <v>2808.25</v>
      </c>
      <c r="J355" s="51">
        <f>J343+J350+J351+J352</f>
        <v>1189.2457200000001</v>
      </c>
      <c r="K355" s="13" t="s">
        <v>100</v>
      </c>
      <c r="L355" s="51">
        <f>L343</f>
        <v>648.32101999999998</v>
      </c>
    </row>
    <row r="356" spans="1:12">
      <c r="A356" s="51">
        <f>25270.2+I332</f>
        <v>28078</v>
      </c>
      <c r="B356" s="51">
        <f>25270.2+I333</f>
        <v>28078</v>
      </c>
      <c r="C356" s="51">
        <f>1132.11+J334</f>
        <v>1257.8994399999999</v>
      </c>
      <c r="D356" s="114">
        <f>0+J350</f>
        <v>0</v>
      </c>
      <c r="E356" s="114"/>
      <c r="F356" s="114"/>
      <c r="G356" s="51">
        <f>17071.02+I355</f>
        <v>19879.27</v>
      </c>
      <c r="H356" s="104" t="s">
        <v>101</v>
      </c>
      <c r="I356" s="104"/>
      <c r="J356" s="51">
        <f>I355-J355</f>
        <v>1619.0042799999999</v>
      </c>
      <c r="K356" s="13" t="s">
        <v>102</v>
      </c>
      <c r="L356" s="51">
        <f>5834.88+L355</f>
        <v>6483.2010200000004</v>
      </c>
    </row>
    <row r="357" spans="1:1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2267.3253</v>
      </c>
    </row>
    <row r="361" spans="1:12">
      <c r="A361" s="105" t="s">
        <v>26</v>
      </c>
      <c r="B361" s="105"/>
      <c r="C361" s="105" t="s">
        <v>27</v>
      </c>
      <c r="D361" s="105"/>
      <c r="E361" s="105"/>
      <c r="F361" s="105"/>
      <c r="G361" s="105" t="s">
        <v>28</v>
      </c>
      <c r="H361" s="105"/>
      <c r="I361" s="105"/>
      <c r="J361" s="105" t="s">
        <v>29</v>
      </c>
      <c r="K361" s="105"/>
      <c r="L361" s="105"/>
    </row>
    <row r="362" spans="1:12">
      <c r="A362" s="13" t="s">
        <v>30</v>
      </c>
      <c r="B362" s="104" t="s">
        <v>31</v>
      </c>
      <c r="C362" s="104"/>
      <c r="D362" s="104"/>
      <c r="E362" s="104"/>
      <c r="F362" s="104"/>
      <c r="G362" s="104" t="s">
        <v>32</v>
      </c>
      <c r="H362" s="104"/>
      <c r="I362" s="104"/>
      <c r="J362" s="104"/>
      <c r="K362" s="104"/>
      <c r="L362" s="104"/>
    </row>
    <row r="363" spans="1:12">
      <c r="A363" s="15">
        <v>8</v>
      </c>
      <c r="B363" s="102" t="s">
        <v>113</v>
      </c>
      <c r="C363" s="102"/>
      <c r="D363" s="102"/>
      <c r="E363" s="102"/>
      <c r="F363" s="102"/>
      <c r="G363" s="103">
        <v>42370</v>
      </c>
      <c r="H363" s="103"/>
      <c r="I363" s="103"/>
      <c r="J363" s="103">
        <v>42400</v>
      </c>
      <c r="K363" s="103"/>
      <c r="L363" s="103"/>
    </row>
    <row r="364" spans="1:12">
      <c r="A364" s="13" t="s">
        <v>34</v>
      </c>
      <c r="B364" s="13" t="s">
        <v>35</v>
      </c>
      <c r="C364" s="13" t="s">
        <v>36</v>
      </c>
      <c r="D364" s="13" t="s">
        <v>37</v>
      </c>
      <c r="E364" s="13" t="s">
        <v>38</v>
      </c>
      <c r="F364" s="13" t="s">
        <v>39</v>
      </c>
      <c r="G364" s="104" t="s">
        <v>40</v>
      </c>
      <c r="H364" s="104"/>
      <c r="I364" s="104"/>
      <c r="J364" s="104"/>
      <c r="K364" s="104"/>
      <c r="L364" s="104"/>
    </row>
    <row r="365" spans="1:12">
      <c r="A365" s="17">
        <v>42278</v>
      </c>
      <c r="B365" s="15"/>
      <c r="C365" s="17">
        <v>33665</v>
      </c>
      <c r="D365" s="15" t="s">
        <v>111</v>
      </c>
      <c r="E365" s="15">
        <v>0</v>
      </c>
      <c r="F365" s="15">
        <v>0</v>
      </c>
      <c r="G365" s="102"/>
      <c r="H365" s="102"/>
      <c r="I365" s="102"/>
      <c r="J365" s="102"/>
      <c r="K365" s="102"/>
      <c r="L365" s="102"/>
    </row>
    <row r="366" spans="1:12">
      <c r="A366" s="13" t="s">
        <v>42</v>
      </c>
      <c r="B366" s="13" t="s">
        <v>43</v>
      </c>
      <c r="C366" s="13" t="s">
        <v>44</v>
      </c>
      <c r="D366" s="104" t="s">
        <v>45</v>
      </c>
      <c r="E366" s="104"/>
      <c r="F366" s="104"/>
      <c r="G366" s="104" t="s">
        <v>46</v>
      </c>
      <c r="H366" s="104"/>
      <c r="I366" s="104"/>
      <c r="J366" s="104"/>
      <c r="K366" s="104"/>
      <c r="L366" s="104"/>
    </row>
    <row r="367" spans="1:12">
      <c r="A367" s="15">
        <v>164315198</v>
      </c>
      <c r="B367" s="15"/>
      <c r="C367" s="15"/>
      <c r="D367" s="102" t="s">
        <v>47</v>
      </c>
      <c r="E367" s="102"/>
      <c r="F367" s="102"/>
      <c r="G367" s="102" t="s">
        <v>114</v>
      </c>
      <c r="H367" s="102"/>
      <c r="I367" s="102"/>
      <c r="J367" s="102"/>
      <c r="K367" s="102"/>
      <c r="L367" s="102"/>
    </row>
    <row r="368" spans="1:1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>
      <c r="A371" s="108" t="s">
        <v>49</v>
      </c>
      <c r="B371" s="108"/>
      <c r="C371" s="108"/>
      <c r="D371" s="108"/>
      <c r="E371" s="108"/>
      <c r="F371" s="108"/>
      <c r="G371" s="108" t="s">
        <v>50</v>
      </c>
      <c r="H371" s="108" t="s">
        <v>51</v>
      </c>
      <c r="I371" s="108" t="s">
        <v>52</v>
      </c>
      <c r="J371" s="108"/>
      <c r="K371" s="108" t="s">
        <v>53</v>
      </c>
      <c r="L371" s="108"/>
    </row>
    <row r="372" spans="1:12">
      <c r="A372" s="108"/>
      <c r="B372" s="108"/>
      <c r="C372" s="108"/>
      <c r="D372" s="108"/>
      <c r="E372" s="108"/>
      <c r="F372" s="108"/>
      <c r="G372" s="108"/>
      <c r="H372" s="108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>
      <c r="A373" s="106" t="s">
        <v>58</v>
      </c>
      <c r="B373" s="106"/>
      <c r="C373" s="106"/>
      <c r="D373" s="106"/>
      <c r="E373" s="106"/>
      <c r="F373" s="106"/>
      <c r="G373" s="21">
        <v>3665.6</v>
      </c>
      <c r="H373" s="22"/>
      <c r="I373" s="21"/>
      <c r="J373" s="21"/>
      <c r="K373" s="21"/>
      <c r="L373" s="21"/>
    </row>
    <row r="374" spans="1:12">
      <c r="A374" s="106" t="s">
        <v>59</v>
      </c>
      <c r="B374" s="106"/>
      <c r="C374" s="106"/>
      <c r="D374" s="106"/>
      <c r="E374" s="106"/>
      <c r="F374" s="106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>
      <c r="A375" s="107" t="s">
        <v>60</v>
      </c>
      <c r="B375" s="107"/>
      <c r="C375" s="107"/>
      <c r="D375" s="107"/>
      <c r="E375" s="107"/>
      <c r="F375" s="107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>
      <c r="A376" s="107" t="s">
        <v>61</v>
      </c>
      <c r="B376" s="107"/>
      <c r="C376" s="107"/>
      <c r="D376" s="107"/>
      <c r="E376" s="107"/>
      <c r="F376" s="107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>
      <c r="A377" s="107" t="s">
        <v>62</v>
      </c>
      <c r="B377" s="107"/>
      <c r="C377" s="107"/>
      <c r="D377" s="107"/>
      <c r="E377" s="107"/>
      <c r="F377" s="107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>
      <c r="A378" s="107" t="s">
        <v>63</v>
      </c>
      <c r="B378" s="107"/>
      <c r="C378" s="107"/>
      <c r="D378" s="107"/>
      <c r="E378" s="107"/>
      <c r="F378" s="107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>
      <c r="A379" s="107" t="s">
        <v>64</v>
      </c>
      <c r="B379" s="107"/>
      <c r="C379" s="107"/>
      <c r="D379" s="107"/>
      <c r="E379" s="107"/>
      <c r="F379" s="107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>
      <c r="A380" s="107" t="s">
        <v>65</v>
      </c>
      <c r="B380" s="107"/>
      <c r="C380" s="107"/>
      <c r="D380" s="107"/>
      <c r="E380" s="107"/>
      <c r="F380" s="107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>
      <c r="A381" s="107" t="s">
        <v>66</v>
      </c>
      <c r="B381" s="107"/>
      <c r="C381" s="107"/>
      <c r="D381" s="107"/>
      <c r="E381" s="107"/>
      <c r="F381" s="107"/>
      <c r="G381" s="29"/>
      <c r="H381" s="30"/>
      <c r="I381" s="30"/>
      <c r="J381" s="25"/>
      <c r="K381" s="26"/>
      <c r="L381" s="26"/>
    </row>
    <row r="382" spans="1:12">
      <c r="A382" s="109">
        <v>0.25</v>
      </c>
      <c r="B382" s="109"/>
      <c r="C382" s="109"/>
      <c r="D382" s="109"/>
      <c r="E382" s="109"/>
      <c r="F382" s="109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>
      <c r="A383" s="109">
        <v>0.5</v>
      </c>
      <c r="B383" s="109"/>
      <c r="C383" s="109"/>
      <c r="D383" s="109"/>
      <c r="E383" s="109"/>
      <c r="F383" s="109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>
      <c r="A384" s="109">
        <v>1</v>
      </c>
      <c r="B384" s="109"/>
      <c r="C384" s="109"/>
      <c r="D384" s="109"/>
      <c r="E384" s="109"/>
      <c r="F384" s="109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>
      <c r="A385" s="106" t="s">
        <v>67</v>
      </c>
      <c r="B385" s="106"/>
      <c r="C385" s="106"/>
      <c r="D385" s="106"/>
      <c r="E385" s="106"/>
      <c r="F385" s="106"/>
      <c r="G385" s="21"/>
      <c r="H385" s="22"/>
      <c r="I385" s="21">
        <f>SUM(I386:I387)</f>
        <v>0</v>
      </c>
      <c r="J385" s="21"/>
      <c r="K385" s="21"/>
      <c r="L385" s="21"/>
    </row>
    <row r="386" spans="1:12">
      <c r="A386" s="107" t="s">
        <v>68</v>
      </c>
      <c r="B386" s="107"/>
      <c r="C386" s="107"/>
      <c r="D386" s="107"/>
      <c r="E386" s="107"/>
      <c r="F386" s="107"/>
      <c r="G386" s="23">
        <f>(G363-A365)/360</f>
        <v>0.25555555555555554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>
      <c r="A387" s="107" t="s">
        <v>69</v>
      </c>
      <c r="B387" s="107"/>
      <c r="C387" s="107"/>
      <c r="D387" s="107"/>
      <c r="E387" s="107"/>
      <c r="F387" s="107"/>
      <c r="G387" s="23"/>
      <c r="H387" s="24"/>
      <c r="I387" s="23"/>
      <c r="J387" s="25"/>
      <c r="K387" s="26"/>
      <c r="L387" s="26"/>
    </row>
    <row r="388" spans="1:12">
      <c r="A388" s="106" t="s">
        <v>70</v>
      </c>
      <c r="B388" s="106"/>
      <c r="C388" s="106"/>
      <c r="D388" s="106"/>
      <c r="E388" s="106"/>
      <c r="F388" s="106"/>
      <c r="G388" s="21"/>
      <c r="H388" s="22"/>
      <c r="I388" s="21">
        <f>SUM(I389:I391)</f>
        <v>600</v>
      </c>
      <c r="J388" s="21"/>
      <c r="K388" s="21"/>
      <c r="L388" s="21"/>
    </row>
    <row r="389" spans="1:12">
      <c r="A389" s="107" t="s">
        <v>71</v>
      </c>
      <c r="B389" s="107"/>
      <c r="C389" s="107"/>
      <c r="D389" s="107"/>
      <c r="E389" s="107"/>
      <c r="F389" s="107"/>
      <c r="G389" s="23"/>
      <c r="H389" s="24"/>
      <c r="I389" s="23">
        <v>600</v>
      </c>
      <c r="J389" s="25"/>
      <c r="K389" s="26"/>
      <c r="L389" s="26"/>
    </row>
    <row r="390" spans="1:12">
      <c r="A390" s="107" t="s">
        <v>72</v>
      </c>
      <c r="B390" s="107"/>
      <c r="C390" s="107"/>
      <c r="D390" s="107"/>
      <c r="E390" s="107"/>
      <c r="F390" s="107"/>
      <c r="G390" s="23"/>
      <c r="H390" s="31">
        <v>0</v>
      </c>
      <c r="I390" s="23"/>
      <c r="J390" s="25"/>
      <c r="K390" s="26"/>
      <c r="L390" s="26"/>
    </row>
    <row r="391" spans="1:12">
      <c r="A391" s="107" t="s">
        <v>73</v>
      </c>
      <c r="B391" s="107"/>
      <c r="C391" s="107"/>
      <c r="D391" s="107"/>
      <c r="E391" s="107"/>
      <c r="F391" s="107"/>
      <c r="G391" s="23"/>
      <c r="H391" s="24"/>
      <c r="I391" s="23"/>
      <c r="J391" s="25"/>
      <c r="K391" s="26"/>
      <c r="L391" s="26"/>
    </row>
    <row r="392" spans="1:12">
      <c r="A392" s="111" t="s">
        <v>74</v>
      </c>
      <c r="B392" s="111"/>
      <c r="C392" s="111"/>
      <c r="D392" s="111"/>
      <c r="E392" s="111"/>
      <c r="F392" s="111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>
      <c r="A393" s="111" t="s">
        <v>75</v>
      </c>
      <c r="B393" s="111"/>
      <c r="C393" s="111"/>
      <c r="D393" s="111"/>
      <c r="E393" s="111"/>
      <c r="F393" s="111"/>
      <c r="G393" s="32"/>
      <c r="H393" s="33"/>
      <c r="I393" s="32">
        <f>I392-I388</f>
        <v>3665.6000000000004</v>
      </c>
      <c r="J393" s="33"/>
      <c r="K393" s="33"/>
      <c r="L393" s="33"/>
    </row>
    <row r="394" spans="1:12">
      <c r="A394" s="107" t="s">
        <v>76</v>
      </c>
      <c r="B394" s="107"/>
      <c r="C394" s="107"/>
      <c r="D394" s="107"/>
      <c r="E394" s="107"/>
      <c r="F394" s="107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>
      <c r="A395" s="107" t="s">
        <v>77</v>
      </c>
      <c r="B395" s="107"/>
      <c r="C395" s="107"/>
      <c r="D395" s="107"/>
      <c r="E395" s="107"/>
      <c r="F395" s="107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>
      <c r="A396" s="107" t="s">
        <v>78</v>
      </c>
      <c r="B396" s="107"/>
      <c r="C396" s="107"/>
      <c r="D396" s="107"/>
      <c r="E396" s="107"/>
      <c r="F396" s="107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>
      <c r="A397" s="107" t="s">
        <v>79</v>
      </c>
      <c r="B397" s="107"/>
      <c r="C397" s="107"/>
      <c r="D397" s="107"/>
      <c r="E397" s="107"/>
      <c r="F397" s="107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>
      <c r="A398" s="107" t="s">
        <v>80</v>
      </c>
      <c r="B398" s="107"/>
      <c r="C398" s="107"/>
      <c r="D398" s="107"/>
      <c r="E398" s="107"/>
      <c r="F398" s="107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>
      <c r="A399" s="107" t="s">
        <v>81</v>
      </c>
      <c r="B399" s="107"/>
      <c r="C399" s="107"/>
      <c r="D399" s="107"/>
      <c r="E399" s="107"/>
      <c r="F399" s="107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>
      <c r="A400" s="107" t="s">
        <v>24</v>
      </c>
      <c r="B400" s="107"/>
      <c r="C400" s="107"/>
      <c r="D400" s="107"/>
      <c r="E400" s="107"/>
      <c r="F400" s="107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>
      <c r="A401" s="110" t="s">
        <v>82</v>
      </c>
      <c r="B401" s="110"/>
      <c r="C401" s="110"/>
      <c r="D401" s="110"/>
      <c r="E401" s="110"/>
      <c r="F401" s="110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>
      <c r="A402" s="110" t="s">
        <v>83</v>
      </c>
      <c r="B402" s="110"/>
      <c r="C402" s="110"/>
      <c r="D402" s="110"/>
      <c r="E402" s="110"/>
      <c r="F402" s="110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>
      <c r="A403" s="106" t="s">
        <v>84</v>
      </c>
      <c r="B403" s="106"/>
      <c r="C403" s="106"/>
      <c r="D403" s="106"/>
      <c r="E403" s="106"/>
      <c r="F403" s="106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>
      <c r="A404" s="107" t="s">
        <v>85</v>
      </c>
      <c r="B404" s="107"/>
      <c r="C404" s="107"/>
      <c r="D404" s="107"/>
      <c r="E404" s="107"/>
      <c r="F404" s="107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>
      <c r="A405" s="111" t="s">
        <v>86</v>
      </c>
      <c r="B405" s="111"/>
      <c r="C405" s="111"/>
      <c r="D405" s="111"/>
      <c r="E405" s="111"/>
      <c r="F405" s="111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>
      <c r="A406" s="107" t="s">
        <v>87</v>
      </c>
      <c r="B406" s="107"/>
      <c r="C406" s="107"/>
      <c r="D406" s="107"/>
      <c r="E406" s="107"/>
      <c r="F406" s="107"/>
      <c r="G406" s="23"/>
      <c r="H406" s="34"/>
      <c r="I406" s="23">
        <f>H406*180/360</f>
        <v>0</v>
      </c>
      <c r="J406" s="23"/>
      <c r="K406" s="46"/>
      <c r="L406" s="47"/>
    </row>
    <row r="407" spans="1:12">
      <c r="A407" s="111" t="s">
        <v>115</v>
      </c>
      <c r="B407" s="111"/>
      <c r="C407" s="111"/>
      <c r="D407" s="111"/>
      <c r="E407" s="111"/>
      <c r="F407" s="111"/>
      <c r="G407" s="32"/>
      <c r="H407" s="33"/>
      <c r="I407" s="32">
        <f>I405-I406</f>
        <v>2685.4185600000001</v>
      </c>
      <c r="J407" s="33"/>
      <c r="K407" s="33"/>
      <c r="L407" s="33"/>
    </row>
    <row r="408" spans="1:12">
      <c r="A408" s="107" t="s">
        <v>89</v>
      </c>
      <c r="B408" s="107"/>
      <c r="C408" s="107"/>
      <c r="D408" s="107"/>
      <c r="E408" s="107"/>
      <c r="F408" s="107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>
      <c r="A409" s="107" t="s">
        <v>90</v>
      </c>
      <c r="B409" s="107"/>
      <c r="C409" s="107"/>
      <c r="D409" s="107"/>
      <c r="E409" s="107"/>
      <c r="F409" s="107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>
      <c r="A410" s="106" t="s">
        <v>91</v>
      </c>
      <c r="B410" s="106"/>
      <c r="C410" s="106"/>
      <c r="D410" s="106"/>
      <c r="E410" s="106"/>
      <c r="F410" s="106"/>
      <c r="G410" s="21"/>
      <c r="H410" s="22"/>
      <c r="I410" s="21"/>
      <c r="J410" s="21">
        <f>J408-J409</f>
        <v>18.541855999999996</v>
      </c>
      <c r="K410" s="21"/>
      <c r="L410" s="21"/>
    </row>
    <row r="411" spans="1:12">
      <c r="A411" s="112" t="s">
        <v>92</v>
      </c>
      <c r="B411" s="112"/>
      <c r="C411" s="112"/>
      <c r="D411" s="112"/>
      <c r="E411" s="112"/>
      <c r="F411" s="112"/>
      <c r="G411" s="25"/>
      <c r="H411" s="48"/>
      <c r="I411" s="47"/>
      <c r="J411" s="49">
        <v>0</v>
      </c>
      <c r="K411" s="46"/>
      <c r="L411" s="47"/>
    </row>
    <row r="412" spans="1:12">
      <c r="A412" s="107" t="s">
        <v>93</v>
      </c>
      <c r="B412" s="107"/>
      <c r="C412" s="107"/>
      <c r="D412" s="107"/>
      <c r="E412" s="107"/>
      <c r="F412" s="107"/>
      <c r="G412" s="25"/>
      <c r="H412" s="48"/>
      <c r="I412" s="44"/>
      <c r="J412" s="28">
        <v>0</v>
      </c>
      <c r="K412" s="46"/>
      <c r="L412" s="47"/>
    </row>
    <row r="413" spans="1:12">
      <c r="A413" s="113" t="s">
        <v>94</v>
      </c>
      <c r="B413" s="113"/>
      <c r="C413" s="113"/>
      <c r="D413" s="113"/>
      <c r="E413" s="113"/>
      <c r="F413" s="113"/>
      <c r="G413" s="41"/>
      <c r="H413" s="42"/>
      <c r="I413" s="28"/>
      <c r="J413" s="41"/>
      <c r="K413" s="43"/>
      <c r="L413" s="44"/>
    </row>
    <row r="414" spans="1:1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>
      <c r="A415" s="13" t="s">
        <v>95</v>
      </c>
      <c r="B415" s="13" t="s">
        <v>96</v>
      </c>
      <c r="C415" s="13" t="s">
        <v>97</v>
      </c>
      <c r="D415" s="104" t="s">
        <v>98</v>
      </c>
      <c r="E415" s="104"/>
      <c r="F415" s="104"/>
      <c r="G415" s="13" t="s">
        <v>99</v>
      </c>
      <c r="H415" s="50"/>
      <c r="I415" s="51">
        <f>I392+I413</f>
        <v>4265.6000000000004</v>
      </c>
      <c r="J415" s="51">
        <f>J403+J410+J411+J412</f>
        <v>265.60329600000006</v>
      </c>
      <c r="K415" s="13" t="s">
        <v>100</v>
      </c>
      <c r="L415" s="51">
        <f>L403</f>
        <v>846.38704000000007</v>
      </c>
    </row>
    <row r="416" spans="1:12">
      <c r="A416" s="51">
        <f>38390.4+I392</f>
        <v>42656</v>
      </c>
      <c r="B416" s="51">
        <f>32990.4+I393</f>
        <v>36656</v>
      </c>
      <c r="C416" s="51">
        <f>1477.98+J394</f>
        <v>1642.1988800000001</v>
      </c>
      <c r="D416" s="114">
        <f>166.87+J410</f>
        <v>185.411856</v>
      </c>
      <c r="E416" s="114"/>
      <c r="F416" s="114"/>
      <c r="G416" s="51">
        <f>36000+I415</f>
        <v>40265.599999999999</v>
      </c>
      <c r="H416" s="104" t="s">
        <v>101</v>
      </c>
      <c r="I416" s="104"/>
      <c r="J416" s="51">
        <f>I415-J415</f>
        <v>3999.9967040000001</v>
      </c>
      <c r="K416" s="13" t="s">
        <v>102</v>
      </c>
      <c r="L416" s="51">
        <f>8246.37+L415</f>
        <v>9092.7570400000004</v>
      </c>
    </row>
    <row r="417" spans="1:1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17"/>
  <sheetViews>
    <sheetView topLeftCell="A6" workbookViewId="0">
      <selection activeCell="A61" sqref="A61:L117"/>
    </sheetView>
  </sheetViews>
  <sheetFormatPr baseColWidth="10" defaultRowHeight="15"/>
  <sheetData>
    <row r="1" spans="1:12">
      <c r="A1" s="105" t="s">
        <v>26</v>
      </c>
      <c r="B1" s="105"/>
      <c r="C1" s="105" t="s">
        <v>27</v>
      </c>
      <c r="D1" s="105"/>
      <c r="E1" s="105"/>
      <c r="F1" s="105"/>
      <c r="G1" s="105" t="s">
        <v>28</v>
      </c>
      <c r="H1" s="105"/>
      <c r="I1" s="105"/>
      <c r="J1" s="105" t="s">
        <v>29</v>
      </c>
      <c r="K1" s="105"/>
      <c r="L1" s="105"/>
    </row>
    <row r="2" spans="1:12">
      <c r="A2" s="14" t="s">
        <v>30</v>
      </c>
      <c r="B2" s="104" t="s">
        <v>31</v>
      </c>
      <c r="C2" s="104"/>
      <c r="D2" s="104"/>
      <c r="E2" s="104"/>
      <c r="F2" s="104"/>
      <c r="G2" s="104" t="s">
        <v>32</v>
      </c>
      <c r="H2" s="104"/>
      <c r="I2" s="104"/>
      <c r="J2" s="104"/>
      <c r="K2" s="104"/>
      <c r="L2" s="104"/>
    </row>
    <row r="3" spans="1:12">
      <c r="A3" s="16">
        <v>1</v>
      </c>
      <c r="B3" s="102" t="s">
        <v>33</v>
      </c>
      <c r="C3" s="102"/>
      <c r="D3" s="102"/>
      <c r="E3" s="102"/>
      <c r="F3" s="102"/>
      <c r="G3" s="103">
        <v>42401</v>
      </c>
      <c r="H3" s="103"/>
      <c r="I3" s="103"/>
      <c r="J3" s="103">
        <v>42429</v>
      </c>
      <c r="K3" s="103"/>
      <c r="L3" s="103"/>
    </row>
    <row r="4" spans="1:12">
      <c r="A4" s="14" t="s">
        <v>34</v>
      </c>
      <c r="B4" s="14" t="s">
        <v>35</v>
      </c>
      <c r="C4" s="14" t="s">
        <v>36</v>
      </c>
      <c r="D4" s="14" t="s">
        <v>37</v>
      </c>
      <c r="E4" s="14" t="s">
        <v>38</v>
      </c>
      <c r="F4" s="14" t="s">
        <v>39</v>
      </c>
      <c r="G4" s="104" t="s">
        <v>40</v>
      </c>
      <c r="H4" s="104"/>
      <c r="I4" s="104"/>
      <c r="J4" s="104"/>
      <c r="K4" s="104"/>
      <c r="L4" s="104"/>
    </row>
    <row r="5" spans="1:12">
      <c r="A5" s="17">
        <v>41501</v>
      </c>
      <c r="B5" s="16"/>
      <c r="C5" s="17">
        <v>24624</v>
      </c>
      <c r="D5" s="16" t="s">
        <v>41</v>
      </c>
      <c r="E5" s="16">
        <v>0</v>
      </c>
      <c r="F5" s="16">
        <v>0</v>
      </c>
      <c r="G5" s="102"/>
      <c r="H5" s="102"/>
      <c r="I5" s="102"/>
      <c r="J5" s="102"/>
      <c r="K5" s="102"/>
      <c r="L5" s="102"/>
    </row>
    <row r="6" spans="1:12">
      <c r="A6" s="14" t="s">
        <v>42</v>
      </c>
      <c r="B6" s="14" t="s">
        <v>43</v>
      </c>
      <c r="C6" s="14" t="s">
        <v>44</v>
      </c>
      <c r="D6" s="104" t="s">
        <v>45</v>
      </c>
      <c r="E6" s="104"/>
      <c r="F6" s="104"/>
      <c r="G6" s="104" t="s">
        <v>46</v>
      </c>
      <c r="H6" s="104"/>
      <c r="I6" s="104"/>
      <c r="J6" s="104"/>
      <c r="K6" s="104"/>
      <c r="L6" s="104"/>
    </row>
    <row r="7" spans="1:12">
      <c r="A7" s="16">
        <v>189838836</v>
      </c>
      <c r="B7" s="16"/>
      <c r="C7" s="16"/>
      <c r="D7" s="102" t="s">
        <v>47</v>
      </c>
      <c r="E7" s="102"/>
      <c r="F7" s="102"/>
      <c r="G7" s="102" t="s">
        <v>48</v>
      </c>
      <c r="H7" s="102"/>
      <c r="I7" s="102"/>
      <c r="J7" s="102"/>
      <c r="K7" s="102"/>
      <c r="L7" s="102"/>
    </row>
    <row r="8" spans="1:1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108" t="s">
        <v>49</v>
      </c>
      <c r="B11" s="108"/>
      <c r="C11" s="108"/>
      <c r="D11" s="108"/>
      <c r="E11" s="108"/>
      <c r="F11" s="108"/>
      <c r="G11" s="108" t="s">
        <v>50</v>
      </c>
      <c r="H11" s="108" t="s">
        <v>51</v>
      </c>
      <c r="I11" s="108" t="s">
        <v>52</v>
      </c>
      <c r="J11" s="108"/>
      <c r="K11" s="108" t="s">
        <v>53</v>
      </c>
      <c r="L11" s="108"/>
    </row>
    <row r="12" spans="1:12">
      <c r="A12" s="108"/>
      <c r="B12" s="108"/>
      <c r="C12" s="108"/>
      <c r="D12" s="108"/>
      <c r="E12" s="108"/>
      <c r="F12" s="108"/>
      <c r="G12" s="108"/>
      <c r="H12" s="108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>
      <c r="A13" s="106" t="s">
        <v>58</v>
      </c>
      <c r="B13" s="106"/>
      <c r="C13" s="106"/>
      <c r="D13" s="106"/>
      <c r="E13" s="106"/>
      <c r="F13" s="106"/>
      <c r="G13" s="21">
        <v>12255.93</v>
      </c>
      <c r="H13" s="22"/>
      <c r="I13" s="21"/>
      <c r="J13" s="21"/>
      <c r="K13" s="21"/>
      <c r="L13" s="21"/>
    </row>
    <row r="14" spans="1:12">
      <c r="A14" s="106" t="s">
        <v>59</v>
      </c>
      <c r="B14" s="106"/>
      <c r="C14" s="106"/>
      <c r="D14" s="106"/>
      <c r="E14" s="106"/>
      <c r="F14" s="106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>
      <c r="A15" s="107" t="s">
        <v>60</v>
      </c>
      <c r="B15" s="107"/>
      <c r="C15" s="107"/>
      <c r="D15" s="107"/>
      <c r="E15" s="107"/>
      <c r="F15" s="107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>
      <c r="A16" s="107" t="s">
        <v>61</v>
      </c>
      <c r="B16" s="107"/>
      <c r="C16" s="107"/>
      <c r="D16" s="107"/>
      <c r="E16" s="107"/>
      <c r="F16" s="107"/>
      <c r="G16" s="23"/>
      <c r="H16" s="24">
        <v>0</v>
      </c>
      <c r="I16" s="23">
        <f>G13/26*H16</f>
        <v>0</v>
      </c>
      <c r="J16" s="25"/>
      <c r="K16" s="26"/>
      <c r="L16" s="26"/>
    </row>
    <row r="17" spans="1:12">
      <c r="A17" s="107" t="s">
        <v>62</v>
      </c>
      <c r="B17" s="107"/>
      <c r="C17" s="107"/>
      <c r="D17" s="107"/>
      <c r="E17" s="107"/>
      <c r="F17" s="107"/>
      <c r="G17" s="23"/>
      <c r="H17" s="24">
        <v>0</v>
      </c>
      <c r="I17" s="23"/>
      <c r="J17" s="27">
        <f>G13/26*H17</f>
        <v>0</v>
      </c>
      <c r="K17" s="26"/>
      <c r="L17" s="26"/>
    </row>
    <row r="18" spans="1:12">
      <c r="A18" s="107" t="s">
        <v>63</v>
      </c>
      <c r="B18" s="107"/>
      <c r="C18" s="107"/>
      <c r="D18" s="107"/>
      <c r="E18" s="107"/>
      <c r="F18" s="107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>
      <c r="A19" s="107" t="s">
        <v>64</v>
      </c>
      <c r="B19" s="107"/>
      <c r="C19" s="107"/>
      <c r="D19" s="107"/>
      <c r="E19" s="107"/>
      <c r="F19" s="107"/>
      <c r="G19" s="23"/>
      <c r="H19" s="24">
        <v>0</v>
      </c>
      <c r="I19" s="23">
        <f>G13/26*H19</f>
        <v>0</v>
      </c>
      <c r="J19" s="25"/>
      <c r="K19" s="26"/>
      <c r="L19" s="26"/>
    </row>
    <row r="20" spans="1:12">
      <c r="A20" s="107" t="s">
        <v>65</v>
      </c>
      <c r="B20" s="107"/>
      <c r="C20" s="107"/>
      <c r="D20" s="107"/>
      <c r="E20" s="107"/>
      <c r="F20" s="107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>
      <c r="A21" s="107" t="s">
        <v>66</v>
      </c>
      <c r="B21" s="107"/>
      <c r="C21" s="107"/>
      <c r="D21" s="107"/>
      <c r="E21" s="107"/>
      <c r="F21" s="107"/>
      <c r="G21" s="29"/>
      <c r="H21" s="30"/>
      <c r="I21" s="30"/>
      <c r="J21" s="25"/>
      <c r="K21" s="26"/>
      <c r="L21" s="26"/>
    </row>
    <row r="22" spans="1:12">
      <c r="A22" s="109">
        <v>0.25</v>
      </c>
      <c r="B22" s="109"/>
      <c r="C22" s="109"/>
      <c r="D22" s="109"/>
      <c r="E22" s="109"/>
      <c r="F22" s="109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>
      <c r="A23" s="109">
        <v>0.5</v>
      </c>
      <c r="B23" s="109"/>
      <c r="C23" s="109"/>
      <c r="D23" s="109"/>
      <c r="E23" s="109"/>
      <c r="F23" s="109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>
      <c r="A24" s="109">
        <v>1</v>
      </c>
      <c r="B24" s="109"/>
      <c r="C24" s="109"/>
      <c r="D24" s="109"/>
      <c r="E24" s="109"/>
      <c r="F24" s="109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>
      <c r="A25" s="106" t="s">
        <v>67</v>
      </c>
      <c r="B25" s="106"/>
      <c r="C25" s="106"/>
      <c r="D25" s="106"/>
      <c r="E25" s="106"/>
      <c r="F25" s="106"/>
      <c r="G25" s="21"/>
      <c r="H25" s="22"/>
      <c r="I25" s="21">
        <f>SUM(I26:I27)</f>
        <v>612.79650000000004</v>
      </c>
      <c r="J25" s="21"/>
      <c r="K25" s="21"/>
      <c r="L25" s="21"/>
    </row>
    <row r="26" spans="1:12">
      <c r="A26" s="107" t="s">
        <v>68</v>
      </c>
      <c r="B26" s="107"/>
      <c r="C26" s="107"/>
      <c r="D26" s="107"/>
      <c r="E26" s="107"/>
      <c r="F26" s="107"/>
      <c r="G26" s="23">
        <f>(G3-A5)/360</f>
        <v>2.5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>
      <c r="A27" s="107" t="s">
        <v>69</v>
      </c>
      <c r="B27" s="107"/>
      <c r="C27" s="107"/>
      <c r="D27" s="107"/>
      <c r="E27" s="107"/>
      <c r="F27" s="107"/>
      <c r="G27" s="23"/>
      <c r="H27" s="24"/>
      <c r="I27" s="23"/>
      <c r="J27" s="25"/>
      <c r="K27" s="26"/>
      <c r="L27" s="26"/>
    </row>
    <row r="28" spans="1:12">
      <c r="A28" s="106" t="s">
        <v>70</v>
      </c>
      <c r="B28" s="106"/>
      <c r="C28" s="106"/>
      <c r="D28" s="106"/>
      <c r="E28" s="106"/>
      <c r="F28" s="106"/>
      <c r="G28" s="21"/>
      <c r="H28" s="22"/>
      <c r="I28" s="21">
        <f>SUM(I29:I31)</f>
        <v>5000</v>
      </c>
      <c r="J28" s="21"/>
      <c r="K28" s="21"/>
      <c r="L28" s="21"/>
    </row>
    <row r="29" spans="1:12">
      <c r="A29" s="107" t="s">
        <v>71</v>
      </c>
      <c r="B29" s="107"/>
      <c r="C29" s="107"/>
      <c r="D29" s="107"/>
      <c r="E29" s="107"/>
      <c r="F29" s="107"/>
      <c r="G29" s="23"/>
      <c r="H29" s="24"/>
      <c r="I29" s="23">
        <v>2500</v>
      </c>
      <c r="J29" s="25"/>
      <c r="K29" s="26"/>
      <c r="L29" s="26"/>
    </row>
    <row r="30" spans="1:12">
      <c r="A30" s="107" t="s">
        <v>72</v>
      </c>
      <c r="B30" s="107"/>
      <c r="C30" s="107"/>
      <c r="D30" s="107"/>
      <c r="E30" s="107"/>
      <c r="F30" s="107"/>
      <c r="G30" s="23"/>
      <c r="H30" s="31">
        <v>0</v>
      </c>
      <c r="I30" s="23">
        <v>2500</v>
      </c>
      <c r="J30" s="25"/>
      <c r="K30" s="26"/>
      <c r="L30" s="26"/>
    </row>
    <row r="31" spans="1:12">
      <c r="A31" s="107" t="s">
        <v>73</v>
      </c>
      <c r="B31" s="107"/>
      <c r="C31" s="107"/>
      <c r="D31" s="107"/>
      <c r="E31" s="107"/>
      <c r="F31" s="107"/>
      <c r="G31" s="23"/>
      <c r="H31" s="24"/>
      <c r="I31" s="23"/>
      <c r="J31" s="25"/>
      <c r="K31" s="26"/>
      <c r="L31" s="26"/>
    </row>
    <row r="32" spans="1:12">
      <c r="A32" s="111" t="s">
        <v>74</v>
      </c>
      <c r="B32" s="111"/>
      <c r="C32" s="111"/>
      <c r="D32" s="111"/>
      <c r="E32" s="111"/>
      <c r="F32" s="111"/>
      <c r="G32" s="32"/>
      <c r="H32" s="33"/>
      <c r="I32" s="32">
        <f>I14+I25+I28</f>
        <v>17868.726500000001</v>
      </c>
      <c r="J32" s="33"/>
      <c r="K32" s="33"/>
      <c r="L32" s="33"/>
    </row>
    <row r="33" spans="1:12">
      <c r="A33" s="111" t="s">
        <v>75</v>
      </c>
      <c r="B33" s="111"/>
      <c r="C33" s="111"/>
      <c r="D33" s="111"/>
      <c r="E33" s="111"/>
      <c r="F33" s="111"/>
      <c r="G33" s="32"/>
      <c r="H33" s="33"/>
      <c r="I33" s="32">
        <f>I32-I28</f>
        <v>12868.726500000001</v>
      </c>
      <c r="J33" s="33"/>
      <c r="K33" s="33"/>
      <c r="L33" s="33"/>
    </row>
    <row r="34" spans="1:12">
      <c r="A34" s="107" t="s">
        <v>76</v>
      </c>
      <c r="B34" s="107"/>
      <c r="C34" s="107"/>
      <c r="D34" s="107"/>
      <c r="E34" s="107"/>
      <c r="F34" s="107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>
      <c r="A35" s="107" t="s">
        <v>77</v>
      </c>
      <c r="B35" s="107"/>
      <c r="C35" s="107"/>
      <c r="D35" s="107"/>
      <c r="E35" s="107"/>
      <c r="F35" s="107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>
      <c r="A36" s="107" t="s">
        <v>78</v>
      </c>
      <c r="B36" s="107"/>
      <c r="C36" s="107"/>
      <c r="D36" s="107"/>
      <c r="E36" s="107"/>
      <c r="F36" s="107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>
      <c r="A37" s="107" t="s">
        <v>79</v>
      </c>
      <c r="B37" s="107"/>
      <c r="C37" s="107"/>
      <c r="D37" s="107"/>
      <c r="E37" s="107"/>
      <c r="F37" s="107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>
      <c r="A38" s="107" t="s">
        <v>80</v>
      </c>
      <c r="B38" s="107"/>
      <c r="C38" s="107"/>
      <c r="D38" s="107"/>
      <c r="E38" s="107"/>
      <c r="F38" s="107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>
      <c r="A39" s="107" t="s">
        <v>81</v>
      </c>
      <c r="B39" s="107"/>
      <c r="C39" s="107"/>
      <c r="D39" s="107"/>
      <c r="E39" s="107"/>
      <c r="F39" s="107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>
      <c r="A40" s="107" t="s">
        <v>24</v>
      </c>
      <c r="B40" s="107"/>
      <c r="C40" s="107"/>
      <c r="D40" s="107"/>
      <c r="E40" s="107"/>
      <c r="F40" s="107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>
      <c r="A41" s="110" t="s">
        <v>82</v>
      </c>
      <c r="B41" s="110"/>
      <c r="C41" s="110"/>
      <c r="D41" s="110"/>
      <c r="E41" s="110"/>
      <c r="F41" s="110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>
      <c r="A42" s="110" t="s">
        <v>83</v>
      </c>
      <c r="B42" s="110"/>
      <c r="C42" s="110"/>
      <c r="D42" s="110"/>
      <c r="E42" s="110"/>
      <c r="F42" s="110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>
      <c r="A43" s="106" t="s">
        <v>84</v>
      </c>
      <c r="B43" s="106"/>
      <c r="C43" s="106"/>
      <c r="D43" s="106"/>
      <c r="E43" s="106"/>
      <c r="F43" s="106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>
      <c r="A44" s="107" t="s">
        <v>85</v>
      </c>
      <c r="B44" s="107"/>
      <c r="C44" s="107"/>
      <c r="D44" s="107"/>
      <c r="E44" s="107"/>
      <c r="F44" s="107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>
      <c r="A45" s="111" t="s">
        <v>86</v>
      </c>
      <c r="B45" s="111"/>
      <c r="C45" s="111"/>
      <c r="D45" s="111"/>
      <c r="E45" s="111"/>
      <c r="F45" s="111"/>
      <c r="G45" s="32"/>
      <c r="H45" s="33"/>
      <c r="I45" s="32">
        <f>I33-J43-J44</f>
        <v>9423.0314861000006</v>
      </c>
      <c r="J45" s="33"/>
      <c r="K45" s="33"/>
      <c r="L45" s="33"/>
    </row>
    <row r="46" spans="1:12">
      <c r="A46" s="107" t="s">
        <v>87</v>
      </c>
      <c r="B46" s="107"/>
      <c r="C46" s="107"/>
      <c r="D46" s="107"/>
      <c r="E46" s="107"/>
      <c r="F46" s="107"/>
      <c r="G46" s="23"/>
      <c r="H46" s="34"/>
      <c r="I46" s="23">
        <f>H46*180/360</f>
        <v>0</v>
      </c>
      <c r="J46" s="23"/>
      <c r="K46" s="46"/>
      <c r="L46" s="47"/>
    </row>
    <row r="47" spans="1:12">
      <c r="A47" s="111" t="s">
        <v>88</v>
      </c>
      <c r="B47" s="111"/>
      <c r="C47" s="111"/>
      <c r="D47" s="111"/>
      <c r="E47" s="111"/>
      <c r="F47" s="111"/>
      <c r="G47" s="32"/>
      <c r="H47" s="33"/>
      <c r="I47" s="32">
        <f>I45-I46</f>
        <v>9423.0314861000006</v>
      </c>
      <c r="J47" s="33"/>
      <c r="K47" s="33"/>
      <c r="L47" s="33"/>
    </row>
    <row r="48" spans="1:12">
      <c r="A48" s="107" t="s">
        <v>89</v>
      </c>
      <c r="B48" s="107"/>
      <c r="C48" s="107"/>
      <c r="D48" s="107"/>
      <c r="E48" s="107"/>
      <c r="F48" s="107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>
      <c r="A49" s="107" t="s">
        <v>90</v>
      </c>
      <c r="B49" s="107"/>
      <c r="C49" s="107"/>
      <c r="D49" s="107"/>
      <c r="E49" s="107"/>
      <c r="F49" s="107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>
      <c r="A50" s="106" t="s">
        <v>91</v>
      </c>
      <c r="B50" s="106"/>
      <c r="C50" s="106"/>
      <c r="D50" s="106"/>
      <c r="E50" s="106"/>
      <c r="F50" s="106"/>
      <c r="G50" s="21"/>
      <c r="H50" s="22"/>
      <c r="I50" s="21"/>
      <c r="J50" s="21">
        <f>J48-J49</f>
        <v>1770.4973719406673</v>
      </c>
      <c r="K50" s="21"/>
      <c r="L50" s="21"/>
    </row>
    <row r="51" spans="1:12">
      <c r="A51" s="112" t="s">
        <v>92</v>
      </c>
      <c r="B51" s="112"/>
      <c r="C51" s="112"/>
      <c r="D51" s="112"/>
      <c r="E51" s="112"/>
      <c r="F51" s="112"/>
      <c r="G51" s="25"/>
      <c r="H51" s="48"/>
      <c r="I51" s="47"/>
      <c r="J51" s="49">
        <v>0</v>
      </c>
      <c r="K51" s="46"/>
      <c r="L51" s="47"/>
    </row>
    <row r="52" spans="1:12">
      <c r="A52" s="107" t="s">
        <v>93</v>
      </c>
      <c r="B52" s="107"/>
      <c r="C52" s="107"/>
      <c r="D52" s="107"/>
      <c r="E52" s="107"/>
      <c r="F52" s="107"/>
      <c r="G52" s="25"/>
      <c r="H52" s="48"/>
      <c r="I52" s="44"/>
      <c r="J52" s="28">
        <v>0</v>
      </c>
      <c r="K52" s="46"/>
      <c r="L52" s="47"/>
    </row>
    <row r="53" spans="1:12">
      <c r="A53" s="113" t="s">
        <v>94</v>
      </c>
      <c r="B53" s="113"/>
      <c r="C53" s="113"/>
      <c r="D53" s="113"/>
      <c r="E53" s="113"/>
      <c r="F53" s="113"/>
      <c r="G53" s="41"/>
      <c r="H53" s="42"/>
      <c r="I53" s="28">
        <f>1-0.53</f>
        <v>0.47</v>
      </c>
      <c r="J53" s="41"/>
      <c r="K53" s="43"/>
      <c r="L53" s="44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14" t="s">
        <v>95</v>
      </c>
      <c r="B55" s="14" t="s">
        <v>96</v>
      </c>
      <c r="C55" s="14" t="s">
        <v>97</v>
      </c>
      <c r="D55" s="104" t="s">
        <v>98</v>
      </c>
      <c r="E55" s="104"/>
      <c r="F55" s="104"/>
      <c r="G55" s="14" t="s">
        <v>99</v>
      </c>
      <c r="H55" s="50"/>
      <c r="I55" s="52">
        <f>I32+I53</f>
        <v>17869.196500000002</v>
      </c>
      <c r="J55" s="52">
        <f>J43+J50+J51+J52</f>
        <v>2716.1923858406672</v>
      </c>
      <c r="K55" s="14" t="s">
        <v>100</v>
      </c>
      <c r="L55" s="52">
        <f>L43</f>
        <v>2354.57730915</v>
      </c>
    </row>
    <row r="56" spans="1:12">
      <c r="A56" s="52">
        <f>156411.11+I32</f>
        <v>174279.83649999998</v>
      </c>
      <c r="B56" s="52">
        <f>111411.11+I33</f>
        <v>124279.8365</v>
      </c>
      <c r="C56" s="52">
        <f>2419.2+J34</f>
        <v>2688</v>
      </c>
      <c r="D56" s="114">
        <f>14978.83+J50</f>
        <v>16749.327371940668</v>
      </c>
      <c r="E56" s="114"/>
      <c r="F56" s="114"/>
      <c r="G56" s="52">
        <f>133157+I55</f>
        <v>151026.19649999999</v>
      </c>
      <c r="H56" s="104" t="s">
        <v>101</v>
      </c>
      <c r="I56" s="104"/>
      <c r="J56" s="52">
        <f>I55-J55</f>
        <v>15153.004114159336</v>
      </c>
      <c r="K56" s="14" t="s">
        <v>102</v>
      </c>
      <c r="L56" s="52">
        <f>20499.47+L55</f>
        <v>22854.047309150003</v>
      </c>
    </row>
    <row r="57" spans="1:1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>
      <c r="A61" s="105" t="s">
        <v>26</v>
      </c>
      <c r="B61" s="105"/>
      <c r="C61" s="105" t="s">
        <v>27</v>
      </c>
      <c r="D61" s="105"/>
      <c r="E61" s="105"/>
      <c r="F61" s="105"/>
      <c r="G61" s="105" t="s">
        <v>28</v>
      </c>
      <c r="H61" s="105"/>
      <c r="I61" s="105"/>
      <c r="J61" s="105" t="s">
        <v>29</v>
      </c>
      <c r="K61" s="105"/>
      <c r="L61" s="105"/>
    </row>
    <row r="62" spans="1:12">
      <c r="A62" s="14" t="s">
        <v>30</v>
      </c>
      <c r="B62" s="104" t="s">
        <v>31</v>
      </c>
      <c r="C62" s="104"/>
      <c r="D62" s="104"/>
      <c r="E62" s="104"/>
      <c r="F62" s="104"/>
      <c r="G62" s="104" t="s">
        <v>32</v>
      </c>
      <c r="H62" s="104"/>
      <c r="I62" s="104"/>
      <c r="J62" s="104"/>
      <c r="K62" s="104"/>
      <c r="L62" s="104"/>
    </row>
    <row r="63" spans="1:12">
      <c r="A63" s="16">
        <v>3</v>
      </c>
      <c r="B63" s="102" t="s">
        <v>104</v>
      </c>
      <c r="C63" s="102"/>
      <c r="D63" s="102"/>
      <c r="E63" s="102"/>
      <c r="F63" s="102"/>
      <c r="G63" s="103">
        <v>42401</v>
      </c>
      <c r="H63" s="103"/>
      <c r="I63" s="103"/>
      <c r="J63" s="103">
        <v>42429</v>
      </c>
      <c r="K63" s="103"/>
      <c r="L63" s="103"/>
    </row>
    <row r="64" spans="1:12">
      <c r="A64" s="14" t="s">
        <v>34</v>
      </c>
      <c r="B64" s="14" t="s">
        <v>35</v>
      </c>
      <c r="C64" s="14" t="s">
        <v>36</v>
      </c>
      <c r="D64" s="14" t="s">
        <v>37</v>
      </c>
      <c r="E64" s="14" t="s">
        <v>38</v>
      </c>
      <c r="F64" s="14" t="s">
        <v>39</v>
      </c>
      <c r="G64" s="104" t="s">
        <v>40</v>
      </c>
      <c r="H64" s="104"/>
      <c r="I64" s="104"/>
      <c r="J64" s="104"/>
      <c r="K64" s="104"/>
      <c r="L64" s="104"/>
    </row>
    <row r="65" spans="1:12">
      <c r="A65" s="17">
        <v>41791</v>
      </c>
      <c r="B65" s="16"/>
      <c r="C65" s="17">
        <v>24557</v>
      </c>
      <c r="D65" s="16" t="s">
        <v>41</v>
      </c>
      <c r="E65" s="16">
        <v>0</v>
      </c>
      <c r="F65" s="16">
        <v>0</v>
      </c>
      <c r="G65" s="102"/>
      <c r="H65" s="102"/>
      <c r="I65" s="102"/>
      <c r="J65" s="102"/>
      <c r="K65" s="102"/>
      <c r="L65" s="102"/>
    </row>
    <row r="66" spans="1:12">
      <c r="A66" s="14" t="s">
        <v>42</v>
      </c>
      <c r="B66" s="14" t="s">
        <v>43</v>
      </c>
      <c r="C66" s="14" t="s">
        <v>44</v>
      </c>
      <c r="D66" s="104" t="s">
        <v>45</v>
      </c>
      <c r="E66" s="104"/>
      <c r="F66" s="104"/>
      <c r="G66" s="104" t="s">
        <v>46</v>
      </c>
      <c r="H66" s="104"/>
      <c r="I66" s="104"/>
      <c r="J66" s="104"/>
      <c r="K66" s="104"/>
      <c r="L66" s="104"/>
    </row>
    <row r="67" spans="1:12">
      <c r="A67" s="16">
        <v>141034737</v>
      </c>
      <c r="B67" s="16"/>
      <c r="C67" s="16"/>
      <c r="D67" s="102" t="s">
        <v>47</v>
      </c>
      <c r="E67" s="102"/>
      <c r="F67" s="102"/>
      <c r="G67" s="102" t="s">
        <v>105</v>
      </c>
      <c r="H67" s="102"/>
      <c r="I67" s="102"/>
      <c r="J67" s="102"/>
      <c r="K67" s="102"/>
      <c r="L67" s="102"/>
    </row>
    <row r="68" spans="1:1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>
      <c r="A71" s="108" t="s">
        <v>49</v>
      </c>
      <c r="B71" s="108"/>
      <c r="C71" s="108"/>
      <c r="D71" s="108"/>
      <c r="E71" s="108"/>
      <c r="F71" s="108"/>
      <c r="G71" s="108" t="s">
        <v>50</v>
      </c>
      <c r="H71" s="108" t="s">
        <v>51</v>
      </c>
      <c r="I71" s="108" t="s">
        <v>52</v>
      </c>
      <c r="J71" s="108"/>
      <c r="K71" s="108" t="s">
        <v>53</v>
      </c>
      <c r="L71" s="108"/>
    </row>
    <row r="72" spans="1:12">
      <c r="A72" s="108"/>
      <c r="B72" s="108"/>
      <c r="C72" s="108"/>
      <c r="D72" s="108"/>
      <c r="E72" s="108"/>
      <c r="F72" s="108"/>
      <c r="G72" s="108"/>
      <c r="H72" s="108"/>
      <c r="I72" s="20" t="s">
        <v>54</v>
      </c>
      <c r="J72" s="20" t="s">
        <v>55</v>
      </c>
      <c r="K72" s="20" t="s">
        <v>56</v>
      </c>
      <c r="L72" s="20" t="s">
        <v>57</v>
      </c>
    </row>
    <row r="73" spans="1:12">
      <c r="A73" s="106" t="s">
        <v>58</v>
      </c>
      <c r="B73" s="106"/>
      <c r="C73" s="106"/>
      <c r="D73" s="106"/>
      <c r="E73" s="106"/>
      <c r="F73" s="106"/>
      <c r="G73" s="21">
        <v>100000</v>
      </c>
      <c r="H73" s="22"/>
      <c r="I73" s="21"/>
      <c r="J73" s="21"/>
      <c r="K73" s="21"/>
      <c r="L73" s="21"/>
    </row>
    <row r="74" spans="1:12">
      <c r="A74" s="106" t="s">
        <v>59</v>
      </c>
      <c r="B74" s="106"/>
      <c r="C74" s="106"/>
      <c r="D74" s="106"/>
      <c r="E74" s="106"/>
      <c r="F74" s="106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>
      <c r="A75" s="107" t="s">
        <v>60</v>
      </c>
      <c r="B75" s="107"/>
      <c r="C75" s="107"/>
      <c r="D75" s="107"/>
      <c r="E75" s="107"/>
      <c r="F75" s="107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>
      <c r="A76" s="107" t="s">
        <v>61</v>
      </c>
      <c r="B76" s="107"/>
      <c r="C76" s="107"/>
      <c r="D76" s="107"/>
      <c r="E76" s="107"/>
      <c r="F76" s="107"/>
      <c r="G76" s="23"/>
      <c r="H76" s="24">
        <v>0</v>
      </c>
      <c r="I76" s="23">
        <f>G73/26*H76</f>
        <v>0</v>
      </c>
      <c r="J76" s="25"/>
      <c r="K76" s="26"/>
      <c r="L76" s="26"/>
    </row>
    <row r="77" spans="1:12">
      <c r="A77" s="107" t="s">
        <v>62</v>
      </c>
      <c r="B77" s="107"/>
      <c r="C77" s="107"/>
      <c r="D77" s="107"/>
      <c r="E77" s="107"/>
      <c r="F77" s="107"/>
      <c r="G77" s="23"/>
      <c r="H77" s="24">
        <v>0</v>
      </c>
      <c r="I77" s="23"/>
      <c r="J77" s="27">
        <f>G73/26*H77</f>
        <v>0</v>
      </c>
      <c r="K77" s="26"/>
      <c r="L77" s="26"/>
    </row>
    <row r="78" spans="1:12">
      <c r="A78" s="107" t="s">
        <v>63</v>
      </c>
      <c r="B78" s="107"/>
      <c r="C78" s="107"/>
      <c r="D78" s="107"/>
      <c r="E78" s="107"/>
      <c r="F78" s="107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>
      <c r="A79" s="107" t="s">
        <v>64</v>
      </c>
      <c r="B79" s="107"/>
      <c r="C79" s="107"/>
      <c r="D79" s="107"/>
      <c r="E79" s="107"/>
      <c r="F79" s="107"/>
      <c r="G79" s="23"/>
      <c r="H79" s="24">
        <v>0</v>
      </c>
      <c r="I79" s="23">
        <f>G73/26*H79</f>
        <v>0</v>
      </c>
      <c r="J79" s="25"/>
      <c r="K79" s="26"/>
      <c r="L79" s="26"/>
    </row>
    <row r="80" spans="1:12">
      <c r="A80" s="107" t="s">
        <v>65</v>
      </c>
      <c r="B80" s="107"/>
      <c r="C80" s="107"/>
      <c r="D80" s="107"/>
      <c r="E80" s="107"/>
      <c r="F80" s="107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>
      <c r="A81" s="107" t="s">
        <v>66</v>
      </c>
      <c r="B81" s="107"/>
      <c r="C81" s="107"/>
      <c r="D81" s="107"/>
      <c r="E81" s="107"/>
      <c r="F81" s="107"/>
      <c r="G81" s="29"/>
      <c r="H81" s="30"/>
      <c r="I81" s="30"/>
      <c r="J81" s="25"/>
      <c r="K81" s="26"/>
      <c r="L81" s="26"/>
    </row>
    <row r="82" spans="1:12">
      <c r="A82" s="109">
        <v>0.25</v>
      </c>
      <c r="B82" s="109"/>
      <c r="C82" s="109"/>
      <c r="D82" s="109"/>
      <c r="E82" s="109"/>
      <c r="F82" s="109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>
      <c r="A83" s="109">
        <v>0.5</v>
      </c>
      <c r="B83" s="109"/>
      <c r="C83" s="109"/>
      <c r="D83" s="109"/>
      <c r="E83" s="109"/>
      <c r="F83" s="109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>
      <c r="A84" s="109">
        <v>1</v>
      </c>
      <c r="B84" s="109"/>
      <c r="C84" s="109"/>
      <c r="D84" s="109"/>
      <c r="E84" s="109"/>
      <c r="F84" s="109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>
      <c r="A85" s="106" t="s">
        <v>67</v>
      </c>
      <c r="B85" s="106"/>
      <c r="C85" s="106"/>
      <c r="D85" s="106"/>
      <c r="E85" s="106"/>
      <c r="F85" s="106"/>
      <c r="G85" s="21"/>
      <c r="H85" s="22"/>
      <c r="I85" s="21">
        <f>SUM(I86:I87)</f>
        <v>0</v>
      </c>
      <c r="J85" s="21"/>
      <c r="K85" s="21"/>
      <c r="L85" s="21"/>
    </row>
    <row r="86" spans="1:12">
      <c r="A86" s="107" t="s">
        <v>68</v>
      </c>
      <c r="B86" s="107"/>
      <c r="C86" s="107"/>
      <c r="D86" s="107"/>
      <c r="E86" s="107"/>
      <c r="F86" s="107"/>
      <c r="G86" s="23">
        <f>(G63-A65)/360</f>
        <v>1.6944444444444444</v>
      </c>
      <c r="H86" s="31">
        <f>IF(G86&lt;2,0,IF(AND(G86&gt;2,G86&lt;5),[1]Taux!A$33,IF(AND(G86&lt;12,G86&gt;5),[1]Taux!A$34,IF(AND(G86&gt;12,G86&lt;20),[1]Taux!A$35,IF(AND(G86&lt;25,G86&gt;20),[1]Taux!A$36,IF(G86&gt;25,[1]Taux!A$37))))))</f>
        <v>0</v>
      </c>
      <c r="I86" s="23">
        <f>I74*H86</f>
        <v>0</v>
      </c>
      <c r="J86" s="25"/>
      <c r="K86" s="26"/>
      <c r="L86" s="26"/>
    </row>
    <row r="87" spans="1:12">
      <c r="A87" s="107" t="s">
        <v>69</v>
      </c>
      <c r="B87" s="107"/>
      <c r="C87" s="107"/>
      <c r="D87" s="107"/>
      <c r="E87" s="107"/>
      <c r="F87" s="107"/>
      <c r="G87" s="23"/>
      <c r="H87" s="24"/>
      <c r="I87" s="23"/>
      <c r="J87" s="25"/>
      <c r="K87" s="26"/>
      <c r="L87" s="26"/>
    </row>
    <row r="88" spans="1:12">
      <c r="A88" s="106" t="s">
        <v>70</v>
      </c>
      <c r="B88" s="106"/>
      <c r="C88" s="106"/>
      <c r="D88" s="106"/>
      <c r="E88" s="106"/>
      <c r="F88" s="106"/>
      <c r="G88" s="21"/>
      <c r="H88" s="22"/>
      <c r="I88" s="21">
        <f>SUM(I89:I91)</f>
        <v>6000</v>
      </c>
      <c r="J88" s="21"/>
      <c r="K88" s="21"/>
      <c r="L88" s="21"/>
    </row>
    <row r="89" spans="1:12">
      <c r="A89" s="107" t="s">
        <v>71</v>
      </c>
      <c r="B89" s="107"/>
      <c r="C89" s="107"/>
      <c r="D89" s="107"/>
      <c r="E89" s="107"/>
      <c r="F89" s="107"/>
      <c r="G89" s="23"/>
      <c r="H89" s="24"/>
      <c r="I89" s="23">
        <v>3000</v>
      </c>
      <c r="J89" s="25"/>
      <c r="K89" s="26"/>
      <c r="L89" s="26"/>
    </row>
    <row r="90" spans="1:12">
      <c r="A90" s="107" t="s">
        <v>72</v>
      </c>
      <c r="B90" s="107"/>
      <c r="C90" s="107"/>
      <c r="D90" s="107"/>
      <c r="E90" s="107"/>
      <c r="F90" s="107"/>
      <c r="G90" s="23"/>
      <c r="H90" s="31"/>
      <c r="I90" s="23">
        <v>3000</v>
      </c>
      <c r="J90" s="25"/>
      <c r="K90" s="26"/>
      <c r="L90" s="26"/>
    </row>
    <row r="91" spans="1:12">
      <c r="A91" s="107" t="s">
        <v>73</v>
      </c>
      <c r="B91" s="107"/>
      <c r="C91" s="107"/>
      <c r="D91" s="107"/>
      <c r="E91" s="107"/>
      <c r="F91" s="107"/>
      <c r="G91" s="23"/>
      <c r="H91" s="24"/>
      <c r="I91" s="23"/>
      <c r="J91" s="25"/>
      <c r="K91" s="26"/>
      <c r="L91" s="26"/>
    </row>
    <row r="92" spans="1:12">
      <c r="A92" s="111" t="s">
        <v>74</v>
      </c>
      <c r="B92" s="111"/>
      <c r="C92" s="111"/>
      <c r="D92" s="111"/>
      <c r="E92" s="111"/>
      <c r="F92" s="111"/>
      <c r="G92" s="32"/>
      <c r="H92" s="33"/>
      <c r="I92" s="32">
        <f>I74+I85+I88</f>
        <v>106000</v>
      </c>
      <c r="J92" s="33"/>
      <c r="K92" s="33"/>
      <c r="L92" s="33"/>
    </row>
    <row r="93" spans="1:12">
      <c r="A93" s="111" t="s">
        <v>75</v>
      </c>
      <c r="B93" s="111"/>
      <c r="C93" s="111"/>
      <c r="D93" s="111"/>
      <c r="E93" s="111"/>
      <c r="F93" s="111"/>
      <c r="G93" s="32"/>
      <c r="H93" s="33"/>
      <c r="I93" s="32">
        <f>I92-I88</f>
        <v>100000</v>
      </c>
      <c r="J93" s="33"/>
      <c r="K93" s="33"/>
      <c r="L93" s="33"/>
    </row>
    <row r="94" spans="1:12">
      <c r="A94" s="107" t="s">
        <v>76</v>
      </c>
      <c r="B94" s="107"/>
      <c r="C94" s="107"/>
      <c r="D94" s="107"/>
      <c r="E94" s="107"/>
      <c r="F94" s="107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>
      <c r="A95" s="107" t="s">
        <v>77</v>
      </c>
      <c r="B95" s="107"/>
      <c r="C95" s="107"/>
      <c r="D95" s="107"/>
      <c r="E95" s="107"/>
      <c r="F95" s="107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>
      <c r="A96" s="107" t="s">
        <v>78</v>
      </c>
      <c r="B96" s="107"/>
      <c r="C96" s="107"/>
      <c r="D96" s="107"/>
      <c r="E96" s="107"/>
      <c r="F96" s="107"/>
      <c r="G96" s="23"/>
      <c r="H96" s="34">
        <v>0.25</v>
      </c>
      <c r="I96" s="23"/>
      <c r="J96" s="23">
        <f>I93*H96</f>
        <v>25000</v>
      </c>
      <c r="K96" s="35">
        <v>0.06</v>
      </c>
      <c r="L96" s="23">
        <f>I93*K96</f>
        <v>6000</v>
      </c>
    </row>
    <row r="97" spans="1:12">
      <c r="A97" s="107" t="s">
        <v>79</v>
      </c>
      <c r="B97" s="107"/>
      <c r="C97" s="107"/>
      <c r="D97" s="107"/>
      <c r="E97" s="107"/>
      <c r="F97" s="107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>
      <c r="A98" s="107" t="s">
        <v>80</v>
      </c>
      <c r="B98" s="107"/>
      <c r="C98" s="107"/>
      <c r="D98" s="107"/>
      <c r="E98" s="107"/>
      <c r="F98" s="107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>
      <c r="A99" s="107" t="s">
        <v>81</v>
      </c>
      <c r="B99" s="107"/>
      <c r="C99" s="107"/>
      <c r="D99" s="107"/>
      <c r="E99" s="107"/>
      <c r="F99" s="107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>
      <c r="A100" s="107" t="s">
        <v>24</v>
      </c>
      <c r="B100" s="107"/>
      <c r="C100" s="107"/>
      <c r="D100" s="107"/>
      <c r="E100" s="107"/>
      <c r="F100" s="107"/>
      <c r="G100" s="23"/>
      <c r="H100" s="34" t="str">
        <f>[1]Taux!D$7</f>
        <v>2,26%</v>
      </c>
      <c r="I100" s="23"/>
      <c r="J100" s="23">
        <f>I93*H100</f>
        <v>2260</v>
      </c>
      <c r="K100" s="34" t="str">
        <f>[1]Taux!C$7</f>
        <v>4,11%</v>
      </c>
      <c r="L100" s="23">
        <f>I93*K100</f>
        <v>4110</v>
      </c>
    </row>
    <row r="101" spans="1:12">
      <c r="A101" s="110" t="s">
        <v>82</v>
      </c>
      <c r="B101" s="110"/>
      <c r="C101" s="110"/>
      <c r="D101" s="110"/>
      <c r="E101" s="110"/>
      <c r="F101" s="110"/>
      <c r="G101" s="37"/>
      <c r="H101" s="38"/>
      <c r="I101" s="39"/>
      <c r="J101" s="40"/>
      <c r="K101" s="34" t="str">
        <f>[1]Taux!C$4</f>
        <v>6,40%</v>
      </c>
      <c r="L101" s="23">
        <f>I93*K101</f>
        <v>6400</v>
      </c>
    </row>
    <row r="102" spans="1:12">
      <c r="A102" s="110" t="s">
        <v>83</v>
      </c>
      <c r="B102" s="110"/>
      <c r="C102" s="110"/>
      <c r="D102" s="110"/>
      <c r="E102" s="110"/>
      <c r="F102" s="110"/>
      <c r="G102" s="41"/>
      <c r="H102" s="42"/>
      <c r="I102" s="43"/>
      <c r="J102" s="44"/>
      <c r="K102" s="34" t="str">
        <f>[1]Taux!C$8</f>
        <v>1,6 %</v>
      </c>
      <c r="L102" s="23">
        <f>I93*K102</f>
        <v>1600</v>
      </c>
    </row>
    <row r="103" spans="1:12">
      <c r="A103" s="106" t="s">
        <v>84</v>
      </c>
      <c r="B103" s="106"/>
      <c r="C103" s="106"/>
      <c r="D103" s="106"/>
      <c r="E103" s="106"/>
      <c r="F103" s="106"/>
      <c r="G103" s="21"/>
      <c r="H103" s="22"/>
      <c r="I103" s="22"/>
      <c r="J103" s="21">
        <f>SUM(J94:J100)</f>
        <v>27528.799999999999</v>
      </c>
      <c r="K103" s="21"/>
      <c r="L103" s="21">
        <f>SUM(L94:L102)</f>
        <v>18648.8</v>
      </c>
    </row>
    <row r="104" spans="1:12">
      <c r="A104" s="107" t="s">
        <v>85</v>
      </c>
      <c r="B104" s="107"/>
      <c r="C104" s="107"/>
      <c r="D104" s="107"/>
      <c r="E104" s="107"/>
      <c r="F104" s="107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>
      <c r="A105" s="111" t="s">
        <v>86</v>
      </c>
      <c r="B105" s="111"/>
      <c r="C105" s="111"/>
      <c r="D105" s="111"/>
      <c r="E105" s="111"/>
      <c r="F105" s="111"/>
      <c r="G105" s="32"/>
      <c r="H105" s="33"/>
      <c r="I105" s="32">
        <f>I93-J103-J104</f>
        <v>69971.199999999997</v>
      </c>
      <c r="J105" s="33"/>
      <c r="K105" s="33"/>
      <c r="L105" s="33"/>
    </row>
    <row r="106" spans="1:12">
      <c r="A106" s="107" t="s">
        <v>87</v>
      </c>
      <c r="B106" s="107"/>
      <c r="C106" s="107"/>
      <c r="D106" s="107"/>
      <c r="E106" s="107"/>
      <c r="F106" s="107"/>
      <c r="G106" s="23"/>
      <c r="H106" s="34"/>
      <c r="I106" s="23">
        <f>H106*180/360</f>
        <v>0</v>
      </c>
      <c r="J106" s="23"/>
      <c r="K106" s="46"/>
      <c r="L106" s="47"/>
    </row>
    <row r="107" spans="1:12">
      <c r="A107" s="111" t="s">
        <v>88</v>
      </c>
      <c r="B107" s="111"/>
      <c r="C107" s="111"/>
      <c r="D107" s="111"/>
      <c r="E107" s="111"/>
      <c r="F107" s="111"/>
      <c r="G107" s="32"/>
      <c r="H107" s="33"/>
      <c r="I107" s="32">
        <f>I105-I106</f>
        <v>69971.199999999997</v>
      </c>
      <c r="J107" s="33"/>
      <c r="K107" s="33"/>
      <c r="L107" s="33"/>
    </row>
    <row r="108" spans="1:12">
      <c r="A108" s="107" t="s">
        <v>89</v>
      </c>
      <c r="B108" s="107"/>
      <c r="C108" s="107"/>
      <c r="D108" s="107"/>
      <c r="E108" s="107"/>
      <c r="F108" s="107"/>
      <c r="G108" s="25"/>
      <c r="H108" s="48"/>
      <c r="I108" s="40"/>
      <c r="J108" s="23">
        <f>IF(AND(I107&gt;0,I107&lt;2500),I107*[1]Taux!C$15-[1]Taux!I$15,IF(AND(I107&gt;2500,I107&lt;4166.67),I107*[1]Taux!C$16-[1]Taux!I$16,IF(AND(I107&gt;4166.67,I107&lt;5000),I107*[1]Taux!C$17-[1]Taux!I$17,IF(AND(I107&gt;5000,I107&lt;6666.67),I107*[1]Taux!C$18-[1]Taux!I$18,IF(AND(I107&gt;6666.67,I107&lt;15000),I107*[1]Taux!C$19-[1]Taux!I$19,IF(I107&gt;15000,I107*[1]Taux!C$20-[1]Taux!I$20))))))</f>
        <v>24555.722666666668</v>
      </c>
      <c r="K108" s="46"/>
      <c r="L108" s="47"/>
    </row>
    <row r="109" spans="1:12">
      <c r="A109" s="107" t="s">
        <v>90</v>
      </c>
      <c r="B109" s="107"/>
      <c r="C109" s="107"/>
      <c r="D109" s="107"/>
      <c r="E109" s="107"/>
      <c r="F109" s="107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>
      <c r="A110" s="106" t="s">
        <v>91</v>
      </c>
      <c r="B110" s="106"/>
      <c r="C110" s="106"/>
      <c r="D110" s="106"/>
      <c r="E110" s="106"/>
      <c r="F110" s="106"/>
      <c r="G110" s="21"/>
      <c r="H110" s="22"/>
      <c r="I110" s="21"/>
      <c r="J110" s="21">
        <f>J108-J109</f>
        <v>24555.722666666668</v>
      </c>
      <c r="K110" s="21"/>
      <c r="L110" s="21"/>
    </row>
    <row r="111" spans="1:12">
      <c r="A111" s="112" t="s">
        <v>92</v>
      </c>
      <c r="B111" s="112"/>
      <c r="C111" s="112"/>
      <c r="D111" s="112"/>
      <c r="E111" s="112"/>
      <c r="F111" s="112"/>
      <c r="G111" s="25"/>
      <c r="H111" s="48"/>
      <c r="I111" s="47"/>
      <c r="J111" s="49">
        <v>0</v>
      </c>
      <c r="K111" s="46"/>
      <c r="L111" s="47"/>
    </row>
    <row r="112" spans="1:12">
      <c r="A112" s="107" t="s">
        <v>93</v>
      </c>
      <c r="B112" s="107"/>
      <c r="C112" s="107"/>
      <c r="D112" s="107"/>
      <c r="E112" s="107"/>
      <c r="F112" s="107"/>
      <c r="G112" s="25"/>
      <c r="H112" s="48"/>
      <c r="I112" s="44"/>
      <c r="J112" s="28">
        <v>0</v>
      </c>
      <c r="K112" s="46"/>
      <c r="L112" s="47"/>
    </row>
    <row r="113" spans="1:13">
      <c r="A113" s="113" t="s">
        <v>94</v>
      </c>
      <c r="B113" s="113"/>
      <c r="C113" s="113"/>
      <c r="D113" s="113"/>
      <c r="E113" s="113"/>
      <c r="F113" s="113"/>
      <c r="G113" s="41"/>
      <c r="H113" s="42"/>
      <c r="I113" s="28">
        <f>1-0.48</f>
        <v>0.52</v>
      </c>
      <c r="J113" s="41"/>
      <c r="K113" s="43"/>
      <c r="L113" s="44"/>
    </row>
    <row r="114" spans="1:1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>
      <c r="A115" s="14" t="s">
        <v>95</v>
      </c>
      <c r="B115" s="14" t="s">
        <v>96</v>
      </c>
      <c r="C115" s="14" t="s">
        <v>97</v>
      </c>
      <c r="D115" s="104" t="s">
        <v>98</v>
      </c>
      <c r="E115" s="104"/>
      <c r="F115" s="104"/>
      <c r="G115" s="14" t="s">
        <v>99</v>
      </c>
      <c r="H115" s="50"/>
      <c r="I115" s="52">
        <f>I92+I113</f>
        <v>106000.52</v>
      </c>
      <c r="J115" s="52">
        <f>J103+J110+J111+J112</f>
        <v>52084.522666666671</v>
      </c>
      <c r="K115" s="14" t="s">
        <v>100</v>
      </c>
      <c r="L115" s="52">
        <f>L103</f>
        <v>18648.8</v>
      </c>
    </row>
    <row r="116" spans="1:13">
      <c r="A116" s="52">
        <f>974000+I92</f>
        <v>1080000</v>
      </c>
      <c r="B116" s="52">
        <f>920000+I93</f>
        <v>1020000</v>
      </c>
      <c r="C116" s="52">
        <f>2419.2+J94</f>
        <v>2688</v>
      </c>
      <c r="D116" s="114">
        <f>226529.75+J110</f>
        <v>251085.47266666667</v>
      </c>
      <c r="E116" s="114"/>
      <c r="F116" s="114"/>
      <c r="G116" s="52">
        <f>494263.97+I115</f>
        <v>600264.49</v>
      </c>
      <c r="H116" s="104" t="s">
        <v>101</v>
      </c>
      <c r="I116" s="104"/>
      <c r="J116" s="52">
        <f>I115-J115</f>
        <v>53915.997333333333</v>
      </c>
      <c r="K116" s="14" t="s">
        <v>102</v>
      </c>
      <c r="L116" s="52">
        <f>171461.2+L115</f>
        <v>190110</v>
      </c>
    </row>
    <row r="117" spans="1: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72564.797333333336</v>
      </c>
    </row>
    <row r="118" spans="1: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>
      <c r="A121" s="105" t="s">
        <v>26</v>
      </c>
      <c r="B121" s="105"/>
      <c r="C121" s="105" t="s">
        <v>27</v>
      </c>
      <c r="D121" s="105"/>
      <c r="E121" s="105"/>
      <c r="F121" s="105"/>
      <c r="G121" s="105" t="s">
        <v>28</v>
      </c>
      <c r="H121" s="105"/>
      <c r="I121" s="105"/>
      <c r="J121" s="105" t="s">
        <v>29</v>
      </c>
      <c r="K121" s="105"/>
      <c r="L121" s="105"/>
    </row>
    <row r="122" spans="1:13">
      <c r="A122" s="14" t="s">
        <v>30</v>
      </c>
      <c r="B122" s="104" t="s">
        <v>31</v>
      </c>
      <c r="C122" s="104"/>
      <c r="D122" s="104"/>
      <c r="E122" s="104"/>
      <c r="F122" s="104"/>
      <c r="G122" s="104" t="s">
        <v>32</v>
      </c>
      <c r="H122" s="104"/>
      <c r="I122" s="104"/>
      <c r="J122" s="104"/>
      <c r="K122" s="104"/>
      <c r="L122" s="104"/>
    </row>
    <row r="123" spans="1:13">
      <c r="A123" s="16">
        <v>4</v>
      </c>
      <c r="B123" s="102" t="s">
        <v>106</v>
      </c>
      <c r="C123" s="102"/>
      <c r="D123" s="102"/>
      <c r="E123" s="102"/>
      <c r="F123" s="102"/>
      <c r="G123" s="103">
        <v>42401</v>
      </c>
      <c r="H123" s="103"/>
      <c r="I123" s="103"/>
      <c r="J123" s="103">
        <v>42429</v>
      </c>
      <c r="K123" s="103"/>
      <c r="L123" s="103"/>
    </row>
    <row r="124" spans="1:13">
      <c r="A124" s="14" t="s">
        <v>34</v>
      </c>
      <c r="B124" s="14" t="s">
        <v>35</v>
      </c>
      <c r="C124" s="14" t="s">
        <v>36</v>
      </c>
      <c r="D124" s="14" t="s">
        <v>37</v>
      </c>
      <c r="E124" s="14" t="s">
        <v>38</v>
      </c>
      <c r="F124" s="14" t="s">
        <v>39</v>
      </c>
      <c r="G124" s="104" t="s">
        <v>40</v>
      </c>
      <c r="H124" s="104"/>
      <c r="I124" s="104"/>
      <c r="J124" s="104"/>
      <c r="K124" s="104"/>
      <c r="L124" s="104"/>
    </row>
    <row r="125" spans="1:13">
      <c r="A125" s="17">
        <v>41791</v>
      </c>
      <c r="B125" s="16"/>
      <c r="C125" s="17">
        <v>28152</v>
      </c>
      <c r="D125" s="16" t="s">
        <v>41</v>
      </c>
      <c r="E125" s="16">
        <v>0</v>
      </c>
      <c r="F125" s="16">
        <v>0</v>
      </c>
      <c r="G125" s="102"/>
      <c r="H125" s="102"/>
      <c r="I125" s="102"/>
      <c r="J125" s="102"/>
      <c r="K125" s="102"/>
      <c r="L125" s="102"/>
    </row>
    <row r="126" spans="1:13">
      <c r="A126" s="14" t="s">
        <v>42</v>
      </c>
      <c r="B126" s="14" t="s">
        <v>43</v>
      </c>
      <c r="C126" s="14" t="s">
        <v>44</v>
      </c>
      <c r="D126" s="104" t="s">
        <v>45</v>
      </c>
      <c r="E126" s="104"/>
      <c r="F126" s="104"/>
      <c r="G126" s="104" t="s">
        <v>46</v>
      </c>
      <c r="H126" s="104"/>
      <c r="I126" s="104"/>
      <c r="J126" s="104"/>
      <c r="K126" s="104"/>
      <c r="L126" s="104"/>
    </row>
    <row r="127" spans="1:13">
      <c r="A127" s="16">
        <v>123952551</v>
      </c>
      <c r="B127" s="16"/>
      <c r="C127" s="16"/>
      <c r="D127" s="102" t="s">
        <v>47</v>
      </c>
      <c r="E127" s="102"/>
      <c r="F127" s="102"/>
      <c r="G127" s="102" t="s">
        <v>107</v>
      </c>
      <c r="H127" s="102"/>
      <c r="I127" s="102"/>
      <c r="J127" s="102"/>
      <c r="K127" s="102"/>
      <c r="L127" s="102"/>
    </row>
    <row r="128" spans="1: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>
      <c r="A131" s="108" t="s">
        <v>49</v>
      </c>
      <c r="B131" s="108"/>
      <c r="C131" s="108"/>
      <c r="D131" s="108"/>
      <c r="E131" s="108"/>
      <c r="F131" s="108"/>
      <c r="G131" s="108" t="s">
        <v>50</v>
      </c>
      <c r="H131" s="108" t="s">
        <v>51</v>
      </c>
      <c r="I131" s="108" t="s">
        <v>52</v>
      </c>
      <c r="J131" s="108"/>
      <c r="K131" s="108" t="s">
        <v>53</v>
      </c>
      <c r="L131" s="108"/>
    </row>
    <row r="132" spans="1:12">
      <c r="A132" s="108"/>
      <c r="B132" s="108"/>
      <c r="C132" s="108"/>
      <c r="D132" s="108"/>
      <c r="E132" s="108"/>
      <c r="F132" s="108"/>
      <c r="G132" s="108"/>
      <c r="H132" s="108"/>
      <c r="I132" s="20" t="s">
        <v>54</v>
      </c>
      <c r="J132" s="20" t="s">
        <v>55</v>
      </c>
      <c r="K132" s="20" t="s">
        <v>56</v>
      </c>
      <c r="L132" s="20" t="s">
        <v>57</v>
      </c>
    </row>
    <row r="133" spans="1:12">
      <c r="A133" s="106" t="s">
        <v>58</v>
      </c>
      <c r="B133" s="106"/>
      <c r="C133" s="106"/>
      <c r="D133" s="106"/>
      <c r="E133" s="106"/>
      <c r="F133" s="106"/>
      <c r="G133" s="21">
        <v>90000</v>
      </c>
      <c r="H133" s="22"/>
      <c r="I133" s="21"/>
      <c r="J133" s="21"/>
      <c r="K133" s="21"/>
      <c r="L133" s="21"/>
    </row>
    <row r="134" spans="1:12">
      <c r="A134" s="106" t="s">
        <v>59</v>
      </c>
      <c r="B134" s="106"/>
      <c r="C134" s="106"/>
      <c r="D134" s="106"/>
      <c r="E134" s="106"/>
      <c r="F134" s="106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>
      <c r="A135" s="107" t="s">
        <v>60</v>
      </c>
      <c r="B135" s="107"/>
      <c r="C135" s="107"/>
      <c r="D135" s="107"/>
      <c r="E135" s="107"/>
      <c r="F135" s="107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>
      <c r="A136" s="107" t="s">
        <v>61</v>
      </c>
      <c r="B136" s="107"/>
      <c r="C136" s="107"/>
      <c r="D136" s="107"/>
      <c r="E136" s="107"/>
      <c r="F136" s="107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>
      <c r="A137" s="107" t="s">
        <v>62</v>
      </c>
      <c r="B137" s="107"/>
      <c r="C137" s="107"/>
      <c r="D137" s="107"/>
      <c r="E137" s="107"/>
      <c r="F137" s="107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>
      <c r="A138" s="107" t="s">
        <v>63</v>
      </c>
      <c r="B138" s="107"/>
      <c r="C138" s="107"/>
      <c r="D138" s="107"/>
      <c r="E138" s="107"/>
      <c r="F138" s="107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>
      <c r="A139" s="107" t="s">
        <v>64</v>
      </c>
      <c r="B139" s="107"/>
      <c r="C139" s="107"/>
      <c r="D139" s="107"/>
      <c r="E139" s="107"/>
      <c r="F139" s="107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>
      <c r="A140" s="107" t="s">
        <v>65</v>
      </c>
      <c r="B140" s="107"/>
      <c r="C140" s="107"/>
      <c r="D140" s="107"/>
      <c r="E140" s="107"/>
      <c r="F140" s="107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>
      <c r="A141" s="107" t="s">
        <v>66</v>
      </c>
      <c r="B141" s="107"/>
      <c r="C141" s="107"/>
      <c r="D141" s="107"/>
      <c r="E141" s="107"/>
      <c r="F141" s="107"/>
      <c r="G141" s="29"/>
      <c r="H141" s="30"/>
      <c r="I141" s="30"/>
      <c r="J141" s="25"/>
      <c r="K141" s="26"/>
      <c r="L141" s="26"/>
    </row>
    <row r="142" spans="1:12">
      <c r="A142" s="109">
        <v>0.25</v>
      </c>
      <c r="B142" s="109"/>
      <c r="C142" s="109"/>
      <c r="D142" s="109"/>
      <c r="E142" s="109"/>
      <c r="F142" s="109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>
      <c r="A143" s="109">
        <v>0.5</v>
      </c>
      <c r="B143" s="109"/>
      <c r="C143" s="109"/>
      <c r="D143" s="109"/>
      <c r="E143" s="109"/>
      <c r="F143" s="109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>
      <c r="A144" s="109">
        <v>1</v>
      </c>
      <c r="B144" s="109"/>
      <c r="C144" s="109"/>
      <c r="D144" s="109"/>
      <c r="E144" s="109"/>
      <c r="F144" s="109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>
      <c r="A145" s="106" t="s">
        <v>67</v>
      </c>
      <c r="B145" s="106"/>
      <c r="C145" s="106"/>
      <c r="D145" s="106"/>
      <c r="E145" s="106"/>
      <c r="F145" s="106"/>
      <c r="G145" s="21"/>
      <c r="H145" s="22"/>
      <c r="I145" s="21">
        <f>SUM(I146:I147)</f>
        <v>0</v>
      </c>
      <c r="J145" s="21"/>
      <c r="K145" s="21"/>
      <c r="L145" s="21"/>
    </row>
    <row r="146" spans="1:12">
      <c r="A146" s="107" t="s">
        <v>68</v>
      </c>
      <c r="B146" s="107"/>
      <c r="C146" s="107"/>
      <c r="D146" s="107"/>
      <c r="E146" s="107"/>
      <c r="F146" s="107"/>
      <c r="G146" s="23">
        <f>(G123-A125)/360</f>
        <v>1.6944444444444444</v>
      </c>
      <c r="H146" s="31">
        <f>IF(G146&lt;2,0,IF(AND(G146&gt;2,G146&lt;5),[1]Taux!A$33,IF(AND(G146&lt;12,G146&gt;5),[1]Taux!A$34,IF(AND(G146&gt;12,G146&lt;20),[1]Taux!A$35,IF(AND(G146&lt;25,G146&gt;20),[1]Taux!A$36,IF(G146&gt;25,[1]Taux!A$37))))))</f>
        <v>0</v>
      </c>
      <c r="I146" s="23">
        <f>I134*H146</f>
        <v>0</v>
      </c>
      <c r="J146" s="25"/>
      <c r="K146" s="26"/>
      <c r="L146" s="26"/>
    </row>
    <row r="147" spans="1:12">
      <c r="A147" s="107" t="s">
        <v>69</v>
      </c>
      <c r="B147" s="107"/>
      <c r="C147" s="107"/>
      <c r="D147" s="107"/>
      <c r="E147" s="107"/>
      <c r="F147" s="107"/>
      <c r="G147" s="23"/>
      <c r="H147" s="24"/>
      <c r="I147" s="23"/>
      <c r="J147" s="25"/>
      <c r="K147" s="26"/>
      <c r="L147" s="26"/>
    </row>
    <row r="148" spans="1:12">
      <c r="A148" s="106" t="s">
        <v>70</v>
      </c>
      <c r="B148" s="106"/>
      <c r="C148" s="106"/>
      <c r="D148" s="106"/>
      <c r="E148" s="106"/>
      <c r="F148" s="106"/>
      <c r="G148" s="21"/>
      <c r="H148" s="22"/>
      <c r="I148" s="21">
        <f>SUM(I149:I151)</f>
        <v>6000</v>
      </c>
      <c r="J148" s="21"/>
      <c r="K148" s="21"/>
      <c r="L148" s="21"/>
    </row>
    <row r="149" spans="1:12">
      <c r="A149" s="107" t="s">
        <v>71</v>
      </c>
      <c r="B149" s="107"/>
      <c r="C149" s="107"/>
      <c r="D149" s="107"/>
      <c r="E149" s="107"/>
      <c r="F149" s="107"/>
      <c r="G149" s="23"/>
      <c r="H149" s="24"/>
      <c r="I149" s="23">
        <v>3000</v>
      </c>
      <c r="J149" s="25"/>
      <c r="K149" s="26"/>
      <c r="L149" s="26"/>
    </row>
    <row r="150" spans="1:12">
      <c r="A150" s="107" t="s">
        <v>72</v>
      </c>
      <c r="B150" s="107"/>
      <c r="C150" s="107"/>
      <c r="D150" s="107"/>
      <c r="E150" s="107"/>
      <c r="F150" s="107"/>
      <c r="G150" s="23"/>
      <c r="H150" s="31"/>
      <c r="I150" s="23">
        <v>3000</v>
      </c>
      <c r="J150" s="25"/>
      <c r="K150" s="26"/>
      <c r="L150" s="26"/>
    </row>
    <row r="151" spans="1:12">
      <c r="A151" s="107" t="s">
        <v>73</v>
      </c>
      <c r="B151" s="107"/>
      <c r="C151" s="107"/>
      <c r="D151" s="107"/>
      <c r="E151" s="107"/>
      <c r="F151" s="107"/>
      <c r="G151" s="23"/>
      <c r="H151" s="24"/>
      <c r="I151" s="23"/>
      <c r="J151" s="25"/>
      <c r="K151" s="26"/>
      <c r="L151" s="26"/>
    </row>
    <row r="152" spans="1:12">
      <c r="A152" s="111" t="s">
        <v>74</v>
      </c>
      <c r="B152" s="111"/>
      <c r="C152" s="111"/>
      <c r="D152" s="111"/>
      <c r="E152" s="111"/>
      <c r="F152" s="111"/>
      <c r="G152" s="32"/>
      <c r="H152" s="33"/>
      <c r="I152" s="32">
        <f>I134+I145+I148</f>
        <v>96000</v>
      </c>
      <c r="J152" s="33"/>
      <c r="K152" s="33"/>
      <c r="L152" s="33"/>
    </row>
    <row r="153" spans="1:12">
      <c r="A153" s="111" t="s">
        <v>75</v>
      </c>
      <c r="B153" s="111"/>
      <c r="C153" s="111"/>
      <c r="D153" s="111"/>
      <c r="E153" s="111"/>
      <c r="F153" s="111"/>
      <c r="G153" s="32"/>
      <c r="H153" s="33"/>
      <c r="I153" s="32">
        <f>I152-I148</f>
        <v>90000</v>
      </c>
      <c r="J153" s="33"/>
      <c r="K153" s="33"/>
      <c r="L153" s="33"/>
    </row>
    <row r="154" spans="1:12">
      <c r="A154" s="107" t="s">
        <v>76</v>
      </c>
      <c r="B154" s="107"/>
      <c r="C154" s="107"/>
      <c r="D154" s="107"/>
      <c r="E154" s="107"/>
      <c r="F154" s="107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>
      <c r="A155" s="107" t="s">
        <v>77</v>
      </c>
      <c r="B155" s="107"/>
      <c r="C155" s="107"/>
      <c r="D155" s="107"/>
      <c r="E155" s="107"/>
      <c r="F155" s="107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>
      <c r="A156" s="107" t="s">
        <v>78</v>
      </c>
      <c r="B156" s="107"/>
      <c r="C156" s="107"/>
      <c r="D156" s="107"/>
      <c r="E156" s="107"/>
      <c r="F156" s="107"/>
      <c r="G156" s="23"/>
      <c r="H156" s="34">
        <v>0.5</v>
      </c>
      <c r="I156" s="23"/>
      <c r="J156" s="23">
        <f>I153*H156</f>
        <v>45000</v>
      </c>
      <c r="K156" s="35">
        <v>0.06</v>
      </c>
      <c r="L156" s="23">
        <f>I153*K156</f>
        <v>5400</v>
      </c>
    </row>
    <row r="157" spans="1:12">
      <c r="A157" s="107" t="s">
        <v>79</v>
      </c>
      <c r="B157" s="107"/>
      <c r="C157" s="107"/>
      <c r="D157" s="107"/>
      <c r="E157" s="107"/>
      <c r="F157" s="107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>
      <c r="A158" s="107" t="s">
        <v>80</v>
      </c>
      <c r="B158" s="107"/>
      <c r="C158" s="107"/>
      <c r="D158" s="107"/>
      <c r="E158" s="107"/>
      <c r="F158" s="107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>
      <c r="A159" s="107" t="s">
        <v>81</v>
      </c>
      <c r="B159" s="107"/>
      <c r="C159" s="107"/>
      <c r="D159" s="107"/>
      <c r="E159" s="107"/>
      <c r="F159" s="107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>
      <c r="A160" s="107" t="s">
        <v>24</v>
      </c>
      <c r="B160" s="107"/>
      <c r="C160" s="107"/>
      <c r="D160" s="107"/>
      <c r="E160" s="107"/>
      <c r="F160" s="107"/>
      <c r="G160" s="23"/>
      <c r="H160" s="34" t="str">
        <f>[1]Taux!D$7</f>
        <v>2,26%</v>
      </c>
      <c r="I160" s="23"/>
      <c r="J160" s="23">
        <f>I153*H160</f>
        <v>2033.9999999999998</v>
      </c>
      <c r="K160" s="34" t="str">
        <f>[1]Taux!C$7</f>
        <v>4,11%</v>
      </c>
      <c r="L160" s="23">
        <f>I153*K160</f>
        <v>3699</v>
      </c>
    </row>
    <row r="161" spans="1:12">
      <c r="A161" s="110" t="s">
        <v>82</v>
      </c>
      <c r="B161" s="110"/>
      <c r="C161" s="110"/>
      <c r="D161" s="110"/>
      <c r="E161" s="110"/>
      <c r="F161" s="110"/>
      <c r="G161" s="37"/>
      <c r="H161" s="38"/>
      <c r="I161" s="39"/>
      <c r="J161" s="40"/>
      <c r="K161" s="34" t="str">
        <f>[1]Taux!C$4</f>
        <v>6,40%</v>
      </c>
      <c r="L161" s="23">
        <f>I153*K161</f>
        <v>5760</v>
      </c>
    </row>
    <row r="162" spans="1:12">
      <c r="A162" s="110" t="s">
        <v>83</v>
      </c>
      <c r="B162" s="110"/>
      <c r="C162" s="110"/>
      <c r="D162" s="110"/>
      <c r="E162" s="110"/>
      <c r="F162" s="110"/>
      <c r="G162" s="41"/>
      <c r="H162" s="42"/>
      <c r="I162" s="43"/>
      <c r="J162" s="44"/>
      <c r="K162" s="34" t="str">
        <f>[1]Taux!C$8</f>
        <v>1,6 %</v>
      </c>
      <c r="L162" s="23">
        <f>I153*K162</f>
        <v>1440</v>
      </c>
    </row>
    <row r="163" spans="1:12">
      <c r="A163" s="106" t="s">
        <v>84</v>
      </c>
      <c r="B163" s="106"/>
      <c r="C163" s="106"/>
      <c r="D163" s="106"/>
      <c r="E163" s="106"/>
      <c r="F163" s="106"/>
      <c r="G163" s="21"/>
      <c r="H163" s="22"/>
      <c r="I163" s="22"/>
      <c r="J163" s="21">
        <f>SUM(J154:J160)</f>
        <v>47302.8</v>
      </c>
      <c r="K163" s="21"/>
      <c r="L163" s="21">
        <f>SUM(L154:L162)</f>
        <v>16837.8</v>
      </c>
    </row>
    <row r="164" spans="1:12">
      <c r="A164" s="107" t="s">
        <v>85</v>
      </c>
      <c r="B164" s="107"/>
      <c r="C164" s="107"/>
      <c r="D164" s="107"/>
      <c r="E164" s="107"/>
      <c r="F164" s="107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>
      <c r="A165" s="111" t="s">
        <v>86</v>
      </c>
      <c r="B165" s="111"/>
      <c r="C165" s="111"/>
      <c r="D165" s="111"/>
      <c r="E165" s="111"/>
      <c r="F165" s="111"/>
      <c r="G165" s="32"/>
      <c r="H165" s="33"/>
      <c r="I165" s="32">
        <f>I153-J163-J164</f>
        <v>40197.199999999997</v>
      </c>
      <c r="J165" s="33"/>
      <c r="K165" s="33"/>
      <c r="L165" s="33"/>
    </row>
    <row r="166" spans="1:12">
      <c r="A166" s="107" t="s">
        <v>87</v>
      </c>
      <c r="B166" s="107"/>
      <c r="C166" s="107"/>
      <c r="D166" s="107"/>
      <c r="E166" s="107"/>
      <c r="F166" s="107"/>
      <c r="G166" s="23"/>
      <c r="H166" s="34"/>
      <c r="I166" s="23">
        <f>H166*180/360</f>
        <v>0</v>
      </c>
      <c r="J166" s="23"/>
      <c r="K166" s="46"/>
      <c r="L166" s="47"/>
    </row>
    <row r="167" spans="1:12">
      <c r="A167" s="111" t="s">
        <v>88</v>
      </c>
      <c r="B167" s="111"/>
      <c r="C167" s="111"/>
      <c r="D167" s="111"/>
      <c r="E167" s="111"/>
      <c r="F167" s="111"/>
      <c r="G167" s="32"/>
      <c r="H167" s="33"/>
      <c r="I167" s="32">
        <f>I165-I166</f>
        <v>40197.199999999997</v>
      </c>
      <c r="J167" s="33"/>
      <c r="K167" s="33"/>
      <c r="L167" s="33"/>
    </row>
    <row r="168" spans="1:12">
      <c r="A168" s="107" t="s">
        <v>89</v>
      </c>
      <c r="B168" s="107"/>
      <c r="C168" s="107"/>
      <c r="D168" s="107"/>
      <c r="E168" s="107"/>
      <c r="F168" s="107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13241.602666666666</v>
      </c>
      <c r="K168" s="46"/>
      <c r="L168" s="47"/>
    </row>
    <row r="169" spans="1:12">
      <c r="A169" s="107" t="s">
        <v>90</v>
      </c>
      <c r="B169" s="107"/>
      <c r="C169" s="107"/>
      <c r="D169" s="107"/>
      <c r="E169" s="107"/>
      <c r="F169" s="107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>
      <c r="A170" s="106" t="s">
        <v>91</v>
      </c>
      <c r="B170" s="106"/>
      <c r="C170" s="106"/>
      <c r="D170" s="106"/>
      <c r="E170" s="106"/>
      <c r="F170" s="106"/>
      <c r="G170" s="21"/>
      <c r="H170" s="22"/>
      <c r="I170" s="21"/>
      <c r="J170" s="21">
        <f>J168-J169</f>
        <v>13241.602666666666</v>
      </c>
      <c r="K170" s="21"/>
      <c r="L170" s="21"/>
    </row>
    <row r="171" spans="1:12">
      <c r="A171" s="112" t="s">
        <v>92</v>
      </c>
      <c r="B171" s="112"/>
      <c r="C171" s="112"/>
      <c r="D171" s="112"/>
      <c r="E171" s="112"/>
      <c r="F171" s="112"/>
      <c r="G171" s="25"/>
      <c r="H171" s="48"/>
      <c r="I171" s="47"/>
      <c r="J171" s="49">
        <v>0</v>
      </c>
      <c r="K171" s="46"/>
      <c r="L171" s="47"/>
    </row>
    <row r="172" spans="1:12">
      <c r="A172" s="107" t="s">
        <v>93</v>
      </c>
      <c r="B172" s="107"/>
      <c r="C172" s="107"/>
      <c r="D172" s="107"/>
      <c r="E172" s="107"/>
      <c r="F172" s="107"/>
      <c r="G172" s="25"/>
      <c r="H172" s="48"/>
      <c r="I172" s="44"/>
      <c r="J172" s="28">
        <v>0</v>
      </c>
      <c r="K172" s="46"/>
      <c r="L172" s="47"/>
    </row>
    <row r="173" spans="1:12">
      <c r="A173" s="113" t="s">
        <v>94</v>
      </c>
      <c r="B173" s="113"/>
      <c r="C173" s="113"/>
      <c r="D173" s="113"/>
      <c r="E173" s="113"/>
      <c r="F173" s="113"/>
      <c r="G173" s="41"/>
      <c r="H173" s="42"/>
      <c r="I173" s="28">
        <f>1-0.6</f>
        <v>0.4</v>
      </c>
      <c r="J173" s="41"/>
      <c r="K173" s="43"/>
      <c r="L173" s="44"/>
    </row>
    <row r="174" spans="1:1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>
      <c r="A175" s="14" t="s">
        <v>95</v>
      </c>
      <c r="B175" s="14" t="s">
        <v>96</v>
      </c>
      <c r="C175" s="14" t="s">
        <v>97</v>
      </c>
      <c r="D175" s="104" t="s">
        <v>98</v>
      </c>
      <c r="E175" s="104"/>
      <c r="F175" s="104"/>
      <c r="G175" s="14" t="s">
        <v>99</v>
      </c>
      <c r="H175" s="50"/>
      <c r="I175" s="52">
        <f>I152+I173</f>
        <v>96000.4</v>
      </c>
      <c r="J175" s="52">
        <f>J163+J170+J171+J172</f>
        <v>60544.402666666669</v>
      </c>
      <c r="K175" s="14" t="s">
        <v>100</v>
      </c>
      <c r="L175" s="52">
        <f>L163</f>
        <v>16837.8</v>
      </c>
    </row>
    <row r="176" spans="1:12">
      <c r="A176" s="52">
        <f>882000+I152</f>
        <v>978000</v>
      </c>
      <c r="B176" s="52">
        <f>828000+I153</f>
        <v>918000</v>
      </c>
      <c r="C176" s="52">
        <f>2419.2+J154</f>
        <v>2688</v>
      </c>
      <c r="D176" s="114">
        <f>122440.83+J170</f>
        <v>135682.43266666666</v>
      </c>
      <c r="E176" s="114"/>
      <c r="F176" s="114"/>
      <c r="G176" s="52">
        <f>324432+I175</f>
        <v>420432.4</v>
      </c>
      <c r="H176" s="104" t="s">
        <v>101</v>
      </c>
      <c r="I176" s="104"/>
      <c r="J176" s="52">
        <f>I175-J175</f>
        <v>35455.997333333326</v>
      </c>
      <c r="K176" s="14" t="s">
        <v>102</v>
      </c>
      <c r="L176" s="52">
        <f>154800+L175</f>
        <v>171637.8</v>
      </c>
    </row>
    <row r="177" spans="1:1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52293.797333333321</v>
      </c>
    </row>
    <row r="181" spans="1:12">
      <c r="A181" s="105" t="s">
        <v>26</v>
      </c>
      <c r="B181" s="105"/>
      <c r="C181" s="105" t="s">
        <v>27</v>
      </c>
      <c r="D181" s="105"/>
      <c r="E181" s="105"/>
      <c r="F181" s="105"/>
      <c r="G181" s="105" t="s">
        <v>28</v>
      </c>
      <c r="H181" s="105"/>
      <c r="I181" s="105"/>
      <c r="J181" s="105" t="s">
        <v>29</v>
      </c>
      <c r="K181" s="105"/>
      <c r="L181" s="105"/>
    </row>
    <row r="182" spans="1:12">
      <c r="A182" s="14" t="s">
        <v>30</v>
      </c>
      <c r="B182" s="104" t="s">
        <v>31</v>
      </c>
      <c r="C182" s="104"/>
      <c r="D182" s="104"/>
      <c r="E182" s="104"/>
      <c r="F182" s="104"/>
      <c r="G182" s="104" t="s">
        <v>32</v>
      </c>
      <c r="H182" s="104"/>
      <c r="I182" s="104"/>
      <c r="J182" s="104"/>
      <c r="K182" s="104"/>
      <c r="L182" s="104"/>
    </row>
    <row r="183" spans="1:12">
      <c r="A183" s="16">
        <v>5</v>
      </c>
      <c r="B183" s="102" t="s">
        <v>108</v>
      </c>
      <c r="C183" s="102"/>
      <c r="D183" s="102"/>
      <c r="E183" s="102"/>
      <c r="F183" s="102"/>
      <c r="G183" s="103">
        <v>42401</v>
      </c>
      <c r="H183" s="103"/>
      <c r="I183" s="103"/>
      <c r="J183" s="103">
        <v>42429</v>
      </c>
      <c r="K183" s="103"/>
      <c r="L183" s="103"/>
    </row>
    <row r="184" spans="1:12">
      <c r="A184" s="14" t="s">
        <v>34</v>
      </c>
      <c r="B184" s="14" t="s">
        <v>35</v>
      </c>
      <c r="C184" s="14" t="s">
        <v>36</v>
      </c>
      <c r="D184" s="14" t="s">
        <v>37</v>
      </c>
      <c r="E184" s="14" t="s">
        <v>38</v>
      </c>
      <c r="F184" s="14" t="s">
        <v>39</v>
      </c>
      <c r="G184" s="104" t="s">
        <v>40</v>
      </c>
      <c r="H184" s="104"/>
      <c r="I184" s="104"/>
      <c r="J184" s="104"/>
      <c r="K184" s="104"/>
      <c r="L184" s="104"/>
    </row>
    <row r="185" spans="1:12">
      <c r="A185" s="17">
        <v>41791</v>
      </c>
      <c r="B185" s="16"/>
      <c r="C185" s="17">
        <v>21792</v>
      </c>
      <c r="D185" s="16" t="s">
        <v>41</v>
      </c>
      <c r="E185" s="16">
        <v>2</v>
      </c>
      <c r="F185" s="16">
        <v>3</v>
      </c>
      <c r="G185" s="102"/>
      <c r="H185" s="102"/>
      <c r="I185" s="102"/>
      <c r="J185" s="102"/>
      <c r="K185" s="102"/>
      <c r="L185" s="102"/>
    </row>
    <row r="186" spans="1:12">
      <c r="A186" s="14" t="s">
        <v>42</v>
      </c>
      <c r="B186" s="14" t="s">
        <v>43</v>
      </c>
      <c r="C186" s="14" t="s">
        <v>44</v>
      </c>
      <c r="D186" s="104" t="s">
        <v>45</v>
      </c>
      <c r="E186" s="104"/>
      <c r="F186" s="104"/>
      <c r="G186" s="104" t="s">
        <v>46</v>
      </c>
      <c r="H186" s="104"/>
      <c r="I186" s="104"/>
      <c r="J186" s="104"/>
      <c r="K186" s="104"/>
      <c r="L186" s="104"/>
    </row>
    <row r="187" spans="1:12">
      <c r="A187" s="16">
        <v>132944135</v>
      </c>
      <c r="B187" s="16"/>
      <c r="C187" s="16"/>
      <c r="D187" s="102" t="s">
        <v>47</v>
      </c>
      <c r="E187" s="102"/>
      <c r="F187" s="102"/>
      <c r="G187" s="102" t="s">
        <v>109</v>
      </c>
      <c r="H187" s="102"/>
      <c r="I187" s="102"/>
      <c r="J187" s="102"/>
      <c r="K187" s="102"/>
      <c r="L187" s="102"/>
    </row>
    <row r="188" spans="1:1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>
      <c r="A191" s="108" t="s">
        <v>49</v>
      </c>
      <c r="B191" s="108"/>
      <c r="C191" s="108"/>
      <c r="D191" s="108"/>
      <c r="E191" s="108"/>
      <c r="F191" s="108"/>
      <c r="G191" s="108" t="s">
        <v>50</v>
      </c>
      <c r="H191" s="108" t="s">
        <v>51</v>
      </c>
      <c r="I191" s="108" t="s">
        <v>52</v>
      </c>
      <c r="J191" s="108"/>
      <c r="K191" s="108" t="s">
        <v>53</v>
      </c>
      <c r="L191" s="108"/>
    </row>
    <row r="192" spans="1:12">
      <c r="A192" s="108"/>
      <c r="B192" s="108"/>
      <c r="C192" s="108"/>
      <c r="D192" s="108"/>
      <c r="E192" s="108"/>
      <c r="F192" s="108"/>
      <c r="G192" s="108"/>
      <c r="H192" s="108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>
      <c r="A193" s="106" t="s">
        <v>58</v>
      </c>
      <c r="B193" s="106"/>
      <c r="C193" s="106"/>
      <c r="D193" s="106"/>
      <c r="E193" s="106"/>
      <c r="F193" s="106"/>
      <c r="G193" s="21">
        <v>12125.57</v>
      </c>
      <c r="H193" s="22"/>
      <c r="I193" s="21"/>
      <c r="J193" s="21"/>
      <c r="K193" s="21"/>
      <c r="L193" s="21"/>
    </row>
    <row r="194" spans="1:12">
      <c r="A194" s="106" t="s">
        <v>59</v>
      </c>
      <c r="B194" s="106"/>
      <c r="C194" s="106"/>
      <c r="D194" s="106"/>
      <c r="E194" s="106"/>
      <c r="F194" s="106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>
      <c r="A195" s="107" t="s">
        <v>60</v>
      </c>
      <c r="B195" s="107"/>
      <c r="C195" s="107"/>
      <c r="D195" s="107"/>
      <c r="E195" s="107"/>
      <c r="F195" s="107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>
      <c r="A196" s="107" t="s">
        <v>61</v>
      </c>
      <c r="B196" s="107"/>
      <c r="C196" s="107"/>
      <c r="D196" s="107"/>
      <c r="E196" s="107"/>
      <c r="F196" s="107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>
      <c r="A197" s="107" t="s">
        <v>62</v>
      </c>
      <c r="B197" s="107"/>
      <c r="C197" s="107"/>
      <c r="D197" s="107"/>
      <c r="E197" s="107"/>
      <c r="F197" s="107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>
      <c r="A198" s="107" t="s">
        <v>63</v>
      </c>
      <c r="B198" s="107"/>
      <c r="C198" s="107"/>
      <c r="D198" s="107"/>
      <c r="E198" s="107"/>
      <c r="F198" s="107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>
      <c r="A199" s="107" t="s">
        <v>64</v>
      </c>
      <c r="B199" s="107"/>
      <c r="C199" s="107"/>
      <c r="D199" s="107"/>
      <c r="E199" s="107"/>
      <c r="F199" s="107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>
      <c r="A200" s="107" t="s">
        <v>65</v>
      </c>
      <c r="B200" s="107"/>
      <c r="C200" s="107"/>
      <c r="D200" s="107"/>
      <c r="E200" s="107"/>
      <c r="F200" s="107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>
      <c r="A201" s="107" t="s">
        <v>66</v>
      </c>
      <c r="B201" s="107"/>
      <c r="C201" s="107"/>
      <c r="D201" s="107"/>
      <c r="E201" s="107"/>
      <c r="F201" s="107"/>
      <c r="G201" s="29"/>
      <c r="H201" s="30"/>
      <c r="I201" s="30"/>
      <c r="J201" s="25"/>
      <c r="K201" s="26"/>
      <c r="L201" s="26"/>
    </row>
    <row r="202" spans="1:12">
      <c r="A202" s="109">
        <v>0.25</v>
      </c>
      <c r="B202" s="109"/>
      <c r="C202" s="109"/>
      <c r="D202" s="109"/>
      <c r="E202" s="109"/>
      <c r="F202" s="109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>
      <c r="A203" s="109">
        <v>0.5</v>
      </c>
      <c r="B203" s="109"/>
      <c r="C203" s="109"/>
      <c r="D203" s="109"/>
      <c r="E203" s="109"/>
      <c r="F203" s="109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>
      <c r="A204" s="109">
        <v>1</v>
      </c>
      <c r="B204" s="109"/>
      <c r="C204" s="109"/>
      <c r="D204" s="109"/>
      <c r="E204" s="109"/>
      <c r="F204" s="109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>
      <c r="A205" s="106" t="s">
        <v>67</v>
      </c>
      <c r="B205" s="106"/>
      <c r="C205" s="106"/>
      <c r="D205" s="106"/>
      <c r="E205" s="106"/>
      <c r="F205" s="106"/>
      <c r="G205" s="21"/>
      <c r="H205" s="22"/>
      <c r="I205" s="21">
        <f>SUM(I206:I207)</f>
        <v>0</v>
      </c>
      <c r="J205" s="21"/>
      <c r="K205" s="21"/>
      <c r="L205" s="21"/>
    </row>
    <row r="206" spans="1:12">
      <c r="A206" s="107" t="s">
        <v>68</v>
      </c>
      <c r="B206" s="107"/>
      <c r="C206" s="107"/>
      <c r="D206" s="107"/>
      <c r="E206" s="107"/>
      <c r="F206" s="107"/>
      <c r="G206" s="23">
        <f>(G183-A185)/360</f>
        <v>1.6944444444444444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</v>
      </c>
      <c r="I206" s="23">
        <f>I194*H206</f>
        <v>0</v>
      </c>
      <c r="J206" s="25"/>
      <c r="K206" s="26"/>
      <c r="L206" s="26"/>
    </row>
    <row r="207" spans="1:12">
      <c r="A207" s="107" t="s">
        <v>69</v>
      </c>
      <c r="B207" s="107"/>
      <c r="C207" s="107"/>
      <c r="D207" s="107"/>
      <c r="E207" s="107"/>
      <c r="F207" s="107"/>
      <c r="G207" s="23"/>
      <c r="H207" s="24"/>
      <c r="I207" s="23"/>
      <c r="J207" s="25"/>
      <c r="K207" s="26"/>
      <c r="L207" s="26"/>
    </row>
    <row r="208" spans="1:12">
      <c r="A208" s="106" t="s">
        <v>70</v>
      </c>
      <c r="B208" s="106"/>
      <c r="C208" s="106"/>
      <c r="D208" s="106"/>
      <c r="E208" s="106"/>
      <c r="F208" s="106"/>
      <c r="G208" s="21"/>
      <c r="H208" s="22"/>
      <c r="I208" s="21">
        <f>SUM(I209:I211)</f>
        <v>5000</v>
      </c>
      <c r="J208" s="21"/>
      <c r="K208" s="21"/>
      <c r="L208" s="21"/>
    </row>
    <row r="209" spans="1:12">
      <c r="A209" s="107" t="s">
        <v>71</v>
      </c>
      <c r="B209" s="107"/>
      <c r="C209" s="107"/>
      <c r="D209" s="107"/>
      <c r="E209" s="107"/>
      <c r="F209" s="107"/>
      <c r="G209" s="23"/>
      <c r="H209" s="24"/>
      <c r="I209" s="23">
        <v>2500</v>
      </c>
      <c r="J209" s="25"/>
      <c r="K209" s="26"/>
      <c r="L209" s="26"/>
    </row>
    <row r="210" spans="1:12">
      <c r="A210" s="107" t="s">
        <v>72</v>
      </c>
      <c r="B210" s="107"/>
      <c r="C210" s="107"/>
      <c r="D210" s="107"/>
      <c r="E210" s="107"/>
      <c r="F210" s="107"/>
      <c r="G210" s="23"/>
      <c r="H210" s="31">
        <v>0</v>
      </c>
      <c r="I210" s="23">
        <v>2500</v>
      </c>
      <c r="J210" s="25"/>
      <c r="K210" s="26"/>
      <c r="L210" s="26"/>
    </row>
    <row r="211" spans="1:12">
      <c r="A211" s="107" t="s">
        <v>73</v>
      </c>
      <c r="B211" s="107"/>
      <c r="C211" s="107"/>
      <c r="D211" s="107"/>
      <c r="E211" s="107"/>
      <c r="F211" s="107"/>
      <c r="G211" s="23"/>
      <c r="H211" s="24"/>
      <c r="I211" s="23"/>
      <c r="J211" s="25"/>
      <c r="K211" s="26"/>
      <c r="L211" s="26"/>
    </row>
    <row r="212" spans="1:12">
      <c r="A212" s="111" t="s">
        <v>74</v>
      </c>
      <c r="B212" s="111"/>
      <c r="C212" s="111"/>
      <c r="D212" s="111"/>
      <c r="E212" s="111"/>
      <c r="F212" s="111"/>
      <c r="G212" s="32"/>
      <c r="H212" s="33"/>
      <c r="I212" s="32">
        <f>I194+I205+I208</f>
        <v>17125.57</v>
      </c>
      <c r="J212" s="33"/>
      <c r="K212" s="33"/>
      <c r="L212" s="33"/>
    </row>
    <row r="213" spans="1:12">
      <c r="A213" s="111" t="s">
        <v>75</v>
      </c>
      <c r="B213" s="111"/>
      <c r="C213" s="111"/>
      <c r="D213" s="111"/>
      <c r="E213" s="111"/>
      <c r="F213" s="111"/>
      <c r="G213" s="32"/>
      <c r="H213" s="33"/>
      <c r="I213" s="32">
        <f>I212-I208</f>
        <v>12125.57</v>
      </c>
      <c r="J213" s="33"/>
      <c r="K213" s="33"/>
      <c r="L213" s="33"/>
    </row>
    <row r="214" spans="1:12">
      <c r="A214" s="107" t="s">
        <v>76</v>
      </c>
      <c r="B214" s="107"/>
      <c r="C214" s="107"/>
      <c r="D214" s="107"/>
      <c r="E214" s="107"/>
      <c r="F214" s="107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>
      <c r="A215" s="107" t="s">
        <v>77</v>
      </c>
      <c r="B215" s="107"/>
      <c r="C215" s="107"/>
      <c r="D215" s="107"/>
      <c r="E215" s="107"/>
      <c r="F215" s="107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>
      <c r="A216" s="107" t="s">
        <v>78</v>
      </c>
      <c r="B216" s="107"/>
      <c r="C216" s="107"/>
      <c r="D216" s="107"/>
      <c r="E216" s="107"/>
      <c r="F216" s="107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>
      <c r="A217" s="107" t="s">
        <v>79</v>
      </c>
      <c r="B217" s="107"/>
      <c r="C217" s="107"/>
      <c r="D217" s="107"/>
      <c r="E217" s="107"/>
      <c r="F217" s="107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>
      <c r="A218" s="107" t="s">
        <v>80</v>
      </c>
      <c r="B218" s="107"/>
      <c r="C218" s="107"/>
      <c r="D218" s="107"/>
      <c r="E218" s="107"/>
      <c r="F218" s="107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>
      <c r="A219" s="107" t="s">
        <v>81</v>
      </c>
      <c r="B219" s="107"/>
      <c r="C219" s="107"/>
      <c r="D219" s="107"/>
      <c r="E219" s="107"/>
      <c r="F219" s="107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>
      <c r="A220" s="107" t="s">
        <v>24</v>
      </c>
      <c r="B220" s="107"/>
      <c r="C220" s="107"/>
      <c r="D220" s="107"/>
      <c r="E220" s="107"/>
      <c r="F220" s="107"/>
      <c r="G220" s="23"/>
      <c r="H220" s="34" t="str">
        <f>[1]Taux!D$7</f>
        <v>2,26%</v>
      </c>
      <c r="I220" s="23"/>
      <c r="J220" s="23">
        <f>I213*H220</f>
        <v>274.03788199999997</v>
      </c>
      <c r="K220" s="34" t="str">
        <f>[1]Taux!C$7</f>
        <v>4,11%</v>
      </c>
      <c r="L220" s="23">
        <f>I213*K220</f>
        <v>498.36092699999995</v>
      </c>
    </row>
    <row r="221" spans="1:12">
      <c r="A221" s="110" t="s">
        <v>82</v>
      </c>
      <c r="B221" s="110"/>
      <c r="C221" s="110"/>
      <c r="D221" s="110"/>
      <c r="E221" s="110"/>
      <c r="F221" s="110"/>
      <c r="G221" s="37"/>
      <c r="H221" s="38"/>
      <c r="I221" s="39"/>
      <c r="J221" s="40"/>
      <c r="K221" s="34" t="str">
        <f>[1]Taux!C$4</f>
        <v>6,40%</v>
      </c>
      <c r="L221" s="23">
        <f>I213*K221</f>
        <v>776.03647999999998</v>
      </c>
    </row>
    <row r="222" spans="1:12">
      <c r="A222" s="110" t="s">
        <v>83</v>
      </c>
      <c r="B222" s="110"/>
      <c r="C222" s="110"/>
      <c r="D222" s="110"/>
      <c r="E222" s="110"/>
      <c r="F222" s="110"/>
      <c r="G222" s="41"/>
      <c r="H222" s="42"/>
      <c r="I222" s="43"/>
      <c r="J222" s="44"/>
      <c r="K222" s="34" t="str">
        <f>[1]Taux!C$8</f>
        <v>1,6 %</v>
      </c>
      <c r="L222" s="23">
        <f>I213*K222</f>
        <v>194.00912</v>
      </c>
    </row>
    <row r="223" spans="1:12">
      <c r="A223" s="106" t="s">
        <v>84</v>
      </c>
      <c r="B223" s="106"/>
      <c r="C223" s="106"/>
      <c r="D223" s="106"/>
      <c r="E223" s="106"/>
      <c r="F223" s="106"/>
      <c r="G223" s="21"/>
      <c r="H223" s="22"/>
      <c r="I223" s="22"/>
      <c r="J223" s="21">
        <f>SUM(J214:J220)</f>
        <v>542.83788200000004</v>
      </c>
      <c r="K223" s="21"/>
      <c r="L223" s="21">
        <f>SUM(L214:L222)</f>
        <v>2007.2065269999998</v>
      </c>
    </row>
    <row r="224" spans="1:12">
      <c r="A224" s="107" t="s">
        <v>85</v>
      </c>
      <c r="B224" s="107"/>
      <c r="C224" s="107"/>
      <c r="D224" s="107"/>
      <c r="E224" s="107"/>
      <c r="F224" s="107"/>
      <c r="G224" s="23"/>
      <c r="H224" s="45">
        <v>0.2</v>
      </c>
      <c r="I224" s="23"/>
      <c r="J224" s="23">
        <f>IF(I213*H224&lt;2500,I213*H224,2500)</f>
        <v>2425.114</v>
      </c>
      <c r="K224" s="46"/>
      <c r="L224" s="47"/>
    </row>
    <row r="225" spans="1:12">
      <c r="A225" s="111" t="s">
        <v>86</v>
      </c>
      <c r="B225" s="111"/>
      <c r="C225" s="111"/>
      <c r="D225" s="111"/>
      <c r="E225" s="111"/>
      <c r="F225" s="111"/>
      <c r="G225" s="32"/>
      <c r="H225" s="33"/>
      <c r="I225" s="32">
        <f>I213-J223-J224</f>
        <v>9157.6181180000003</v>
      </c>
      <c r="J225" s="33"/>
      <c r="K225" s="33"/>
      <c r="L225" s="33"/>
    </row>
    <row r="226" spans="1:12">
      <c r="A226" s="107" t="s">
        <v>87</v>
      </c>
      <c r="B226" s="107"/>
      <c r="C226" s="107"/>
      <c r="D226" s="107"/>
      <c r="E226" s="107"/>
      <c r="F226" s="107"/>
      <c r="G226" s="23"/>
      <c r="H226" s="34"/>
      <c r="I226" s="23">
        <f>H226*180/360</f>
        <v>0</v>
      </c>
      <c r="J226" s="23"/>
      <c r="K226" s="46"/>
      <c r="L226" s="47"/>
    </row>
    <row r="227" spans="1:12">
      <c r="A227" s="111" t="s">
        <v>88</v>
      </c>
      <c r="B227" s="111"/>
      <c r="C227" s="111"/>
      <c r="D227" s="111"/>
      <c r="E227" s="111"/>
      <c r="F227" s="111"/>
      <c r="G227" s="32"/>
      <c r="H227" s="33"/>
      <c r="I227" s="32">
        <f>I225-I226</f>
        <v>9157.6181180000003</v>
      </c>
      <c r="J227" s="33"/>
      <c r="K227" s="33"/>
      <c r="L227" s="33"/>
    </row>
    <row r="228" spans="1:12">
      <c r="A228" s="107" t="s">
        <v>89</v>
      </c>
      <c r="B228" s="107"/>
      <c r="C228" s="107"/>
      <c r="D228" s="107"/>
      <c r="E228" s="107"/>
      <c r="F228" s="107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1680.256826786667</v>
      </c>
      <c r="K228" s="46"/>
      <c r="L228" s="47"/>
    </row>
    <row r="229" spans="1:12">
      <c r="A229" s="107" t="s">
        <v>90</v>
      </c>
      <c r="B229" s="107"/>
      <c r="C229" s="107"/>
      <c r="D229" s="107"/>
      <c r="E229" s="107"/>
      <c r="F229" s="107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>
      <c r="A230" s="106" t="s">
        <v>91</v>
      </c>
      <c r="B230" s="106"/>
      <c r="C230" s="106"/>
      <c r="D230" s="106"/>
      <c r="E230" s="106"/>
      <c r="F230" s="106"/>
      <c r="G230" s="21"/>
      <c r="H230" s="22"/>
      <c r="I230" s="21"/>
      <c r="J230" s="21">
        <f>J228-J229</f>
        <v>1590.256826786667</v>
      </c>
      <c r="K230" s="21"/>
      <c r="L230" s="21"/>
    </row>
    <row r="231" spans="1:12">
      <c r="A231" s="112" t="s">
        <v>92</v>
      </c>
      <c r="B231" s="112"/>
      <c r="C231" s="112"/>
      <c r="D231" s="112"/>
      <c r="E231" s="112"/>
      <c r="F231" s="112"/>
      <c r="G231" s="25"/>
      <c r="H231" s="48"/>
      <c r="I231" s="47"/>
      <c r="J231" s="49">
        <v>0</v>
      </c>
      <c r="K231" s="46"/>
      <c r="L231" s="47"/>
    </row>
    <row r="232" spans="1:12">
      <c r="A232" s="107" t="s">
        <v>93</v>
      </c>
      <c r="B232" s="107"/>
      <c r="C232" s="107"/>
      <c r="D232" s="107"/>
      <c r="E232" s="107"/>
      <c r="F232" s="107"/>
      <c r="G232" s="25"/>
      <c r="H232" s="48"/>
      <c r="I232" s="44"/>
      <c r="J232" s="28">
        <v>0</v>
      </c>
      <c r="K232" s="46"/>
      <c r="L232" s="47"/>
    </row>
    <row r="233" spans="1:12">
      <c r="A233" s="113" t="s">
        <v>94</v>
      </c>
      <c r="B233" s="113"/>
      <c r="C233" s="113"/>
      <c r="D233" s="113"/>
      <c r="E233" s="113"/>
      <c r="F233" s="113"/>
      <c r="G233" s="41"/>
      <c r="H233" s="42"/>
      <c r="I233" s="28">
        <f>1-0.98</f>
        <v>2.0000000000000018E-2</v>
      </c>
      <c r="J233" s="41"/>
      <c r="K233" s="43"/>
      <c r="L233" s="44"/>
    </row>
    <row r="234" spans="1:1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>
      <c r="A235" s="14" t="s">
        <v>95</v>
      </c>
      <c r="B235" s="14" t="s">
        <v>96</v>
      </c>
      <c r="C235" s="14" t="s">
        <v>97</v>
      </c>
      <c r="D235" s="104" t="s">
        <v>98</v>
      </c>
      <c r="E235" s="104"/>
      <c r="F235" s="104"/>
      <c r="G235" s="14" t="s">
        <v>99</v>
      </c>
      <c r="H235" s="50"/>
      <c r="I235" s="52">
        <f>I212+I233</f>
        <v>17125.59</v>
      </c>
      <c r="J235" s="52">
        <f>J223+J230+J231+J232</f>
        <v>2133.0947087866671</v>
      </c>
      <c r="K235" s="14" t="s">
        <v>100</v>
      </c>
      <c r="L235" s="52">
        <f>L223</f>
        <v>2007.2065269999998</v>
      </c>
    </row>
    <row r="236" spans="1:12">
      <c r="A236" s="52">
        <f>156555.24+I212</f>
        <v>173680.81</v>
      </c>
      <c r="B236" s="52">
        <f>111555.24+I213</f>
        <v>123680.81</v>
      </c>
      <c r="C236" s="52">
        <f>2419.2+J214</f>
        <v>2688</v>
      </c>
      <c r="D236" s="114">
        <f>15016.37+J230</f>
        <v>16606.626826786669</v>
      </c>
      <c r="E236" s="114"/>
      <c r="F236" s="114"/>
      <c r="G236" s="52">
        <f>136602.47+I235</f>
        <v>153728.06</v>
      </c>
      <c r="H236" s="104" t="s">
        <v>101</v>
      </c>
      <c r="I236" s="104"/>
      <c r="J236" s="52">
        <f>I235-J235</f>
        <v>14992.495291213334</v>
      </c>
      <c r="K236" s="14" t="s">
        <v>102</v>
      </c>
      <c r="L236" s="52">
        <f>20589.65+L235</f>
        <v>22596.856527</v>
      </c>
    </row>
    <row r="237" spans="1:1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16999.701818213332</v>
      </c>
    </row>
    <row r="241" spans="1:12">
      <c r="A241" s="105" t="s">
        <v>26</v>
      </c>
      <c r="B241" s="105"/>
      <c r="C241" s="105" t="s">
        <v>27</v>
      </c>
      <c r="D241" s="105"/>
      <c r="E241" s="105"/>
      <c r="F241" s="105"/>
      <c r="G241" s="105" t="s">
        <v>28</v>
      </c>
      <c r="H241" s="105"/>
      <c r="I241" s="105"/>
      <c r="J241" s="105" t="s">
        <v>29</v>
      </c>
      <c r="K241" s="105"/>
      <c r="L241" s="105"/>
    </row>
    <row r="242" spans="1:12">
      <c r="A242" s="14" t="s">
        <v>30</v>
      </c>
      <c r="B242" s="104" t="s">
        <v>31</v>
      </c>
      <c r="C242" s="104"/>
      <c r="D242" s="104"/>
      <c r="E242" s="104"/>
      <c r="F242" s="104"/>
      <c r="G242" s="104" t="s">
        <v>32</v>
      </c>
      <c r="H242" s="104"/>
      <c r="I242" s="104"/>
      <c r="J242" s="104"/>
      <c r="K242" s="104"/>
      <c r="L242" s="104"/>
    </row>
    <row r="243" spans="1:12">
      <c r="A243" s="16">
        <v>6</v>
      </c>
      <c r="B243" s="102" t="s">
        <v>110</v>
      </c>
      <c r="C243" s="102"/>
      <c r="D243" s="102"/>
      <c r="E243" s="102"/>
      <c r="F243" s="102"/>
      <c r="G243" s="103">
        <v>42401</v>
      </c>
      <c r="H243" s="103"/>
      <c r="I243" s="103"/>
      <c r="J243" s="103">
        <v>42429</v>
      </c>
      <c r="K243" s="103"/>
      <c r="L243" s="103"/>
    </row>
    <row r="244" spans="1:12">
      <c r="A244" s="14" t="s">
        <v>34</v>
      </c>
      <c r="B244" s="14" t="s">
        <v>35</v>
      </c>
      <c r="C244" s="14" t="s">
        <v>36</v>
      </c>
      <c r="D244" s="14" t="s">
        <v>37</v>
      </c>
      <c r="E244" s="14" t="s">
        <v>38</v>
      </c>
      <c r="F244" s="14" t="s">
        <v>39</v>
      </c>
      <c r="G244" s="104" t="s">
        <v>40</v>
      </c>
      <c r="H244" s="104"/>
      <c r="I244" s="104"/>
      <c r="J244" s="104"/>
      <c r="K244" s="104"/>
      <c r="L244" s="104"/>
    </row>
    <row r="245" spans="1:12">
      <c r="A245" s="17">
        <v>41821</v>
      </c>
      <c r="B245" s="16"/>
      <c r="C245" s="17">
        <v>31573</v>
      </c>
      <c r="D245" s="16" t="s">
        <v>111</v>
      </c>
      <c r="E245" s="16">
        <v>0</v>
      </c>
      <c r="F245" s="16">
        <v>0</v>
      </c>
      <c r="G245" s="102"/>
      <c r="H245" s="102"/>
      <c r="I245" s="102"/>
      <c r="J245" s="102"/>
      <c r="K245" s="102"/>
      <c r="L245" s="102"/>
    </row>
    <row r="246" spans="1:12">
      <c r="A246" s="14" t="s">
        <v>42</v>
      </c>
      <c r="B246" s="14" t="s">
        <v>43</v>
      </c>
      <c r="C246" s="14" t="s">
        <v>44</v>
      </c>
      <c r="D246" s="104" t="s">
        <v>45</v>
      </c>
      <c r="E246" s="104"/>
      <c r="F246" s="104"/>
      <c r="G246" s="104" t="s">
        <v>46</v>
      </c>
      <c r="H246" s="104"/>
      <c r="I246" s="104"/>
      <c r="J246" s="104"/>
      <c r="K246" s="104"/>
      <c r="L246" s="104"/>
    </row>
    <row r="247" spans="1:12">
      <c r="A247" s="16">
        <v>195441186</v>
      </c>
      <c r="B247" s="16"/>
      <c r="C247" s="16"/>
      <c r="D247" s="102" t="s">
        <v>47</v>
      </c>
      <c r="E247" s="102"/>
      <c r="F247" s="102"/>
      <c r="G247" s="102" t="s">
        <v>107</v>
      </c>
      <c r="H247" s="102"/>
      <c r="I247" s="102"/>
      <c r="J247" s="102"/>
      <c r="K247" s="102"/>
      <c r="L247" s="102"/>
    </row>
    <row r="248" spans="1:1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>
      <c r="A251" s="108" t="s">
        <v>49</v>
      </c>
      <c r="B251" s="108"/>
      <c r="C251" s="108"/>
      <c r="D251" s="108"/>
      <c r="E251" s="108"/>
      <c r="F251" s="108"/>
      <c r="G251" s="108" t="s">
        <v>50</v>
      </c>
      <c r="H251" s="108" t="s">
        <v>51</v>
      </c>
      <c r="I251" s="108" t="s">
        <v>52</v>
      </c>
      <c r="J251" s="108"/>
      <c r="K251" s="108" t="s">
        <v>53</v>
      </c>
      <c r="L251" s="108"/>
    </row>
    <row r="252" spans="1:12">
      <c r="A252" s="108"/>
      <c r="B252" s="108"/>
      <c r="C252" s="108"/>
      <c r="D252" s="108"/>
      <c r="E252" s="108"/>
      <c r="F252" s="108"/>
      <c r="G252" s="108"/>
      <c r="H252" s="108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>
      <c r="A253" s="106" t="s">
        <v>58</v>
      </c>
      <c r="B253" s="106"/>
      <c r="C253" s="106"/>
      <c r="D253" s="106"/>
      <c r="E253" s="106"/>
      <c r="F253" s="106"/>
      <c r="G253" s="21">
        <v>2895.13</v>
      </c>
      <c r="H253" s="22"/>
      <c r="I253" s="21"/>
      <c r="J253" s="21"/>
      <c r="K253" s="21"/>
      <c r="L253" s="21"/>
    </row>
    <row r="254" spans="1:12">
      <c r="A254" s="106" t="s">
        <v>59</v>
      </c>
      <c r="B254" s="106"/>
      <c r="C254" s="106"/>
      <c r="D254" s="106"/>
      <c r="E254" s="106"/>
      <c r="F254" s="106"/>
      <c r="G254" s="21"/>
      <c r="H254" s="21"/>
      <c r="I254" s="21">
        <f>IF(I255+I256-J257-J258+I259+I262+I263+I264+I260&lt;G253,I255+I256-J257-J258+I259+I262+I263+I264+I260,G253)</f>
        <v>2895.13</v>
      </c>
      <c r="J254" s="21"/>
      <c r="K254" s="21"/>
      <c r="L254" s="21"/>
    </row>
    <row r="255" spans="1:12">
      <c r="A255" s="107" t="s">
        <v>60</v>
      </c>
      <c r="B255" s="107"/>
      <c r="C255" s="107"/>
      <c r="D255" s="107"/>
      <c r="E255" s="107"/>
      <c r="F255" s="107"/>
      <c r="G255" s="23"/>
      <c r="H255" s="24">
        <v>26</v>
      </c>
      <c r="I255" s="23">
        <f>G253/26*H255</f>
        <v>2895.13</v>
      </c>
      <c r="J255" s="25"/>
      <c r="K255" s="26"/>
      <c r="L255" s="26"/>
    </row>
    <row r="256" spans="1:12">
      <c r="A256" s="107" t="s">
        <v>61</v>
      </c>
      <c r="B256" s="107"/>
      <c r="C256" s="107"/>
      <c r="D256" s="107"/>
      <c r="E256" s="107"/>
      <c r="F256" s="107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>
      <c r="A257" s="107" t="s">
        <v>62</v>
      </c>
      <c r="B257" s="107"/>
      <c r="C257" s="107"/>
      <c r="D257" s="107"/>
      <c r="E257" s="107"/>
      <c r="F257" s="107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>
      <c r="A258" s="107" t="s">
        <v>63</v>
      </c>
      <c r="B258" s="107"/>
      <c r="C258" s="107"/>
      <c r="D258" s="107"/>
      <c r="E258" s="107"/>
      <c r="F258" s="107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>
      <c r="A259" s="107" t="s">
        <v>64</v>
      </c>
      <c r="B259" s="107"/>
      <c r="C259" s="107"/>
      <c r="D259" s="107"/>
      <c r="E259" s="107"/>
      <c r="F259" s="107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>
      <c r="A260" s="107" t="s">
        <v>65</v>
      </c>
      <c r="B260" s="107"/>
      <c r="C260" s="107"/>
      <c r="D260" s="107"/>
      <c r="E260" s="107"/>
      <c r="F260" s="107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>
      <c r="A261" s="107" t="s">
        <v>66</v>
      </c>
      <c r="B261" s="107"/>
      <c r="C261" s="107"/>
      <c r="D261" s="107"/>
      <c r="E261" s="107"/>
      <c r="F261" s="107"/>
      <c r="G261" s="29"/>
      <c r="H261" s="30"/>
      <c r="I261" s="30"/>
      <c r="J261" s="25"/>
      <c r="K261" s="26"/>
      <c r="L261" s="26"/>
    </row>
    <row r="262" spans="1:12">
      <c r="A262" s="109">
        <v>0.25</v>
      </c>
      <c r="B262" s="109"/>
      <c r="C262" s="109"/>
      <c r="D262" s="109"/>
      <c r="E262" s="109"/>
      <c r="F262" s="109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>
      <c r="A263" s="109">
        <v>0.5</v>
      </c>
      <c r="B263" s="109"/>
      <c r="C263" s="109"/>
      <c r="D263" s="109"/>
      <c r="E263" s="109"/>
      <c r="F263" s="109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>
      <c r="A264" s="109">
        <v>1</v>
      </c>
      <c r="B264" s="109"/>
      <c r="C264" s="109"/>
      <c r="D264" s="109"/>
      <c r="E264" s="109"/>
      <c r="F264" s="109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>
      <c r="A265" s="106" t="s">
        <v>67</v>
      </c>
      <c r="B265" s="106"/>
      <c r="C265" s="106"/>
      <c r="D265" s="106"/>
      <c r="E265" s="106"/>
      <c r="F265" s="106"/>
      <c r="G265" s="21"/>
      <c r="H265" s="22"/>
      <c r="I265" s="21">
        <f>SUM(I266:I267)</f>
        <v>0</v>
      </c>
      <c r="J265" s="21"/>
      <c r="K265" s="21"/>
      <c r="L265" s="21"/>
    </row>
    <row r="266" spans="1:12">
      <c r="A266" s="107" t="s">
        <v>68</v>
      </c>
      <c r="B266" s="107"/>
      <c r="C266" s="107"/>
      <c r="D266" s="107"/>
      <c r="E266" s="107"/>
      <c r="F266" s="107"/>
      <c r="G266" s="23">
        <f>(G243-A245)/360</f>
        <v>1.6111111111111112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</v>
      </c>
      <c r="I266" s="23">
        <f>I254*H266</f>
        <v>0</v>
      </c>
      <c r="J266" s="25"/>
      <c r="K266" s="26"/>
      <c r="L266" s="26"/>
    </row>
    <row r="267" spans="1:12">
      <c r="A267" s="107" t="s">
        <v>69</v>
      </c>
      <c r="B267" s="107"/>
      <c r="C267" s="107"/>
      <c r="D267" s="107"/>
      <c r="E267" s="107"/>
      <c r="F267" s="107"/>
      <c r="G267" s="23"/>
      <c r="H267" s="24"/>
      <c r="I267" s="23"/>
      <c r="J267" s="25"/>
      <c r="K267" s="26"/>
      <c r="L267" s="26"/>
    </row>
    <row r="268" spans="1:12">
      <c r="A268" s="106" t="s">
        <v>70</v>
      </c>
      <c r="B268" s="106"/>
      <c r="C268" s="106"/>
      <c r="D268" s="106"/>
      <c r="E268" s="106"/>
      <c r="F268" s="106"/>
      <c r="G268" s="21"/>
      <c r="H268" s="22"/>
      <c r="I268" s="21">
        <f>SUM(I269:I271)</f>
        <v>300</v>
      </c>
      <c r="J268" s="21"/>
      <c r="K268" s="21"/>
      <c r="L268" s="21"/>
    </row>
    <row r="269" spans="1:12">
      <c r="A269" s="107" t="s">
        <v>71</v>
      </c>
      <c r="B269" s="107"/>
      <c r="C269" s="107"/>
      <c r="D269" s="107"/>
      <c r="E269" s="107"/>
      <c r="F269" s="107"/>
      <c r="G269" s="23"/>
      <c r="H269" s="24"/>
      <c r="I269" s="23">
        <v>300</v>
      </c>
      <c r="J269" s="25"/>
      <c r="K269" s="26"/>
      <c r="L269" s="26"/>
    </row>
    <row r="270" spans="1:12">
      <c r="A270" s="107" t="s">
        <v>72</v>
      </c>
      <c r="B270" s="107"/>
      <c r="C270" s="107"/>
      <c r="D270" s="107"/>
      <c r="E270" s="107"/>
      <c r="F270" s="107"/>
      <c r="G270" s="23"/>
      <c r="H270" s="31">
        <v>0</v>
      </c>
      <c r="I270" s="23"/>
      <c r="J270" s="25"/>
      <c r="K270" s="26"/>
      <c r="L270" s="26"/>
    </row>
    <row r="271" spans="1:12">
      <c r="A271" s="107" t="s">
        <v>73</v>
      </c>
      <c r="B271" s="107"/>
      <c r="C271" s="107"/>
      <c r="D271" s="107"/>
      <c r="E271" s="107"/>
      <c r="F271" s="107"/>
      <c r="G271" s="23"/>
      <c r="H271" s="24"/>
      <c r="I271" s="23"/>
      <c r="J271" s="25"/>
      <c r="K271" s="26"/>
      <c r="L271" s="26"/>
    </row>
    <row r="272" spans="1:12">
      <c r="A272" s="111" t="s">
        <v>74</v>
      </c>
      <c r="B272" s="111"/>
      <c r="C272" s="111"/>
      <c r="D272" s="111"/>
      <c r="E272" s="111"/>
      <c r="F272" s="111"/>
      <c r="G272" s="32"/>
      <c r="H272" s="33"/>
      <c r="I272" s="32">
        <f>I254+I265+I268</f>
        <v>3195.13</v>
      </c>
      <c r="J272" s="33"/>
      <c r="K272" s="33"/>
      <c r="L272" s="33"/>
    </row>
    <row r="273" spans="1:12">
      <c r="A273" s="111" t="s">
        <v>75</v>
      </c>
      <c r="B273" s="111"/>
      <c r="C273" s="111"/>
      <c r="D273" s="111"/>
      <c r="E273" s="111"/>
      <c r="F273" s="111"/>
      <c r="G273" s="32"/>
      <c r="H273" s="33"/>
      <c r="I273" s="32">
        <f>I272-I268</f>
        <v>2895.13</v>
      </c>
      <c r="J273" s="33"/>
      <c r="K273" s="33"/>
      <c r="L273" s="33"/>
    </row>
    <row r="274" spans="1:12">
      <c r="A274" s="107" t="s">
        <v>76</v>
      </c>
      <c r="B274" s="107"/>
      <c r="C274" s="107"/>
      <c r="D274" s="107"/>
      <c r="E274" s="107"/>
      <c r="F274" s="107"/>
      <c r="G274" s="23"/>
      <c r="H274" s="34">
        <f>[1]Taux!D$5+[1]Taux!D$6</f>
        <v>4.4800000000000006E-2</v>
      </c>
      <c r="I274" s="23"/>
      <c r="J274" s="23">
        <f>IF(I273&lt;6000,I273*H274,6000*H274)</f>
        <v>129.70182400000002</v>
      </c>
      <c r="K274" s="35">
        <f>[1]Taux!C$5+[1]Taux!C$6</f>
        <v>8.9799999999999991E-2</v>
      </c>
      <c r="L274" s="23">
        <f>IF(I273&lt;6000,I273*K274,6000*K274)</f>
        <v>259.98267399999997</v>
      </c>
    </row>
    <row r="275" spans="1:12">
      <c r="A275" s="107" t="s">
        <v>77</v>
      </c>
      <c r="B275" s="107"/>
      <c r="C275" s="107"/>
      <c r="D275" s="107"/>
      <c r="E275" s="107"/>
      <c r="F275" s="107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>
      <c r="A276" s="107" t="s">
        <v>78</v>
      </c>
      <c r="B276" s="107"/>
      <c r="C276" s="107"/>
      <c r="D276" s="107"/>
      <c r="E276" s="107"/>
      <c r="F276" s="107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57.902600000000007</v>
      </c>
    </row>
    <row r="277" spans="1:12">
      <c r="A277" s="107" t="s">
        <v>79</v>
      </c>
      <c r="B277" s="107"/>
      <c r="C277" s="107"/>
      <c r="D277" s="107"/>
      <c r="E277" s="107"/>
      <c r="F277" s="107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>
      <c r="A278" s="107" t="s">
        <v>80</v>
      </c>
      <c r="B278" s="107"/>
      <c r="C278" s="107"/>
      <c r="D278" s="107"/>
      <c r="E278" s="107"/>
      <c r="F278" s="107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>
      <c r="A279" s="107" t="s">
        <v>81</v>
      </c>
      <c r="B279" s="107"/>
      <c r="C279" s="107"/>
      <c r="D279" s="107"/>
      <c r="E279" s="107"/>
      <c r="F279" s="107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>
      <c r="A280" s="107" t="s">
        <v>24</v>
      </c>
      <c r="B280" s="107"/>
      <c r="C280" s="107"/>
      <c r="D280" s="107"/>
      <c r="E280" s="107"/>
      <c r="F280" s="107"/>
      <c r="G280" s="23"/>
      <c r="H280" s="34" t="str">
        <f>[1]Taux!D$7</f>
        <v>2,26%</v>
      </c>
      <c r="I280" s="23"/>
      <c r="J280" s="23">
        <f>I273*H280</f>
        <v>65.429937999999993</v>
      </c>
      <c r="K280" s="34" t="str">
        <f>[1]Taux!C$7</f>
        <v>4,11%</v>
      </c>
      <c r="L280" s="23">
        <f>I273*K280</f>
        <v>118.98984299999999</v>
      </c>
    </row>
    <row r="281" spans="1:12">
      <c r="A281" s="110" t="s">
        <v>82</v>
      </c>
      <c r="B281" s="110"/>
      <c r="C281" s="110"/>
      <c r="D281" s="110"/>
      <c r="E281" s="110"/>
      <c r="F281" s="110"/>
      <c r="G281" s="37"/>
      <c r="H281" s="38"/>
      <c r="I281" s="39"/>
      <c r="J281" s="40"/>
      <c r="K281" s="34" t="str">
        <f>[1]Taux!C$4</f>
        <v>6,40%</v>
      </c>
      <c r="L281" s="23">
        <f>I273*K281</f>
        <v>185.28832</v>
      </c>
    </row>
    <row r="282" spans="1:12">
      <c r="A282" s="110" t="s">
        <v>83</v>
      </c>
      <c r="B282" s="110"/>
      <c r="C282" s="110"/>
      <c r="D282" s="110"/>
      <c r="E282" s="110"/>
      <c r="F282" s="110"/>
      <c r="G282" s="41"/>
      <c r="H282" s="42"/>
      <c r="I282" s="43"/>
      <c r="J282" s="44"/>
      <c r="K282" s="34" t="str">
        <f>[1]Taux!C$8</f>
        <v>1,6 %</v>
      </c>
      <c r="L282" s="23">
        <f>I273*K282</f>
        <v>46.32208</v>
      </c>
    </row>
    <row r="283" spans="1:12">
      <c r="A283" s="106" t="s">
        <v>84</v>
      </c>
      <c r="B283" s="106"/>
      <c r="C283" s="106"/>
      <c r="D283" s="106"/>
      <c r="E283" s="106"/>
      <c r="F283" s="106"/>
      <c r="G283" s="21"/>
      <c r="H283" s="22"/>
      <c r="I283" s="22"/>
      <c r="J283" s="21">
        <f>SUM(J274:J280)</f>
        <v>195.13176200000001</v>
      </c>
      <c r="K283" s="21"/>
      <c r="L283" s="21">
        <f>SUM(L274:L282)</f>
        <v>668.48551699999996</v>
      </c>
    </row>
    <row r="284" spans="1:12">
      <c r="A284" s="107" t="s">
        <v>85</v>
      </c>
      <c r="B284" s="107"/>
      <c r="C284" s="107"/>
      <c r="D284" s="107"/>
      <c r="E284" s="107"/>
      <c r="F284" s="107"/>
      <c r="G284" s="23"/>
      <c r="H284" s="45">
        <v>0.2</v>
      </c>
      <c r="I284" s="23"/>
      <c r="J284" s="23">
        <f>IF(I273*H284&lt;2500,I273*H284,2500)</f>
        <v>579.02600000000007</v>
      </c>
      <c r="K284" s="46"/>
      <c r="L284" s="47"/>
    </row>
    <row r="285" spans="1:12">
      <c r="A285" s="111" t="s">
        <v>86</v>
      </c>
      <c r="B285" s="111"/>
      <c r="C285" s="111"/>
      <c r="D285" s="111"/>
      <c r="E285" s="111"/>
      <c r="F285" s="111"/>
      <c r="G285" s="32"/>
      <c r="H285" s="33"/>
      <c r="I285" s="32">
        <f>I273-J283-J284</f>
        <v>2120.9722380000003</v>
      </c>
      <c r="J285" s="33"/>
      <c r="K285" s="33"/>
      <c r="L285" s="33"/>
    </row>
    <row r="286" spans="1:12">
      <c r="A286" s="107" t="s">
        <v>87</v>
      </c>
      <c r="B286" s="107"/>
      <c r="C286" s="107"/>
      <c r="D286" s="107"/>
      <c r="E286" s="107"/>
      <c r="F286" s="107"/>
      <c r="G286" s="23"/>
      <c r="H286" s="34"/>
      <c r="I286" s="23">
        <f>H286*180/360</f>
        <v>0</v>
      </c>
      <c r="J286" s="23"/>
      <c r="K286" s="46"/>
      <c r="L286" s="47"/>
    </row>
    <row r="287" spans="1:12">
      <c r="A287" s="111" t="s">
        <v>88</v>
      </c>
      <c r="B287" s="111"/>
      <c r="C287" s="111"/>
      <c r="D287" s="111"/>
      <c r="E287" s="111"/>
      <c r="F287" s="111"/>
      <c r="G287" s="32"/>
      <c r="H287" s="33"/>
      <c r="I287" s="32">
        <f>I285-I286</f>
        <v>2120.9722380000003</v>
      </c>
      <c r="J287" s="33"/>
      <c r="K287" s="33"/>
      <c r="L287" s="33"/>
    </row>
    <row r="288" spans="1:12">
      <c r="A288" s="107" t="s">
        <v>89</v>
      </c>
      <c r="B288" s="107"/>
      <c r="C288" s="107"/>
      <c r="D288" s="107"/>
      <c r="E288" s="107"/>
      <c r="F288" s="107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0</v>
      </c>
      <c r="K288" s="46"/>
      <c r="L288" s="47"/>
    </row>
    <row r="289" spans="1:12">
      <c r="A289" s="107" t="s">
        <v>90</v>
      </c>
      <c r="B289" s="107"/>
      <c r="C289" s="107"/>
      <c r="D289" s="107"/>
      <c r="E289" s="107"/>
      <c r="F289" s="107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>
      <c r="A290" s="106" t="s">
        <v>91</v>
      </c>
      <c r="B290" s="106"/>
      <c r="C290" s="106"/>
      <c r="D290" s="106"/>
      <c r="E290" s="106"/>
      <c r="F290" s="106"/>
      <c r="G290" s="21"/>
      <c r="H290" s="22"/>
      <c r="I290" s="21"/>
      <c r="J290" s="21">
        <f>J288-J289</f>
        <v>0</v>
      </c>
      <c r="K290" s="21"/>
      <c r="L290" s="21"/>
    </row>
    <row r="291" spans="1:12">
      <c r="A291" s="112" t="s">
        <v>92</v>
      </c>
      <c r="B291" s="112"/>
      <c r="C291" s="112"/>
      <c r="D291" s="112"/>
      <c r="E291" s="112"/>
      <c r="F291" s="112"/>
      <c r="G291" s="25"/>
      <c r="H291" s="48"/>
      <c r="I291" s="47"/>
      <c r="J291" s="49">
        <v>0</v>
      </c>
      <c r="K291" s="46"/>
      <c r="L291" s="47"/>
    </row>
    <row r="292" spans="1:12">
      <c r="A292" s="107" t="s">
        <v>93</v>
      </c>
      <c r="B292" s="107"/>
      <c r="C292" s="107"/>
      <c r="D292" s="107"/>
      <c r="E292" s="107"/>
      <c r="F292" s="107"/>
      <c r="G292" s="25"/>
      <c r="H292" s="48"/>
      <c r="I292" s="44"/>
      <c r="J292" s="28"/>
      <c r="K292" s="46"/>
      <c r="L292" s="47"/>
    </row>
    <row r="293" spans="1:12">
      <c r="A293" s="113" t="s">
        <v>94</v>
      </c>
      <c r="B293" s="113"/>
      <c r="C293" s="113"/>
      <c r="D293" s="113"/>
      <c r="E293" s="113"/>
      <c r="F293" s="113"/>
      <c r="G293" s="41"/>
      <c r="H293" s="42"/>
      <c r="I293" s="28"/>
      <c r="J293" s="41"/>
      <c r="K293" s="43"/>
      <c r="L293" s="44"/>
    </row>
    <row r="294" spans="1:1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>
      <c r="A295" s="14" t="s">
        <v>95</v>
      </c>
      <c r="B295" s="14" t="s">
        <v>96</v>
      </c>
      <c r="C295" s="14" t="s">
        <v>97</v>
      </c>
      <c r="D295" s="104" t="s">
        <v>98</v>
      </c>
      <c r="E295" s="104"/>
      <c r="F295" s="104"/>
      <c r="G295" s="14" t="s">
        <v>99</v>
      </c>
      <c r="H295" s="50"/>
      <c r="I295" s="52">
        <f>I272+I293</f>
        <v>3195.13</v>
      </c>
      <c r="J295" s="52">
        <f>J283+J290+J291+J292</f>
        <v>195.13176200000001</v>
      </c>
      <c r="K295" s="14" t="s">
        <v>100</v>
      </c>
      <c r="L295" s="52">
        <f>L283</f>
        <v>668.48551699999996</v>
      </c>
    </row>
    <row r="296" spans="1:12">
      <c r="A296" s="52">
        <f>32114.9+I272</f>
        <v>35310.03</v>
      </c>
      <c r="B296" s="52">
        <f>29414.9+I273</f>
        <v>32310.030000000002</v>
      </c>
      <c r="C296" s="52">
        <f>1317.78+J274</f>
        <v>1447.481824</v>
      </c>
      <c r="D296" s="114">
        <f>132.35+J290</f>
        <v>132.35</v>
      </c>
      <c r="E296" s="114"/>
      <c r="F296" s="114"/>
      <c r="G296" s="52">
        <f>30000+I295</f>
        <v>33195.129999999997</v>
      </c>
      <c r="H296" s="104" t="s">
        <v>101</v>
      </c>
      <c r="I296" s="104"/>
      <c r="J296" s="52">
        <f>I295-J295</f>
        <v>2999.9982380000001</v>
      </c>
      <c r="K296" s="14" t="s">
        <v>102</v>
      </c>
      <c r="L296" s="52">
        <f>5864.92+L295</f>
        <v>6533.4055170000001</v>
      </c>
    </row>
    <row r="297" spans="1:1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3668.4837550000002</v>
      </c>
    </row>
    <row r="301" spans="1:12">
      <c r="A301" s="105" t="s">
        <v>26</v>
      </c>
      <c r="B301" s="105"/>
      <c r="C301" s="105" t="s">
        <v>27</v>
      </c>
      <c r="D301" s="105"/>
      <c r="E301" s="105"/>
      <c r="F301" s="105"/>
      <c r="G301" s="105" t="s">
        <v>28</v>
      </c>
      <c r="H301" s="105"/>
      <c r="I301" s="105"/>
      <c r="J301" s="105" t="s">
        <v>29</v>
      </c>
      <c r="K301" s="105"/>
      <c r="L301" s="105"/>
    </row>
    <row r="302" spans="1:12">
      <c r="A302" s="14" t="s">
        <v>30</v>
      </c>
      <c r="B302" s="104" t="s">
        <v>31</v>
      </c>
      <c r="C302" s="104"/>
      <c r="D302" s="104"/>
      <c r="E302" s="104"/>
      <c r="F302" s="104"/>
      <c r="G302" s="104" t="s">
        <v>32</v>
      </c>
      <c r="H302" s="104"/>
      <c r="I302" s="104"/>
      <c r="J302" s="104"/>
      <c r="K302" s="104"/>
      <c r="L302" s="104"/>
    </row>
    <row r="303" spans="1:12">
      <c r="A303" s="16">
        <v>7</v>
      </c>
      <c r="B303" s="102" t="s">
        <v>112</v>
      </c>
      <c r="C303" s="102"/>
      <c r="D303" s="102"/>
      <c r="E303" s="102"/>
      <c r="F303" s="102"/>
      <c r="G303" s="103">
        <v>42401</v>
      </c>
      <c r="H303" s="103"/>
      <c r="I303" s="103"/>
      <c r="J303" s="103">
        <v>42429</v>
      </c>
      <c r="K303" s="103"/>
      <c r="L303" s="103"/>
    </row>
    <row r="304" spans="1:12">
      <c r="A304" s="14" t="s">
        <v>34</v>
      </c>
      <c r="B304" s="14" t="s">
        <v>35</v>
      </c>
      <c r="C304" s="14" t="s">
        <v>36</v>
      </c>
      <c r="D304" s="14" t="s">
        <v>37</v>
      </c>
      <c r="E304" s="14" t="s">
        <v>38</v>
      </c>
      <c r="F304" s="14" t="s">
        <v>39</v>
      </c>
      <c r="G304" s="104" t="s">
        <v>40</v>
      </c>
      <c r="H304" s="104"/>
      <c r="I304" s="104"/>
      <c r="J304" s="104"/>
      <c r="K304" s="104"/>
      <c r="L304" s="104"/>
    </row>
    <row r="305" spans="1:12">
      <c r="A305" s="17">
        <v>42005</v>
      </c>
      <c r="B305" s="16"/>
      <c r="C305" s="17">
        <v>34565</v>
      </c>
      <c r="D305" s="16" t="s">
        <v>111</v>
      </c>
      <c r="E305" s="16">
        <v>0</v>
      </c>
      <c r="F305" s="16">
        <v>0</v>
      </c>
      <c r="G305" s="102"/>
      <c r="H305" s="102"/>
      <c r="I305" s="102"/>
      <c r="J305" s="102"/>
      <c r="K305" s="102"/>
      <c r="L305" s="102"/>
    </row>
    <row r="306" spans="1:12">
      <c r="A306" s="14" t="s">
        <v>42</v>
      </c>
      <c r="B306" s="14" t="s">
        <v>43</v>
      </c>
      <c r="C306" s="14" t="s">
        <v>44</v>
      </c>
      <c r="D306" s="104" t="s">
        <v>45</v>
      </c>
      <c r="E306" s="104"/>
      <c r="F306" s="104"/>
      <c r="G306" s="104" t="s">
        <v>46</v>
      </c>
      <c r="H306" s="104"/>
      <c r="I306" s="104"/>
      <c r="J306" s="104"/>
      <c r="K306" s="104"/>
      <c r="L306" s="104"/>
    </row>
    <row r="307" spans="1:12">
      <c r="A307" s="16">
        <v>168098097</v>
      </c>
      <c r="B307" s="16"/>
      <c r="C307" s="16"/>
      <c r="D307" s="102" t="s">
        <v>47</v>
      </c>
      <c r="E307" s="102"/>
      <c r="F307" s="102"/>
      <c r="G307" s="102" t="s">
        <v>107</v>
      </c>
      <c r="H307" s="102"/>
      <c r="I307" s="102"/>
      <c r="J307" s="102"/>
      <c r="K307" s="102"/>
      <c r="L307" s="102"/>
    </row>
    <row r="308" spans="1:1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>
      <c r="A311" s="108" t="s">
        <v>49</v>
      </c>
      <c r="B311" s="108"/>
      <c r="C311" s="108"/>
      <c r="D311" s="108"/>
      <c r="E311" s="108"/>
      <c r="F311" s="108"/>
      <c r="G311" s="108" t="s">
        <v>50</v>
      </c>
      <c r="H311" s="108" t="s">
        <v>51</v>
      </c>
      <c r="I311" s="108" t="s">
        <v>52</v>
      </c>
      <c r="J311" s="108"/>
      <c r="K311" s="108" t="s">
        <v>53</v>
      </c>
      <c r="L311" s="108"/>
    </row>
    <row r="312" spans="1:12">
      <c r="A312" s="108"/>
      <c r="B312" s="108"/>
      <c r="C312" s="108"/>
      <c r="D312" s="108"/>
      <c r="E312" s="108"/>
      <c r="F312" s="108"/>
      <c r="G312" s="108"/>
      <c r="H312" s="108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>
      <c r="A313" s="106" t="s">
        <v>58</v>
      </c>
      <c r="B313" s="106"/>
      <c r="C313" s="106"/>
      <c r="D313" s="106"/>
      <c r="E313" s="106"/>
      <c r="F313" s="106"/>
      <c r="G313" s="21">
        <v>2807.8</v>
      </c>
      <c r="H313" s="22"/>
      <c r="I313" s="21"/>
      <c r="J313" s="21"/>
      <c r="K313" s="21"/>
      <c r="L313" s="21"/>
    </row>
    <row r="314" spans="1:12">
      <c r="A314" s="106" t="s">
        <v>59</v>
      </c>
      <c r="B314" s="106"/>
      <c r="C314" s="106"/>
      <c r="D314" s="106"/>
      <c r="E314" s="106"/>
      <c r="F314" s="106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>
      <c r="A315" s="107" t="s">
        <v>60</v>
      </c>
      <c r="B315" s="107"/>
      <c r="C315" s="107"/>
      <c r="D315" s="107"/>
      <c r="E315" s="107"/>
      <c r="F315" s="107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>
      <c r="A316" s="107" t="s">
        <v>61</v>
      </c>
      <c r="B316" s="107"/>
      <c r="C316" s="107"/>
      <c r="D316" s="107"/>
      <c r="E316" s="107"/>
      <c r="F316" s="107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>
      <c r="A317" s="107" t="s">
        <v>62</v>
      </c>
      <c r="B317" s="107"/>
      <c r="C317" s="107"/>
      <c r="D317" s="107"/>
      <c r="E317" s="107"/>
      <c r="F317" s="107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>
      <c r="A318" s="107" t="s">
        <v>63</v>
      </c>
      <c r="B318" s="107"/>
      <c r="C318" s="107"/>
      <c r="D318" s="107"/>
      <c r="E318" s="107"/>
      <c r="F318" s="107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>
      <c r="A319" s="107" t="s">
        <v>64</v>
      </c>
      <c r="B319" s="107"/>
      <c r="C319" s="107"/>
      <c r="D319" s="107"/>
      <c r="E319" s="107"/>
      <c r="F319" s="107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>
      <c r="A320" s="107" t="s">
        <v>65</v>
      </c>
      <c r="B320" s="107"/>
      <c r="C320" s="107"/>
      <c r="D320" s="107"/>
      <c r="E320" s="107"/>
      <c r="F320" s="107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>
      <c r="A321" s="107" t="s">
        <v>66</v>
      </c>
      <c r="B321" s="107"/>
      <c r="C321" s="107"/>
      <c r="D321" s="107"/>
      <c r="E321" s="107"/>
      <c r="F321" s="107"/>
      <c r="G321" s="29"/>
      <c r="H321" s="30"/>
      <c r="I321" s="30"/>
      <c r="J321" s="25"/>
      <c r="K321" s="26"/>
      <c r="L321" s="26"/>
    </row>
    <row r="322" spans="1:12">
      <c r="A322" s="109">
        <v>0.25</v>
      </c>
      <c r="B322" s="109"/>
      <c r="C322" s="109"/>
      <c r="D322" s="109"/>
      <c r="E322" s="109"/>
      <c r="F322" s="109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>
      <c r="A323" s="109">
        <v>0.5</v>
      </c>
      <c r="B323" s="109"/>
      <c r="C323" s="109"/>
      <c r="D323" s="109"/>
      <c r="E323" s="109"/>
      <c r="F323" s="109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>
      <c r="A324" s="109">
        <v>1</v>
      </c>
      <c r="B324" s="109"/>
      <c r="C324" s="109"/>
      <c r="D324" s="109"/>
      <c r="E324" s="109"/>
      <c r="F324" s="109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>
      <c r="A325" s="106" t="s">
        <v>67</v>
      </c>
      <c r="B325" s="106"/>
      <c r="C325" s="106"/>
      <c r="D325" s="106"/>
      <c r="E325" s="106"/>
      <c r="F325" s="106"/>
      <c r="G325" s="21"/>
      <c r="H325" s="22"/>
      <c r="I325" s="21">
        <f>SUM(I326:I327)</f>
        <v>0</v>
      </c>
      <c r="J325" s="21"/>
      <c r="K325" s="21"/>
      <c r="L325" s="21"/>
    </row>
    <row r="326" spans="1:12">
      <c r="A326" s="107" t="s">
        <v>68</v>
      </c>
      <c r="B326" s="107"/>
      <c r="C326" s="107"/>
      <c r="D326" s="107"/>
      <c r="E326" s="107"/>
      <c r="F326" s="107"/>
      <c r="G326" s="23">
        <f>(G303-A305)/360</f>
        <v>1.1000000000000001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>
      <c r="A327" s="107" t="s">
        <v>69</v>
      </c>
      <c r="B327" s="107"/>
      <c r="C327" s="107"/>
      <c r="D327" s="107"/>
      <c r="E327" s="107"/>
      <c r="F327" s="107"/>
      <c r="G327" s="23"/>
      <c r="H327" s="24"/>
      <c r="I327" s="23"/>
      <c r="J327" s="25"/>
      <c r="K327" s="26"/>
      <c r="L327" s="26"/>
    </row>
    <row r="328" spans="1:12">
      <c r="A328" s="106" t="s">
        <v>70</v>
      </c>
      <c r="B328" s="106"/>
      <c r="C328" s="106"/>
      <c r="D328" s="106"/>
      <c r="E328" s="106"/>
      <c r="F328" s="106"/>
      <c r="G328" s="21"/>
      <c r="H328" s="22"/>
      <c r="I328" s="21">
        <f>SUM(I329:I331)</f>
        <v>0</v>
      </c>
      <c r="J328" s="21"/>
      <c r="K328" s="21"/>
      <c r="L328" s="21"/>
    </row>
    <row r="329" spans="1:12">
      <c r="A329" s="107" t="s">
        <v>71</v>
      </c>
      <c r="B329" s="107"/>
      <c r="C329" s="107"/>
      <c r="D329" s="107"/>
      <c r="E329" s="107"/>
      <c r="F329" s="107"/>
      <c r="G329" s="23"/>
      <c r="H329" s="24"/>
      <c r="I329" s="23"/>
      <c r="J329" s="25"/>
      <c r="K329" s="26"/>
      <c r="L329" s="26"/>
    </row>
    <row r="330" spans="1:12">
      <c r="A330" s="107" t="s">
        <v>72</v>
      </c>
      <c r="B330" s="107"/>
      <c r="C330" s="107"/>
      <c r="D330" s="107"/>
      <c r="E330" s="107"/>
      <c r="F330" s="107"/>
      <c r="G330" s="23"/>
      <c r="H330" s="31">
        <v>0</v>
      </c>
      <c r="I330" s="23"/>
      <c r="J330" s="25"/>
      <c r="K330" s="26"/>
      <c r="L330" s="26"/>
    </row>
    <row r="331" spans="1:12">
      <c r="A331" s="107" t="s">
        <v>73</v>
      </c>
      <c r="B331" s="107"/>
      <c r="C331" s="107"/>
      <c r="D331" s="107"/>
      <c r="E331" s="107"/>
      <c r="F331" s="107"/>
      <c r="G331" s="23"/>
      <c r="H331" s="24"/>
      <c r="I331" s="23"/>
      <c r="J331" s="25"/>
      <c r="K331" s="26"/>
      <c r="L331" s="26"/>
    </row>
    <row r="332" spans="1:12">
      <c r="A332" s="111" t="s">
        <v>74</v>
      </c>
      <c r="B332" s="111"/>
      <c r="C332" s="111"/>
      <c r="D332" s="111"/>
      <c r="E332" s="111"/>
      <c r="F332" s="111"/>
      <c r="G332" s="32"/>
      <c r="H332" s="33"/>
      <c r="I332" s="32">
        <f>I314+I325+I328</f>
        <v>2807.8</v>
      </c>
      <c r="J332" s="33"/>
      <c r="K332" s="33"/>
      <c r="L332" s="33"/>
    </row>
    <row r="333" spans="1:12">
      <c r="A333" s="111" t="s">
        <v>75</v>
      </c>
      <c r="B333" s="111"/>
      <c r="C333" s="111"/>
      <c r="D333" s="111"/>
      <c r="E333" s="111"/>
      <c r="F333" s="111"/>
      <c r="G333" s="32"/>
      <c r="H333" s="33"/>
      <c r="I333" s="32">
        <f>I332-I328</f>
        <v>2807.8</v>
      </c>
      <c r="J333" s="33"/>
      <c r="K333" s="33"/>
      <c r="L333" s="33"/>
    </row>
    <row r="334" spans="1:12">
      <c r="A334" s="107" t="s">
        <v>76</v>
      </c>
      <c r="B334" s="107"/>
      <c r="C334" s="107"/>
      <c r="D334" s="107"/>
      <c r="E334" s="107"/>
      <c r="F334" s="107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>
      <c r="A335" s="107" t="s">
        <v>77</v>
      </c>
      <c r="B335" s="107"/>
      <c r="C335" s="107"/>
      <c r="D335" s="107"/>
      <c r="E335" s="107"/>
      <c r="F335" s="107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>
      <c r="A336" s="107" t="s">
        <v>78</v>
      </c>
      <c r="B336" s="107"/>
      <c r="C336" s="107"/>
      <c r="D336" s="107"/>
      <c r="E336" s="107"/>
      <c r="F336" s="107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>
      <c r="A337" s="107" t="s">
        <v>79</v>
      </c>
      <c r="B337" s="107"/>
      <c r="C337" s="107"/>
      <c r="D337" s="107"/>
      <c r="E337" s="107"/>
      <c r="F337" s="107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>
      <c r="A338" s="107" t="s">
        <v>80</v>
      </c>
      <c r="B338" s="107"/>
      <c r="C338" s="107"/>
      <c r="D338" s="107"/>
      <c r="E338" s="107"/>
      <c r="F338" s="107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>
      <c r="A339" s="107" t="s">
        <v>81</v>
      </c>
      <c r="B339" s="107"/>
      <c r="C339" s="107"/>
      <c r="D339" s="107"/>
      <c r="E339" s="107"/>
      <c r="F339" s="107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>
      <c r="A340" s="107" t="s">
        <v>24</v>
      </c>
      <c r="B340" s="107"/>
      <c r="C340" s="107"/>
      <c r="D340" s="107"/>
      <c r="E340" s="107"/>
      <c r="F340" s="107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>
      <c r="A341" s="110" t="s">
        <v>82</v>
      </c>
      <c r="B341" s="110"/>
      <c r="C341" s="110"/>
      <c r="D341" s="110"/>
      <c r="E341" s="110"/>
      <c r="F341" s="110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>
      <c r="A342" s="110" t="s">
        <v>83</v>
      </c>
      <c r="B342" s="110"/>
      <c r="C342" s="110"/>
      <c r="D342" s="110"/>
      <c r="E342" s="110"/>
      <c r="F342" s="110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>
      <c r="A343" s="106" t="s">
        <v>84</v>
      </c>
      <c r="B343" s="106"/>
      <c r="C343" s="106"/>
      <c r="D343" s="106"/>
      <c r="E343" s="106"/>
      <c r="F343" s="106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>
      <c r="A344" s="107" t="s">
        <v>85</v>
      </c>
      <c r="B344" s="107"/>
      <c r="C344" s="107"/>
      <c r="D344" s="107"/>
      <c r="E344" s="107"/>
      <c r="F344" s="107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>
      <c r="A345" s="111" t="s">
        <v>86</v>
      </c>
      <c r="B345" s="111"/>
      <c r="C345" s="111"/>
      <c r="D345" s="111"/>
      <c r="E345" s="111"/>
      <c r="F345" s="111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>
      <c r="A346" s="107" t="s">
        <v>87</v>
      </c>
      <c r="B346" s="107"/>
      <c r="C346" s="107"/>
      <c r="D346" s="107"/>
      <c r="E346" s="107"/>
      <c r="F346" s="107"/>
      <c r="G346" s="23"/>
      <c r="H346" s="34"/>
      <c r="I346" s="23">
        <f>H346*180/360</f>
        <v>0</v>
      </c>
      <c r="J346" s="23"/>
      <c r="K346" s="46"/>
      <c r="L346" s="47"/>
    </row>
    <row r="347" spans="1:12">
      <c r="A347" s="111" t="s">
        <v>88</v>
      </c>
      <c r="B347" s="111"/>
      <c r="C347" s="111"/>
      <c r="D347" s="111"/>
      <c r="E347" s="111"/>
      <c r="F347" s="111"/>
      <c r="G347" s="32"/>
      <c r="H347" s="33"/>
      <c r="I347" s="32">
        <f>I345-I346</f>
        <v>2056.9942800000003</v>
      </c>
      <c r="J347" s="33"/>
      <c r="K347" s="33"/>
      <c r="L347" s="33"/>
    </row>
    <row r="348" spans="1:12">
      <c r="A348" s="107" t="s">
        <v>89</v>
      </c>
      <c r="B348" s="107"/>
      <c r="C348" s="107"/>
      <c r="D348" s="107"/>
      <c r="E348" s="107"/>
      <c r="F348" s="107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>
      <c r="A349" s="107" t="s">
        <v>90</v>
      </c>
      <c r="B349" s="107"/>
      <c r="C349" s="107"/>
      <c r="D349" s="107"/>
      <c r="E349" s="107"/>
      <c r="F349" s="107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>
      <c r="A350" s="106" t="s">
        <v>91</v>
      </c>
      <c r="B350" s="106"/>
      <c r="C350" s="106"/>
      <c r="D350" s="106"/>
      <c r="E350" s="106"/>
      <c r="F350" s="106"/>
      <c r="G350" s="21"/>
      <c r="H350" s="22"/>
      <c r="I350" s="21"/>
      <c r="J350" s="21">
        <f>J348-J349</f>
        <v>0</v>
      </c>
      <c r="K350" s="21"/>
      <c r="L350" s="21"/>
    </row>
    <row r="351" spans="1:12">
      <c r="A351" s="112" t="s">
        <v>92</v>
      </c>
      <c r="B351" s="112"/>
      <c r="C351" s="112"/>
      <c r="D351" s="112"/>
      <c r="E351" s="112"/>
      <c r="F351" s="112"/>
      <c r="G351" s="25"/>
      <c r="H351" s="48"/>
      <c r="I351" s="47"/>
      <c r="J351" s="49">
        <v>0</v>
      </c>
      <c r="K351" s="46"/>
      <c r="L351" s="47"/>
    </row>
    <row r="352" spans="1:12">
      <c r="A352" s="107" t="s">
        <v>93</v>
      </c>
      <c r="B352" s="107"/>
      <c r="C352" s="107"/>
      <c r="D352" s="107"/>
      <c r="E352" s="107"/>
      <c r="F352" s="107"/>
      <c r="G352" s="25"/>
      <c r="H352" s="48"/>
      <c r="I352" s="44"/>
      <c r="J352" s="28">
        <v>1000</v>
      </c>
      <c r="K352" s="46"/>
      <c r="L352" s="47"/>
    </row>
    <row r="353" spans="1:12">
      <c r="A353" s="113" t="s">
        <v>94</v>
      </c>
      <c r="B353" s="113"/>
      <c r="C353" s="113"/>
      <c r="D353" s="113"/>
      <c r="E353" s="113"/>
      <c r="F353" s="113"/>
      <c r="G353" s="41"/>
      <c r="H353" s="42"/>
      <c r="I353" s="28">
        <f>1-0.55</f>
        <v>0.44999999999999996</v>
      </c>
      <c r="J353" s="41"/>
      <c r="K353" s="43"/>
      <c r="L353" s="44"/>
    </row>
    <row r="354" spans="1:1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>
      <c r="A355" s="14" t="s">
        <v>95</v>
      </c>
      <c r="B355" s="14" t="s">
        <v>96</v>
      </c>
      <c r="C355" s="14" t="s">
        <v>97</v>
      </c>
      <c r="D355" s="104" t="s">
        <v>98</v>
      </c>
      <c r="E355" s="104"/>
      <c r="F355" s="104"/>
      <c r="G355" s="14" t="s">
        <v>99</v>
      </c>
      <c r="H355" s="50"/>
      <c r="I355" s="52">
        <f>I332+I353</f>
        <v>2808.25</v>
      </c>
      <c r="J355" s="52">
        <f>J343+J350+J351+J352</f>
        <v>1189.2457200000001</v>
      </c>
      <c r="K355" s="14" t="s">
        <v>100</v>
      </c>
      <c r="L355" s="52">
        <f>L343</f>
        <v>648.32101999999998</v>
      </c>
    </row>
    <row r="356" spans="1:12">
      <c r="A356" s="52">
        <f>25270.2+I332</f>
        <v>28078</v>
      </c>
      <c r="B356" s="52">
        <f>25270.2+I333</f>
        <v>28078</v>
      </c>
      <c r="C356" s="52">
        <f>1132.11+J334</f>
        <v>1257.8994399999999</v>
      </c>
      <c r="D356" s="114">
        <f>0+J350</f>
        <v>0</v>
      </c>
      <c r="E356" s="114"/>
      <c r="F356" s="114"/>
      <c r="G356" s="52">
        <f>17071.02+I355</f>
        <v>19879.27</v>
      </c>
      <c r="H356" s="104" t="s">
        <v>101</v>
      </c>
      <c r="I356" s="104"/>
      <c r="J356" s="52">
        <f>I355-J355</f>
        <v>1619.0042799999999</v>
      </c>
      <c r="K356" s="14" t="s">
        <v>102</v>
      </c>
      <c r="L356" s="52">
        <f>5834.88+L355</f>
        <v>6483.2010200000004</v>
      </c>
    </row>
    <row r="357" spans="1:1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2267.3253</v>
      </c>
    </row>
    <row r="361" spans="1:12">
      <c r="A361" s="105" t="s">
        <v>26</v>
      </c>
      <c r="B361" s="105"/>
      <c r="C361" s="105" t="s">
        <v>27</v>
      </c>
      <c r="D361" s="105"/>
      <c r="E361" s="105"/>
      <c r="F361" s="105"/>
      <c r="G361" s="105" t="s">
        <v>28</v>
      </c>
      <c r="H361" s="105"/>
      <c r="I361" s="105"/>
      <c r="J361" s="105" t="s">
        <v>29</v>
      </c>
      <c r="K361" s="105"/>
      <c r="L361" s="105"/>
    </row>
    <row r="362" spans="1:12">
      <c r="A362" s="14" t="s">
        <v>30</v>
      </c>
      <c r="B362" s="104" t="s">
        <v>31</v>
      </c>
      <c r="C362" s="104"/>
      <c r="D362" s="104"/>
      <c r="E362" s="104"/>
      <c r="F362" s="104"/>
      <c r="G362" s="104" t="s">
        <v>32</v>
      </c>
      <c r="H362" s="104"/>
      <c r="I362" s="104"/>
      <c r="J362" s="104"/>
      <c r="K362" s="104"/>
      <c r="L362" s="104"/>
    </row>
    <row r="363" spans="1:12">
      <c r="A363" s="16">
        <v>8</v>
      </c>
      <c r="B363" s="102" t="s">
        <v>113</v>
      </c>
      <c r="C363" s="102"/>
      <c r="D363" s="102"/>
      <c r="E363" s="102"/>
      <c r="F363" s="102"/>
      <c r="G363" s="103">
        <v>42401</v>
      </c>
      <c r="H363" s="103"/>
      <c r="I363" s="103"/>
      <c r="J363" s="103">
        <v>42429</v>
      </c>
      <c r="K363" s="103"/>
      <c r="L363" s="103"/>
    </row>
    <row r="364" spans="1:12">
      <c r="A364" s="14" t="s">
        <v>34</v>
      </c>
      <c r="B364" s="14" t="s">
        <v>35</v>
      </c>
      <c r="C364" s="14" t="s">
        <v>36</v>
      </c>
      <c r="D364" s="14" t="s">
        <v>37</v>
      </c>
      <c r="E364" s="14" t="s">
        <v>38</v>
      </c>
      <c r="F364" s="14" t="s">
        <v>39</v>
      </c>
      <c r="G364" s="104" t="s">
        <v>40</v>
      </c>
      <c r="H364" s="104"/>
      <c r="I364" s="104"/>
      <c r="J364" s="104"/>
      <c r="K364" s="104"/>
      <c r="L364" s="104"/>
    </row>
    <row r="365" spans="1:12">
      <c r="A365" s="17">
        <v>42278</v>
      </c>
      <c r="B365" s="16"/>
      <c r="C365" s="17">
        <v>33665</v>
      </c>
      <c r="D365" s="16" t="s">
        <v>111</v>
      </c>
      <c r="E365" s="16">
        <v>0</v>
      </c>
      <c r="F365" s="16">
        <v>0</v>
      </c>
      <c r="G365" s="102"/>
      <c r="H365" s="102"/>
      <c r="I365" s="102"/>
      <c r="J365" s="102"/>
      <c r="K365" s="102"/>
      <c r="L365" s="102"/>
    </row>
    <row r="366" spans="1:12">
      <c r="A366" s="14" t="s">
        <v>42</v>
      </c>
      <c r="B366" s="14" t="s">
        <v>43</v>
      </c>
      <c r="C366" s="14" t="s">
        <v>44</v>
      </c>
      <c r="D366" s="104" t="s">
        <v>45</v>
      </c>
      <c r="E366" s="104"/>
      <c r="F366" s="104"/>
      <c r="G366" s="104" t="s">
        <v>46</v>
      </c>
      <c r="H366" s="104"/>
      <c r="I366" s="104"/>
      <c r="J366" s="104"/>
      <c r="K366" s="104"/>
      <c r="L366" s="104"/>
    </row>
    <row r="367" spans="1:12">
      <c r="A367" s="16">
        <v>164315198</v>
      </c>
      <c r="B367" s="16"/>
      <c r="C367" s="16"/>
      <c r="D367" s="102" t="s">
        <v>47</v>
      </c>
      <c r="E367" s="102"/>
      <c r="F367" s="102"/>
      <c r="G367" s="102" t="s">
        <v>114</v>
      </c>
      <c r="H367" s="102"/>
      <c r="I367" s="102"/>
      <c r="J367" s="102"/>
      <c r="K367" s="102"/>
      <c r="L367" s="102"/>
    </row>
    <row r="368" spans="1:1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>
      <c r="A371" s="108" t="s">
        <v>49</v>
      </c>
      <c r="B371" s="108"/>
      <c r="C371" s="108"/>
      <c r="D371" s="108"/>
      <c r="E371" s="108"/>
      <c r="F371" s="108"/>
      <c r="G371" s="108" t="s">
        <v>50</v>
      </c>
      <c r="H371" s="108" t="s">
        <v>51</v>
      </c>
      <c r="I371" s="108" t="s">
        <v>52</v>
      </c>
      <c r="J371" s="108"/>
      <c r="K371" s="108" t="s">
        <v>53</v>
      </c>
      <c r="L371" s="108"/>
    </row>
    <row r="372" spans="1:12">
      <c r="A372" s="108"/>
      <c r="B372" s="108"/>
      <c r="C372" s="108"/>
      <c r="D372" s="108"/>
      <c r="E372" s="108"/>
      <c r="F372" s="108"/>
      <c r="G372" s="108"/>
      <c r="H372" s="108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>
      <c r="A373" s="106" t="s">
        <v>58</v>
      </c>
      <c r="B373" s="106"/>
      <c r="C373" s="106"/>
      <c r="D373" s="106"/>
      <c r="E373" s="106"/>
      <c r="F373" s="106"/>
      <c r="G373" s="21">
        <v>3665.6</v>
      </c>
      <c r="H373" s="22"/>
      <c r="I373" s="21"/>
      <c r="J373" s="21"/>
      <c r="K373" s="21"/>
      <c r="L373" s="21"/>
    </row>
    <row r="374" spans="1:12">
      <c r="A374" s="106" t="s">
        <v>59</v>
      </c>
      <c r="B374" s="106"/>
      <c r="C374" s="106"/>
      <c r="D374" s="106"/>
      <c r="E374" s="106"/>
      <c r="F374" s="106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>
      <c r="A375" s="107" t="s">
        <v>60</v>
      </c>
      <c r="B375" s="107"/>
      <c r="C375" s="107"/>
      <c r="D375" s="107"/>
      <c r="E375" s="107"/>
      <c r="F375" s="107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>
      <c r="A376" s="107" t="s">
        <v>61</v>
      </c>
      <c r="B376" s="107"/>
      <c r="C376" s="107"/>
      <c r="D376" s="107"/>
      <c r="E376" s="107"/>
      <c r="F376" s="107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>
      <c r="A377" s="107" t="s">
        <v>62</v>
      </c>
      <c r="B377" s="107"/>
      <c r="C377" s="107"/>
      <c r="D377" s="107"/>
      <c r="E377" s="107"/>
      <c r="F377" s="107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>
      <c r="A378" s="107" t="s">
        <v>63</v>
      </c>
      <c r="B378" s="107"/>
      <c r="C378" s="107"/>
      <c r="D378" s="107"/>
      <c r="E378" s="107"/>
      <c r="F378" s="107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>
      <c r="A379" s="107" t="s">
        <v>64</v>
      </c>
      <c r="B379" s="107"/>
      <c r="C379" s="107"/>
      <c r="D379" s="107"/>
      <c r="E379" s="107"/>
      <c r="F379" s="107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>
      <c r="A380" s="107" t="s">
        <v>65</v>
      </c>
      <c r="B380" s="107"/>
      <c r="C380" s="107"/>
      <c r="D380" s="107"/>
      <c r="E380" s="107"/>
      <c r="F380" s="107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>
      <c r="A381" s="107" t="s">
        <v>66</v>
      </c>
      <c r="B381" s="107"/>
      <c r="C381" s="107"/>
      <c r="D381" s="107"/>
      <c r="E381" s="107"/>
      <c r="F381" s="107"/>
      <c r="G381" s="29"/>
      <c r="H381" s="30"/>
      <c r="I381" s="30"/>
      <c r="J381" s="25"/>
      <c r="K381" s="26"/>
      <c r="L381" s="26"/>
    </row>
    <row r="382" spans="1:12">
      <c r="A382" s="109">
        <v>0.25</v>
      </c>
      <c r="B382" s="109"/>
      <c r="C382" s="109"/>
      <c r="D382" s="109"/>
      <c r="E382" s="109"/>
      <c r="F382" s="109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>
      <c r="A383" s="109">
        <v>0.5</v>
      </c>
      <c r="B383" s="109"/>
      <c r="C383" s="109"/>
      <c r="D383" s="109"/>
      <c r="E383" s="109"/>
      <c r="F383" s="109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>
      <c r="A384" s="109">
        <v>1</v>
      </c>
      <c r="B384" s="109"/>
      <c r="C384" s="109"/>
      <c r="D384" s="109"/>
      <c r="E384" s="109"/>
      <c r="F384" s="109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>
      <c r="A385" s="106" t="s">
        <v>67</v>
      </c>
      <c r="B385" s="106"/>
      <c r="C385" s="106"/>
      <c r="D385" s="106"/>
      <c r="E385" s="106"/>
      <c r="F385" s="106"/>
      <c r="G385" s="21"/>
      <c r="H385" s="22"/>
      <c r="I385" s="21">
        <f>SUM(I386:I387)</f>
        <v>0</v>
      </c>
      <c r="J385" s="21"/>
      <c r="K385" s="21"/>
      <c r="L385" s="21"/>
    </row>
    <row r="386" spans="1:12">
      <c r="A386" s="107" t="s">
        <v>68</v>
      </c>
      <c r="B386" s="107"/>
      <c r="C386" s="107"/>
      <c r="D386" s="107"/>
      <c r="E386" s="107"/>
      <c r="F386" s="107"/>
      <c r="G386" s="23">
        <f>(G363-A365)/360</f>
        <v>0.34166666666666667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>
      <c r="A387" s="107" t="s">
        <v>69</v>
      </c>
      <c r="B387" s="107"/>
      <c r="C387" s="107"/>
      <c r="D387" s="107"/>
      <c r="E387" s="107"/>
      <c r="F387" s="107"/>
      <c r="G387" s="23"/>
      <c r="H387" s="24"/>
      <c r="I387" s="23"/>
      <c r="J387" s="25"/>
      <c r="K387" s="26"/>
      <c r="L387" s="26"/>
    </row>
    <row r="388" spans="1:12">
      <c r="A388" s="106" t="s">
        <v>70</v>
      </c>
      <c r="B388" s="106"/>
      <c r="C388" s="106"/>
      <c r="D388" s="106"/>
      <c r="E388" s="106"/>
      <c r="F388" s="106"/>
      <c r="G388" s="21"/>
      <c r="H388" s="22"/>
      <c r="I388" s="21">
        <f>SUM(I389:I391)</f>
        <v>600</v>
      </c>
      <c r="J388" s="21"/>
      <c r="K388" s="21"/>
      <c r="L388" s="21"/>
    </row>
    <row r="389" spans="1:12">
      <c r="A389" s="107" t="s">
        <v>71</v>
      </c>
      <c r="B389" s="107"/>
      <c r="C389" s="107"/>
      <c r="D389" s="107"/>
      <c r="E389" s="107"/>
      <c r="F389" s="107"/>
      <c r="G389" s="23"/>
      <c r="H389" s="24"/>
      <c r="I389" s="23">
        <v>600</v>
      </c>
      <c r="J389" s="25"/>
      <c r="K389" s="26"/>
      <c r="L389" s="26"/>
    </row>
    <row r="390" spans="1:12">
      <c r="A390" s="107" t="s">
        <v>72</v>
      </c>
      <c r="B390" s="107"/>
      <c r="C390" s="107"/>
      <c r="D390" s="107"/>
      <c r="E390" s="107"/>
      <c r="F390" s="107"/>
      <c r="G390" s="23"/>
      <c r="H390" s="31">
        <v>0</v>
      </c>
      <c r="I390" s="23"/>
      <c r="J390" s="25"/>
      <c r="K390" s="26"/>
      <c r="L390" s="26"/>
    </row>
    <row r="391" spans="1:12">
      <c r="A391" s="107" t="s">
        <v>73</v>
      </c>
      <c r="B391" s="107"/>
      <c r="C391" s="107"/>
      <c r="D391" s="107"/>
      <c r="E391" s="107"/>
      <c r="F391" s="107"/>
      <c r="G391" s="23"/>
      <c r="H391" s="24"/>
      <c r="I391" s="23"/>
      <c r="J391" s="25"/>
      <c r="K391" s="26"/>
      <c r="L391" s="26"/>
    </row>
    <row r="392" spans="1:12">
      <c r="A392" s="111" t="s">
        <v>74</v>
      </c>
      <c r="B392" s="111"/>
      <c r="C392" s="111"/>
      <c r="D392" s="111"/>
      <c r="E392" s="111"/>
      <c r="F392" s="111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>
      <c r="A393" s="111" t="s">
        <v>75</v>
      </c>
      <c r="B393" s="111"/>
      <c r="C393" s="111"/>
      <c r="D393" s="111"/>
      <c r="E393" s="111"/>
      <c r="F393" s="111"/>
      <c r="G393" s="32"/>
      <c r="H393" s="33"/>
      <c r="I393" s="32">
        <f>I392-I388</f>
        <v>3665.6000000000004</v>
      </c>
      <c r="J393" s="33"/>
      <c r="K393" s="33"/>
      <c r="L393" s="33"/>
    </row>
    <row r="394" spans="1:12">
      <c r="A394" s="107" t="s">
        <v>76</v>
      </c>
      <c r="B394" s="107"/>
      <c r="C394" s="107"/>
      <c r="D394" s="107"/>
      <c r="E394" s="107"/>
      <c r="F394" s="107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>
      <c r="A395" s="107" t="s">
        <v>77</v>
      </c>
      <c r="B395" s="107"/>
      <c r="C395" s="107"/>
      <c r="D395" s="107"/>
      <c r="E395" s="107"/>
      <c r="F395" s="107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>
      <c r="A396" s="107" t="s">
        <v>78</v>
      </c>
      <c r="B396" s="107"/>
      <c r="C396" s="107"/>
      <c r="D396" s="107"/>
      <c r="E396" s="107"/>
      <c r="F396" s="107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>
      <c r="A397" s="107" t="s">
        <v>79</v>
      </c>
      <c r="B397" s="107"/>
      <c r="C397" s="107"/>
      <c r="D397" s="107"/>
      <c r="E397" s="107"/>
      <c r="F397" s="107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>
      <c r="A398" s="107" t="s">
        <v>80</v>
      </c>
      <c r="B398" s="107"/>
      <c r="C398" s="107"/>
      <c r="D398" s="107"/>
      <c r="E398" s="107"/>
      <c r="F398" s="107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>
      <c r="A399" s="107" t="s">
        <v>81</v>
      </c>
      <c r="B399" s="107"/>
      <c r="C399" s="107"/>
      <c r="D399" s="107"/>
      <c r="E399" s="107"/>
      <c r="F399" s="107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>
      <c r="A400" s="107" t="s">
        <v>24</v>
      </c>
      <c r="B400" s="107"/>
      <c r="C400" s="107"/>
      <c r="D400" s="107"/>
      <c r="E400" s="107"/>
      <c r="F400" s="107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>
      <c r="A401" s="110" t="s">
        <v>82</v>
      </c>
      <c r="B401" s="110"/>
      <c r="C401" s="110"/>
      <c r="D401" s="110"/>
      <c r="E401" s="110"/>
      <c r="F401" s="110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>
      <c r="A402" s="110" t="s">
        <v>83</v>
      </c>
      <c r="B402" s="110"/>
      <c r="C402" s="110"/>
      <c r="D402" s="110"/>
      <c r="E402" s="110"/>
      <c r="F402" s="110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>
      <c r="A403" s="106" t="s">
        <v>84</v>
      </c>
      <c r="B403" s="106"/>
      <c r="C403" s="106"/>
      <c r="D403" s="106"/>
      <c r="E403" s="106"/>
      <c r="F403" s="106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>
      <c r="A404" s="107" t="s">
        <v>85</v>
      </c>
      <c r="B404" s="107"/>
      <c r="C404" s="107"/>
      <c r="D404" s="107"/>
      <c r="E404" s="107"/>
      <c r="F404" s="107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>
      <c r="A405" s="111" t="s">
        <v>86</v>
      </c>
      <c r="B405" s="111"/>
      <c r="C405" s="111"/>
      <c r="D405" s="111"/>
      <c r="E405" s="111"/>
      <c r="F405" s="111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>
      <c r="A406" s="107" t="s">
        <v>87</v>
      </c>
      <c r="B406" s="107"/>
      <c r="C406" s="107"/>
      <c r="D406" s="107"/>
      <c r="E406" s="107"/>
      <c r="F406" s="107"/>
      <c r="G406" s="23"/>
      <c r="H406" s="34"/>
      <c r="I406" s="23">
        <f>H406*180/360</f>
        <v>0</v>
      </c>
      <c r="J406" s="23"/>
      <c r="K406" s="46"/>
      <c r="L406" s="47"/>
    </row>
    <row r="407" spans="1:12">
      <c r="A407" s="111" t="s">
        <v>115</v>
      </c>
      <c r="B407" s="111"/>
      <c r="C407" s="111"/>
      <c r="D407" s="111"/>
      <c r="E407" s="111"/>
      <c r="F407" s="111"/>
      <c r="G407" s="32"/>
      <c r="H407" s="33"/>
      <c r="I407" s="32">
        <f>I405-I406</f>
        <v>2685.4185600000001</v>
      </c>
      <c r="J407" s="33"/>
      <c r="K407" s="33"/>
      <c r="L407" s="33"/>
    </row>
    <row r="408" spans="1:12">
      <c r="A408" s="107" t="s">
        <v>89</v>
      </c>
      <c r="B408" s="107"/>
      <c r="C408" s="107"/>
      <c r="D408" s="107"/>
      <c r="E408" s="107"/>
      <c r="F408" s="107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>
      <c r="A409" s="107" t="s">
        <v>90</v>
      </c>
      <c r="B409" s="107"/>
      <c r="C409" s="107"/>
      <c r="D409" s="107"/>
      <c r="E409" s="107"/>
      <c r="F409" s="107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>
      <c r="A410" s="106" t="s">
        <v>91</v>
      </c>
      <c r="B410" s="106"/>
      <c r="C410" s="106"/>
      <c r="D410" s="106"/>
      <c r="E410" s="106"/>
      <c r="F410" s="106"/>
      <c r="G410" s="21"/>
      <c r="H410" s="22"/>
      <c r="I410" s="21"/>
      <c r="J410" s="21">
        <f>J408-J409</f>
        <v>18.541855999999996</v>
      </c>
      <c r="K410" s="21"/>
      <c r="L410" s="21"/>
    </row>
    <row r="411" spans="1:12">
      <c r="A411" s="112" t="s">
        <v>92</v>
      </c>
      <c r="B411" s="112"/>
      <c r="C411" s="112"/>
      <c r="D411" s="112"/>
      <c r="E411" s="112"/>
      <c r="F411" s="112"/>
      <c r="G411" s="25"/>
      <c r="H411" s="48"/>
      <c r="I411" s="47"/>
      <c r="J411" s="49">
        <v>0</v>
      </c>
      <c r="K411" s="46"/>
      <c r="L411" s="47"/>
    </row>
    <row r="412" spans="1:12">
      <c r="A412" s="107" t="s">
        <v>93</v>
      </c>
      <c r="B412" s="107"/>
      <c r="C412" s="107"/>
      <c r="D412" s="107"/>
      <c r="E412" s="107"/>
      <c r="F412" s="107"/>
      <c r="G412" s="25"/>
      <c r="H412" s="48"/>
      <c r="I412" s="44"/>
      <c r="J412" s="28">
        <v>0</v>
      </c>
      <c r="K412" s="46"/>
      <c r="L412" s="47"/>
    </row>
    <row r="413" spans="1:12">
      <c r="A413" s="113" t="s">
        <v>94</v>
      </c>
      <c r="B413" s="113"/>
      <c r="C413" s="113"/>
      <c r="D413" s="113"/>
      <c r="E413" s="113"/>
      <c r="F413" s="113"/>
      <c r="G413" s="41"/>
      <c r="H413" s="42"/>
      <c r="I413" s="28"/>
      <c r="J413" s="41"/>
      <c r="K413" s="43"/>
      <c r="L413" s="44"/>
    </row>
    <row r="414" spans="1:1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>
      <c r="A415" s="14" t="s">
        <v>95</v>
      </c>
      <c r="B415" s="14" t="s">
        <v>96</v>
      </c>
      <c r="C415" s="14" t="s">
        <v>97</v>
      </c>
      <c r="D415" s="104" t="s">
        <v>98</v>
      </c>
      <c r="E415" s="104"/>
      <c r="F415" s="104"/>
      <c r="G415" s="14" t="s">
        <v>99</v>
      </c>
      <c r="H415" s="50"/>
      <c r="I415" s="52">
        <f>I392+I413</f>
        <v>4265.6000000000004</v>
      </c>
      <c r="J415" s="52">
        <f>J403+J410+J411+J412</f>
        <v>265.60329600000006</v>
      </c>
      <c r="K415" s="14" t="s">
        <v>100</v>
      </c>
      <c r="L415" s="52">
        <f>L403</f>
        <v>846.38704000000007</v>
      </c>
    </row>
    <row r="416" spans="1:12">
      <c r="A416" s="52">
        <f>38390.4+I392</f>
        <v>42656</v>
      </c>
      <c r="B416" s="52">
        <f>32990.4+I393</f>
        <v>36656</v>
      </c>
      <c r="C416" s="52">
        <f>1477.98+J394</f>
        <v>1642.1988800000001</v>
      </c>
      <c r="D416" s="114">
        <f>166.87+J410</f>
        <v>185.411856</v>
      </c>
      <c r="E416" s="114"/>
      <c r="F416" s="114"/>
      <c r="G416" s="52">
        <f>36000+I415</f>
        <v>40265.599999999999</v>
      </c>
      <c r="H416" s="104" t="s">
        <v>101</v>
      </c>
      <c r="I416" s="104"/>
      <c r="J416" s="52">
        <f>I415-J415</f>
        <v>3999.9967040000001</v>
      </c>
      <c r="K416" s="14" t="s">
        <v>102</v>
      </c>
      <c r="L416" s="52">
        <f>8246.37+L415</f>
        <v>9092.7570400000004</v>
      </c>
    </row>
    <row r="417" spans="1:1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17"/>
  <sheetViews>
    <sheetView workbookViewId="0">
      <selection activeCell="G364" sqref="G364:L364"/>
    </sheetView>
  </sheetViews>
  <sheetFormatPr baseColWidth="10" defaultRowHeight="15"/>
  <sheetData>
    <row r="1" spans="1:12">
      <c r="A1" s="105" t="s">
        <v>26</v>
      </c>
      <c r="B1" s="105"/>
      <c r="C1" s="105" t="s">
        <v>27</v>
      </c>
      <c r="D1" s="105"/>
      <c r="E1" s="105"/>
      <c r="F1" s="105"/>
      <c r="G1" s="105" t="s">
        <v>28</v>
      </c>
      <c r="H1" s="105"/>
      <c r="I1" s="105"/>
      <c r="J1" s="105" t="s">
        <v>29</v>
      </c>
      <c r="K1" s="105"/>
      <c r="L1" s="105"/>
    </row>
    <row r="2" spans="1:12">
      <c r="A2" s="14" t="s">
        <v>30</v>
      </c>
      <c r="B2" s="104" t="s">
        <v>31</v>
      </c>
      <c r="C2" s="104"/>
      <c r="D2" s="104"/>
      <c r="E2" s="104"/>
      <c r="F2" s="104"/>
      <c r="G2" s="104" t="s">
        <v>32</v>
      </c>
      <c r="H2" s="104"/>
      <c r="I2" s="104"/>
      <c r="J2" s="104"/>
      <c r="K2" s="104"/>
      <c r="L2" s="104"/>
    </row>
    <row r="3" spans="1:12">
      <c r="A3" s="16">
        <v>1</v>
      </c>
      <c r="B3" s="102" t="s">
        <v>33</v>
      </c>
      <c r="C3" s="102"/>
      <c r="D3" s="102"/>
      <c r="E3" s="102"/>
      <c r="F3" s="102"/>
      <c r="G3" s="103">
        <v>42430</v>
      </c>
      <c r="H3" s="103"/>
      <c r="I3" s="103"/>
      <c r="J3" s="103">
        <v>42460</v>
      </c>
      <c r="K3" s="103"/>
      <c r="L3" s="103"/>
    </row>
    <row r="4" spans="1:12">
      <c r="A4" s="14" t="s">
        <v>34</v>
      </c>
      <c r="B4" s="14" t="s">
        <v>35</v>
      </c>
      <c r="C4" s="14" t="s">
        <v>36</v>
      </c>
      <c r="D4" s="14" t="s">
        <v>37</v>
      </c>
      <c r="E4" s="14" t="s">
        <v>38</v>
      </c>
      <c r="F4" s="14" t="s">
        <v>39</v>
      </c>
      <c r="G4" s="104" t="s">
        <v>40</v>
      </c>
      <c r="H4" s="104"/>
      <c r="I4" s="104"/>
      <c r="J4" s="104"/>
      <c r="K4" s="104"/>
      <c r="L4" s="104"/>
    </row>
    <row r="5" spans="1:12">
      <c r="A5" s="17">
        <v>41501</v>
      </c>
      <c r="B5" s="16"/>
      <c r="C5" s="17">
        <v>24624</v>
      </c>
      <c r="D5" s="16" t="s">
        <v>41</v>
      </c>
      <c r="E5" s="16">
        <v>0</v>
      </c>
      <c r="F5" s="16">
        <v>0</v>
      </c>
      <c r="G5" s="102"/>
      <c r="H5" s="102"/>
      <c r="I5" s="102"/>
      <c r="J5" s="102"/>
      <c r="K5" s="102"/>
      <c r="L5" s="102"/>
    </row>
    <row r="6" spans="1:12">
      <c r="A6" s="14" t="s">
        <v>42</v>
      </c>
      <c r="B6" s="14" t="s">
        <v>43</v>
      </c>
      <c r="C6" s="14" t="s">
        <v>44</v>
      </c>
      <c r="D6" s="104" t="s">
        <v>45</v>
      </c>
      <c r="E6" s="104"/>
      <c r="F6" s="104"/>
      <c r="G6" s="104" t="s">
        <v>46</v>
      </c>
      <c r="H6" s="104"/>
      <c r="I6" s="104"/>
      <c r="J6" s="104"/>
      <c r="K6" s="104"/>
      <c r="L6" s="104"/>
    </row>
    <row r="7" spans="1:12">
      <c r="A7" s="16">
        <v>189838836</v>
      </c>
      <c r="B7" s="16"/>
      <c r="C7" s="16"/>
      <c r="D7" s="102" t="s">
        <v>47</v>
      </c>
      <c r="E7" s="102"/>
      <c r="F7" s="102"/>
      <c r="G7" s="102" t="s">
        <v>48</v>
      </c>
      <c r="H7" s="102"/>
      <c r="I7" s="102"/>
      <c r="J7" s="102"/>
      <c r="K7" s="102"/>
      <c r="L7" s="102"/>
    </row>
    <row r="8" spans="1:1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108" t="s">
        <v>49</v>
      </c>
      <c r="B11" s="108"/>
      <c r="C11" s="108"/>
      <c r="D11" s="108"/>
      <c r="E11" s="108"/>
      <c r="F11" s="108"/>
      <c r="G11" s="108" t="s">
        <v>50</v>
      </c>
      <c r="H11" s="108" t="s">
        <v>51</v>
      </c>
      <c r="I11" s="108" t="s">
        <v>52</v>
      </c>
      <c r="J11" s="108"/>
      <c r="K11" s="108" t="s">
        <v>53</v>
      </c>
      <c r="L11" s="108"/>
    </row>
    <row r="12" spans="1:12">
      <c r="A12" s="108"/>
      <c r="B12" s="108"/>
      <c r="C12" s="108"/>
      <c r="D12" s="108"/>
      <c r="E12" s="108"/>
      <c r="F12" s="108"/>
      <c r="G12" s="108"/>
      <c r="H12" s="108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>
      <c r="A13" s="106" t="s">
        <v>58</v>
      </c>
      <c r="B13" s="106"/>
      <c r="C13" s="106"/>
      <c r="D13" s="106"/>
      <c r="E13" s="106"/>
      <c r="F13" s="106"/>
      <c r="G13" s="21">
        <v>12255.93</v>
      </c>
      <c r="H13" s="22"/>
      <c r="I13" s="21"/>
      <c r="J13" s="21"/>
      <c r="K13" s="21"/>
      <c r="L13" s="21"/>
    </row>
    <row r="14" spans="1:12">
      <c r="A14" s="106" t="s">
        <v>59</v>
      </c>
      <c r="B14" s="106"/>
      <c r="C14" s="106"/>
      <c r="D14" s="106"/>
      <c r="E14" s="106"/>
      <c r="F14" s="106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>
      <c r="A15" s="107" t="s">
        <v>60</v>
      </c>
      <c r="B15" s="107"/>
      <c r="C15" s="107"/>
      <c r="D15" s="107"/>
      <c r="E15" s="107"/>
      <c r="F15" s="107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>
      <c r="A16" s="107" t="s">
        <v>61</v>
      </c>
      <c r="B16" s="107"/>
      <c r="C16" s="107"/>
      <c r="D16" s="107"/>
      <c r="E16" s="107"/>
      <c r="F16" s="107"/>
      <c r="G16" s="23"/>
      <c r="H16" s="24">
        <v>0</v>
      </c>
      <c r="I16" s="23">
        <f>G13/26*H16</f>
        <v>0</v>
      </c>
      <c r="J16" s="25"/>
      <c r="K16" s="26"/>
      <c r="L16" s="26"/>
    </row>
    <row r="17" spans="1:12">
      <c r="A17" s="107" t="s">
        <v>62</v>
      </c>
      <c r="B17" s="107"/>
      <c r="C17" s="107"/>
      <c r="D17" s="107"/>
      <c r="E17" s="107"/>
      <c r="F17" s="107"/>
      <c r="G17" s="23"/>
      <c r="H17" s="24">
        <v>0</v>
      </c>
      <c r="I17" s="23"/>
      <c r="J17" s="27">
        <f>G13/26*H17</f>
        <v>0</v>
      </c>
      <c r="K17" s="26"/>
      <c r="L17" s="26"/>
    </row>
    <row r="18" spans="1:12">
      <c r="A18" s="107" t="s">
        <v>63</v>
      </c>
      <c r="B18" s="107"/>
      <c r="C18" s="107"/>
      <c r="D18" s="107"/>
      <c r="E18" s="107"/>
      <c r="F18" s="107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>
      <c r="A19" s="107" t="s">
        <v>64</v>
      </c>
      <c r="B19" s="107"/>
      <c r="C19" s="107"/>
      <c r="D19" s="107"/>
      <c r="E19" s="107"/>
      <c r="F19" s="107"/>
      <c r="G19" s="23"/>
      <c r="H19" s="24">
        <v>0</v>
      </c>
      <c r="I19" s="23">
        <f>G13/26*H19</f>
        <v>0</v>
      </c>
      <c r="J19" s="25"/>
      <c r="K19" s="26"/>
      <c r="L19" s="26"/>
    </row>
    <row r="20" spans="1:12">
      <c r="A20" s="107" t="s">
        <v>65</v>
      </c>
      <c r="B20" s="107"/>
      <c r="C20" s="107"/>
      <c r="D20" s="107"/>
      <c r="E20" s="107"/>
      <c r="F20" s="107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>
      <c r="A21" s="107" t="s">
        <v>66</v>
      </c>
      <c r="B21" s="107"/>
      <c r="C21" s="107"/>
      <c r="D21" s="107"/>
      <c r="E21" s="107"/>
      <c r="F21" s="107"/>
      <c r="G21" s="29"/>
      <c r="H21" s="30"/>
      <c r="I21" s="30"/>
      <c r="J21" s="25"/>
      <c r="K21" s="26"/>
      <c r="L21" s="26"/>
    </row>
    <row r="22" spans="1:12">
      <c r="A22" s="109">
        <v>0.25</v>
      </c>
      <c r="B22" s="109"/>
      <c r="C22" s="109"/>
      <c r="D22" s="109"/>
      <c r="E22" s="109"/>
      <c r="F22" s="109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>
      <c r="A23" s="109">
        <v>0.5</v>
      </c>
      <c r="B23" s="109"/>
      <c r="C23" s="109"/>
      <c r="D23" s="109"/>
      <c r="E23" s="109"/>
      <c r="F23" s="109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>
      <c r="A24" s="109">
        <v>1</v>
      </c>
      <c r="B24" s="109"/>
      <c r="C24" s="109"/>
      <c r="D24" s="109"/>
      <c r="E24" s="109"/>
      <c r="F24" s="109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>
      <c r="A25" s="106" t="s">
        <v>67</v>
      </c>
      <c r="B25" s="106"/>
      <c r="C25" s="106"/>
      <c r="D25" s="106"/>
      <c r="E25" s="106"/>
      <c r="F25" s="106"/>
      <c r="G25" s="21"/>
      <c r="H25" s="22"/>
      <c r="I25" s="21">
        <f>SUM(I26:I27)</f>
        <v>612.79650000000004</v>
      </c>
      <c r="J25" s="21"/>
      <c r="K25" s="21"/>
      <c r="L25" s="21"/>
    </row>
    <row r="26" spans="1:12">
      <c r="A26" s="107" t="s">
        <v>68</v>
      </c>
      <c r="B26" s="107"/>
      <c r="C26" s="107"/>
      <c r="D26" s="107"/>
      <c r="E26" s="107"/>
      <c r="F26" s="107"/>
      <c r="G26" s="23">
        <f>(G3-A5)/360</f>
        <v>2.5805555555555557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>
      <c r="A27" s="107" t="s">
        <v>69</v>
      </c>
      <c r="B27" s="107"/>
      <c r="C27" s="107"/>
      <c r="D27" s="107"/>
      <c r="E27" s="107"/>
      <c r="F27" s="107"/>
      <c r="G27" s="23"/>
      <c r="H27" s="24"/>
      <c r="I27" s="23"/>
      <c r="J27" s="25"/>
      <c r="K27" s="26"/>
      <c r="L27" s="26"/>
    </row>
    <row r="28" spans="1:12">
      <c r="A28" s="106" t="s">
        <v>70</v>
      </c>
      <c r="B28" s="106"/>
      <c r="C28" s="106"/>
      <c r="D28" s="106"/>
      <c r="E28" s="106"/>
      <c r="F28" s="106"/>
      <c r="G28" s="21"/>
      <c r="H28" s="22"/>
      <c r="I28" s="21">
        <f>SUM(I29:I31)</f>
        <v>5000</v>
      </c>
      <c r="J28" s="21"/>
      <c r="K28" s="21"/>
      <c r="L28" s="21"/>
    </row>
    <row r="29" spans="1:12">
      <c r="A29" s="107" t="s">
        <v>71</v>
      </c>
      <c r="B29" s="107"/>
      <c r="C29" s="107"/>
      <c r="D29" s="107"/>
      <c r="E29" s="107"/>
      <c r="F29" s="107"/>
      <c r="G29" s="23"/>
      <c r="H29" s="24"/>
      <c r="I29" s="23">
        <v>2500</v>
      </c>
      <c r="J29" s="25"/>
      <c r="K29" s="26"/>
      <c r="L29" s="26"/>
    </row>
    <row r="30" spans="1:12">
      <c r="A30" s="107" t="s">
        <v>72</v>
      </c>
      <c r="B30" s="107"/>
      <c r="C30" s="107"/>
      <c r="D30" s="107"/>
      <c r="E30" s="107"/>
      <c r="F30" s="107"/>
      <c r="G30" s="23"/>
      <c r="H30" s="31">
        <v>0</v>
      </c>
      <c r="I30" s="23">
        <v>2500</v>
      </c>
      <c r="J30" s="25"/>
      <c r="K30" s="26"/>
      <c r="L30" s="26"/>
    </row>
    <row r="31" spans="1:12">
      <c r="A31" s="107" t="s">
        <v>73</v>
      </c>
      <c r="B31" s="107"/>
      <c r="C31" s="107"/>
      <c r="D31" s="107"/>
      <c r="E31" s="107"/>
      <c r="F31" s="107"/>
      <c r="G31" s="23"/>
      <c r="H31" s="24"/>
      <c r="I31" s="23"/>
      <c r="J31" s="25"/>
      <c r="K31" s="26"/>
      <c r="L31" s="26"/>
    </row>
    <row r="32" spans="1:12">
      <c r="A32" s="111" t="s">
        <v>74</v>
      </c>
      <c r="B32" s="111"/>
      <c r="C32" s="111"/>
      <c r="D32" s="111"/>
      <c r="E32" s="111"/>
      <c r="F32" s="111"/>
      <c r="G32" s="32"/>
      <c r="H32" s="33"/>
      <c r="I32" s="32">
        <f>I14+I25+I28</f>
        <v>17868.726500000001</v>
      </c>
      <c r="J32" s="33"/>
      <c r="K32" s="33"/>
      <c r="L32" s="33"/>
    </row>
    <row r="33" spans="1:12">
      <c r="A33" s="111" t="s">
        <v>75</v>
      </c>
      <c r="B33" s="111"/>
      <c r="C33" s="111"/>
      <c r="D33" s="111"/>
      <c r="E33" s="111"/>
      <c r="F33" s="111"/>
      <c r="G33" s="32"/>
      <c r="H33" s="33"/>
      <c r="I33" s="32">
        <f>I32-I28</f>
        <v>12868.726500000001</v>
      </c>
      <c r="J33" s="33"/>
      <c r="K33" s="33"/>
      <c r="L33" s="33"/>
    </row>
    <row r="34" spans="1:12">
      <c r="A34" s="107" t="s">
        <v>76</v>
      </c>
      <c r="B34" s="107"/>
      <c r="C34" s="107"/>
      <c r="D34" s="107"/>
      <c r="E34" s="107"/>
      <c r="F34" s="107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>
      <c r="A35" s="107" t="s">
        <v>77</v>
      </c>
      <c r="B35" s="107"/>
      <c r="C35" s="107"/>
      <c r="D35" s="107"/>
      <c r="E35" s="107"/>
      <c r="F35" s="107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>
      <c r="A36" s="107" t="s">
        <v>78</v>
      </c>
      <c r="B36" s="107"/>
      <c r="C36" s="107"/>
      <c r="D36" s="107"/>
      <c r="E36" s="107"/>
      <c r="F36" s="107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>
      <c r="A37" s="107" t="s">
        <v>79</v>
      </c>
      <c r="B37" s="107"/>
      <c r="C37" s="107"/>
      <c r="D37" s="107"/>
      <c r="E37" s="107"/>
      <c r="F37" s="107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>
      <c r="A38" s="107" t="s">
        <v>80</v>
      </c>
      <c r="B38" s="107"/>
      <c r="C38" s="107"/>
      <c r="D38" s="107"/>
      <c r="E38" s="107"/>
      <c r="F38" s="107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>
      <c r="A39" s="107" t="s">
        <v>81</v>
      </c>
      <c r="B39" s="107"/>
      <c r="C39" s="107"/>
      <c r="D39" s="107"/>
      <c r="E39" s="107"/>
      <c r="F39" s="107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>
      <c r="A40" s="107" t="s">
        <v>24</v>
      </c>
      <c r="B40" s="107"/>
      <c r="C40" s="107"/>
      <c r="D40" s="107"/>
      <c r="E40" s="107"/>
      <c r="F40" s="107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>
      <c r="A41" s="110" t="s">
        <v>82</v>
      </c>
      <c r="B41" s="110"/>
      <c r="C41" s="110"/>
      <c r="D41" s="110"/>
      <c r="E41" s="110"/>
      <c r="F41" s="110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>
      <c r="A42" s="110" t="s">
        <v>83</v>
      </c>
      <c r="B42" s="110"/>
      <c r="C42" s="110"/>
      <c r="D42" s="110"/>
      <c r="E42" s="110"/>
      <c r="F42" s="110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>
      <c r="A43" s="106" t="s">
        <v>84</v>
      </c>
      <c r="B43" s="106"/>
      <c r="C43" s="106"/>
      <c r="D43" s="106"/>
      <c r="E43" s="106"/>
      <c r="F43" s="106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>
      <c r="A44" s="107" t="s">
        <v>85</v>
      </c>
      <c r="B44" s="107"/>
      <c r="C44" s="107"/>
      <c r="D44" s="107"/>
      <c r="E44" s="107"/>
      <c r="F44" s="107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>
      <c r="A45" s="111" t="s">
        <v>86</v>
      </c>
      <c r="B45" s="111"/>
      <c r="C45" s="111"/>
      <c r="D45" s="111"/>
      <c r="E45" s="111"/>
      <c r="F45" s="111"/>
      <c r="G45" s="32"/>
      <c r="H45" s="33"/>
      <c r="I45" s="32">
        <f>I33-J43-J44</f>
        <v>9423.0314861000006</v>
      </c>
      <c r="J45" s="33"/>
      <c r="K45" s="33"/>
      <c r="L45" s="33"/>
    </row>
    <row r="46" spans="1:12">
      <c r="A46" s="107" t="s">
        <v>87</v>
      </c>
      <c r="B46" s="107"/>
      <c r="C46" s="107"/>
      <c r="D46" s="107"/>
      <c r="E46" s="107"/>
      <c r="F46" s="107"/>
      <c r="G46" s="23"/>
      <c r="H46" s="34"/>
      <c r="I46" s="23">
        <f>H46*180/360</f>
        <v>0</v>
      </c>
      <c r="J46" s="23"/>
      <c r="K46" s="46"/>
      <c r="L46" s="47"/>
    </row>
    <row r="47" spans="1:12">
      <c r="A47" s="111" t="s">
        <v>88</v>
      </c>
      <c r="B47" s="111"/>
      <c r="C47" s="111"/>
      <c r="D47" s="111"/>
      <c r="E47" s="111"/>
      <c r="F47" s="111"/>
      <c r="G47" s="32"/>
      <c r="H47" s="33"/>
      <c r="I47" s="32">
        <f>I45-I46</f>
        <v>9423.0314861000006</v>
      </c>
      <c r="J47" s="33"/>
      <c r="K47" s="33"/>
      <c r="L47" s="33"/>
    </row>
    <row r="48" spans="1:12">
      <c r="A48" s="107" t="s">
        <v>89</v>
      </c>
      <c r="B48" s="107"/>
      <c r="C48" s="107"/>
      <c r="D48" s="107"/>
      <c r="E48" s="107"/>
      <c r="F48" s="107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>
      <c r="A49" s="107" t="s">
        <v>90</v>
      </c>
      <c r="B49" s="107"/>
      <c r="C49" s="107"/>
      <c r="D49" s="107"/>
      <c r="E49" s="107"/>
      <c r="F49" s="107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>
      <c r="A50" s="106" t="s">
        <v>91</v>
      </c>
      <c r="B50" s="106"/>
      <c r="C50" s="106"/>
      <c r="D50" s="106"/>
      <c r="E50" s="106"/>
      <c r="F50" s="106"/>
      <c r="G50" s="21"/>
      <c r="H50" s="22"/>
      <c r="I50" s="21"/>
      <c r="J50" s="21">
        <f>J48-J49</f>
        <v>1770.4973719406673</v>
      </c>
      <c r="K50" s="21"/>
      <c r="L50" s="21"/>
    </row>
    <row r="51" spans="1:12">
      <c r="A51" s="112" t="s">
        <v>92</v>
      </c>
      <c r="B51" s="112"/>
      <c r="C51" s="112"/>
      <c r="D51" s="112"/>
      <c r="E51" s="112"/>
      <c r="F51" s="112"/>
      <c r="G51" s="25"/>
      <c r="H51" s="48"/>
      <c r="I51" s="47"/>
      <c r="J51" s="49">
        <v>0</v>
      </c>
      <c r="K51" s="46"/>
      <c r="L51" s="47"/>
    </row>
    <row r="52" spans="1:12">
      <c r="A52" s="107" t="s">
        <v>93</v>
      </c>
      <c r="B52" s="107"/>
      <c r="C52" s="107"/>
      <c r="D52" s="107"/>
      <c r="E52" s="107"/>
      <c r="F52" s="107"/>
      <c r="G52" s="25"/>
      <c r="H52" s="48"/>
      <c r="I52" s="44"/>
      <c r="J52" s="28">
        <v>0</v>
      </c>
      <c r="K52" s="46"/>
      <c r="L52" s="47"/>
    </row>
    <row r="53" spans="1:12">
      <c r="A53" s="113" t="s">
        <v>94</v>
      </c>
      <c r="B53" s="113"/>
      <c r="C53" s="113"/>
      <c r="D53" s="113"/>
      <c r="E53" s="113"/>
      <c r="F53" s="113"/>
      <c r="G53" s="41"/>
      <c r="H53" s="42"/>
      <c r="I53" s="28">
        <f>1-0.53</f>
        <v>0.47</v>
      </c>
      <c r="J53" s="41"/>
      <c r="K53" s="43"/>
      <c r="L53" s="44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14" t="s">
        <v>95</v>
      </c>
      <c r="B55" s="14" t="s">
        <v>96</v>
      </c>
      <c r="C55" s="14" t="s">
        <v>97</v>
      </c>
      <c r="D55" s="104" t="s">
        <v>98</v>
      </c>
      <c r="E55" s="104"/>
      <c r="F55" s="104"/>
      <c r="G55" s="14" t="s">
        <v>99</v>
      </c>
      <c r="H55" s="50"/>
      <c r="I55" s="52">
        <f>I32+I53</f>
        <v>17869.196500000002</v>
      </c>
      <c r="J55" s="52">
        <f>J43+J50+J51+J52</f>
        <v>2716.1923858406672</v>
      </c>
      <c r="K55" s="14" t="s">
        <v>100</v>
      </c>
      <c r="L55" s="52">
        <f>L43</f>
        <v>2354.57730915</v>
      </c>
    </row>
    <row r="56" spans="1:12">
      <c r="A56" s="52">
        <f>156411.11+I32</f>
        <v>174279.83649999998</v>
      </c>
      <c r="B56" s="52">
        <f>111411.11+I33</f>
        <v>124279.8365</v>
      </c>
      <c r="C56" s="52">
        <f>2419.2+J34</f>
        <v>2688</v>
      </c>
      <c r="D56" s="114">
        <f>14978.83+J50</f>
        <v>16749.327371940668</v>
      </c>
      <c r="E56" s="114"/>
      <c r="F56" s="114"/>
      <c r="G56" s="52">
        <f>133157+I55</f>
        <v>151026.19649999999</v>
      </c>
      <c r="H56" s="104" t="s">
        <v>101</v>
      </c>
      <c r="I56" s="104"/>
      <c r="J56" s="52">
        <f>I55-J55</f>
        <v>15153.004114159336</v>
      </c>
      <c r="K56" s="14" t="s">
        <v>102</v>
      </c>
      <c r="L56" s="52">
        <f>20499.47+L55</f>
        <v>22854.047309150003</v>
      </c>
    </row>
    <row r="57" spans="1:1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>
      <c r="A61" s="105" t="s">
        <v>26</v>
      </c>
      <c r="B61" s="105"/>
      <c r="C61" s="105" t="s">
        <v>27</v>
      </c>
      <c r="D61" s="105"/>
      <c r="E61" s="105"/>
      <c r="F61" s="105"/>
      <c r="G61" s="105" t="s">
        <v>28</v>
      </c>
      <c r="H61" s="105"/>
      <c r="I61" s="105"/>
      <c r="J61" s="105" t="s">
        <v>29</v>
      </c>
      <c r="K61" s="105"/>
      <c r="L61" s="105"/>
    </row>
    <row r="62" spans="1:12">
      <c r="A62" s="14" t="s">
        <v>30</v>
      </c>
      <c r="B62" s="104" t="s">
        <v>31</v>
      </c>
      <c r="C62" s="104"/>
      <c r="D62" s="104"/>
      <c r="E62" s="104"/>
      <c r="F62" s="104"/>
      <c r="G62" s="104" t="s">
        <v>32</v>
      </c>
      <c r="H62" s="104"/>
      <c r="I62" s="104"/>
      <c r="J62" s="104"/>
      <c r="K62" s="104"/>
      <c r="L62" s="104"/>
    </row>
    <row r="63" spans="1:12">
      <c r="A63" s="16">
        <v>3</v>
      </c>
      <c r="B63" s="102" t="s">
        <v>104</v>
      </c>
      <c r="C63" s="102"/>
      <c r="D63" s="102"/>
      <c r="E63" s="102"/>
      <c r="F63" s="102"/>
      <c r="G63" s="103">
        <v>42430</v>
      </c>
      <c r="H63" s="103"/>
      <c r="I63" s="103"/>
      <c r="J63" s="103">
        <v>42460</v>
      </c>
      <c r="K63" s="103"/>
      <c r="L63" s="103"/>
    </row>
    <row r="64" spans="1:12">
      <c r="A64" s="14" t="s">
        <v>34</v>
      </c>
      <c r="B64" s="14" t="s">
        <v>35</v>
      </c>
      <c r="C64" s="14" t="s">
        <v>36</v>
      </c>
      <c r="D64" s="14" t="s">
        <v>37</v>
      </c>
      <c r="E64" s="14" t="s">
        <v>38</v>
      </c>
      <c r="F64" s="14" t="s">
        <v>39</v>
      </c>
      <c r="G64" s="104" t="s">
        <v>40</v>
      </c>
      <c r="H64" s="104"/>
      <c r="I64" s="104"/>
      <c r="J64" s="104"/>
      <c r="K64" s="104"/>
      <c r="L64" s="104"/>
    </row>
    <row r="65" spans="1:12">
      <c r="A65" s="17">
        <v>41791</v>
      </c>
      <c r="B65" s="16"/>
      <c r="C65" s="17">
        <v>24557</v>
      </c>
      <c r="D65" s="16" t="s">
        <v>41</v>
      </c>
      <c r="E65" s="16">
        <v>0</v>
      </c>
      <c r="F65" s="16">
        <v>0</v>
      </c>
      <c r="G65" s="102"/>
      <c r="H65" s="102"/>
      <c r="I65" s="102"/>
      <c r="J65" s="102"/>
      <c r="K65" s="102"/>
      <c r="L65" s="102"/>
    </row>
    <row r="66" spans="1:12">
      <c r="A66" s="14" t="s">
        <v>42</v>
      </c>
      <c r="B66" s="14" t="s">
        <v>43</v>
      </c>
      <c r="C66" s="14" t="s">
        <v>44</v>
      </c>
      <c r="D66" s="104" t="s">
        <v>45</v>
      </c>
      <c r="E66" s="104"/>
      <c r="F66" s="104"/>
      <c r="G66" s="104" t="s">
        <v>46</v>
      </c>
      <c r="H66" s="104"/>
      <c r="I66" s="104"/>
      <c r="J66" s="104"/>
      <c r="K66" s="104"/>
      <c r="L66" s="104"/>
    </row>
    <row r="67" spans="1:12">
      <c r="A67" s="16">
        <v>141034737</v>
      </c>
      <c r="B67" s="16"/>
      <c r="C67" s="16"/>
      <c r="D67" s="102" t="s">
        <v>47</v>
      </c>
      <c r="E67" s="102"/>
      <c r="F67" s="102"/>
      <c r="G67" s="102" t="s">
        <v>105</v>
      </c>
      <c r="H67" s="102"/>
      <c r="I67" s="102"/>
      <c r="J67" s="102"/>
      <c r="K67" s="102"/>
      <c r="L67" s="102"/>
    </row>
    <row r="68" spans="1:1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>
      <c r="A71" s="108" t="s">
        <v>49</v>
      </c>
      <c r="B71" s="108"/>
      <c r="C71" s="108"/>
      <c r="D71" s="108"/>
      <c r="E71" s="108"/>
      <c r="F71" s="108"/>
      <c r="G71" s="108" t="s">
        <v>50</v>
      </c>
      <c r="H71" s="108" t="s">
        <v>51</v>
      </c>
      <c r="I71" s="108" t="s">
        <v>52</v>
      </c>
      <c r="J71" s="108"/>
      <c r="K71" s="108" t="s">
        <v>53</v>
      </c>
      <c r="L71" s="108"/>
    </row>
    <row r="72" spans="1:12">
      <c r="A72" s="108"/>
      <c r="B72" s="108"/>
      <c r="C72" s="108"/>
      <c r="D72" s="108"/>
      <c r="E72" s="108"/>
      <c r="F72" s="108"/>
      <c r="G72" s="108"/>
      <c r="H72" s="108"/>
      <c r="I72" s="20" t="s">
        <v>54</v>
      </c>
      <c r="J72" s="20" t="s">
        <v>55</v>
      </c>
      <c r="K72" s="20" t="s">
        <v>56</v>
      </c>
      <c r="L72" s="20" t="s">
        <v>57</v>
      </c>
    </row>
    <row r="73" spans="1:12">
      <c r="A73" s="106" t="s">
        <v>58</v>
      </c>
      <c r="B73" s="106"/>
      <c r="C73" s="106"/>
      <c r="D73" s="106"/>
      <c r="E73" s="106"/>
      <c r="F73" s="106"/>
      <c r="G73" s="21">
        <v>100000</v>
      </c>
      <c r="H73" s="22"/>
      <c r="I73" s="21"/>
      <c r="J73" s="21"/>
      <c r="K73" s="21"/>
      <c r="L73" s="21"/>
    </row>
    <row r="74" spans="1:12">
      <c r="A74" s="106" t="s">
        <v>59</v>
      </c>
      <c r="B74" s="106"/>
      <c r="C74" s="106"/>
      <c r="D74" s="106"/>
      <c r="E74" s="106"/>
      <c r="F74" s="106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>
      <c r="A75" s="107" t="s">
        <v>60</v>
      </c>
      <c r="B75" s="107"/>
      <c r="C75" s="107"/>
      <c r="D75" s="107"/>
      <c r="E75" s="107"/>
      <c r="F75" s="107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>
      <c r="A76" s="107" t="s">
        <v>61</v>
      </c>
      <c r="B76" s="107"/>
      <c r="C76" s="107"/>
      <c r="D76" s="107"/>
      <c r="E76" s="107"/>
      <c r="F76" s="107"/>
      <c r="G76" s="23"/>
      <c r="H76" s="24">
        <v>0</v>
      </c>
      <c r="I76" s="23">
        <f>G73/26*H76</f>
        <v>0</v>
      </c>
      <c r="J76" s="25"/>
      <c r="K76" s="26"/>
      <c r="L76" s="26"/>
    </row>
    <row r="77" spans="1:12">
      <c r="A77" s="107" t="s">
        <v>62</v>
      </c>
      <c r="B77" s="107"/>
      <c r="C77" s="107"/>
      <c r="D77" s="107"/>
      <c r="E77" s="107"/>
      <c r="F77" s="107"/>
      <c r="G77" s="23"/>
      <c r="H77" s="24">
        <v>0</v>
      </c>
      <c r="I77" s="23"/>
      <c r="J77" s="27">
        <f>G73/26*H77</f>
        <v>0</v>
      </c>
      <c r="K77" s="26"/>
      <c r="L77" s="26"/>
    </row>
    <row r="78" spans="1:12">
      <c r="A78" s="107" t="s">
        <v>63</v>
      </c>
      <c r="B78" s="107"/>
      <c r="C78" s="107"/>
      <c r="D78" s="107"/>
      <c r="E78" s="107"/>
      <c r="F78" s="107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>
      <c r="A79" s="107" t="s">
        <v>64</v>
      </c>
      <c r="B79" s="107"/>
      <c r="C79" s="107"/>
      <c r="D79" s="107"/>
      <c r="E79" s="107"/>
      <c r="F79" s="107"/>
      <c r="G79" s="23"/>
      <c r="H79" s="24">
        <v>0</v>
      </c>
      <c r="I79" s="23">
        <f>G73/26*H79</f>
        <v>0</v>
      </c>
      <c r="J79" s="25"/>
      <c r="K79" s="26"/>
      <c r="L79" s="26"/>
    </row>
    <row r="80" spans="1:12">
      <c r="A80" s="107" t="s">
        <v>65</v>
      </c>
      <c r="B80" s="107"/>
      <c r="C80" s="107"/>
      <c r="D80" s="107"/>
      <c r="E80" s="107"/>
      <c r="F80" s="107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>
      <c r="A81" s="107" t="s">
        <v>66</v>
      </c>
      <c r="B81" s="107"/>
      <c r="C81" s="107"/>
      <c r="D81" s="107"/>
      <c r="E81" s="107"/>
      <c r="F81" s="107"/>
      <c r="G81" s="29"/>
      <c r="H81" s="30"/>
      <c r="I81" s="30"/>
      <c r="J81" s="25"/>
      <c r="K81" s="26"/>
      <c r="L81" s="26"/>
    </row>
    <row r="82" spans="1:12">
      <c r="A82" s="109">
        <v>0.25</v>
      </c>
      <c r="B82" s="109"/>
      <c r="C82" s="109"/>
      <c r="D82" s="109"/>
      <c r="E82" s="109"/>
      <c r="F82" s="109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>
      <c r="A83" s="109">
        <v>0.5</v>
      </c>
      <c r="B83" s="109"/>
      <c r="C83" s="109"/>
      <c r="D83" s="109"/>
      <c r="E83" s="109"/>
      <c r="F83" s="109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>
      <c r="A84" s="109">
        <v>1</v>
      </c>
      <c r="B84" s="109"/>
      <c r="C84" s="109"/>
      <c r="D84" s="109"/>
      <c r="E84" s="109"/>
      <c r="F84" s="109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>
      <c r="A85" s="106" t="s">
        <v>67</v>
      </c>
      <c r="B85" s="106"/>
      <c r="C85" s="106"/>
      <c r="D85" s="106"/>
      <c r="E85" s="106"/>
      <c r="F85" s="106"/>
      <c r="G85" s="21"/>
      <c r="H85" s="22"/>
      <c r="I85" s="21">
        <f>SUM(I86:I87)</f>
        <v>0</v>
      </c>
      <c r="J85" s="21"/>
      <c r="K85" s="21"/>
      <c r="L85" s="21"/>
    </row>
    <row r="86" spans="1:12">
      <c r="A86" s="107" t="s">
        <v>68</v>
      </c>
      <c r="B86" s="107"/>
      <c r="C86" s="107"/>
      <c r="D86" s="107"/>
      <c r="E86" s="107"/>
      <c r="F86" s="107"/>
      <c r="G86" s="23">
        <f>(G63-A65)/360</f>
        <v>1.7749999999999999</v>
      </c>
      <c r="H86" s="31">
        <f>IF(G86&lt;2,0,IF(AND(G86&gt;2,G86&lt;5),[1]Taux!A$33,IF(AND(G86&lt;12,G86&gt;5),[1]Taux!A$34,IF(AND(G86&gt;12,G86&lt;20),[1]Taux!A$35,IF(AND(G86&lt;25,G86&gt;20),[1]Taux!A$36,IF(G86&gt;25,[1]Taux!A$37))))))</f>
        <v>0</v>
      </c>
      <c r="I86" s="23">
        <f>I74*H86</f>
        <v>0</v>
      </c>
      <c r="J86" s="25"/>
      <c r="K86" s="26"/>
      <c r="L86" s="26"/>
    </row>
    <row r="87" spans="1:12">
      <c r="A87" s="107" t="s">
        <v>69</v>
      </c>
      <c r="B87" s="107"/>
      <c r="C87" s="107"/>
      <c r="D87" s="107"/>
      <c r="E87" s="107"/>
      <c r="F87" s="107"/>
      <c r="G87" s="23"/>
      <c r="H87" s="24"/>
      <c r="I87" s="23"/>
      <c r="J87" s="25"/>
      <c r="K87" s="26"/>
      <c r="L87" s="26"/>
    </row>
    <row r="88" spans="1:12">
      <c r="A88" s="106" t="s">
        <v>70</v>
      </c>
      <c r="B88" s="106"/>
      <c r="C88" s="106"/>
      <c r="D88" s="106"/>
      <c r="E88" s="106"/>
      <c r="F88" s="106"/>
      <c r="G88" s="21"/>
      <c r="H88" s="22"/>
      <c r="I88" s="21">
        <f>SUM(I89:I91)</f>
        <v>6000</v>
      </c>
      <c r="J88" s="21"/>
      <c r="K88" s="21"/>
      <c r="L88" s="21"/>
    </row>
    <row r="89" spans="1:12">
      <c r="A89" s="107" t="s">
        <v>71</v>
      </c>
      <c r="B89" s="107"/>
      <c r="C89" s="107"/>
      <c r="D89" s="107"/>
      <c r="E89" s="107"/>
      <c r="F89" s="107"/>
      <c r="G89" s="23"/>
      <c r="H89" s="24"/>
      <c r="I89" s="23">
        <v>3000</v>
      </c>
      <c r="J89" s="25"/>
      <c r="K89" s="26"/>
      <c r="L89" s="26"/>
    </row>
    <row r="90" spans="1:12">
      <c r="A90" s="107" t="s">
        <v>72</v>
      </c>
      <c r="B90" s="107"/>
      <c r="C90" s="107"/>
      <c r="D90" s="107"/>
      <c r="E90" s="107"/>
      <c r="F90" s="107"/>
      <c r="G90" s="23"/>
      <c r="H90" s="31"/>
      <c r="I90" s="23">
        <v>3000</v>
      </c>
      <c r="J90" s="25"/>
      <c r="K90" s="26"/>
      <c r="L90" s="26"/>
    </row>
    <row r="91" spans="1:12">
      <c r="A91" s="107" t="s">
        <v>73</v>
      </c>
      <c r="B91" s="107"/>
      <c r="C91" s="107"/>
      <c r="D91" s="107"/>
      <c r="E91" s="107"/>
      <c r="F91" s="107"/>
      <c r="G91" s="23"/>
      <c r="H91" s="24"/>
      <c r="I91" s="23"/>
      <c r="J91" s="25"/>
      <c r="K91" s="26"/>
      <c r="L91" s="26"/>
    </row>
    <row r="92" spans="1:12">
      <c r="A92" s="111" t="s">
        <v>74</v>
      </c>
      <c r="B92" s="111"/>
      <c r="C92" s="111"/>
      <c r="D92" s="111"/>
      <c r="E92" s="111"/>
      <c r="F92" s="111"/>
      <c r="G92" s="32"/>
      <c r="H92" s="33"/>
      <c r="I92" s="32">
        <f>I74+I85+I88</f>
        <v>106000</v>
      </c>
      <c r="J92" s="33"/>
      <c r="K92" s="33"/>
      <c r="L92" s="33"/>
    </row>
    <row r="93" spans="1:12">
      <c r="A93" s="111" t="s">
        <v>75</v>
      </c>
      <c r="B93" s="111"/>
      <c r="C93" s="111"/>
      <c r="D93" s="111"/>
      <c r="E93" s="111"/>
      <c r="F93" s="111"/>
      <c r="G93" s="32"/>
      <c r="H93" s="33"/>
      <c r="I93" s="32">
        <f>I92-I88</f>
        <v>100000</v>
      </c>
      <c r="J93" s="33"/>
      <c r="K93" s="33"/>
      <c r="L93" s="33"/>
    </row>
    <row r="94" spans="1:12">
      <c r="A94" s="107" t="s">
        <v>76</v>
      </c>
      <c r="B94" s="107"/>
      <c r="C94" s="107"/>
      <c r="D94" s="107"/>
      <c r="E94" s="107"/>
      <c r="F94" s="107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>
      <c r="A95" s="107" t="s">
        <v>77</v>
      </c>
      <c r="B95" s="107"/>
      <c r="C95" s="107"/>
      <c r="D95" s="107"/>
      <c r="E95" s="107"/>
      <c r="F95" s="107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>
      <c r="A96" s="107" t="s">
        <v>78</v>
      </c>
      <c r="B96" s="107"/>
      <c r="C96" s="107"/>
      <c r="D96" s="107"/>
      <c r="E96" s="107"/>
      <c r="F96" s="107"/>
      <c r="G96" s="23"/>
      <c r="H96" s="34">
        <v>0.25</v>
      </c>
      <c r="I96" s="23"/>
      <c r="J96" s="23">
        <f>I93*H96</f>
        <v>25000</v>
      </c>
      <c r="K96" s="35">
        <v>0.06</v>
      </c>
      <c r="L96" s="23">
        <f>I93*K96</f>
        <v>6000</v>
      </c>
    </row>
    <row r="97" spans="1:12">
      <c r="A97" s="107" t="s">
        <v>79</v>
      </c>
      <c r="B97" s="107"/>
      <c r="C97" s="107"/>
      <c r="D97" s="107"/>
      <c r="E97" s="107"/>
      <c r="F97" s="107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>
      <c r="A98" s="107" t="s">
        <v>80</v>
      </c>
      <c r="B98" s="107"/>
      <c r="C98" s="107"/>
      <c r="D98" s="107"/>
      <c r="E98" s="107"/>
      <c r="F98" s="107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>
      <c r="A99" s="107" t="s">
        <v>81</v>
      </c>
      <c r="B99" s="107"/>
      <c r="C99" s="107"/>
      <c r="D99" s="107"/>
      <c r="E99" s="107"/>
      <c r="F99" s="107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>
      <c r="A100" s="107" t="s">
        <v>24</v>
      </c>
      <c r="B100" s="107"/>
      <c r="C100" s="107"/>
      <c r="D100" s="107"/>
      <c r="E100" s="107"/>
      <c r="F100" s="107"/>
      <c r="G100" s="23"/>
      <c r="H100" s="34" t="str">
        <f>[1]Taux!D$7</f>
        <v>2,26%</v>
      </c>
      <c r="I100" s="23"/>
      <c r="J100" s="23">
        <f>I93*H100</f>
        <v>2260</v>
      </c>
      <c r="K100" s="34" t="str">
        <f>[1]Taux!C$7</f>
        <v>4,11%</v>
      </c>
      <c r="L100" s="23">
        <f>I93*K100</f>
        <v>4110</v>
      </c>
    </row>
    <row r="101" spans="1:12">
      <c r="A101" s="110" t="s">
        <v>82</v>
      </c>
      <c r="B101" s="110"/>
      <c r="C101" s="110"/>
      <c r="D101" s="110"/>
      <c r="E101" s="110"/>
      <c r="F101" s="110"/>
      <c r="G101" s="37"/>
      <c r="H101" s="38"/>
      <c r="I101" s="39"/>
      <c r="J101" s="40"/>
      <c r="K101" s="34" t="str">
        <f>[1]Taux!C$4</f>
        <v>6,40%</v>
      </c>
      <c r="L101" s="23">
        <f>I93*K101</f>
        <v>6400</v>
      </c>
    </row>
    <row r="102" spans="1:12">
      <c r="A102" s="110" t="s">
        <v>83</v>
      </c>
      <c r="B102" s="110"/>
      <c r="C102" s="110"/>
      <c r="D102" s="110"/>
      <c r="E102" s="110"/>
      <c r="F102" s="110"/>
      <c r="G102" s="41"/>
      <c r="H102" s="42"/>
      <c r="I102" s="43"/>
      <c r="J102" s="44"/>
      <c r="K102" s="34" t="str">
        <f>[1]Taux!C$8</f>
        <v>1,6 %</v>
      </c>
      <c r="L102" s="23">
        <f>I93*K102</f>
        <v>1600</v>
      </c>
    </row>
    <row r="103" spans="1:12">
      <c r="A103" s="106" t="s">
        <v>84</v>
      </c>
      <c r="B103" s="106"/>
      <c r="C103" s="106"/>
      <c r="D103" s="106"/>
      <c r="E103" s="106"/>
      <c r="F103" s="106"/>
      <c r="G103" s="21"/>
      <c r="H103" s="22"/>
      <c r="I103" s="22"/>
      <c r="J103" s="21">
        <f>SUM(J94:J100)</f>
        <v>27528.799999999999</v>
      </c>
      <c r="K103" s="21"/>
      <c r="L103" s="21">
        <f>SUM(L94:L102)</f>
        <v>18648.8</v>
      </c>
    </row>
    <row r="104" spans="1:12">
      <c r="A104" s="107" t="s">
        <v>85</v>
      </c>
      <c r="B104" s="107"/>
      <c r="C104" s="107"/>
      <c r="D104" s="107"/>
      <c r="E104" s="107"/>
      <c r="F104" s="107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>
      <c r="A105" s="111" t="s">
        <v>86</v>
      </c>
      <c r="B105" s="111"/>
      <c r="C105" s="111"/>
      <c r="D105" s="111"/>
      <c r="E105" s="111"/>
      <c r="F105" s="111"/>
      <c r="G105" s="32"/>
      <c r="H105" s="33"/>
      <c r="I105" s="32">
        <f>I93-J103-J104</f>
        <v>69971.199999999997</v>
      </c>
      <c r="J105" s="33"/>
      <c r="K105" s="33"/>
      <c r="L105" s="33"/>
    </row>
    <row r="106" spans="1:12">
      <c r="A106" s="107" t="s">
        <v>87</v>
      </c>
      <c r="B106" s="107"/>
      <c r="C106" s="107"/>
      <c r="D106" s="107"/>
      <c r="E106" s="107"/>
      <c r="F106" s="107"/>
      <c r="G106" s="23"/>
      <c r="H106" s="34"/>
      <c r="I106" s="23">
        <f>H106*180/360</f>
        <v>0</v>
      </c>
      <c r="J106" s="23"/>
      <c r="K106" s="46"/>
      <c r="L106" s="47"/>
    </row>
    <row r="107" spans="1:12">
      <c r="A107" s="111" t="s">
        <v>88</v>
      </c>
      <c r="B107" s="111"/>
      <c r="C107" s="111"/>
      <c r="D107" s="111"/>
      <c r="E107" s="111"/>
      <c r="F107" s="111"/>
      <c r="G107" s="32"/>
      <c r="H107" s="33"/>
      <c r="I107" s="32">
        <f>I105-I106</f>
        <v>69971.199999999997</v>
      </c>
      <c r="J107" s="33"/>
      <c r="K107" s="33"/>
      <c r="L107" s="33"/>
    </row>
    <row r="108" spans="1:12">
      <c r="A108" s="107" t="s">
        <v>89</v>
      </c>
      <c r="B108" s="107"/>
      <c r="C108" s="107"/>
      <c r="D108" s="107"/>
      <c r="E108" s="107"/>
      <c r="F108" s="107"/>
      <c r="G108" s="25"/>
      <c r="H108" s="48"/>
      <c r="I108" s="40"/>
      <c r="J108" s="23">
        <f>IF(AND(I107&gt;0,I107&lt;2500),I107*[1]Taux!C$15-[1]Taux!I$15,IF(AND(I107&gt;2500,I107&lt;4166.67),I107*[1]Taux!C$16-[1]Taux!I$16,IF(AND(I107&gt;4166.67,I107&lt;5000),I107*[1]Taux!C$17-[1]Taux!I$17,IF(AND(I107&gt;5000,I107&lt;6666.67),I107*[1]Taux!C$18-[1]Taux!I$18,IF(AND(I107&gt;6666.67,I107&lt;15000),I107*[1]Taux!C$19-[1]Taux!I$19,IF(I107&gt;15000,I107*[1]Taux!C$20-[1]Taux!I$20))))))</f>
        <v>24555.722666666668</v>
      </c>
      <c r="K108" s="46"/>
      <c r="L108" s="47"/>
    </row>
    <row r="109" spans="1:12">
      <c r="A109" s="107" t="s">
        <v>90</v>
      </c>
      <c r="B109" s="107"/>
      <c r="C109" s="107"/>
      <c r="D109" s="107"/>
      <c r="E109" s="107"/>
      <c r="F109" s="107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>
      <c r="A110" s="106" t="s">
        <v>91</v>
      </c>
      <c r="B110" s="106"/>
      <c r="C110" s="106"/>
      <c r="D110" s="106"/>
      <c r="E110" s="106"/>
      <c r="F110" s="106"/>
      <c r="G110" s="21"/>
      <c r="H110" s="22"/>
      <c r="I110" s="21"/>
      <c r="J110" s="21">
        <f>J108-J109</f>
        <v>24555.722666666668</v>
      </c>
      <c r="K110" s="21"/>
      <c r="L110" s="21"/>
    </row>
    <row r="111" spans="1:12">
      <c r="A111" s="112" t="s">
        <v>92</v>
      </c>
      <c r="B111" s="112"/>
      <c r="C111" s="112"/>
      <c r="D111" s="112"/>
      <c r="E111" s="112"/>
      <c r="F111" s="112"/>
      <c r="G111" s="25"/>
      <c r="H111" s="48"/>
      <c r="I111" s="47"/>
      <c r="J111" s="49">
        <v>0</v>
      </c>
      <c r="K111" s="46"/>
      <c r="L111" s="47"/>
    </row>
    <row r="112" spans="1:12">
      <c r="A112" s="107" t="s">
        <v>93</v>
      </c>
      <c r="B112" s="107"/>
      <c r="C112" s="107"/>
      <c r="D112" s="107"/>
      <c r="E112" s="107"/>
      <c r="F112" s="107"/>
      <c r="G112" s="25"/>
      <c r="H112" s="48"/>
      <c r="I112" s="44"/>
      <c r="J112" s="28">
        <v>0</v>
      </c>
      <c r="K112" s="46"/>
      <c r="L112" s="47"/>
    </row>
    <row r="113" spans="1:13">
      <c r="A113" s="113" t="s">
        <v>94</v>
      </c>
      <c r="B113" s="113"/>
      <c r="C113" s="113"/>
      <c r="D113" s="113"/>
      <c r="E113" s="113"/>
      <c r="F113" s="113"/>
      <c r="G113" s="41"/>
      <c r="H113" s="42"/>
      <c r="I113" s="28">
        <f>1-0.48</f>
        <v>0.52</v>
      </c>
      <c r="J113" s="41"/>
      <c r="K113" s="43"/>
      <c r="L113" s="44"/>
    </row>
    <row r="114" spans="1:1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>
      <c r="A115" s="14" t="s">
        <v>95</v>
      </c>
      <c r="B115" s="14" t="s">
        <v>96</v>
      </c>
      <c r="C115" s="14" t="s">
        <v>97</v>
      </c>
      <c r="D115" s="104" t="s">
        <v>98</v>
      </c>
      <c r="E115" s="104"/>
      <c r="F115" s="104"/>
      <c r="G115" s="14" t="s">
        <v>99</v>
      </c>
      <c r="H115" s="50"/>
      <c r="I115" s="52">
        <f>I92+I113</f>
        <v>106000.52</v>
      </c>
      <c r="J115" s="52">
        <f>J103+J110+J111+J112</f>
        <v>52084.522666666671</v>
      </c>
      <c r="K115" s="14" t="s">
        <v>100</v>
      </c>
      <c r="L115" s="52">
        <f>L103</f>
        <v>18648.8</v>
      </c>
    </row>
    <row r="116" spans="1:13">
      <c r="A116" s="52">
        <f>974000+I92</f>
        <v>1080000</v>
      </c>
      <c r="B116" s="52">
        <f>920000+I93</f>
        <v>1020000</v>
      </c>
      <c r="C116" s="52">
        <f>2419.2+J94</f>
        <v>2688</v>
      </c>
      <c r="D116" s="114">
        <f>226529.75+J110</f>
        <v>251085.47266666667</v>
      </c>
      <c r="E116" s="114"/>
      <c r="F116" s="114"/>
      <c r="G116" s="52">
        <f>494263.97+I115</f>
        <v>600264.49</v>
      </c>
      <c r="H116" s="104" t="s">
        <v>101</v>
      </c>
      <c r="I116" s="104"/>
      <c r="J116" s="52">
        <f>I115-J115</f>
        <v>53915.997333333333</v>
      </c>
      <c r="K116" s="14" t="s">
        <v>102</v>
      </c>
      <c r="L116" s="52">
        <f>171461.2+L115</f>
        <v>190110</v>
      </c>
    </row>
    <row r="117" spans="1: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72564.797333333336</v>
      </c>
    </row>
    <row r="118" spans="1: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>
      <c r="A121" s="105" t="s">
        <v>26</v>
      </c>
      <c r="B121" s="105"/>
      <c r="C121" s="105" t="s">
        <v>27</v>
      </c>
      <c r="D121" s="105"/>
      <c r="E121" s="105"/>
      <c r="F121" s="105"/>
      <c r="G121" s="105" t="s">
        <v>28</v>
      </c>
      <c r="H121" s="105"/>
      <c r="I121" s="105"/>
      <c r="J121" s="105" t="s">
        <v>29</v>
      </c>
      <c r="K121" s="105"/>
      <c r="L121" s="105"/>
    </row>
    <row r="122" spans="1:13">
      <c r="A122" s="14" t="s">
        <v>30</v>
      </c>
      <c r="B122" s="104" t="s">
        <v>31</v>
      </c>
      <c r="C122" s="104"/>
      <c r="D122" s="104"/>
      <c r="E122" s="104"/>
      <c r="F122" s="104"/>
      <c r="G122" s="104" t="s">
        <v>32</v>
      </c>
      <c r="H122" s="104"/>
      <c r="I122" s="104"/>
      <c r="J122" s="104"/>
      <c r="K122" s="104"/>
      <c r="L122" s="104"/>
    </row>
    <row r="123" spans="1:13">
      <c r="A123" s="16">
        <v>4</v>
      </c>
      <c r="B123" s="102" t="s">
        <v>106</v>
      </c>
      <c r="C123" s="102"/>
      <c r="D123" s="102"/>
      <c r="E123" s="102"/>
      <c r="F123" s="102"/>
      <c r="G123" s="103">
        <v>42430</v>
      </c>
      <c r="H123" s="103"/>
      <c r="I123" s="103"/>
      <c r="J123" s="103">
        <v>42460</v>
      </c>
      <c r="K123" s="103"/>
      <c r="L123" s="103"/>
    </row>
    <row r="124" spans="1:13">
      <c r="A124" s="14" t="s">
        <v>34</v>
      </c>
      <c r="B124" s="14" t="s">
        <v>35</v>
      </c>
      <c r="C124" s="14" t="s">
        <v>36</v>
      </c>
      <c r="D124" s="14" t="s">
        <v>37</v>
      </c>
      <c r="E124" s="14" t="s">
        <v>38</v>
      </c>
      <c r="F124" s="14" t="s">
        <v>39</v>
      </c>
      <c r="G124" s="104" t="s">
        <v>40</v>
      </c>
      <c r="H124" s="104"/>
      <c r="I124" s="104"/>
      <c r="J124" s="104"/>
      <c r="K124" s="104"/>
      <c r="L124" s="104"/>
    </row>
    <row r="125" spans="1:13">
      <c r="A125" s="17">
        <v>41791</v>
      </c>
      <c r="B125" s="16"/>
      <c r="C125" s="17">
        <v>28152</v>
      </c>
      <c r="D125" s="16" t="s">
        <v>41</v>
      </c>
      <c r="E125" s="16">
        <v>0</v>
      </c>
      <c r="F125" s="16">
        <v>0</v>
      </c>
      <c r="G125" s="102"/>
      <c r="H125" s="102"/>
      <c r="I125" s="102"/>
      <c r="J125" s="102"/>
      <c r="K125" s="102"/>
      <c r="L125" s="102"/>
    </row>
    <row r="126" spans="1:13">
      <c r="A126" s="14" t="s">
        <v>42</v>
      </c>
      <c r="B126" s="14" t="s">
        <v>43</v>
      </c>
      <c r="C126" s="14" t="s">
        <v>44</v>
      </c>
      <c r="D126" s="104" t="s">
        <v>45</v>
      </c>
      <c r="E126" s="104"/>
      <c r="F126" s="104"/>
      <c r="G126" s="104" t="s">
        <v>46</v>
      </c>
      <c r="H126" s="104"/>
      <c r="I126" s="104"/>
      <c r="J126" s="104"/>
      <c r="K126" s="104"/>
      <c r="L126" s="104"/>
    </row>
    <row r="127" spans="1:13">
      <c r="A127" s="16">
        <v>123952551</v>
      </c>
      <c r="B127" s="16"/>
      <c r="C127" s="16"/>
      <c r="D127" s="102" t="s">
        <v>47</v>
      </c>
      <c r="E127" s="102"/>
      <c r="F127" s="102"/>
      <c r="G127" s="102" t="s">
        <v>107</v>
      </c>
      <c r="H127" s="102"/>
      <c r="I127" s="102"/>
      <c r="J127" s="102"/>
      <c r="K127" s="102"/>
      <c r="L127" s="102"/>
    </row>
    <row r="128" spans="1: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>
      <c r="A131" s="108" t="s">
        <v>49</v>
      </c>
      <c r="B131" s="108"/>
      <c r="C131" s="108"/>
      <c r="D131" s="108"/>
      <c r="E131" s="108"/>
      <c r="F131" s="108"/>
      <c r="G131" s="108" t="s">
        <v>50</v>
      </c>
      <c r="H131" s="108" t="s">
        <v>51</v>
      </c>
      <c r="I131" s="108" t="s">
        <v>52</v>
      </c>
      <c r="J131" s="108"/>
      <c r="K131" s="108" t="s">
        <v>53</v>
      </c>
      <c r="L131" s="108"/>
    </row>
    <row r="132" spans="1:12">
      <c r="A132" s="108"/>
      <c r="B132" s="108"/>
      <c r="C132" s="108"/>
      <c r="D132" s="108"/>
      <c r="E132" s="108"/>
      <c r="F132" s="108"/>
      <c r="G132" s="108"/>
      <c r="H132" s="108"/>
      <c r="I132" s="20" t="s">
        <v>54</v>
      </c>
      <c r="J132" s="20" t="s">
        <v>55</v>
      </c>
      <c r="K132" s="20" t="s">
        <v>56</v>
      </c>
      <c r="L132" s="20" t="s">
        <v>57</v>
      </c>
    </row>
    <row r="133" spans="1:12">
      <c r="A133" s="106" t="s">
        <v>58</v>
      </c>
      <c r="B133" s="106"/>
      <c r="C133" s="106"/>
      <c r="D133" s="106"/>
      <c r="E133" s="106"/>
      <c r="F133" s="106"/>
      <c r="G133" s="21">
        <v>90000</v>
      </c>
      <c r="H133" s="22"/>
      <c r="I133" s="21"/>
      <c r="J133" s="21"/>
      <c r="K133" s="21"/>
      <c r="L133" s="21"/>
    </row>
    <row r="134" spans="1:12">
      <c r="A134" s="106" t="s">
        <v>59</v>
      </c>
      <c r="B134" s="106"/>
      <c r="C134" s="106"/>
      <c r="D134" s="106"/>
      <c r="E134" s="106"/>
      <c r="F134" s="106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>
      <c r="A135" s="107" t="s">
        <v>60</v>
      </c>
      <c r="B135" s="107"/>
      <c r="C135" s="107"/>
      <c r="D135" s="107"/>
      <c r="E135" s="107"/>
      <c r="F135" s="107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>
      <c r="A136" s="107" t="s">
        <v>61</v>
      </c>
      <c r="B136" s="107"/>
      <c r="C136" s="107"/>
      <c r="D136" s="107"/>
      <c r="E136" s="107"/>
      <c r="F136" s="107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>
      <c r="A137" s="107" t="s">
        <v>62</v>
      </c>
      <c r="B137" s="107"/>
      <c r="C137" s="107"/>
      <c r="D137" s="107"/>
      <c r="E137" s="107"/>
      <c r="F137" s="107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>
      <c r="A138" s="107" t="s">
        <v>63</v>
      </c>
      <c r="B138" s="107"/>
      <c r="C138" s="107"/>
      <c r="D138" s="107"/>
      <c r="E138" s="107"/>
      <c r="F138" s="107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>
      <c r="A139" s="107" t="s">
        <v>64</v>
      </c>
      <c r="B139" s="107"/>
      <c r="C139" s="107"/>
      <c r="D139" s="107"/>
      <c r="E139" s="107"/>
      <c r="F139" s="107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>
      <c r="A140" s="107" t="s">
        <v>65</v>
      </c>
      <c r="B140" s="107"/>
      <c r="C140" s="107"/>
      <c r="D140" s="107"/>
      <c r="E140" s="107"/>
      <c r="F140" s="107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>
      <c r="A141" s="107" t="s">
        <v>66</v>
      </c>
      <c r="B141" s="107"/>
      <c r="C141" s="107"/>
      <c r="D141" s="107"/>
      <c r="E141" s="107"/>
      <c r="F141" s="107"/>
      <c r="G141" s="29"/>
      <c r="H141" s="30"/>
      <c r="I141" s="30"/>
      <c r="J141" s="25"/>
      <c r="K141" s="26"/>
      <c r="L141" s="26"/>
    </row>
    <row r="142" spans="1:12">
      <c r="A142" s="109">
        <v>0.25</v>
      </c>
      <c r="B142" s="109"/>
      <c r="C142" s="109"/>
      <c r="D142" s="109"/>
      <c r="E142" s="109"/>
      <c r="F142" s="109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>
      <c r="A143" s="109">
        <v>0.5</v>
      </c>
      <c r="B143" s="109"/>
      <c r="C143" s="109"/>
      <c r="D143" s="109"/>
      <c r="E143" s="109"/>
      <c r="F143" s="109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>
      <c r="A144" s="109">
        <v>1</v>
      </c>
      <c r="B144" s="109"/>
      <c r="C144" s="109"/>
      <c r="D144" s="109"/>
      <c r="E144" s="109"/>
      <c r="F144" s="109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>
      <c r="A145" s="106" t="s">
        <v>67</v>
      </c>
      <c r="B145" s="106"/>
      <c r="C145" s="106"/>
      <c r="D145" s="106"/>
      <c r="E145" s="106"/>
      <c r="F145" s="106"/>
      <c r="G145" s="21"/>
      <c r="H145" s="22"/>
      <c r="I145" s="21">
        <f>SUM(I146:I147)</f>
        <v>0</v>
      </c>
      <c r="J145" s="21"/>
      <c r="K145" s="21"/>
      <c r="L145" s="21"/>
    </row>
    <row r="146" spans="1:12">
      <c r="A146" s="107" t="s">
        <v>68</v>
      </c>
      <c r="B146" s="107"/>
      <c r="C146" s="107"/>
      <c r="D146" s="107"/>
      <c r="E146" s="107"/>
      <c r="F146" s="107"/>
      <c r="G146" s="23">
        <f>(G123-A125)/360</f>
        <v>1.7749999999999999</v>
      </c>
      <c r="H146" s="31">
        <f>IF(G146&lt;2,0,IF(AND(G146&gt;2,G146&lt;5),[1]Taux!A$33,IF(AND(G146&lt;12,G146&gt;5),[1]Taux!A$34,IF(AND(G146&gt;12,G146&lt;20),[1]Taux!A$35,IF(AND(G146&lt;25,G146&gt;20),[1]Taux!A$36,IF(G146&gt;25,[1]Taux!A$37))))))</f>
        <v>0</v>
      </c>
      <c r="I146" s="23">
        <f>I134*H146</f>
        <v>0</v>
      </c>
      <c r="J146" s="25"/>
      <c r="K146" s="26"/>
      <c r="L146" s="26"/>
    </row>
    <row r="147" spans="1:12">
      <c r="A147" s="107" t="s">
        <v>69</v>
      </c>
      <c r="B147" s="107"/>
      <c r="C147" s="107"/>
      <c r="D147" s="107"/>
      <c r="E147" s="107"/>
      <c r="F147" s="107"/>
      <c r="G147" s="23"/>
      <c r="H147" s="24"/>
      <c r="I147" s="23"/>
      <c r="J147" s="25"/>
      <c r="K147" s="26"/>
      <c r="L147" s="26"/>
    </row>
    <row r="148" spans="1:12">
      <c r="A148" s="106" t="s">
        <v>70</v>
      </c>
      <c r="B148" s="106"/>
      <c r="C148" s="106"/>
      <c r="D148" s="106"/>
      <c r="E148" s="106"/>
      <c r="F148" s="106"/>
      <c r="G148" s="21"/>
      <c r="H148" s="22"/>
      <c r="I148" s="21">
        <f>SUM(I149:I151)</f>
        <v>6000</v>
      </c>
      <c r="J148" s="21"/>
      <c r="K148" s="21"/>
      <c r="L148" s="21"/>
    </row>
    <row r="149" spans="1:12">
      <c r="A149" s="107" t="s">
        <v>71</v>
      </c>
      <c r="B149" s="107"/>
      <c r="C149" s="107"/>
      <c r="D149" s="107"/>
      <c r="E149" s="107"/>
      <c r="F149" s="107"/>
      <c r="G149" s="23"/>
      <c r="H149" s="24"/>
      <c r="I149" s="23">
        <v>3000</v>
      </c>
      <c r="J149" s="25"/>
      <c r="K149" s="26"/>
      <c r="L149" s="26"/>
    </row>
    <row r="150" spans="1:12">
      <c r="A150" s="107" t="s">
        <v>72</v>
      </c>
      <c r="B150" s="107"/>
      <c r="C150" s="107"/>
      <c r="D150" s="107"/>
      <c r="E150" s="107"/>
      <c r="F150" s="107"/>
      <c r="G150" s="23"/>
      <c r="H150" s="31"/>
      <c r="I150" s="23">
        <v>3000</v>
      </c>
      <c r="J150" s="25"/>
      <c r="K150" s="26"/>
      <c r="L150" s="26"/>
    </row>
    <row r="151" spans="1:12">
      <c r="A151" s="107" t="s">
        <v>73</v>
      </c>
      <c r="B151" s="107"/>
      <c r="C151" s="107"/>
      <c r="D151" s="107"/>
      <c r="E151" s="107"/>
      <c r="F151" s="107"/>
      <c r="G151" s="23"/>
      <c r="H151" s="24"/>
      <c r="I151" s="23"/>
      <c r="J151" s="25"/>
      <c r="K151" s="26"/>
      <c r="L151" s="26"/>
    </row>
    <row r="152" spans="1:12">
      <c r="A152" s="111" t="s">
        <v>74</v>
      </c>
      <c r="B152" s="111"/>
      <c r="C152" s="111"/>
      <c r="D152" s="111"/>
      <c r="E152" s="111"/>
      <c r="F152" s="111"/>
      <c r="G152" s="32"/>
      <c r="H152" s="33"/>
      <c r="I152" s="32">
        <f>I134+I145+I148</f>
        <v>96000</v>
      </c>
      <c r="J152" s="33"/>
      <c r="K152" s="33"/>
      <c r="L152" s="33"/>
    </row>
    <row r="153" spans="1:12">
      <c r="A153" s="111" t="s">
        <v>75</v>
      </c>
      <c r="B153" s="111"/>
      <c r="C153" s="111"/>
      <c r="D153" s="111"/>
      <c r="E153" s="111"/>
      <c r="F153" s="111"/>
      <c r="G153" s="32"/>
      <c r="H153" s="33"/>
      <c r="I153" s="32">
        <f>I152-I148</f>
        <v>90000</v>
      </c>
      <c r="J153" s="33"/>
      <c r="K153" s="33"/>
      <c r="L153" s="33"/>
    </row>
    <row r="154" spans="1:12">
      <c r="A154" s="107" t="s">
        <v>76</v>
      </c>
      <c r="B154" s="107"/>
      <c r="C154" s="107"/>
      <c r="D154" s="107"/>
      <c r="E154" s="107"/>
      <c r="F154" s="107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>
      <c r="A155" s="107" t="s">
        <v>77</v>
      </c>
      <c r="B155" s="107"/>
      <c r="C155" s="107"/>
      <c r="D155" s="107"/>
      <c r="E155" s="107"/>
      <c r="F155" s="107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>
      <c r="A156" s="107" t="s">
        <v>78</v>
      </c>
      <c r="B156" s="107"/>
      <c r="C156" s="107"/>
      <c r="D156" s="107"/>
      <c r="E156" s="107"/>
      <c r="F156" s="107"/>
      <c r="G156" s="23"/>
      <c r="H156" s="34">
        <v>0.5</v>
      </c>
      <c r="I156" s="23"/>
      <c r="J156" s="23">
        <f>I153*H156</f>
        <v>45000</v>
      </c>
      <c r="K156" s="35">
        <v>0.06</v>
      </c>
      <c r="L156" s="23">
        <f>I153*K156</f>
        <v>5400</v>
      </c>
    </row>
    <row r="157" spans="1:12">
      <c r="A157" s="107" t="s">
        <v>79</v>
      </c>
      <c r="B157" s="107"/>
      <c r="C157" s="107"/>
      <c r="D157" s="107"/>
      <c r="E157" s="107"/>
      <c r="F157" s="107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>
      <c r="A158" s="107" t="s">
        <v>80</v>
      </c>
      <c r="B158" s="107"/>
      <c r="C158" s="107"/>
      <c r="D158" s="107"/>
      <c r="E158" s="107"/>
      <c r="F158" s="107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>
      <c r="A159" s="107" t="s">
        <v>81</v>
      </c>
      <c r="B159" s="107"/>
      <c r="C159" s="107"/>
      <c r="D159" s="107"/>
      <c r="E159" s="107"/>
      <c r="F159" s="107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>
      <c r="A160" s="107" t="s">
        <v>24</v>
      </c>
      <c r="B160" s="107"/>
      <c r="C160" s="107"/>
      <c r="D160" s="107"/>
      <c r="E160" s="107"/>
      <c r="F160" s="107"/>
      <c r="G160" s="23"/>
      <c r="H160" s="34" t="str">
        <f>[1]Taux!D$7</f>
        <v>2,26%</v>
      </c>
      <c r="I160" s="23"/>
      <c r="J160" s="23">
        <f>I153*H160</f>
        <v>2033.9999999999998</v>
      </c>
      <c r="K160" s="34" t="str">
        <f>[1]Taux!C$7</f>
        <v>4,11%</v>
      </c>
      <c r="L160" s="23">
        <f>I153*K160</f>
        <v>3699</v>
      </c>
    </row>
    <row r="161" spans="1:12">
      <c r="A161" s="110" t="s">
        <v>82</v>
      </c>
      <c r="B161" s="110"/>
      <c r="C161" s="110"/>
      <c r="D161" s="110"/>
      <c r="E161" s="110"/>
      <c r="F161" s="110"/>
      <c r="G161" s="37"/>
      <c r="H161" s="38"/>
      <c r="I161" s="39"/>
      <c r="J161" s="40"/>
      <c r="K161" s="34" t="str">
        <f>[1]Taux!C$4</f>
        <v>6,40%</v>
      </c>
      <c r="L161" s="23">
        <f>I153*K161</f>
        <v>5760</v>
      </c>
    </row>
    <row r="162" spans="1:12">
      <c r="A162" s="110" t="s">
        <v>83</v>
      </c>
      <c r="B162" s="110"/>
      <c r="C162" s="110"/>
      <c r="D162" s="110"/>
      <c r="E162" s="110"/>
      <c r="F162" s="110"/>
      <c r="G162" s="41"/>
      <c r="H162" s="42"/>
      <c r="I162" s="43"/>
      <c r="J162" s="44"/>
      <c r="K162" s="34" t="str">
        <f>[1]Taux!C$8</f>
        <v>1,6 %</v>
      </c>
      <c r="L162" s="23">
        <f>I153*K162</f>
        <v>1440</v>
      </c>
    </row>
    <row r="163" spans="1:12">
      <c r="A163" s="106" t="s">
        <v>84</v>
      </c>
      <c r="B163" s="106"/>
      <c r="C163" s="106"/>
      <c r="D163" s="106"/>
      <c r="E163" s="106"/>
      <c r="F163" s="106"/>
      <c r="G163" s="21"/>
      <c r="H163" s="22"/>
      <c r="I163" s="22"/>
      <c r="J163" s="21">
        <f>SUM(J154:J160)</f>
        <v>47302.8</v>
      </c>
      <c r="K163" s="21"/>
      <c r="L163" s="21">
        <f>SUM(L154:L162)</f>
        <v>16837.8</v>
      </c>
    </row>
    <row r="164" spans="1:12">
      <c r="A164" s="107" t="s">
        <v>85</v>
      </c>
      <c r="B164" s="107"/>
      <c r="C164" s="107"/>
      <c r="D164" s="107"/>
      <c r="E164" s="107"/>
      <c r="F164" s="107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>
      <c r="A165" s="111" t="s">
        <v>86</v>
      </c>
      <c r="B165" s="111"/>
      <c r="C165" s="111"/>
      <c r="D165" s="111"/>
      <c r="E165" s="111"/>
      <c r="F165" s="111"/>
      <c r="G165" s="32"/>
      <c r="H165" s="33"/>
      <c r="I165" s="32">
        <f>I153-J163-J164</f>
        <v>40197.199999999997</v>
      </c>
      <c r="J165" s="33"/>
      <c r="K165" s="33"/>
      <c r="L165" s="33"/>
    </row>
    <row r="166" spans="1:12">
      <c r="A166" s="107" t="s">
        <v>87</v>
      </c>
      <c r="B166" s="107"/>
      <c r="C166" s="107"/>
      <c r="D166" s="107"/>
      <c r="E166" s="107"/>
      <c r="F166" s="107"/>
      <c r="G166" s="23"/>
      <c r="H166" s="34"/>
      <c r="I166" s="23">
        <f>H166*180/360</f>
        <v>0</v>
      </c>
      <c r="J166" s="23"/>
      <c r="K166" s="46"/>
      <c r="L166" s="47"/>
    </row>
    <row r="167" spans="1:12">
      <c r="A167" s="111" t="s">
        <v>88</v>
      </c>
      <c r="B167" s="111"/>
      <c r="C167" s="111"/>
      <c r="D167" s="111"/>
      <c r="E167" s="111"/>
      <c r="F167" s="111"/>
      <c r="G167" s="32"/>
      <c r="H167" s="33"/>
      <c r="I167" s="32">
        <f>I165-I166</f>
        <v>40197.199999999997</v>
      </c>
      <c r="J167" s="33"/>
      <c r="K167" s="33"/>
      <c r="L167" s="33"/>
    </row>
    <row r="168" spans="1:12">
      <c r="A168" s="107" t="s">
        <v>89</v>
      </c>
      <c r="B168" s="107"/>
      <c r="C168" s="107"/>
      <c r="D168" s="107"/>
      <c r="E168" s="107"/>
      <c r="F168" s="107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13241.602666666666</v>
      </c>
      <c r="K168" s="46"/>
      <c r="L168" s="47"/>
    </row>
    <row r="169" spans="1:12">
      <c r="A169" s="107" t="s">
        <v>90</v>
      </c>
      <c r="B169" s="107"/>
      <c r="C169" s="107"/>
      <c r="D169" s="107"/>
      <c r="E169" s="107"/>
      <c r="F169" s="107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>
      <c r="A170" s="106" t="s">
        <v>91</v>
      </c>
      <c r="B170" s="106"/>
      <c r="C170" s="106"/>
      <c r="D170" s="106"/>
      <c r="E170" s="106"/>
      <c r="F170" s="106"/>
      <c r="G170" s="21"/>
      <c r="H170" s="22"/>
      <c r="I170" s="21"/>
      <c r="J170" s="21">
        <f>J168-J169</f>
        <v>13241.602666666666</v>
      </c>
      <c r="K170" s="21"/>
      <c r="L170" s="21"/>
    </row>
    <row r="171" spans="1:12">
      <c r="A171" s="112" t="s">
        <v>92</v>
      </c>
      <c r="B171" s="112"/>
      <c r="C171" s="112"/>
      <c r="D171" s="112"/>
      <c r="E171" s="112"/>
      <c r="F171" s="112"/>
      <c r="G171" s="25"/>
      <c r="H171" s="48"/>
      <c r="I171" s="47"/>
      <c r="J171" s="49">
        <v>0</v>
      </c>
      <c r="K171" s="46"/>
      <c r="L171" s="47"/>
    </row>
    <row r="172" spans="1:12">
      <c r="A172" s="107" t="s">
        <v>93</v>
      </c>
      <c r="B172" s="107"/>
      <c r="C172" s="107"/>
      <c r="D172" s="107"/>
      <c r="E172" s="107"/>
      <c r="F172" s="107"/>
      <c r="G172" s="25"/>
      <c r="H172" s="48"/>
      <c r="I172" s="44"/>
      <c r="J172" s="28">
        <v>0</v>
      </c>
      <c r="K172" s="46"/>
      <c r="L172" s="47"/>
    </row>
    <row r="173" spans="1:12">
      <c r="A173" s="113" t="s">
        <v>94</v>
      </c>
      <c r="B173" s="113"/>
      <c r="C173" s="113"/>
      <c r="D173" s="113"/>
      <c r="E173" s="113"/>
      <c r="F173" s="113"/>
      <c r="G173" s="41"/>
      <c r="H173" s="42"/>
      <c r="I173" s="28">
        <f>1-0.6</f>
        <v>0.4</v>
      </c>
      <c r="J173" s="41"/>
      <c r="K173" s="43"/>
      <c r="L173" s="44"/>
    </row>
    <row r="174" spans="1:1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>
      <c r="A175" s="14" t="s">
        <v>95</v>
      </c>
      <c r="B175" s="14" t="s">
        <v>96</v>
      </c>
      <c r="C175" s="14" t="s">
        <v>97</v>
      </c>
      <c r="D175" s="104" t="s">
        <v>98</v>
      </c>
      <c r="E175" s="104"/>
      <c r="F175" s="104"/>
      <c r="G175" s="14" t="s">
        <v>99</v>
      </c>
      <c r="H175" s="50"/>
      <c r="I175" s="52">
        <f>I152+I173</f>
        <v>96000.4</v>
      </c>
      <c r="J175" s="52">
        <f>J163+J170+J171+J172</f>
        <v>60544.402666666669</v>
      </c>
      <c r="K175" s="14" t="s">
        <v>100</v>
      </c>
      <c r="L175" s="52">
        <f>L163</f>
        <v>16837.8</v>
      </c>
    </row>
    <row r="176" spans="1:12">
      <c r="A176" s="52">
        <f>882000+I152</f>
        <v>978000</v>
      </c>
      <c r="B176" s="52">
        <f>828000+I153</f>
        <v>918000</v>
      </c>
      <c r="C176" s="52">
        <f>2419.2+J154</f>
        <v>2688</v>
      </c>
      <c r="D176" s="114">
        <f>122440.83+J170</f>
        <v>135682.43266666666</v>
      </c>
      <c r="E176" s="114"/>
      <c r="F176" s="114"/>
      <c r="G176" s="52">
        <f>324432+I175</f>
        <v>420432.4</v>
      </c>
      <c r="H176" s="104" t="s">
        <v>101</v>
      </c>
      <c r="I176" s="104"/>
      <c r="J176" s="52">
        <f>I175-J175</f>
        <v>35455.997333333326</v>
      </c>
      <c r="K176" s="14" t="s">
        <v>102</v>
      </c>
      <c r="L176" s="52">
        <f>154800+L175</f>
        <v>171637.8</v>
      </c>
    </row>
    <row r="177" spans="1:1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52293.797333333321</v>
      </c>
    </row>
    <row r="181" spans="1:12">
      <c r="A181" s="105" t="s">
        <v>26</v>
      </c>
      <c r="B181" s="105"/>
      <c r="C181" s="105" t="s">
        <v>27</v>
      </c>
      <c r="D181" s="105"/>
      <c r="E181" s="105"/>
      <c r="F181" s="105"/>
      <c r="G181" s="105" t="s">
        <v>28</v>
      </c>
      <c r="H181" s="105"/>
      <c r="I181" s="105"/>
      <c r="J181" s="105" t="s">
        <v>29</v>
      </c>
      <c r="K181" s="105"/>
      <c r="L181" s="105"/>
    </row>
    <row r="182" spans="1:12">
      <c r="A182" s="14" t="s">
        <v>30</v>
      </c>
      <c r="B182" s="104" t="s">
        <v>31</v>
      </c>
      <c r="C182" s="104"/>
      <c r="D182" s="104"/>
      <c r="E182" s="104"/>
      <c r="F182" s="104"/>
      <c r="G182" s="104" t="s">
        <v>32</v>
      </c>
      <c r="H182" s="104"/>
      <c r="I182" s="104"/>
      <c r="J182" s="104"/>
      <c r="K182" s="104"/>
      <c r="L182" s="104"/>
    </row>
    <row r="183" spans="1:12">
      <c r="A183" s="16">
        <v>5</v>
      </c>
      <c r="B183" s="102" t="s">
        <v>108</v>
      </c>
      <c r="C183" s="102"/>
      <c r="D183" s="102"/>
      <c r="E183" s="102"/>
      <c r="F183" s="102"/>
      <c r="G183" s="103">
        <v>42430</v>
      </c>
      <c r="H183" s="103"/>
      <c r="I183" s="103"/>
      <c r="J183" s="103">
        <v>42460</v>
      </c>
      <c r="K183" s="103"/>
      <c r="L183" s="103"/>
    </row>
    <row r="184" spans="1:12">
      <c r="A184" s="14" t="s">
        <v>34</v>
      </c>
      <c r="B184" s="14" t="s">
        <v>35</v>
      </c>
      <c r="C184" s="14" t="s">
        <v>36</v>
      </c>
      <c r="D184" s="14" t="s">
        <v>37</v>
      </c>
      <c r="E184" s="14" t="s">
        <v>38</v>
      </c>
      <c r="F184" s="14" t="s">
        <v>39</v>
      </c>
      <c r="G184" s="104" t="s">
        <v>40</v>
      </c>
      <c r="H184" s="104"/>
      <c r="I184" s="104"/>
      <c r="J184" s="104"/>
      <c r="K184" s="104"/>
      <c r="L184" s="104"/>
    </row>
    <row r="185" spans="1:12">
      <c r="A185" s="17">
        <v>41791</v>
      </c>
      <c r="B185" s="16"/>
      <c r="C185" s="17">
        <v>21792</v>
      </c>
      <c r="D185" s="16" t="s">
        <v>41</v>
      </c>
      <c r="E185" s="16">
        <v>2</v>
      </c>
      <c r="F185" s="16">
        <v>3</v>
      </c>
      <c r="G185" s="102"/>
      <c r="H185" s="102"/>
      <c r="I185" s="102"/>
      <c r="J185" s="102"/>
      <c r="K185" s="102"/>
      <c r="L185" s="102"/>
    </row>
    <row r="186" spans="1:12">
      <c r="A186" s="14" t="s">
        <v>42</v>
      </c>
      <c r="B186" s="14" t="s">
        <v>43</v>
      </c>
      <c r="C186" s="14" t="s">
        <v>44</v>
      </c>
      <c r="D186" s="104" t="s">
        <v>45</v>
      </c>
      <c r="E186" s="104"/>
      <c r="F186" s="104"/>
      <c r="G186" s="104" t="s">
        <v>46</v>
      </c>
      <c r="H186" s="104"/>
      <c r="I186" s="104"/>
      <c r="J186" s="104"/>
      <c r="K186" s="104"/>
      <c r="L186" s="104"/>
    </row>
    <row r="187" spans="1:12">
      <c r="A187" s="16">
        <v>132944135</v>
      </c>
      <c r="B187" s="16"/>
      <c r="C187" s="16"/>
      <c r="D187" s="102" t="s">
        <v>47</v>
      </c>
      <c r="E187" s="102"/>
      <c r="F187" s="102"/>
      <c r="G187" s="102" t="s">
        <v>109</v>
      </c>
      <c r="H187" s="102"/>
      <c r="I187" s="102"/>
      <c r="J187" s="102"/>
      <c r="K187" s="102"/>
      <c r="L187" s="102"/>
    </row>
    <row r="188" spans="1:1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>
      <c r="A191" s="108" t="s">
        <v>49</v>
      </c>
      <c r="B191" s="108"/>
      <c r="C191" s="108"/>
      <c r="D191" s="108"/>
      <c r="E191" s="108"/>
      <c r="F191" s="108"/>
      <c r="G191" s="108" t="s">
        <v>50</v>
      </c>
      <c r="H191" s="108" t="s">
        <v>51</v>
      </c>
      <c r="I191" s="108" t="s">
        <v>52</v>
      </c>
      <c r="J191" s="108"/>
      <c r="K191" s="108" t="s">
        <v>53</v>
      </c>
      <c r="L191" s="108"/>
    </row>
    <row r="192" spans="1:12">
      <c r="A192" s="108"/>
      <c r="B192" s="108"/>
      <c r="C192" s="108"/>
      <c r="D192" s="108"/>
      <c r="E192" s="108"/>
      <c r="F192" s="108"/>
      <c r="G192" s="108"/>
      <c r="H192" s="108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>
      <c r="A193" s="106" t="s">
        <v>58</v>
      </c>
      <c r="B193" s="106"/>
      <c r="C193" s="106"/>
      <c r="D193" s="106"/>
      <c r="E193" s="106"/>
      <c r="F193" s="106"/>
      <c r="G193" s="21">
        <v>12125.57</v>
      </c>
      <c r="H193" s="22"/>
      <c r="I193" s="21"/>
      <c r="J193" s="21"/>
      <c r="K193" s="21"/>
      <c r="L193" s="21"/>
    </row>
    <row r="194" spans="1:12">
      <c r="A194" s="106" t="s">
        <v>59</v>
      </c>
      <c r="B194" s="106"/>
      <c r="C194" s="106"/>
      <c r="D194" s="106"/>
      <c r="E194" s="106"/>
      <c r="F194" s="106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>
      <c r="A195" s="107" t="s">
        <v>60</v>
      </c>
      <c r="B195" s="107"/>
      <c r="C195" s="107"/>
      <c r="D195" s="107"/>
      <c r="E195" s="107"/>
      <c r="F195" s="107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>
      <c r="A196" s="107" t="s">
        <v>61</v>
      </c>
      <c r="B196" s="107"/>
      <c r="C196" s="107"/>
      <c r="D196" s="107"/>
      <c r="E196" s="107"/>
      <c r="F196" s="107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>
      <c r="A197" s="107" t="s">
        <v>62</v>
      </c>
      <c r="B197" s="107"/>
      <c r="C197" s="107"/>
      <c r="D197" s="107"/>
      <c r="E197" s="107"/>
      <c r="F197" s="107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>
      <c r="A198" s="107" t="s">
        <v>63</v>
      </c>
      <c r="B198" s="107"/>
      <c r="C198" s="107"/>
      <c r="D198" s="107"/>
      <c r="E198" s="107"/>
      <c r="F198" s="107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>
      <c r="A199" s="107" t="s">
        <v>64</v>
      </c>
      <c r="B199" s="107"/>
      <c r="C199" s="107"/>
      <c r="D199" s="107"/>
      <c r="E199" s="107"/>
      <c r="F199" s="107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>
      <c r="A200" s="107" t="s">
        <v>65</v>
      </c>
      <c r="B200" s="107"/>
      <c r="C200" s="107"/>
      <c r="D200" s="107"/>
      <c r="E200" s="107"/>
      <c r="F200" s="107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>
      <c r="A201" s="107" t="s">
        <v>66</v>
      </c>
      <c r="B201" s="107"/>
      <c r="C201" s="107"/>
      <c r="D201" s="107"/>
      <c r="E201" s="107"/>
      <c r="F201" s="107"/>
      <c r="G201" s="29"/>
      <c r="H201" s="30"/>
      <c r="I201" s="30"/>
      <c r="J201" s="25"/>
      <c r="K201" s="26"/>
      <c r="L201" s="26"/>
    </row>
    <row r="202" spans="1:12">
      <c r="A202" s="109">
        <v>0.25</v>
      </c>
      <c r="B202" s="109"/>
      <c r="C202" s="109"/>
      <c r="D202" s="109"/>
      <c r="E202" s="109"/>
      <c r="F202" s="109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>
      <c r="A203" s="109">
        <v>0.5</v>
      </c>
      <c r="B203" s="109"/>
      <c r="C203" s="109"/>
      <c r="D203" s="109"/>
      <c r="E203" s="109"/>
      <c r="F203" s="109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>
      <c r="A204" s="109">
        <v>1</v>
      </c>
      <c r="B204" s="109"/>
      <c r="C204" s="109"/>
      <c r="D204" s="109"/>
      <c r="E204" s="109"/>
      <c r="F204" s="109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>
      <c r="A205" s="106" t="s">
        <v>67</v>
      </c>
      <c r="B205" s="106"/>
      <c r="C205" s="106"/>
      <c r="D205" s="106"/>
      <c r="E205" s="106"/>
      <c r="F205" s="106"/>
      <c r="G205" s="21"/>
      <c r="H205" s="22"/>
      <c r="I205" s="21">
        <f>SUM(I206:I207)</f>
        <v>0</v>
      </c>
      <c r="J205" s="21"/>
      <c r="K205" s="21"/>
      <c r="L205" s="21"/>
    </row>
    <row r="206" spans="1:12">
      <c r="A206" s="107" t="s">
        <v>68</v>
      </c>
      <c r="B206" s="107"/>
      <c r="C206" s="107"/>
      <c r="D206" s="107"/>
      <c r="E206" s="107"/>
      <c r="F206" s="107"/>
      <c r="G206" s="23">
        <f>(G183-A185)/360</f>
        <v>1.7749999999999999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</v>
      </c>
      <c r="I206" s="23">
        <f>I194*H206</f>
        <v>0</v>
      </c>
      <c r="J206" s="25"/>
      <c r="K206" s="26"/>
      <c r="L206" s="26"/>
    </row>
    <row r="207" spans="1:12">
      <c r="A207" s="107" t="s">
        <v>69</v>
      </c>
      <c r="B207" s="107"/>
      <c r="C207" s="107"/>
      <c r="D207" s="107"/>
      <c r="E207" s="107"/>
      <c r="F207" s="107"/>
      <c r="G207" s="23"/>
      <c r="H207" s="24"/>
      <c r="I207" s="23"/>
      <c r="J207" s="25"/>
      <c r="K207" s="26"/>
      <c r="L207" s="26"/>
    </row>
    <row r="208" spans="1:12">
      <c r="A208" s="106" t="s">
        <v>70</v>
      </c>
      <c r="B208" s="106"/>
      <c r="C208" s="106"/>
      <c r="D208" s="106"/>
      <c r="E208" s="106"/>
      <c r="F208" s="106"/>
      <c r="G208" s="21"/>
      <c r="H208" s="22"/>
      <c r="I208" s="21">
        <f>SUM(I209:I211)</f>
        <v>5000</v>
      </c>
      <c r="J208" s="21"/>
      <c r="K208" s="21"/>
      <c r="L208" s="21"/>
    </row>
    <row r="209" spans="1:12">
      <c r="A209" s="107" t="s">
        <v>71</v>
      </c>
      <c r="B209" s="107"/>
      <c r="C209" s="107"/>
      <c r="D209" s="107"/>
      <c r="E209" s="107"/>
      <c r="F209" s="107"/>
      <c r="G209" s="23"/>
      <c r="H209" s="24"/>
      <c r="I209" s="23">
        <v>2500</v>
      </c>
      <c r="J209" s="25"/>
      <c r="K209" s="26"/>
      <c r="L209" s="26"/>
    </row>
    <row r="210" spans="1:12">
      <c r="A210" s="107" t="s">
        <v>72</v>
      </c>
      <c r="B210" s="107"/>
      <c r="C210" s="107"/>
      <c r="D210" s="107"/>
      <c r="E210" s="107"/>
      <c r="F210" s="107"/>
      <c r="G210" s="23"/>
      <c r="H210" s="31">
        <v>0</v>
      </c>
      <c r="I210" s="23">
        <v>2500</v>
      </c>
      <c r="J210" s="25"/>
      <c r="K210" s="26"/>
      <c r="L210" s="26"/>
    </row>
    <row r="211" spans="1:12">
      <c r="A211" s="107" t="s">
        <v>73</v>
      </c>
      <c r="B211" s="107"/>
      <c r="C211" s="107"/>
      <c r="D211" s="107"/>
      <c r="E211" s="107"/>
      <c r="F211" s="107"/>
      <c r="G211" s="23"/>
      <c r="H211" s="24"/>
      <c r="I211" s="23"/>
      <c r="J211" s="25"/>
      <c r="K211" s="26"/>
      <c r="L211" s="26"/>
    </row>
    <row r="212" spans="1:12">
      <c r="A212" s="111" t="s">
        <v>74</v>
      </c>
      <c r="B212" s="111"/>
      <c r="C212" s="111"/>
      <c r="D212" s="111"/>
      <c r="E212" s="111"/>
      <c r="F212" s="111"/>
      <c r="G212" s="32"/>
      <c r="H212" s="33"/>
      <c r="I212" s="32">
        <f>I194+I205+I208</f>
        <v>17125.57</v>
      </c>
      <c r="J212" s="33"/>
      <c r="K212" s="33"/>
      <c r="L212" s="33"/>
    </row>
    <row r="213" spans="1:12">
      <c r="A213" s="111" t="s">
        <v>75</v>
      </c>
      <c r="B213" s="111"/>
      <c r="C213" s="111"/>
      <c r="D213" s="111"/>
      <c r="E213" s="111"/>
      <c r="F213" s="111"/>
      <c r="G213" s="32"/>
      <c r="H213" s="33"/>
      <c r="I213" s="32">
        <f>I212-I208</f>
        <v>12125.57</v>
      </c>
      <c r="J213" s="33"/>
      <c r="K213" s="33"/>
      <c r="L213" s="33"/>
    </row>
    <row r="214" spans="1:12">
      <c r="A214" s="107" t="s">
        <v>76</v>
      </c>
      <c r="B214" s="107"/>
      <c r="C214" s="107"/>
      <c r="D214" s="107"/>
      <c r="E214" s="107"/>
      <c r="F214" s="107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>
      <c r="A215" s="107" t="s">
        <v>77</v>
      </c>
      <c r="B215" s="107"/>
      <c r="C215" s="107"/>
      <c r="D215" s="107"/>
      <c r="E215" s="107"/>
      <c r="F215" s="107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>
      <c r="A216" s="107" t="s">
        <v>78</v>
      </c>
      <c r="B216" s="107"/>
      <c r="C216" s="107"/>
      <c r="D216" s="107"/>
      <c r="E216" s="107"/>
      <c r="F216" s="107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>
      <c r="A217" s="107" t="s">
        <v>79</v>
      </c>
      <c r="B217" s="107"/>
      <c r="C217" s="107"/>
      <c r="D217" s="107"/>
      <c r="E217" s="107"/>
      <c r="F217" s="107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>
      <c r="A218" s="107" t="s">
        <v>80</v>
      </c>
      <c r="B218" s="107"/>
      <c r="C218" s="107"/>
      <c r="D218" s="107"/>
      <c r="E218" s="107"/>
      <c r="F218" s="107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>
      <c r="A219" s="107" t="s">
        <v>81</v>
      </c>
      <c r="B219" s="107"/>
      <c r="C219" s="107"/>
      <c r="D219" s="107"/>
      <c r="E219" s="107"/>
      <c r="F219" s="107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>
      <c r="A220" s="107" t="s">
        <v>24</v>
      </c>
      <c r="B220" s="107"/>
      <c r="C220" s="107"/>
      <c r="D220" s="107"/>
      <c r="E220" s="107"/>
      <c r="F220" s="107"/>
      <c r="G220" s="23"/>
      <c r="H220" s="34" t="str">
        <f>[1]Taux!D$7</f>
        <v>2,26%</v>
      </c>
      <c r="I220" s="23"/>
      <c r="J220" s="23">
        <f>I213*H220</f>
        <v>274.03788199999997</v>
      </c>
      <c r="K220" s="34" t="str">
        <f>[1]Taux!C$7</f>
        <v>4,11%</v>
      </c>
      <c r="L220" s="23">
        <f>I213*K220</f>
        <v>498.36092699999995</v>
      </c>
    </row>
    <row r="221" spans="1:12">
      <c r="A221" s="110" t="s">
        <v>82</v>
      </c>
      <c r="B221" s="110"/>
      <c r="C221" s="110"/>
      <c r="D221" s="110"/>
      <c r="E221" s="110"/>
      <c r="F221" s="110"/>
      <c r="G221" s="37"/>
      <c r="H221" s="38"/>
      <c r="I221" s="39"/>
      <c r="J221" s="40"/>
      <c r="K221" s="34" t="str">
        <f>[1]Taux!C$4</f>
        <v>6,40%</v>
      </c>
      <c r="L221" s="23">
        <f>I213*K221</f>
        <v>776.03647999999998</v>
      </c>
    </row>
    <row r="222" spans="1:12">
      <c r="A222" s="110" t="s">
        <v>83</v>
      </c>
      <c r="B222" s="110"/>
      <c r="C222" s="110"/>
      <c r="D222" s="110"/>
      <c r="E222" s="110"/>
      <c r="F222" s="110"/>
      <c r="G222" s="41"/>
      <c r="H222" s="42"/>
      <c r="I222" s="43"/>
      <c r="J222" s="44"/>
      <c r="K222" s="34" t="str">
        <f>[1]Taux!C$8</f>
        <v>1,6 %</v>
      </c>
      <c r="L222" s="23">
        <f>I213*K222</f>
        <v>194.00912</v>
      </c>
    </row>
    <row r="223" spans="1:12">
      <c r="A223" s="106" t="s">
        <v>84</v>
      </c>
      <c r="B223" s="106"/>
      <c r="C223" s="106"/>
      <c r="D223" s="106"/>
      <c r="E223" s="106"/>
      <c r="F223" s="106"/>
      <c r="G223" s="21"/>
      <c r="H223" s="22"/>
      <c r="I223" s="22"/>
      <c r="J223" s="21">
        <f>SUM(J214:J220)</f>
        <v>542.83788200000004</v>
      </c>
      <c r="K223" s="21"/>
      <c r="L223" s="21">
        <f>SUM(L214:L222)</f>
        <v>2007.2065269999998</v>
      </c>
    </row>
    <row r="224" spans="1:12">
      <c r="A224" s="107" t="s">
        <v>85</v>
      </c>
      <c r="B224" s="107"/>
      <c r="C224" s="107"/>
      <c r="D224" s="107"/>
      <c r="E224" s="107"/>
      <c r="F224" s="107"/>
      <c r="G224" s="23"/>
      <c r="H224" s="45">
        <v>0.2</v>
      </c>
      <c r="I224" s="23"/>
      <c r="J224" s="23">
        <f>IF(I213*H224&lt;2500,I213*H224,2500)</f>
        <v>2425.114</v>
      </c>
      <c r="K224" s="46"/>
      <c r="L224" s="47"/>
    </row>
    <row r="225" spans="1:12">
      <c r="A225" s="111" t="s">
        <v>86</v>
      </c>
      <c r="B225" s="111"/>
      <c r="C225" s="111"/>
      <c r="D225" s="111"/>
      <c r="E225" s="111"/>
      <c r="F225" s="111"/>
      <c r="G225" s="32"/>
      <c r="H225" s="33"/>
      <c r="I225" s="32">
        <f>I213-J223-J224</f>
        <v>9157.6181180000003</v>
      </c>
      <c r="J225" s="33"/>
      <c r="K225" s="33"/>
      <c r="L225" s="33"/>
    </row>
    <row r="226" spans="1:12">
      <c r="A226" s="107" t="s">
        <v>87</v>
      </c>
      <c r="B226" s="107"/>
      <c r="C226" s="107"/>
      <c r="D226" s="107"/>
      <c r="E226" s="107"/>
      <c r="F226" s="107"/>
      <c r="G226" s="23"/>
      <c r="H226" s="34"/>
      <c r="I226" s="23">
        <f>H226*180/360</f>
        <v>0</v>
      </c>
      <c r="J226" s="23"/>
      <c r="K226" s="46"/>
      <c r="L226" s="47"/>
    </row>
    <row r="227" spans="1:12">
      <c r="A227" s="111" t="s">
        <v>88</v>
      </c>
      <c r="B227" s="111"/>
      <c r="C227" s="111"/>
      <c r="D227" s="111"/>
      <c r="E227" s="111"/>
      <c r="F227" s="111"/>
      <c r="G227" s="32"/>
      <c r="H227" s="33"/>
      <c r="I227" s="32">
        <f>I225-I226</f>
        <v>9157.6181180000003</v>
      </c>
      <c r="J227" s="33"/>
      <c r="K227" s="33"/>
      <c r="L227" s="33"/>
    </row>
    <row r="228" spans="1:12">
      <c r="A228" s="107" t="s">
        <v>89</v>
      </c>
      <c r="B228" s="107"/>
      <c r="C228" s="107"/>
      <c r="D228" s="107"/>
      <c r="E228" s="107"/>
      <c r="F228" s="107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1680.256826786667</v>
      </c>
      <c r="K228" s="46"/>
      <c r="L228" s="47"/>
    </row>
    <row r="229" spans="1:12">
      <c r="A229" s="107" t="s">
        <v>90</v>
      </c>
      <c r="B229" s="107"/>
      <c r="C229" s="107"/>
      <c r="D229" s="107"/>
      <c r="E229" s="107"/>
      <c r="F229" s="107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>
      <c r="A230" s="106" t="s">
        <v>91</v>
      </c>
      <c r="B230" s="106"/>
      <c r="C230" s="106"/>
      <c r="D230" s="106"/>
      <c r="E230" s="106"/>
      <c r="F230" s="106"/>
      <c r="G230" s="21"/>
      <c r="H230" s="22"/>
      <c r="I230" s="21"/>
      <c r="J230" s="21">
        <f>J228-J229</f>
        <v>1590.256826786667</v>
      </c>
      <c r="K230" s="21"/>
      <c r="L230" s="21"/>
    </row>
    <row r="231" spans="1:12">
      <c r="A231" s="112" t="s">
        <v>92</v>
      </c>
      <c r="B231" s="112"/>
      <c r="C231" s="112"/>
      <c r="D231" s="112"/>
      <c r="E231" s="112"/>
      <c r="F231" s="112"/>
      <c r="G231" s="25"/>
      <c r="H231" s="48"/>
      <c r="I231" s="47"/>
      <c r="J231" s="49">
        <v>0</v>
      </c>
      <c r="K231" s="46"/>
      <c r="L231" s="47"/>
    </row>
    <row r="232" spans="1:12">
      <c r="A232" s="107" t="s">
        <v>93</v>
      </c>
      <c r="B232" s="107"/>
      <c r="C232" s="107"/>
      <c r="D232" s="107"/>
      <c r="E232" s="107"/>
      <c r="F232" s="107"/>
      <c r="G232" s="25"/>
      <c r="H232" s="48"/>
      <c r="I232" s="44"/>
      <c r="J232" s="28">
        <v>0</v>
      </c>
      <c r="K232" s="46"/>
      <c r="L232" s="47"/>
    </row>
    <row r="233" spans="1:12">
      <c r="A233" s="113" t="s">
        <v>94</v>
      </c>
      <c r="B233" s="113"/>
      <c r="C233" s="113"/>
      <c r="D233" s="113"/>
      <c r="E233" s="113"/>
      <c r="F233" s="113"/>
      <c r="G233" s="41"/>
      <c r="H233" s="42"/>
      <c r="I233" s="28">
        <f>1-0.98</f>
        <v>2.0000000000000018E-2</v>
      </c>
      <c r="J233" s="41"/>
      <c r="K233" s="43"/>
      <c r="L233" s="44"/>
    </row>
    <row r="234" spans="1:1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>
      <c r="A235" s="14" t="s">
        <v>95</v>
      </c>
      <c r="B235" s="14" t="s">
        <v>96</v>
      </c>
      <c r="C235" s="14" t="s">
        <v>97</v>
      </c>
      <c r="D235" s="104" t="s">
        <v>98</v>
      </c>
      <c r="E235" s="104"/>
      <c r="F235" s="104"/>
      <c r="G235" s="14" t="s">
        <v>99</v>
      </c>
      <c r="H235" s="50"/>
      <c r="I235" s="52">
        <f>I212+I233</f>
        <v>17125.59</v>
      </c>
      <c r="J235" s="52">
        <f>J223+J230+J231+J232</f>
        <v>2133.0947087866671</v>
      </c>
      <c r="K235" s="14" t="s">
        <v>100</v>
      </c>
      <c r="L235" s="52">
        <f>L223</f>
        <v>2007.2065269999998</v>
      </c>
    </row>
    <row r="236" spans="1:12">
      <c r="A236" s="52">
        <f>156555.24+I212</f>
        <v>173680.81</v>
      </c>
      <c r="B236" s="52">
        <f>111555.24+I213</f>
        <v>123680.81</v>
      </c>
      <c r="C236" s="52">
        <f>2419.2+J214</f>
        <v>2688</v>
      </c>
      <c r="D236" s="114">
        <f>15016.37+J230</f>
        <v>16606.626826786669</v>
      </c>
      <c r="E236" s="114"/>
      <c r="F236" s="114"/>
      <c r="G236" s="52">
        <f>136602.47+I235</f>
        <v>153728.06</v>
      </c>
      <c r="H236" s="104" t="s">
        <v>101</v>
      </c>
      <c r="I236" s="104"/>
      <c r="J236" s="52">
        <f>I235-J235</f>
        <v>14992.495291213334</v>
      </c>
      <c r="K236" s="14" t="s">
        <v>102</v>
      </c>
      <c r="L236" s="52">
        <f>20589.65+L235</f>
        <v>22596.856527</v>
      </c>
    </row>
    <row r="237" spans="1:1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16999.701818213332</v>
      </c>
    </row>
    <row r="241" spans="1:12">
      <c r="A241" s="105" t="s">
        <v>26</v>
      </c>
      <c r="B241" s="105"/>
      <c r="C241" s="105" t="s">
        <v>27</v>
      </c>
      <c r="D241" s="105"/>
      <c r="E241" s="105"/>
      <c r="F241" s="105"/>
      <c r="G241" s="105" t="s">
        <v>28</v>
      </c>
      <c r="H241" s="105"/>
      <c r="I241" s="105"/>
      <c r="J241" s="105" t="s">
        <v>29</v>
      </c>
      <c r="K241" s="105"/>
      <c r="L241" s="105"/>
    </row>
    <row r="242" spans="1:12">
      <c r="A242" s="14" t="s">
        <v>30</v>
      </c>
      <c r="B242" s="104" t="s">
        <v>31</v>
      </c>
      <c r="C242" s="104"/>
      <c r="D242" s="104"/>
      <c r="E242" s="104"/>
      <c r="F242" s="104"/>
      <c r="G242" s="104" t="s">
        <v>32</v>
      </c>
      <c r="H242" s="104"/>
      <c r="I242" s="104"/>
      <c r="J242" s="104"/>
      <c r="K242" s="104"/>
      <c r="L242" s="104"/>
    </row>
    <row r="243" spans="1:12">
      <c r="A243" s="16">
        <v>6</v>
      </c>
      <c r="B243" s="102" t="s">
        <v>110</v>
      </c>
      <c r="C243" s="102"/>
      <c r="D243" s="102"/>
      <c r="E243" s="102"/>
      <c r="F243" s="102"/>
      <c r="G243" s="103">
        <v>42430</v>
      </c>
      <c r="H243" s="103"/>
      <c r="I243" s="103"/>
      <c r="J243" s="103">
        <v>42460</v>
      </c>
      <c r="K243" s="103"/>
      <c r="L243" s="103"/>
    </row>
    <row r="244" spans="1:12">
      <c r="A244" s="14" t="s">
        <v>34</v>
      </c>
      <c r="B244" s="14" t="s">
        <v>35</v>
      </c>
      <c r="C244" s="14" t="s">
        <v>36</v>
      </c>
      <c r="D244" s="14" t="s">
        <v>37</v>
      </c>
      <c r="E244" s="14" t="s">
        <v>38</v>
      </c>
      <c r="F244" s="14" t="s">
        <v>39</v>
      </c>
      <c r="G244" s="104" t="s">
        <v>40</v>
      </c>
      <c r="H244" s="104"/>
      <c r="I244" s="104"/>
      <c r="J244" s="104"/>
      <c r="K244" s="104"/>
      <c r="L244" s="104"/>
    </row>
    <row r="245" spans="1:12">
      <c r="A245" s="17">
        <v>41821</v>
      </c>
      <c r="B245" s="16"/>
      <c r="C245" s="17">
        <v>31573</v>
      </c>
      <c r="D245" s="16" t="s">
        <v>111</v>
      </c>
      <c r="E245" s="16">
        <v>0</v>
      </c>
      <c r="F245" s="16">
        <v>0</v>
      </c>
      <c r="G245" s="102"/>
      <c r="H245" s="102"/>
      <c r="I245" s="102"/>
      <c r="J245" s="102"/>
      <c r="K245" s="102"/>
      <c r="L245" s="102"/>
    </row>
    <row r="246" spans="1:12">
      <c r="A246" s="14" t="s">
        <v>42</v>
      </c>
      <c r="B246" s="14" t="s">
        <v>43</v>
      </c>
      <c r="C246" s="14" t="s">
        <v>44</v>
      </c>
      <c r="D246" s="104" t="s">
        <v>45</v>
      </c>
      <c r="E246" s="104"/>
      <c r="F246" s="104"/>
      <c r="G246" s="104" t="s">
        <v>46</v>
      </c>
      <c r="H246" s="104"/>
      <c r="I246" s="104"/>
      <c r="J246" s="104"/>
      <c r="K246" s="104"/>
      <c r="L246" s="104"/>
    </row>
    <row r="247" spans="1:12">
      <c r="A247" s="16">
        <v>195441186</v>
      </c>
      <c r="B247" s="16"/>
      <c r="C247" s="16"/>
      <c r="D247" s="102" t="s">
        <v>47</v>
      </c>
      <c r="E247" s="102"/>
      <c r="F247" s="102"/>
      <c r="G247" s="102" t="s">
        <v>107</v>
      </c>
      <c r="H247" s="102"/>
      <c r="I247" s="102"/>
      <c r="J247" s="102"/>
      <c r="K247" s="102"/>
      <c r="L247" s="102"/>
    </row>
    <row r="248" spans="1:1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>
      <c r="A251" s="108" t="s">
        <v>49</v>
      </c>
      <c r="B251" s="108"/>
      <c r="C251" s="108"/>
      <c r="D251" s="108"/>
      <c r="E251" s="108"/>
      <c r="F251" s="108"/>
      <c r="G251" s="108" t="s">
        <v>50</v>
      </c>
      <c r="H251" s="108" t="s">
        <v>51</v>
      </c>
      <c r="I251" s="108" t="s">
        <v>52</v>
      </c>
      <c r="J251" s="108"/>
      <c r="K251" s="108" t="s">
        <v>53</v>
      </c>
      <c r="L251" s="108"/>
    </row>
    <row r="252" spans="1:12">
      <c r="A252" s="108"/>
      <c r="B252" s="108"/>
      <c r="C252" s="108"/>
      <c r="D252" s="108"/>
      <c r="E252" s="108"/>
      <c r="F252" s="108"/>
      <c r="G252" s="108"/>
      <c r="H252" s="108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>
      <c r="A253" s="106" t="s">
        <v>58</v>
      </c>
      <c r="B253" s="106"/>
      <c r="C253" s="106"/>
      <c r="D253" s="106"/>
      <c r="E253" s="106"/>
      <c r="F253" s="106"/>
      <c r="G253" s="21">
        <v>2895.13</v>
      </c>
      <c r="H253" s="22"/>
      <c r="I253" s="21"/>
      <c r="J253" s="21"/>
      <c r="K253" s="21"/>
      <c r="L253" s="21"/>
    </row>
    <row r="254" spans="1:12">
      <c r="A254" s="106" t="s">
        <v>59</v>
      </c>
      <c r="B254" s="106"/>
      <c r="C254" s="106"/>
      <c r="D254" s="106"/>
      <c r="E254" s="106"/>
      <c r="F254" s="106"/>
      <c r="G254" s="21"/>
      <c r="H254" s="21"/>
      <c r="I254" s="21">
        <f>IF(I255+I256-J257-J258+I259+I262+I263+I264+I260&lt;G253,I255+I256-J257-J258+I259+I262+I263+I264+I260,G253)</f>
        <v>2895.13</v>
      </c>
      <c r="J254" s="21"/>
      <c r="K254" s="21"/>
      <c r="L254" s="21"/>
    </row>
    <row r="255" spans="1:12">
      <c r="A255" s="107" t="s">
        <v>60</v>
      </c>
      <c r="B255" s="107"/>
      <c r="C255" s="107"/>
      <c r="D255" s="107"/>
      <c r="E255" s="107"/>
      <c r="F255" s="107"/>
      <c r="G255" s="23"/>
      <c r="H255" s="24">
        <v>26</v>
      </c>
      <c r="I255" s="23">
        <f>G253/26*H255</f>
        <v>2895.13</v>
      </c>
      <c r="J255" s="25"/>
      <c r="K255" s="26"/>
      <c r="L255" s="26"/>
    </row>
    <row r="256" spans="1:12">
      <c r="A256" s="107" t="s">
        <v>61</v>
      </c>
      <c r="B256" s="107"/>
      <c r="C256" s="107"/>
      <c r="D256" s="107"/>
      <c r="E256" s="107"/>
      <c r="F256" s="107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>
      <c r="A257" s="107" t="s">
        <v>62</v>
      </c>
      <c r="B257" s="107"/>
      <c r="C257" s="107"/>
      <c r="D257" s="107"/>
      <c r="E257" s="107"/>
      <c r="F257" s="107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>
      <c r="A258" s="107" t="s">
        <v>63</v>
      </c>
      <c r="B258" s="107"/>
      <c r="C258" s="107"/>
      <c r="D258" s="107"/>
      <c r="E258" s="107"/>
      <c r="F258" s="107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>
      <c r="A259" s="107" t="s">
        <v>64</v>
      </c>
      <c r="B259" s="107"/>
      <c r="C259" s="107"/>
      <c r="D259" s="107"/>
      <c r="E259" s="107"/>
      <c r="F259" s="107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>
      <c r="A260" s="107" t="s">
        <v>65</v>
      </c>
      <c r="B260" s="107"/>
      <c r="C260" s="107"/>
      <c r="D260" s="107"/>
      <c r="E260" s="107"/>
      <c r="F260" s="107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>
      <c r="A261" s="107" t="s">
        <v>66</v>
      </c>
      <c r="B261" s="107"/>
      <c r="C261" s="107"/>
      <c r="D261" s="107"/>
      <c r="E261" s="107"/>
      <c r="F261" s="107"/>
      <c r="G261" s="29"/>
      <c r="H261" s="30"/>
      <c r="I261" s="30"/>
      <c r="J261" s="25"/>
      <c r="K261" s="26"/>
      <c r="L261" s="26"/>
    </row>
    <row r="262" spans="1:12">
      <c r="A262" s="109">
        <v>0.25</v>
      </c>
      <c r="B262" s="109"/>
      <c r="C262" s="109"/>
      <c r="D262" s="109"/>
      <c r="E262" s="109"/>
      <c r="F262" s="109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>
      <c r="A263" s="109">
        <v>0.5</v>
      </c>
      <c r="B263" s="109"/>
      <c r="C263" s="109"/>
      <c r="D263" s="109"/>
      <c r="E263" s="109"/>
      <c r="F263" s="109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>
      <c r="A264" s="109">
        <v>1</v>
      </c>
      <c r="B264" s="109"/>
      <c r="C264" s="109"/>
      <c r="D264" s="109"/>
      <c r="E264" s="109"/>
      <c r="F264" s="109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>
      <c r="A265" s="106" t="s">
        <v>67</v>
      </c>
      <c r="B265" s="106"/>
      <c r="C265" s="106"/>
      <c r="D265" s="106"/>
      <c r="E265" s="106"/>
      <c r="F265" s="106"/>
      <c r="G265" s="21"/>
      <c r="H265" s="22"/>
      <c r="I265" s="21">
        <f>SUM(I266:I267)</f>
        <v>0</v>
      </c>
      <c r="J265" s="21"/>
      <c r="K265" s="21"/>
      <c r="L265" s="21"/>
    </row>
    <row r="266" spans="1:12">
      <c r="A266" s="107" t="s">
        <v>68</v>
      </c>
      <c r="B266" s="107"/>
      <c r="C266" s="107"/>
      <c r="D266" s="107"/>
      <c r="E266" s="107"/>
      <c r="F266" s="107"/>
      <c r="G266" s="23">
        <f>(G243-A245)/360</f>
        <v>1.6916666666666667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</v>
      </c>
      <c r="I266" s="23">
        <f>I254*H266</f>
        <v>0</v>
      </c>
      <c r="J266" s="25"/>
      <c r="K266" s="26"/>
      <c r="L266" s="26"/>
    </row>
    <row r="267" spans="1:12">
      <c r="A267" s="107" t="s">
        <v>69</v>
      </c>
      <c r="B267" s="107"/>
      <c r="C267" s="107"/>
      <c r="D267" s="107"/>
      <c r="E267" s="107"/>
      <c r="F267" s="107"/>
      <c r="G267" s="23"/>
      <c r="H267" s="24"/>
      <c r="I267" s="23"/>
      <c r="J267" s="25"/>
      <c r="K267" s="26"/>
      <c r="L267" s="26"/>
    </row>
    <row r="268" spans="1:12">
      <c r="A268" s="106" t="s">
        <v>70</v>
      </c>
      <c r="B268" s="106"/>
      <c r="C268" s="106"/>
      <c r="D268" s="106"/>
      <c r="E268" s="106"/>
      <c r="F268" s="106"/>
      <c r="G268" s="21"/>
      <c r="H268" s="22"/>
      <c r="I268" s="21">
        <f>SUM(I269:I271)</f>
        <v>300</v>
      </c>
      <c r="J268" s="21"/>
      <c r="K268" s="21"/>
      <c r="L268" s="21"/>
    </row>
    <row r="269" spans="1:12">
      <c r="A269" s="107" t="s">
        <v>71</v>
      </c>
      <c r="B269" s="107"/>
      <c r="C269" s="107"/>
      <c r="D269" s="107"/>
      <c r="E269" s="107"/>
      <c r="F269" s="107"/>
      <c r="G269" s="23"/>
      <c r="H269" s="24"/>
      <c r="I269" s="23">
        <v>300</v>
      </c>
      <c r="J269" s="25"/>
      <c r="K269" s="26"/>
      <c r="L269" s="26"/>
    </row>
    <row r="270" spans="1:12">
      <c r="A270" s="107" t="s">
        <v>72</v>
      </c>
      <c r="B270" s="107"/>
      <c r="C270" s="107"/>
      <c r="D270" s="107"/>
      <c r="E270" s="107"/>
      <c r="F270" s="107"/>
      <c r="G270" s="23"/>
      <c r="H270" s="31">
        <v>0</v>
      </c>
      <c r="I270" s="23"/>
      <c r="J270" s="25"/>
      <c r="K270" s="26"/>
      <c r="L270" s="26"/>
    </row>
    <row r="271" spans="1:12">
      <c r="A271" s="107" t="s">
        <v>73</v>
      </c>
      <c r="B271" s="107"/>
      <c r="C271" s="107"/>
      <c r="D271" s="107"/>
      <c r="E271" s="107"/>
      <c r="F271" s="107"/>
      <c r="G271" s="23"/>
      <c r="H271" s="24"/>
      <c r="I271" s="23"/>
      <c r="J271" s="25"/>
      <c r="K271" s="26"/>
      <c r="L271" s="26"/>
    </row>
    <row r="272" spans="1:12">
      <c r="A272" s="111" t="s">
        <v>74</v>
      </c>
      <c r="B272" s="111"/>
      <c r="C272" s="111"/>
      <c r="D272" s="111"/>
      <c r="E272" s="111"/>
      <c r="F272" s="111"/>
      <c r="G272" s="32"/>
      <c r="H272" s="33"/>
      <c r="I272" s="32">
        <f>I254+I265+I268</f>
        <v>3195.13</v>
      </c>
      <c r="J272" s="33"/>
      <c r="K272" s="33"/>
      <c r="L272" s="33"/>
    </row>
    <row r="273" spans="1:12">
      <c r="A273" s="111" t="s">
        <v>75</v>
      </c>
      <c r="B273" s="111"/>
      <c r="C273" s="111"/>
      <c r="D273" s="111"/>
      <c r="E273" s="111"/>
      <c r="F273" s="111"/>
      <c r="G273" s="32"/>
      <c r="H273" s="33"/>
      <c r="I273" s="32">
        <f>I272-I268</f>
        <v>2895.13</v>
      </c>
      <c r="J273" s="33"/>
      <c r="K273" s="33"/>
      <c r="L273" s="33"/>
    </row>
    <row r="274" spans="1:12">
      <c r="A274" s="107" t="s">
        <v>76</v>
      </c>
      <c r="B274" s="107"/>
      <c r="C274" s="107"/>
      <c r="D274" s="107"/>
      <c r="E274" s="107"/>
      <c r="F274" s="107"/>
      <c r="G274" s="23"/>
      <c r="H274" s="34">
        <f>[1]Taux!D$5+[1]Taux!D$6</f>
        <v>4.4800000000000006E-2</v>
      </c>
      <c r="I274" s="23"/>
      <c r="J274" s="23">
        <f>IF(I273&lt;6000,I273*H274,6000*H274)</f>
        <v>129.70182400000002</v>
      </c>
      <c r="K274" s="35">
        <f>[1]Taux!C$5+[1]Taux!C$6</f>
        <v>8.9799999999999991E-2</v>
      </c>
      <c r="L274" s="23">
        <f>IF(I273&lt;6000,I273*K274,6000*K274)</f>
        <v>259.98267399999997</v>
      </c>
    </row>
    <row r="275" spans="1:12">
      <c r="A275" s="107" t="s">
        <v>77</v>
      </c>
      <c r="B275" s="107"/>
      <c r="C275" s="107"/>
      <c r="D275" s="107"/>
      <c r="E275" s="107"/>
      <c r="F275" s="107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>
      <c r="A276" s="107" t="s">
        <v>78</v>
      </c>
      <c r="B276" s="107"/>
      <c r="C276" s="107"/>
      <c r="D276" s="107"/>
      <c r="E276" s="107"/>
      <c r="F276" s="107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57.902600000000007</v>
      </c>
    </row>
    <row r="277" spans="1:12">
      <c r="A277" s="107" t="s">
        <v>79</v>
      </c>
      <c r="B277" s="107"/>
      <c r="C277" s="107"/>
      <c r="D277" s="107"/>
      <c r="E277" s="107"/>
      <c r="F277" s="107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>
      <c r="A278" s="107" t="s">
        <v>80</v>
      </c>
      <c r="B278" s="107"/>
      <c r="C278" s="107"/>
      <c r="D278" s="107"/>
      <c r="E278" s="107"/>
      <c r="F278" s="107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>
      <c r="A279" s="107" t="s">
        <v>81</v>
      </c>
      <c r="B279" s="107"/>
      <c r="C279" s="107"/>
      <c r="D279" s="107"/>
      <c r="E279" s="107"/>
      <c r="F279" s="107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>
      <c r="A280" s="107" t="s">
        <v>24</v>
      </c>
      <c r="B280" s="107"/>
      <c r="C280" s="107"/>
      <c r="D280" s="107"/>
      <c r="E280" s="107"/>
      <c r="F280" s="107"/>
      <c r="G280" s="23"/>
      <c r="H280" s="34" t="str">
        <f>[1]Taux!D$7</f>
        <v>2,26%</v>
      </c>
      <c r="I280" s="23"/>
      <c r="J280" s="23">
        <f>I273*H280</f>
        <v>65.429937999999993</v>
      </c>
      <c r="K280" s="34" t="str">
        <f>[1]Taux!C$7</f>
        <v>4,11%</v>
      </c>
      <c r="L280" s="23">
        <f>I273*K280</f>
        <v>118.98984299999999</v>
      </c>
    </row>
    <row r="281" spans="1:12">
      <c r="A281" s="110" t="s">
        <v>82</v>
      </c>
      <c r="B281" s="110"/>
      <c r="C281" s="110"/>
      <c r="D281" s="110"/>
      <c r="E281" s="110"/>
      <c r="F281" s="110"/>
      <c r="G281" s="37"/>
      <c r="H281" s="38"/>
      <c r="I281" s="39"/>
      <c r="J281" s="40"/>
      <c r="K281" s="34" t="str">
        <f>[1]Taux!C$4</f>
        <v>6,40%</v>
      </c>
      <c r="L281" s="23">
        <f>I273*K281</f>
        <v>185.28832</v>
      </c>
    </row>
    <row r="282" spans="1:12">
      <c r="A282" s="110" t="s">
        <v>83</v>
      </c>
      <c r="B282" s="110"/>
      <c r="C282" s="110"/>
      <c r="D282" s="110"/>
      <c r="E282" s="110"/>
      <c r="F282" s="110"/>
      <c r="G282" s="41"/>
      <c r="H282" s="42"/>
      <c r="I282" s="43"/>
      <c r="J282" s="44"/>
      <c r="K282" s="34" t="str">
        <f>[1]Taux!C$8</f>
        <v>1,6 %</v>
      </c>
      <c r="L282" s="23">
        <f>I273*K282</f>
        <v>46.32208</v>
      </c>
    </row>
    <row r="283" spans="1:12">
      <c r="A283" s="106" t="s">
        <v>84</v>
      </c>
      <c r="B283" s="106"/>
      <c r="C283" s="106"/>
      <c r="D283" s="106"/>
      <c r="E283" s="106"/>
      <c r="F283" s="106"/>
      <c r="G283" s="21"/>
      <c r="H283" s="22"/>
      <c r="I283" s="22"/>
      <c r="J283" s="21">
        <f>SUM(J274:J280)</f>
        <v>195.13176200000001</v>
      </c>
      <c r="K283" s="21"/>
      <c r="L283" s="21">
        <f>SUM(L274:L282)</f>
        <v>668.48551699999996</v>
      </c>
    </row>
    <row r="284" spans="1:12">
      <c r="A284" s="107" t="s">
        <v>85</v>
      </c>
      <c r="B284" s="107"/>
      <c r="C284" s="107"/>
      <c r="D284" s="107"/>
      <c r="E284" s="107"/>
      <c r="F284" s="107"/>
      <c r="G284" s="23"/>
      <c r="H284" s="45">
        <v>0.2</v>
      </c>
      <c r="I284" s="23"/>
      <c r="J284" s="23">
        <f>IF(I273*H284&lt;2500,I273*H284,2500)</f>
        <v>579.02600000000007</v>
      </c>
      <c r="K284" s="46"/>
      <c r="L284" s="47"/>
    </row>
    <row r="285" spans="1:12">
      <c r="A285" s="111" t="s">
        <v>86</v>
      </c>
      <c r="B285" s="111"/>
      <c r="C285" s="111"/>
      <c r="D285" s="111"/>
      <c r="E285" s="111"/>
      <c r="F285" s="111"/>
      <c r="G285" s="32"/>
      <c r="H285" s="33"/>
      <c r="I285" s="32">
        <f>I273-J283-J284</f>
        <v>2120.9722380000003</v>
      </c>
      <c r="J285" s="33"/>
      <c r="K285" s="33"/>
      <c r="L285" s="33"/>
    </row>
    <row r="286" spans="1:12">
      <c r="A286" s="107" t="s">
        <v>87</v>
      </c>
      <c r="B286" s="107"/>
      <c r="C286" s="107"/>
      <c r="D286" s="107"/>
      <c r="E286" s="107"/>
      <c r="F286" s="107"/>
      <c r="G286" s="23"/>
      <c r="H286" s="34"/>
      <c r="I286" s="23">
        <f>H286*180/360</f>
        <v>0</v>
      </c>
      <c r="J286" s="23"/>
      <c r="K286" s="46"/>
      <c r="L286" s="47"/>
    </row>
    <row r="287" spans="1:12">
      <c r="A287" s="111" t="s">
        <v>88</v>
      </c>
      <c r="B287" s="111"/>
      <c r="C287" s="111"/>
      <c r="D287" s="111"/>
      <c r="E287" s="111"/>
      <c r="F287" s="111"/>
      <c r="G287" s="32"/>
      <c r="H287" s="33"/>
      <c r="I287" s="32">
        <f>I285-I286</f>
        <v>2120.9722380000003</v>
      </c>
      <c r="J287" s="33"/>
      <c r="K287" s="33"/>
      <c r="L287" s="33"/>
    </row>
    <row r="288" spans="1:12">
      <c r="A288" s="107" t="s">
        <v>89</v>
      </c>
      <c r="B288" s="107"/>
      <c r="C288" s="107"/>
      <c r="D288" s="107"/>
      <c r="E288" s="107"/>
      <c r="F288" s="107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0</v>
      </c>
      <c r="K288" s="46"/>
      <c r="L288" s="47"/>
    </row>
    <row r="289" spans="1:12">
      <c r="A289" s="107" t="s">
        <v>90</v>
      </c>
      <c r="B289" s="107"/>
      <c r="C289" s="107"/>
      <c r="D289" s="107"/>
      <c r="E289" s="107"/>
      <c r="F289" s="107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>
      <c r="A290" s="106" t="s">
        <v>91</v>
      </c>
      <c r="B290" s="106"/>
      <c r="C290" s="106"/>
      <c r="D290" s="106"/>
      <c r="E290" s="106"/>
      <c r="F290" s="106"/>
      <c r="G290" s="21"/>
      <c r="H290" s="22"/>
      <c r="I290" s="21"/>
      <c r="J290" s="21">
        <f>J288-J289</f>
        <v>0</v>
      </c>
      <c r="K290" s="21"/>
      <c r="L290" s="21"/>
    </row>
    <row r="291" spans="1:12">
      <c r="A291" s="112" t="s">
        <v>92</v>
      </c>
      <c r="B291" s="112"/>
      <c r="C291" s="112"/>
      <c r="D291" s="112"/>
      <c r="E291" s="112"/>
      <c r="F291" s="112"/>
      <c r="G291" s="25"/>
      <c r="H291" s="48"/>
      <c r="I291" s="47"/>
      <c r="J291" s="49">
        <v>0</v>
      </c>
      <c r="K291" s="46"/>
      <c r="L291" s="47"/>
    </row>
    <row r="292" spans="1:12">
      <c r="A292" s="107" t="s">
        <v>93</v>
      </c>
      <c r="B292" s="107"/>
      <c r="C292" s="107"/>
      <c r="D292" s="107"/>
      <c r="E292" s="107"/>
      <c r="F292" s="107"/>
      <c r="G292" s="25"/>
      <c r="H292" s="48"/>
      <c r="I292" s="44"/>
      <c r="J292" s="28"/>
      <c r="K292" s="46"/>
      <c r="L292" s="47"/>
    </row>
    <row r="293" spans="1:12">
      <c r="A293" s="113" t="s">
        <v>94</v>
      </c>
      <c r="B293" s="113"/>
      <c r="C293" s="113"/>
      <c r="D293" s="113"/>
      <c r="E293" s="113"/>
      <c r="F293" s="113"/>
      <c r="G293" s="41"/>
      <c r="H293" s="42"/>
      <c r="I293" s="28"/>
      <c r="J293" s="41"/>
      <c r="K293" s="43"/>
      <c r="L293" s="44"/>
    </row>
    <row r="294" spans="1:1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>
      <c r="A295" s="14" t="s">
        <v>95</v>
      </c>
      <c r="B295" s="14" t="s">
        <v>96</v>
      </c>
      <c r="C295" s="14" t="s">
        <v>97</v>
      </c>
      <c r="D295" s="104" t="s">
        <v>98</v>
      </c>
      <c r="E295" s="104"/>
      <c r="F295" s="104"/>
      <c r="G295" s="14" t="s">
        <v>99</v>
      </c>
      <c r="H295" s="50"/>
      <c r="I295" s="52">
        <f>I272+I293</f>
        <v>3195.13</v>
      </c>
      <c r="J295" s="52">
        <f>J283+J290+J291+J292</f>
        <v>195.13176200000001</v>
      </c>
      <c r="K295" s="14" t="s">
        <v>100</v>
      </c>
      <c r="L295" s="52">
        <f>L283</f>
        <v>668.48551699999996</v>
      </c>
    </row>
    <row r="296" spans="1:12">
      <c r="A296" s="52">
        <f>32114.9+I272</f>
        <v>35310.03</v>
      </c>
      <c r="B296" s="52">
        <f>29414.9+I273</f>
        <v>32310.030000000002</v>
      </c>
      <c r="C296" s="52">
        <f>1317.78+J274</f>
        <v>1447.481824</v>
      </c>
      <c r="D296" s="114">
        <f>132.35+J290</f>
        <v>132.35</v>
      </c>
      <c r="E296" s="114"/>
      <c r="F296" s="114"/>
      <c r="G296" s="52">
        <f>30000+I295</f>
        <v>33195.129999999997</v>
      </c>
      <c r="H296" s="104" t="s">
        <v>101</v>
      </c>
      <c r="I296" s="104"/>
      <c r="J296" s="52">
        <f>I295-J295</f>
        <v>2999.9982380000001</v>
      </c>
      <c r="K296" s="14" t="s">
        <v>102</v>
      </c>
      <c r="L296" s="52">
        <f>5864.92+L295</f>
        <v>6533.4055170000001</v>
      </c>
    </row>
    <row r="297" spans="1:1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3668.4837550000002</v>
      </c>
    </row>
    <row r="301" spans="1:12">
      <c r="A301" s="105" t="s">
        <v>26</v>
      </c>
      <c r="B301" s="105"/>
      <c r="C301" s="105" t="s">
        <v>27</v>
      </c>
      <c r="D301" s="105"/>
      <c r="E301" s="105"/>
      <c r="F301" s="105"/>
      <c r="G301" s="105" t="s">
        <v>28</v>
      </c>
      <c r="H301" s="105"/>
      <c r="I301" s="105"/>
      <c r="J301" s="105" t="s">
        <v>29</v>
      </c>
      <c r="K301" s="105"/>
      <c r="L301" s="105"/>
    </row>
    <row r="302" spans="1:12">
      <c r="A302" s="14" t="s">
        <v>30</v>
      </c>
      <c r="B302" s="104" t="s">
        <v>31</v>
      </c>
      <c r="C302" s="104"/>
      <c r="D302" s="104"/>
      <c r="E302" s="104"/>
      <c r="F302" s="104"/>
      <c r="G302" s="104" t="s">
        <v>32</v>
      </c>
      <c r="H302" s="104"/>
      <c r="I302" s="104"/>
      <c r="J302" s="104"/>
      <c r="K302" s="104"/>
      <c r="L302" s="104"/>
    </row>
    <row r="303" spans="1:12">
      <c r="A303" s="16">
        <v>7</v>
      </c>
      <c r="B303" s="102" t="s">
        <v>112</v>
      </c>
      <c r="C303" s="102"/>
      <c r="D303" s="102"/>
      <c r="E303" s="102"/>
      <c r="F303" s="102"/>
      <c r="G303" s="103">
        <v>42430</v>
      </c>
      <c r="H303" s="103"/>
      <c r="I303" s="103"/>
      <c r="J303" s="103">
        <v>42460</v>
      </c>
      <c r="K303" s="103"/>
      <c r="L303" s="103"/>
    </row>
    <row r="304" spans="1:12">
      <c r="A304" s="14" t="s">
        <v>34</v>
      </c>
      <c r="B304" s="14" t="s">
        <v>35</v>
      </c>
      <c r="C304" s="14" t="s">
        <v>36</v>
      </c>
      <c r="D304" s="14" t="s">
        <v>37</v>
      </c>
      <c r="E304" s="14" t="s">
        <v>38</v>
      </c>
      <c r="F304" s="14" t="s">
        <v>39</v>
      </c>
      <c r="G304" s="104" t="s">
        <v>40</v>
      </c>
      <c r="H304" s="104"/>
      <c r="I304" s="104"/>
      <c r="J304" s="104"/>
      <c r="K304" s="104"/>
      <c r="L304" s="104"/>
    </row>
    <row r="305" spans="1:12">
      <c r="A305" s="17">
        <v>42005</v>
      </c>
      <c r="B305" s="16"/>
      <c r="C305" s="17">
        <v>34565</v>
      </c>
      <c r="D305" s="16" t="s">
        <v>111</v>
      </c>
      <c r="E305" s="16">
        <v>0</v>
      </c>
      <c r="F305" s="16">
        <v>0</v>
      </c>
      <c r="G305" s="102"/>
      <c r="H305" s="102"/>
      <c r="I305" s="102"/>
      <c r="J305" s="102"/>
      <c r="K305" s="102"/>
      <c r="L305" s="102"/>
    </row>
    <row r="306" spans="1:12">
      <c r="A306" s="14" t="s">
        <v>42</v>
      </c>
      <c r="B306" s="14" t="s">
        <v>43</v>
      </c>
      <c r="C306" s="14" t="s">
        <v>44</v>
      </c>
      <c r="D306" s="104" t="s">
        <v>45</v>
      </c>
      <c r="E306" s="104"/>
      <c r="F306" s="104"/>
      <c r="G306" s="104" t="s">
        <v>46</v>
      </c>
      <c r="H306" s="104"/>
      <c r="I306" s="104"/>
      <c r="J306" s="104"/>
      <c r="K306" s="104"/>
      <c r="L306" s="104"/>
    </row>
    <row r="307" spans="1:12">
      <c r="A307" s="16">
        <v>168098097</v>
      </c>
      <c r="B307" s="16"/>
      <c r="C307" s="16"/>
      <c r="D307" s="102" t="s">
        <v>47</v>
      </c>
      <c r="E307" s="102"/>
      <c r="F307" s="102"/>
      <c r="G307" s="102" t="s">
        <v>107</v>
      </c>
      <c r="H307" s="102"/>
      <c r="I307" s="102"/>
      <c r="J307" s="102"/>
      <c r="K307" s="102"/>
      <c r="L307" s="102"/>
    </row>
    <row r="308" spans="1:1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>
      <c r="A311" s="108" t="s">
        <v>49</v>
      </c>
      <c r="B311" s="108"/>
      <c r="C311" s="108"/>
      <c r="D311" s="108"/>
      <c r="E311" s="108"/>
      <c r="F311" s="108"/>
      <c r="G311" s="108" t="s">
        <v>50</v>
      </c>
      <c r="H311" s="108" t="s">
        <v>51</v>
      </c>
      <c r="I311" s="108" t="s">
        <v>52</v>
      </c>
      <c r="J311" s="108"/>
      <c r="K311" s="108" t="s">
        <v>53</v>
      </c>
      <c r="L311" s="108"/>
    </row>
    <row r="312" spans="1:12">
      <c r="A312" s="108"/>
      <c r="B312" s="108"/>
      <c r="C312" s="108"/>
      <c r="D312" s="108"/>
      <c r="E312" s="108"/>
      <c r="F312" s="108"/>
      <c r="G312" s="108"/>
      <c r="H312" s="108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>
      <c r="A313" s="106" t="s">
        <v>58</v>
      </c>
      <c r="B313" s="106"/>
      <c r="C313" s="106"/>
      <c r="D313" s="106"/>
      <c r="E313" s="106"/>
      <c r="F313" s="106"/>
      <c r="G313" s="21">
        <v>2807.8</v>
      </c>
      <c r="H313" s="22"/>
      <c r="I313" s="21"/>
      <c r="J313" s="21"/>
      <c r="K313" s="21"/>
      <c r="L313" s="21"/>
    </row>
    <row r="314" spans="1:12">
      <c r="A314" s="106" t="s">
        <v>59</v>
      </c>
      <c r="B314" s="106"/>
      <c r="C314" s="106"/>
      <c r="D314" s="106"/>
      <c r="E314" s="106"/>
      <c r="F314" s="106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>
      <c r="A315" s="107" t="s">
        <v>60</v>
      </c>
      <c r="B315" s="107"/>
      <c r="C315" s="107"/>
      <c r="D315" s="107"/>
      <c r="E315" s="107"/>
      <c r="F315" s="107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>
      <c r="A316" s="107" t="s">
        <v>61</v>
      </c>
      <c r="B316" s="107"/>
      <c r="C316" s="107"/>
      <c r="D316" s="107"/>
      <c r="E316" s="107"/>
      <c r="F316" s="107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>
      <c r="A317" s="107" t="s">
        <v>62</v>
      </c>
      <c r="B317" s="107"/>
      <c r="C317" s="107"/>
      <c r="D317" s="107"/>
      <c r="E317" s="107"/>
      <c r="F317" s="107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>
      <c r="A318" s="107" t="s">
        <v>63</v>
      </c>
      <c r="B318" s="107"/>
      <c r="C318" s="107"/>
      <c r="D318" s="107"/>
      <c r="E318" s="107"/>
      <c r="F318" s="107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>
      <c r="A319" s="107" t="s">
        <v>64</v>
      </c>
      <c r="B319" s="107"/>
      <c r="C319" s="107"/>
      <c r="D319" s="107"/>
      <c r="E319" s="107"/>
      <c r="F319" s="107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>
      <c r="A320" s="107" t="s">
        <v>65</v>
      </c>
      <c r="B320" s="107"/>
      <c r="C320" s="107"/>
      <c r="D320" s="107"/>
      <c r="E320" s="107"/>
      <c r="F320" s="107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>
      <c r="A321" s="107" t="s">
        <v>66</v>
      </c>
      <c r="B321" s="107"/>
      <c r="C321" s="107"/>
      <c r="D321" s="107"/>
      <c r="E321" s="107"/>
      <c r="F321" s="107"/>
      <c r="G321" s="29"/>
      <c r="H321" s="30"/>
      <c r="I321" s="30"/>
      <c r="J321" s="25"/>
      <c r="K321" s="26"/>
      <c r="L321" s="26"/>
    </row>
    <row r="322" spans="1:12">
      <c r="A322" s="109">
        <v>0.25</v>
      </c>
      <c r="B322" s="109"/>
      <c r="C322" s="109"/>
      <c r="D322" s="109"/>
      <c r="E322" s="109"/>
      <c r="F322" s="109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>
      <c r="A323" s="109">
        <v>0.5</v>
      </c>
      <c r="B323" s="109"/>
      <c r="C323" s="109"/>
      <c r="D323" s="109"/>
      <c r="E323" s="109"/>
      <c r="F323" s="109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>
      <c r="A324" s="109">
        <v>1</v>
      </c>
      <c r="B324" s="109"/>
      <c r="C324" s="109"/>
      <c r="D324" s="109"/>
      <c r="E324" s="109"/>
      <c r="F324" s="109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>
      <c r="A325" s="106" t="s">
        <v>67</v>
      </c>
      <c r="B325" s="106"/>
      <c r="C325" s="106"/>
      <c r="D325" s="106"/>
      <c r="E325" s="106"/>
      <c r="F325" s="106"/>
      <c r="G325" s="21"/>
      <c r="H325" s="22"/>
      <c r="I325" s="21">
        <f>SUM(I326:I327)</f>
        <v>0</v>
      </c>
      <c r="J325" s="21"/>
      <c r="K325" s="21"/>
      <c r="L325" s="21"/>
    </row>
    <row r="326" spans="1:12">
      <c r="A326" s="107" t="s">
        <v>68</v>
      </c>
      <c r="B326" s="107"/>
      <c r="C326" s="107"/>
      <c r="D326" s="107"/>
      <c r="E326" s="107"/>
      <c r="F326" s="107"/>
      <c r="G326" s="23">
        <f>(G303-A305)/360</f>
        <v>1.1805555555555556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>
      <c r="A327" s="107" t="s">
        <v>69</v>
      </c>
      <c r="B327" s="107"/>
      <c r="C327" s="107"/>
      <c r="D327" s="107"/>
      <c r="E327" s="107"/>
      <c r="F327" s="107"/>
      <c r="G327" s="23"/>
      <c r="H327" s="24"/>
      <c r="I327" s="23"/>
      <c r="J327" s="25"/>
      <c r="K327" s="26"/>
      <c r="L327" s="26"/>
    </row>
    <row r="328" spans="1:12">
      <c r="A328" s="106" t="s">
        <v>70</v>
      </c>
      <c r="B328" s="106"/>
      <c r="C328" s="106"/>
      <c r="D328" s="106"/>
      <c r="E328" s="106"/>
      <c r="F328" s="106"/>
      <c r="G328" s="21"/>
      <c r="H328" s="22"/>
      <c r="I328" s="21">
        <f>SUM(I329:I331)</f>
        <v>0</v>
      </c>
      <c r="J328" s="21"/>
      <c r="K328" s="21"/>
      <c r="L328" s="21"/>
    </row>
    <row r="329" spans="1:12">
      <c r="A329" s="107" t="s">
        <v>71</v>
      </c>
      <c r="B329" s="107"/>
      <c r="C329" s="107"/>
      <c r="D329" s="107"/>
      <c r="E329" s="107"/>
      <c r="F329" s="107"/>
      <c r="G329" s="23"/>
      <c r="H329" s="24"/>
      <c r="I329" s="23"/>
      <c r="J329" s="25"/>
      <c r="K329" s="26"/>
      <c r="L329" s="26"/>
    </row>
    <row r="330" spans="1:12">
      <c r="A330" s="107" t="s">
        <v>72</v>
      </c>
      <c r="B330" s="107"/>
      <c r="C330" s="107"/>
      <c r="D330" s="107"/>
      <c r="E330" s="107"/>
      <c r="F330" s="107"/>
      <c r="G330" s="23"/>
      <c r="H330" s="31">
        <v>0</v>
      </c>
      <c r="I330" s="23"/>
      <c r="J330" s="25"/>
      <c r="K330" s="26"/>
      <c r="L330" s="26"/>
    </row>
    <row r="331" spans="1:12">
      <c r="A331" s="107" t="s">
        <v>73</v>
      </c>
      <c r="B331" s="107"/>
      <c r="C331" s="107"/>
      <c r="D331" s="107"/>
      <c r="E331" s="107"/>
      <c r="F331" s="107"/>
      <c r="G331" s="23"/>
      <c r="H331" s="24"/>
      <c r="I331" s="23"/>
      <c r="J331" s="25"/>
      <c r="K331" s="26"/>
      <c r="L331" s="26"/>
    </row>
    <row r="332" spans="1:12">
      <c r="A332" s="111" t="s">
        <v>74</v>
      </c>
      <c r="B332" s="111"/>
      <c r="C332" s="111"/>
      <c r="D332" s="111"/>
      <c r="E332" s="111"/>
      <c r="F332" s="111"/>
      <c r="G332" s="32"/>
      <c r="H332" s="33"/>
      <c r="I332" s="32">
        <f>I314+I325+I328</f>
        <v>2807.8</v>
      </c>
      <c r="J332" s="33"/>
      <c r="K332" s="33"/>
      <c r="L332" s="33"/>
    </row>
    <row r="333" spans="1:12">
      <c r="A333" s="111" t="s">
        <v>75</v>
      </c>
      <c r="B333" s="111"/>
      <c r="C333" s="111"/>
      <c r="D333" s="111"/>
      <c r="E333" s="111"/>
      <c r="F333" s="111"/>
      <c r="G333" s="32"/>
      <c r="H333" s="33"/>
      <c r="I333" s="32">
        <f>I332-I328</f>
        <v>2807.8</v>
      </c>
      <c r="J333" s="33"/>
      <c r="K333" s="33"/>
      <c r="L333" s="33"/>
    </row>
    <row r="334" spans="1:12">
      <c r="A334" s="107" t="s">
        <v>76</v>
      </c>
      <c r="B334" s="107"/>
      <c r="C334" s="107"/>
      <c r="D334" s="107"/>
      <c r="E334" s="107"/>
      <c r="F334" s="107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>
      <c r="A335" s="107" t="s">
        <v>77</v>
      </c>
      <c r="B335" s="107"/>
      <c r="C335" s="107"/>
      <c r="D335" s="107"/>
      <c r="E335" s="107"/>
      <c r="F335" s="107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>
      <c r="A336" s="107" t="s">
        <v>78</v>
      </c>
      <c r="B336" s="107"/>
      <c r="C336" s="107"/>
      <c r="D336" s="107"/>
      <c r="E336" s="107"/>
      <c r="F336" s="107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>
      <c r="A337" s="107" t="s">
        <v>79</v>
      </c>
      <c r="B337" s="107"/>
      <c r="C337" s="107"/>
      <c r="D337" s="107"/>
      <c r="E337" s="107"/>
      <c r="F337" s="107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>
      <c r="A338" s="107" t="s">
        <v>80</v>
      </c>
      <c r="B338" s="107"/>
      <c r="C338" s="107"/>
      <c r="D338" s="107"/>
      <c r="E338" s="107"/>
      <c r="F338" s="107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>
      <c r="A339" s="107" t="s">
        <v>81</v>
      </c>
      <c r="B339" s="107"/>
      <c r="C339" s="107"/>
      <c r="D339" s="107"/>
      <c r="E339" s="107"/>
      <c r="F339" s="107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>
      <c r="A340" s="107" t="s">
        <v>24</v>
      </c>
      <c r="B340" s="107"/>
      <c r="C340" s="107"/>
      <c r="D340" s="107"/>
      <c r="E340" s="107"/>
      <c r="F340" s="107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>
      <c r="A341" s="110" t="s">
        <v>82</v>
      </c>
      <c r="B341" s="110"/>
      <c r="C341" s="110"/>
      <c r="D341" s="110"/>
      <c r="E341" s="110"/>
      <c r="F341" s="110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>
      <c r="A342" s="110" t="s">
        <v>83</v>
      </c>
      <c r="B342" s="110"/>
      <c r="C342" s="110"/>
      <c r="D342" s="110"/>
      <c r="E342" s="110"/>
      <c r="F342" s="110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>
      <c r="A343" s="106" t="s">
        <v>84</v>
      </c>
      <c r="B343" s="106"/>
      <c r="C343" s="106"/>
      <c r="D343" s="106"/>
      <c r="E343" s="106"/>
      <c r="F343" s="106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>
      <c r="A344" s="107" t="s">
        <v>85</v>
      </c>
      <c r="B344" s="107"/>
      <c r="C344" s="107"/>
      <c r="D344" s="107"/>
      <c r="E344" s="107"/>
      <c r="F344" s="107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>
      <c r="A345" s="111" t="s">
        <v>86</v>
      </c>
      <c r="B345" s="111"/>
      <c r="C345" s="111"/>
      <c r="D345" s="111"/>
      <c r="E345" s="111"/>
      <c r="F345" s="111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>
      <c r="A346" s="107" t="s">
        <v>87</v>
      </c>
      <c r="B346" s="107"/>
      <c r="C346" s="107"/>
      <c r="D346" s="107"/>
      <c r="E346" s="107"/>
      <c r="F346" s="107"/>
      <c r="G346" s="23"/>
      <c r="H346" s="34"/>
      <c r="I346" s="23">
        <f>H346*180/360</f>
        <v>0</v>
      </c>
      <c r="J346" s="23"/>
      <c r="K346" s="46"/>
      <c r="L346" s="47"/>
    </row>
    <row r="347" spans="1:12">
      <c r="A347" s="111" t="s">
        <v>88</v>
      </c>
      <c r="B347" s="111"/>
      <c r="C347" s="111"/>
      <c r="D347" s="111"/>
      <c r="E347" s="111"/>
      <c r="F347" s="111"/>
      <c r="G347" s="32"/>
      <c r="H347" s="33"/>
      <c r="I347" s="32">
        <f>I345-I346</f>
        <v>2056.9942800000003</v>
      </c>
      <c r="J347" s="33"/>
      <c r="K347" s="33"/>
      <c r="L347" s="33"/>
    </row>
    <row r="348" spans="1:12">
      <c r="A348" s="107" t="s">
        <v>89</v>
      </c>
      <c r="B348" s="107"/>
      <c r="C348" s="107"/>
      <c r="D348" s="107"/>
      <c r="E348" s="107"/>
      <c r="F348" s="107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>
      <c r="A349" s="107" t="s">
        <v>90</v>
      </c>
      <c r="B349" s="107"/>
      <c r="C349" s="107"/>
      <c r="D349" s="107"/>
      <c r="E349" s="107"/>
      <c r="F349" s="107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>
      <c r="A350" s="106" t="s">
        <v>91</v>
      </c>
      <c r="B350" s="106"/>
      <c r="C350" s="106"/>
      <c r="D350" s="106"/>
      <c r="E350" s="106"/>
      <c r="F350" s="106"/>
      <c r="G350" s="21"/>
      <c r="H350" s="22"/>
      <c r="I350" s="21"/>
      <c r="J350" s="21">
        <f>J348-J349</f>
        <v>0</v>
      </c>
      <c r="K350" s="21"/>
      <c r="L350" s="21"/>
    </row>
    <row r="351" spans="1:12">
      <c r="A351" s="112" t="s">
        <v>92</v>
      </c>
      <c r="B351" s="112"/>
      <c r="C351" s="112"/>
      <c r="D351" s="112"/>
      <c r="E351" s="112"/>
      <c r="F351" s="112"/>
      <c r="G351" s="25"/>
      <c r="H351" s="48"/>
      <c r="I351" s="47"/>
      <c r="J351" s="49">
        <v>0</v>
      </c>
      <c r="K351" s="46"/>
      <c r="L351" s="47"/>
    </row>
    <row r="352" spans="1:12">
      <c r="A352" s="107" t="s">
        <v>93</v>
      </c>
      <c r="B352" s="107"/>
      <c r="C352" s="107"/>
      <c r="D352" s="107"/>
      <c r="E352" s="107"/>
      <c r="F352" s="107"/>
      <c r="G352" s="25"/>
      <c r="H352" s="48"/>
      <c r="I352" s="44"/>
      <c r="J352" s="28">
        <v>1000</v>
      </c>
      <c r="K352" s="46"/>
      <c r="L352" s="47"/>
    </row>
    <row r="353" spans="1:12">
      <c r="A353" s="113" t="s">
        <v>94</v>
      </c>
      <c r="B353" s="113"/>
      <c r="C353" s="113"/>
      <c r="D353" s="113"/>
      <c r="E353" s="113"/>
      <c r="F353" s="113"/>
      <c r="G353" s="41"/>
      <c r="H353" s="42"/>
      <c r="I353" s="28">
        <f>1-0.55</f>
        <v>0.44999999999999996</v>
      </c>
      <c r="J353" s="41"/>
      <c r="K353" s="43"/>
      <c r="L353" s="44"/>
    </row>
    <row r="354" spans="1:1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>
      <c r="A355" s="14" t="s">
        <v>95</v>
      </c>
      <c r="B355" s="14" t="s">
        <v>96</v>
      </c>
      <c r="C355" s="14" t="s">
        <v>97</v>
      </c>
      <c r="D355" s="104" t="s">
        <v>98</v>
      </c>
      <c r="E355" s="104"/>
      <c r="F355" s="104"/>
      <c r="G355" s="14" t="s">
        <v>99</v>
      </c>
      <c r="H355" s="50"/>
      <c r="I355" s="52">
        <f>I332+I353</f>
        <v>2808.25</v>
      </c>
      <c r="J355" s="52">
        <f>J343+J350+J351+J352</f>
        <v>1189.2457200000001</v>
      </c>
      <c r="K355" s="14" t="s">
        <v>100</v>
      </c>
      <c r="L355" s="52">
        <f>L343</f>
        <v>648.32101999999998</v>
      </c>
    </row>
    <row r="356" spans="1:12">
      <c r="A356" s="52">
        <f>25270.2+I332</f>
        <v>28078</v>
      </c>
      <c r="B356" s="52">
        <f>25270.2+I333</f>
        <v>28078</v>
      </c>
      <c r="C356" s="52">
        <f>1132.11+J334</f>
        <v>1257.8994399999999</v>
      </c>
      <c r="D356" s="114">
        <f>0+J350</f>
        <v>0</v>
      </c>
      <c r="E356" s="114"/>
      <c r="F356" s="114"/>
      <c r="G356" s="52">
        <f>17071.02+I355</f>
        <v>19879.27</v>
      </c>
      <c r="H356" s="104" t="s">
        <v>101</v>
      </c>
      <c r="I356" s="104"/>
      <c r="J356" s="52">
        <f>I355-J355</f>
        <v>1619.0042799999999</v>
      </c>
      <c r="K356" s="14" t="s">
        <v>102</v>
      </c>
      <c r="L356" s="52">
        <f>5834.88+L355</f>
        <v>6483.2010200000004</v>
      </c>
    </row>
    <row r="357" spans="1:1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2267.3253</v>
      </c>
    </row>
    <row r="361" spans="1:12">
      <c r="A361" s="105" t="s">
        <v>26</v>
      </c>
      <c r="B361" s="105"/>
      <c r="C361" s="105" t="s">
        <v>27</v>
      </c>
      <c r="D361" s="105"/>
      <c r="E361" s="105"/>
      <c r="F361" s="105"/>
      <c r="G361" s="105" t="s">
        <v>28</v>
      </c>
      <c r="H361" s="105"/>
      <c r="I361" s="105"/>
      <c r="J361" s="105" t="s">
        <v>29</v>
      </c>
      <c r="K361" s="105"/>
      <c r="L361" s="105"/>
    </row>
    <row r="362" spans="1:12">
      <c r="A362" s="14" t="s">
        <v>30</v>
      </c>
      <c r="B362" s="104" t="s">
        <v>31</v>
      </c>
      <c r="C362" s="104"/>
      <c r="D362" s="104"/>
      <c r="E362" s="104"/>
      <c r="F362" s="104"/>
      <c r="G362" s="104" t="s">
        <v>32</v>
      </c>
      <c r="H362" s="104"/>
      <c r="I362" s="104"/>
      <c r="J362" s="104"/>
      <c r="K362" s="104"/>
      <c r="L362" s="104"/>
    </row>
    <row r="363" spans="1:12">
      <c r="A363" s="16">
        <v>8</v>
      </c>
      <c r="B363" s="102" t="s">
        <v>113</v>
      </c>
      <c r="C363" s="102"/>
      <c r="D363" s="102"/>
      <c r="E363" s="102"/>
      <c r="F363" s="102"/>
      <c r="G363" s="103">
        <v>42430</v>
      </c>
      <c r="H363" s="103"/>
      <c r="I363" s="103"/>
      <c r="J363" s="103">
        <v>42460</v>
      </c>
      <c r="K363" s="103"/>
      <c r="L363" s="103"/>
    </row>
    <row r="364" spans="1:12">
      <c r="A364" s="14" t="s">
        <v>34</v>
      </c>
      <c r="B364" s="14" t="s">
        <v>35</v>
      </c>
      <c r="C364" s="14" t="s">
        <v>36</v>
      </c>
      <c r="D364" s="14" t="s">
        <v>37</v>
      </c>
      <c r="E364" s="14" t="s">
        <v>38</v>
      </c>
      <c r="F364" s="14" t="s">
        <v>39</v>
      </c>
      <c r="G364" s="104" t="s">
        <v>40</v>
      </c>
      <c r="H364" s="104"/>
      <c r="I364" s="104"/>
      <c r="J364" s="104"/>
      <c r="K364" s="104"/>
      <c r="L364" s="104"/>
    </row>
    <row r="365" spans="1:12">
      <c r="A365" s="17">
        <v>42278</v>
      </c>
      <c r="B365" s="16"/>
      <c r="C365" s="17">
        <v>33665</v>
      </c>
      <c r="D365" s="16" t="s">
        <v>111</v>
      </c>
      <c r="E365" s="16">
        <v>0</v>
      </c>
      <c r="F365" s="16">
        <v>0</v>
      </c>
      <c r="G365" s="102"/>
      <c r="H365" s="102"/>
      <c r="I365" s="102"/>
      <c r="J365" s="102"/>
      <c r="K365" s="102"/>
      <c r="L365" s="102"/>
    </row>
    <row r="366" spans="1:12">
      <c r="A366" s="14" t="s">
        <v>42</v>
      </c>
      <c r="B366" s="14" t="s">
        <v>43</v>
      </c>
      <c r="C366" s="14" t="s">
        <v>44</v>
      </c>
      <c r="D366" s="104" t="s">
        <v>45</v>
      </c>
      <c r="E366" s="104"/>
      <c r="F366" s="104"/>
      <c r="G366" s="104" t="s">
        <v>46</v>
      </c>
      <c r="H366" s="104"/>
      <c r="I366" s="104"/>
      <c r="J366" s="104"/>
      <c r="K366" s="104"/>
      <c r="L366" s="104"/>
    </row>
    <row r="367" spans="1:12">
      <c r="A367" s="16">
        <v>164315198</v>
      </c>
      <c r="B367" s="16"/>
      <c r="C367" s="16"/>
      <c r="D367" s="102" t="s">
        <v>47</v>
      </c>
      <c r="E367" s="102"/>
      <c r="F367" s="102"/>
      <c r="G367" s="102" t="s">
        <v>114</v>
      </c>
      <c r="H367" s="102"/>
      <c r="I367" s="102"/>
      <c r="J367" s="102"/>
      <c r="K367" s="102"/>
      <c r="L367" s="102"/>
    </row>
    <row r="368" spans="1:1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>
      <c r="A371" s="108" t="s">
        <v>49</v>
      </c>
      <c r="B371" s="108"/>
      <c r="C371" s="108"/>
      <c r="D371" s="108"/>
      <c r="E371" s="108"/>
      <c r="F371" s="108"/>
      <c r="G371" s="108" t="s">
        <v>50</v>
      </c>
      <c r="H371" s="108" t="s">
        <v>51</v>
      </c>
      <c r="I371" s="108" t="s">
        <v>52</v>
      </c>
      <c r="J371" s="108"/>
      <c r="K371" s="108" t="s">
        <v>53</v>
      </c>
      <c r="L371" s="108"/>
    </row>
    <row r="372" spans="1:12">
      <c r="A372" s="108"/>
      <c r="B372" s="108"/>
      <c r="C372" s="108"/>
      <c r="D372" s="108"/>
      <c r="E372" s="108"/>
      <c r="F372" s="108"/>
      <c r="G372" s="108"/>
      <c r="H372" s="108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>
      <c r="A373" s="106" t="s">
        <v>58</v>
      </c>
      <c r="B373" s="106"/>
      <c r="C373" s="106"/>
      <c r="D373" s="106"/>
      <c r="E373" s="106"/>
      <c r="F373" s="106"/>
      <c r="G373" s="21">
        <v>3665.6</v>
      </c>
      <c r="H373" s="22"/>
      <c r="I373" s="21"/>
      <c r="J373" s="21"/>
      <c r="K373" s="21"/>
      <c r="L373" s="21"/>
    </row>
    <row r="374" spans="1:12">
      <c r="A374" s="106" t="s">
        <v>59</v>
      </c>
      <c r="B374" s="106"/>
      <c r="C374" s="106"/>
      <c r="D374" s="106"/>
      <c r="E374" s="106"/>
      <c r="F374" s="106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>
      <c r="A375" s="107" t="s">
        <v>60</v>
      </c>
      <c r="B375" s="107"/>
      <c r="C375" s="107"/>
      <c r="D375" s="107"/>
      <c r="E375" s="107"/>
      <c r="F375" s="107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>
      <c r="A376" s="107" t="s">
        <v>61</v>
      </c>
      <c r="B376" s="107"/>
      <c r="C376" s="107"/>
      <c r="D376" s="107"/>
      <c r="E376" s="107"/>
      <c r="F376" s="107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>
      <c r="A377" s="107" t="s">
        <v>62</v>
      </c>
      <c r="B377" s="107"/>
      <c r="C377" s="107"/>
      <c r="D377" s="107"/>
      <c r="E377" s="107"/>
      <c r="F377" s="107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>
      <c r="A378" s="107" t="s">
        <v>63</v>
      </c>
      <c r="B378" s="107"/>
      <c r="C378" s="107"/>
      <c r="D378" s="107"/>
      <c r="E378" s="107"/>
      <c r="F378" s="107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>
      <c r="A379" s="107" t="s">
        <v>64</v>
      </c>
      <c r="B379" s="107"/>
      <c r="C379" s="107"/>
      <c r="D379" s="107"/>
      <c r="E379" s="107"/>
      <c r="F379" s="107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>
      <c r="A380" s="107" t="s">
        <v>65</v>
      </c>
      <c r="B380" s="107"/>
      <c r="C380" s="107"/>
      <c r="D380" s="107"/>
      <c r="E380" s="107"/>
      <c r="F380" s="107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>
      <c r="A381" s="107" t="s">
        <v>66</v>
      </c>
      <c r="B381" s="107"/>
      <c r="C381" s="107"/>
      <c r="D381" s="107"/>
      <c r="E381" s="107"/>
      <c r="F381" s="107"/>
      <c r="G381" s="29"/>
      <c r="H381" s="30"/>
      <c r="I381" s="30"/>
      <c r="J381" s="25"/>
      <c r="K381" s="26"/>
      <c r="L381" s="26"/>
    </row>
    <row r="382" spans="1:12">
      <c r="A382" s="109">
        <v>0.25</v>
      </c>
      <c r="B382" s="109"/>
      <c r="C382" s="109"/>
      <c r="D382" s="109"/>
      <c r="E382" s="109"/>
      <c r="F382" s="109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>
      <c r="A383" s="109">
        <v>0.5</v>
      </c>
      <c r="B383" s="109"/>
      <c r="C383" s="109"/>
      <c r="D383" s="109"/>
      <c r="E383" s="109"/>
      <c r="F383" s="109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>
      <c r="A384" s="109">
        <v>1</v>
      </c>
      <c r="B384" s="109"/>
      <c r="C384" s="109"/>
      <c r="D384" s="109"/>
      <c r="E384" s="109"/>
      <c r="F384" s="109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>
      <c r="A385" s="106" t="s">
        <v>67</v>
      </c>
      <c r="B385" s="106"/>
      <c r="C385" s="106"/>
      <c r="D385" s="106"/>
      <c r="E385" s="106"/>
      <c r="F385" s="106"/>
      <c r="G385" s="21"/>
      <c r="H385" s="22"/>
      <c r="I385" s="21">
        <f>SUM(I386:I387)</f>
        <v>0</v>
      </c>
      <c r="J385" s="21"/>
      <c r="K385" s="21"/>
      <c r="L385" s="21"/>
    </row>
    <row r="386" spans="1:12">
      <c r="A386" s="107" t="s">
        <v>68</v>
      </c>
      <c r="B386" s="107"/>
      <c r="C386" s="107"/>
      <c r="D386" s="107"/>
      <c r="E386" s="107"/>
      <c r="F386" s="107"/>
      <c r="G386" s="23">
        <f>(G363-A365)/360</f>
        <v>0.42222222222222222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>
      <c r="A387" s="107" t="s">
        <v>69</v>
      </c>
      <c r="B387" s="107"/>
      <c r="C387" s="107"/>
      <c r="D387" s="107"/>
      <c r="E387" s="107"/>
      <c r="F387" s="107"/>
      <c r="G387" s="23"/>
      <c r="H387" s="24"/>
      <c r="I387" s="23"/>
      <c r="J387" s="25"/>
      <c r="K387" s="26"/>
      <c r="L387" s="26"/>
    </row>
    <row r="388" spans="1:12">
      <c r="A388" s="106" t="s">
        <v>70</v>
      </c>
      <c r="B388" s="106"/>
      <c r="C388" s="106"/>
      <c r="D388" s="106"/>
      <c r="E388" s="106"/>
      <c r="F388" s="106"/>
      <c r="G388" s="21"/>
      <c r="H388" s="22"/>
      <c r="I388" s="21">
        <f>SUM(I389:I391)</f>
        <v>600</v>
      </c>
      <c r="J388" s="21"/>
      <c r="K388" s="21"/>
      <c r="L388" s="21"/>
    </row>
    <row r="389" spans="1:12">
      <c r="A389" s="107" t="s">
        <v>71</v>
      </c>
      <c r="B389" s="107"/>
      <c r="C389" s="107"/>
      <c r="D389" s="107"/>
      <c r="E389" s="107"/>
      <c r="F389" s="107"/>
      <c r="G389" s="23"/>
      <c r="H389" s="24"/>
      <c r="I389" s="23">
        <v>600</v>
      </c>
      <c r="J389" s="25"/>
      <c r="K389" s="26"/>
      <c r="L389" s="26"/>
    </row>
    <row r="390" spans="1:12">
      <c r="A390" s="107" t="s">
        <v>72</v>
      </c>
      <c r="B390" s="107"/>
      <c r="C390" s="107"/>
      <c r="D390" s="107"/>
      <c r="E390" s="107"/>
      <c r="F390" s="107"/>
      <c r="G390" s="23"/>
      <c r="H390" s="31">
        <v>0</v>
      </c>
      <c r="I390" s="23"/>
      <c r="J390" s="25"/>
      <c r="K390" s="26"/>
      <c r="L390" s="26"/>
    </row>
    <row r="391" spans="1:12">
      <c r="A391" s="107" t="s">
        <v>73</v>
      </c>
      <c r="B391" s="107"/>
      <c r="C391" s="107"/>
      <c r="D391" s="107"/>
      <c r="E391" s="107"/>
      <c r="F391" s="107"/>
      <c r="G391" s="23"/>
      <c r="H391" s="24"/>
      <c r="I391" s="23"/>
      <c r="J391" s="25"/>
      <c r="K391" s="26"/>
      <c r="L391" s="26"/>
    </row>
    <row r="392" spans="1:12">
      <c r="A392" s="111" t="s">
        <v>74</v>
      </c>
      <c r="B392" s="111"/>
      <c r="C392" s="111"/>
      <c r="D392" s="111"/>
      <c r="E392" s="111"/>
      <c r="F392" s="111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>
      <c r="A393" s="111" t="s">
        <v>75</v>
      </c>
      <c r="B393" s="111"/>
      <c r="C393" s="111"/>
      <c r="D393" s="111"/>
      <c r="E393" s="111"/>
      <c r="F393" s="111"/>
      <c r="G393" s="32"/>
      <c r="H393" s="33"/>
      <c r="I393" s="32">
        <f>I392-I388</f>
        <v>3665.6000000000004</v>
      </c>
      <c r="J393" s="33"/>
      <c r="K393" s="33"/>
      <c r="L393" s="33"/>
    </row>
    <row r="394" spans="1:12">
      <c r="A394" s="107" t="s">
        <v>76</v>
      </c>
      <c r="B394" s="107"/>
      <c r="C394" s="107"/>
      <c r="D394" s="107"/>
      <c r="E394" s="107"/>
      <c r="F394" s="107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>
      <c r="A395" s="107" t="s">
        <v>77</v>
      </c>
      <c r="B395" s="107"/>
      <c r="C395" s="107"/>
      <c r="D395" s="107"/>
      <c r="E395" s="107"/>
      <c r="F395" s="107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>
      <c r="A396" s="107" t="s">
        <v>78</v>
      </c>
      <c r="B396" s="107"/>
      <c r="C396" s="107"/>
      <c r="D396" s="107"/>
      <c r="E396" s="107"/>
      <c r="F396" s="107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>
      <c r="A397" s="107" t="s">
        <v>79</v>
      </c>
      <c r="B397" s="107"/>
      <c r="C397" s="107"/>
      <c r="D397" s="107"/>
      <c r="E397" s="107"/>
      <c r="F397" s="107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>
      <c r="A398" s="107" t="s">
        <v>80</v>
      </c>
      <c r="B398" s="107"/>
      <c r="C398" s="107"/>
      <c r="D398" s="107"/>
      <c r="E398" s="107"/>
      <c r="F398" s="107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>
      <c r="A399" s="107" t="s">
        <v>81</v>
      </c>
      <c r="B399" s="107"/>
      <c r="C399" s="107"/>
      <c r="D399" s="107"/>
      <c r="E399" s="107"/>
      <c r="F399" s="107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>
      <c r="A400" s="107" t="s">
        <v>24</v>
      </c>
      <c r="B400" s="107"/>
      <c r="C400" s="107"/>
      <c r="D400" s="107"/>
      <c r="E400" s="107"/>
      <c r="F400" s="107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>
      <c r="A401" s="110" t="s">
        <v>82</v>
      </c>
      <c r="B401" s="110"/>
      <c r="C401" s="110"/>
      <c r="D401" s="110"/>
      <c r="E401" s="110"/>
      <c r="F401" s="110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>
      <c r="A402" s="110" t="s">
        <v>83</v>
      </c>
      <c r="B402" s="110"/>
      <c r="C402" s="110"/>
      <c r="D402" s="110"/>
      <c r="E402" s="110"/>
      <c r="F402" s="110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>
      <c r="A403" s="106" t="s">
        <v>84</v>
      </c>
      <c r="B403" s="106"/>
      <c r="C403" s="106"/>
      <c r="D403" s="106"/>
      <c r="E403" s="106"/>
      <c r="F403" s="106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>
      <c r="A404" s="107" t="s">
        <v>85</v>
      </c>
      <c r="B404" s="107"/>
      <c r="C404" s="107"/>
      <c r="D404" s="107"/>
      <c r="E404" s="107"/>
      <c r="F404" s="107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>
      <c r="A405" s="111" t="s">
        <v>86</v>
      </c>
      <c r="B405" s="111"/>
      <c r="C405" s="111"/>
      <c r="D405" s="111"/>
      <c r="E405" s="111"/>
      <c r="F405" s="111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>
      <c r="A406" s="107" t="s">
        <v>87</v>
      </c>
      <c r="B406" s="107"/>
      <c r="C406" s="107"/>
      <c r="D406" s="107"/>
      <c r="E406" s="107"/>
      <c r="F406" s="107"/>
      <c r="G406" s="23"/>
      <c r="H406" s="34"/>
      <c r="I406" s="23">
        <f>H406*180/360</f>
        <v>0</v>
      </c>
      <c r="J406" s="23"/>
      <c r="K406" s="46"/>
      <c r="L406" s="47"/>
    </row>
    <row r="407" spans="1:12">
      <c r="A407" s="111" t="s">
        <v>115</v>
      </c>
      <c r="B407" s="111"/>
      <c r="C407" s="111"/>
      <c r="D407" s="111"/>
      <c r="E407" s="111"/>
      <c r="F407" s="111"/>
      <c r="G407" s="32"/>
      <c r="H407" s="33"/>
      <c r="I407" s="32">
        <f>I405-I406</f>
        <v>2685.4185600000001</v>
      </c>
      <c r="J407" s="33"/>
      <c r="K407" s="33"/>
      <c r="L407" s="33"/>
    </row>
    <row r="408" spans="1:12">
      <c r="A408" s="107" t="s">
        <v>89</v>
      </c>
      <c r="B408" s="107"/>
      <c r="C408" s="107"/>
      <c r="D408" s="107"/>
      <c r="E408" s="107"/>
      <c r="F408" s="107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>
      <c r="A409" s="107" t="s">
        <v>90</v>
      </c>
      <c r="B409" s="107"/>
      <c r="C409" s="107"/>
      <c r="D409" s="107"/>
      <c r="E409" s="107"/>
      <c r="F409" s="107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>
      <c r="A410" s="106" t="s">
        <v>91</v>
      </c>
      <c r="B410" s="106"/>
      <c r="C410" s="106"/>
      <c r="D410" s="106"/>
      <c r="E410" s="106"/>
      <c r="F410" s="106"/>
      <c r="G410" s="21"/>
      <c r="H410" s="22"/>
      <c r="I410" s="21"/>
      <c r="J410" s="21">
        <f>J408-J409</f>
        <v>18.541855999999996</v>
      </c>
      <c r="K410" s="21"/>
      <c r="L410" s="21"/>
    </row>
    <row r="411" spans="1:12">
      <c r="A411" s="112" t="s">
        <v>92</v>
      </c>
      <c r="B411" s="112"/>
      <c r="C411" s="112"/>
      <c r="D411" s="112"/>
      <c r="E411" s="112"/>
      <c r="F411" s="112"/>
      <c r="G411" s="25"/>
      <c r="H411" s="48"/>
      <c r="I411" s="47"/>
      <c r="J411" s="49">
        <v>0</v>
      </c>
      <c r="K411" s="46"/>
      <c r="L411" s="47"/>
    </row>
    <row r="412" spans="1:12">
      <c r="A412" s="107" t="s">
        <v>93</v>
      </c>
      <c r="B412" s="107"/>
      <c r="C412" s="107"/>
      <c r="D412" s="107"/>
      <c r="E412" s="107"/>
      <c r="F412" s="107"/>
      <c r="G412" s="25"/>
      <c r="H412" s="48"/>
      <c r="I412" s="44"/>
      <c r="J412" s="28">
        <v>0</v>
      </c>
      <c r="K412" s="46"/>
      <c r="L412" s="47"/>
    </row>
    <row r="413" spans="1:12">
      <c r="A413" s="113" t="s">
        <v>94</v>
      </c>
      <c r="B413" s="113"/>
      <c r="C413" s="113"/>
      <c r="D413" s="113"/>
      <c r="E413" s="113"/>
      <c r="F413" s="113"/>
      <c r="G413" s="41"/>
      <c r="H413" s="42"/>
      <c r="I413" s="28"/>
      <c r="J413" s="41"/>
      <c r="K413" s="43"/>
      <c r="L413" s="44"/>
    </row>
    <row r="414" spans="1:1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>
      <c r="A415" s="14" t="s">
        <v>95</v>
      </c>
      <c r="B415" s="14" t="s">
        <v>96</v>
      </c>
      <c r="C415" s="14" t="s">
        <v>97</v>
      </c>
      <c r="D415" s="104" t="s">
        <v>98</v>
      </c>
      <c r="E415" s="104"/>
      <c r="F415" s="104"/>
      <c r="G415" s="14" t="s">
        <v>99</v>
      </c>
      <c r="H415" s="50"/>
      <c r="I415" s="52">
        <f>I392+I413</f>
        <v>4265.6000000000004</v>
      </c>
      <c r="J415" s="52">
        <f>J403+J410+J411+J412</f>
        <v>265.60329600000006</v>
      </c>
      <c r="K415" s="14" t="s">
        <v>100</v>
      </c>
      <c r="L415" s="52">
        <f>L403</f>
        <v>846.38704000000007</v>
      </c>
    </row>
    <row r="416" spans="1:12">
      <c r="A416" s="52">
        <f>38390.4+I392</f>
        <v>42656</v>
      </c>
      <c r="B416" s="52">
        <f>32990.4+I393</f>
        <v>36656</v>
      </c>
      <c r="C416" s="52">
        <f>1477.98+J394</f>
        <v>1642.1988800000001</v>
      </c>
      <c r="D416" s="114">
        <f>166.87+J410</f>
        <v>185.411856</v>
      </c>
      <c r="E416" s="114"/>
      <c r="F416" s="114"/>
      <c r="G416" s="52">
        <f>36000+I415</f>
        <v>40265.599999999999</v>
      </c>
      <c r="H416" s="104" t="s">
        <v>101</v>
      </c>
      <c r="I416" s="104"/>
      <c r="J416" s="52">
        <f>I415-J415</f>
        <v>3999.9967040000001</v>
      </c>
      <c r="K416" s="14" t="s">
        <v>102</v>
      </c>
      <c r="L416" s="52">
        <f>8246.37+L415</f>
        <v>9092.7570400000004</v>
      </c>
    </row>
    <row r="417" spans="1:1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17"/>
  <sheetViews>
    <sheetView workbookViewId="0">
      <selection activeCell="N301" sqref="N301"/>
    </sheetView>
  </sheetViews>
  <sheetFormatPr baseColWidth="10" defaultRowHeight="15"/>
  <sheetData>
    <row r="1" spans="1:12">
      <c r="A1" s="105" t="s">
        <v>26</v>
      </c>
      <c r="B1" s="105"/>
      <c r="C1" s="105" t="s">
        <v>27</v>
      </c>
      <c r="D1" s="105"/>
      <c r="E1" s="105"/>
      <c r="F1" s="105"/>
      <c r="G1" s="105" t="s">
        <v>28</v>
      </c>
      <c r="H1" s="105"/>
      <c r="I1" s="105"/>
      <c r="J1" s="105" t="s">
        <v>29</v>
      </c>
      <c r="K1" s="105"/>
      <c r="L1" s="105"/>
    </row>
    <row r="2" spans="1:12">
      <c r="A2" s="14" t="s">
        <v>30</v>
      </c>
      <c r="B2" s="104" t="s">
        <v>31</v>
      </c>
      <c r="C2" s="104"/>
      <c r="D2" s="104"/>
      <c r="E2" s="104"/>
      <c r="F2" s="104"/>
      <c r="G2" s="104" t="s">
        <v>32</v>
      </c>
      <c r="H2" s="104"/>
      <c r="I2" s="104"/>
      <c r="J2" s="104"/>
      <c r="K2" s="104"/>
      <c r="L2" s="104"/>
    </row>
    <row r="3" spans="1:12">
      <c r="A3" s="16">
        <v>1</v>
      </c>
      <c r="B3" s="102" t="s">
        <v>33</v>
      </c>
      <c r="C3" s="102"/>
      <c r="D3" s="102"/>
      <c r="E3" s="102"/>
      <c r="F3" s="102"/>
      <c r="G3" s="103">
        <v>42461</v>
      </c>
      <c r="H3" s="103"/>
      <c r="I3" s="103"/>
      <c r="J3" s="103">
        <v>42490</v>
      </c>
      <c r="K3" s="103"/>
      <c r="L3" s="103"/>
    </row>
    <row r="4" spans="1:12">
      <c r="A4" s="14" t="s">
        <v>34</v>
      </c>
      <c r="B4" s="14" t="s">
        <v>35</v>
      </c>
      <c r="C4" s="14" t="s">
        <v>36</v>
      </c>
      <c r="D4" s="14" t="s">
        <v>37</v>
      </c>
      <c r="E4" s="14" t="s">
        <v>38</v>
      </c>
      <c r="F4" s="14" t="s">
        <v>39</v>
      </c>
      <c r="G4" s="104" t="s">
        <v>40</v>
      </c>
      <c r="H4" s="104"/>
      <c r="I4" s="104"/>
      <c r="J4" s="104"/>
      <c r="K4" s="104"/>
      <c r="L4" s="104"/>
    </row>
    <row r="5" spans="1:12">
      <c r="A5" s="17">
        <v>41501</v>
      </c>
      <c r="B5" s="16"/>
      <c r="C5" s="17">
        <v>24624</v>
      </c>
      <c r="D5" s="16" t="s">
        <v>41</v>
      </c>
      <c r="E5" s="16">
        <v>0</v>
      </c>
      <c r="F5" s="16">
        <v>0</v>
      </c>
      <c r="G5" s="102"/>
      <c r="H5" s="102"/>
      <c r="I5" s="102"/>
      <c r="J5" s="102"/>
      <c r="K5" s="102"/>
      <c r="L5" s="102"/>
    </row>
    <row r="6" spans="1:12">
      <c r="A6" s="14" t="s">
        <v>42</v>
      </c>
      <c r="B6" s="14" t="s">
        <v>43</v>
      </c>
      <c r="C6" s="14" t="s">
        <v>44</v>
      </c>
      <c r="D6" s="104" t="s">
        <v>45</v>
      </c>
      <c r="E6" s="104"/>
      <c r="F6" s="104"/>
      <c r="G6" s="104" t="s">
        <v>46</v>
      </c>
      <c r="H6" s="104"/>
      <c r="I6" s="104"/>
      <c r="J6" s="104"/>
      <c r="K6" s="104"/>
      <c r="L6" s="104"/>
    </row>
    <row r="7" spans="1:12">
      <c r="A7" s="16">
        <v>189838836</v>
      </c>
      <c r="B7" s="16"/>
      <c r="C7" s="16"/>
      <c r="D7" s="102" t="s">
        <v>47</v>
      </c>
      <c r="E7" s="102"/>
      <c r="F7" s="102"/>
      <c r="G7" s="102" t="s">
        <v>48</v>
      </c>
      <c r="H7" s="102"/>
      <c r="I7" s="102"/>
      <c r="J7" s="102"/>
      <c r="K7" s="102"/>
      <c r="L7" s="102"/>
    </row>
    <row r="8" spans="1:1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108" t="s">
        <v>49</v>
      </c>
      <c r="B11" s="108"/>
      <c r="C11" s="108"/>
      <c r="D11" s="108"/>
      <c r="E11" s="108"/>
      <c r="F11" s="108"/>
      <c r="G11" s="108" t="s">
        <v>50</v>
      </c>
      <c r="H11" s="108" t="s">
        <v>51</v>
      </c>
      <c r="I11" s="108" t="s">
        <v>52</v>
      </c>
      <c r="J11" s="108"/>
      <c r="K11" s="108" t="s">
        <v>53</v>
      </c>
      <c r="L11" s="108"/>
    </row>
    <row r="12" spans="1:12">
      <c r="A12" s="108"/>
      <c r="B12" s="108"/>
      <c r="C12" s="108"/>
      <c r="D12" s="108"/>
      <c r="E12" s="108"/>
      <c r="F12" s="108"/>
      <c r="G12" s="108"/>
      <c r="H12" s="108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>
      <c r="A13" s="106" t="s">
        <v>58</v>
      </c>
      <c r="B13" s="106"/>
      <c r="C13" s="106"/>
      <c r="D13" s="106"/>
      <c r="E13" s="106"/>
      <c r="F13" s="106"/>
      <c r="G13" s="21">
        <v>12255.93</v>
      </c>
      <c r="H13" s="22"/>
      <c r="I13" s="21"/>
      <c r="J13" s="21"/>
      <c r="K13" s="21"/>
      <c r="L13" s="21"/>
    </row>
    <row r="14" spans="1:12">
      <c r="A14" s="106" t="s">
        <v>59</v>
      </c>
      <c r="B14" s="106"/>
      <c r="C14" s="106"/>
      <c r="D14" s="106"/>
      <c r="E14" s="106"/>
      <c r="F14" s="106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>
      <c r="A15" s="107" t="s">
        <v>60</v>
      </c>
      <c r="B15" s="107"/>
      <c r="C15" s="107"/>
      <c r="D15" s="107"/>
      <c r="E15" s="107"/>
      <c r="F15" s="107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>
      <c r="A16" s="107" t="s">
        <v>61</v>
      </c>
      <c r="B16" s="107"/>
      <c r="C16" s="107"/>
      <c r="D16" s="107"/>
      <c r="E16" s="107"/>
      <c r="F16" s="107"/>
      <c r="G16" s="23"/>
      <c r="H16" s="24">
        <v>0</v>
      </c>
      <c r="I16" s="23">
        <f>G13/26*H16</f>
        <v>0</v>
      </c>
      <c r="J16" s="25"/>
      <c r="K16" s="26"/>
      <c r="L16" s="26"/>
    </row>
    <row r="17" spans="1:12">
      <c r="A17" s="107" t="s">
        <v>62</v>
      </c>
      <c r="B17" s="107"/>
      <c r="C17" s="107"/>
      <c r="D17" s="107"/>
      <c r="E17" s="107"/>
      <c r="F17" s="107"/>
      <c r="G17" s="23"/>
      <c r="H17" s="24">
        <v>0</v>
      </c>
      <c r="I17" s="23"/>
      <c r="J17" s="27">
        <f>G13/26*H17</f>
        <v>0</v>
      </c>
      <c r="K17" s="26"/>
      <c r="L17" s="26"/>
    </row>
    <row r="18" spans="1:12">
      <c r="A18" s="107" t="s">
        <v>63</v>
      </c>
      <c r="B18" s="107"/>
      <c r="C18" s="107"/>
      <c r="D18" s="107"/>
      <c r="E18" s="107"/>
      <c r="F18" s="107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>
      <c r="A19" s="107" t="s">
        <v>64</v>
      </c>
      <c r="B19" s="107"/>
      <c r="C19" s="107"/>
      <c r="D19" s="107"/>
      <c r="E19" s="107"/>
      <c r="F19" s="107"/>
      <c r="G19" s="23"/>
      <c r="H19" s="24">
        <v>0</v>
      </c>
      <c r="I19" s="23">
        <f>G13/26*H19</f>
        <v>0</v>
      </c>
      <c r="J19" s="25"/>
      <c r="K19" s="26"/>
      <c r="L19" s="26"/>
    </row>
    <row r="20" spans="1:12">
      <c r="A20" s="107" t="s">
        <v>65</v>
      </c>
      <c r="B20" s="107"/>
      <c r="C20" s="107"/>
      <c r="D20" s="107"/>
      <c r="E20" s="107"/>
      <c r="F20" s="107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>
      <c r="A21" s="107" t="s">
        <v>66</v>
      </c>
      <c r="B21" s="107"/>
      <c r="C21" s="107"/>
      <c r="D21" s="107"/>
      <c r="E21" s="107"/>
      <c r="F21" s="107"/>
      <c r="G21" s="29"/>
      <c r="H21" s="30"/>
      <c r="I21" s="30"/>
      <c r="J21" s="25"/>
      <c r="K21" s="26"/>
      <c r="L21" s="26"/>
    </row>
    <row r="22" spans="1:12">
      <c r="A22" s="109">
        <v>0.25</v>
      </c>
      <c r="B22" s="109"/>
      <c r="C22" s="109"/>
      <c r="D22" s="109"/>
      <c r="E22" s="109"/>
      <c r="F22" s="109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>
      <c r="A23" s="109">
        <v>0.5</v>
      </c>
      <c r="B23" s="109"/>
      <c r="C23" s="109"/>
      <c r="D23" s="109"/>
      <c r="E23" s="109"/>
      <c r="F23" s="109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>
      <c r="A24" s="109">
        <v>1</v>
      </c>
      <c r="B24" s="109"/>
      <c r="C24" s="109"/>
      <c r="D24" s="109"/>
      <c r="E24" s="109"/>
      <c r="F24" s="109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>
      <c r="A25" s="106" t="s">
        <v>67</v>
      </c>
      <c r="B25" s="106"/>
      <c r="C25" s="106"/>
      <c r="D25" s="106"/>
      <c r="E25" s="106"/>
      <c r="F25" s="106"/>
      <c r="G25" s="21"/>
      <c r="H25" s="22"/>
      <c r="I25" s="21">
        <f>SUM(I26:I27)</f>
        <v>612.79650000000004</v>
      </c>
      <c r="J25" s="21"/>
      <c r="K25" s="21"/>
      <c r="L25" s="21"/>
    </row>
    <row r="26" spans="1:12">
      <c r="A26" s="107" t="s">
        <v>68</v>
      </c>
      <c r="B26" s="107"/>
      <c r="C26" s="107"/>
      <c r="D26" s="107"/>
      <c r="E26" s="107"/>
      <c r="F26" s="107"/>
      <c r="G26" s="23">
        <f>(G3-A5)/360</f>
        <v>2.6666666666666665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>
      <c r="A27" s="107" t="s">
        <v>69</v>
      </c>
      <c r="B27" s="107"/>
      <c r="C27" s="107"/>
      <c r="D27" s="107"/>
      <c r="E27" s="107"/>
      <c r="F27" s="107"/>
      <c r="G27" s="23"/>
      <c r="H27" s="24"/>
      <c r="I27" s="23"/>
      <c r="J27" s="25"/>
      <c r="K27" s="26"/>
      <c r="L27" s="26"/>
    </row>
    <row r="28" spans="1:12">
      <c r="A28" s="106" t="s">
        <v>70</v>
      </c>
      <c r="B28" s="106"/>
      <c r="C28" s="106"/>
      <c r="D28" s="106"/>
      <c r="E28" s="106"/>
      <c r="F28" s="106"/>
      <c r="G28" s="21"/>
      <c r="H28" s="22"/>
      <c r="I28" s="21">
        <f>SUM(I29:I31)</f>
        <v>5000</v>
      </c>
      <c r="J28" s="21"/>
      <c r="K28" s="21"/>
      <c r="L28" s="21"/>
    </row>
    <row r="29" spans="1:12">
      <c r="A29" s="107" t="s">
        <v>71</v>
      </c>
      <c r="B29" s="107"/>
      <c r="C29" s="107"/>
      <c r="D29" s="107"/>
      <c r="E29" s="107"/>
      <c r="F29" s="107"/>
      <c r="G29" s="23"/>
      <c r="H29" s="24"/>
      <c r="I29" s="23">
        <v>2500</v>
      </c>
      <c r="J29" s="25"/>
      <c r="K29" s="26"/>
      <c r="L29" s="26"/>
    </row>
    <row r="30" spans="1:12">
      <c r="A30" s="107" t="s">
        <v>72</v>
      </c>
      <c r="B30" s="107"/>
      <c r="C30" s="107"/>
      <c r="D30" s="107"/>
      <c r="E30" s="107"/>
      <c r="F30" s="107"/>
      <c r="G30" s="23"/>
      <c r="H30" s="31">
        <v>0</v>
      </c>
      <c r="I30" s="23">
        <v>2500</v>
      </c>
      <c r="J30" s="25"/>
      <c r="K30" s="26"/>
      <c r="L30" s="26"/>
    </row>
    <row r="31" spans="1:12">
      <c r="A31" s="107" t="s">
        <v>73</v>
      </c>
      <c r="B31" s="107"/>
      <c r="C31" s="107"/>
      <c r="D31" s="107"/>
      <c r="E31" s="107"/>
      <c r="F31" s="107"/>
      <c r="G31" s="23"/>
      <c r="H31" s="24"/>
      <c r="I31" s="23"/>
      <c r="J31" s="25"/>
      <c r="K31" s="26"/>
      <c r="L31" s="26"/>
    </row>
    <row r="32" spans="1:12">
      <c r="A32" s="111" t="s">
        <v>74</v>
      </c>
      <c r="B32" s="111"/>
      <c r="C32" s="111"/>
      <c r="D32" s="111"/>
      <c r="E32" s="111"/>
      <c r="F32" s="111"/>
      <c r="G32" s="32"/>
      <c r="H32" s="33"/>
      <c r="I32" s="32">
        <f>I14+I25+I28</f>
        <v>17868.726500000001</v>
      </c>
      <c r="J32" s="33"/>
      <c r="K32" s="33"/>
      <c r="L32" s="33"/>
    </row>
    <row r="33" spans="1:12">
      <c r="A33" s="111" t="s">
        <v>75</v>
      </c>
      <c r="B33" s="111"/>
      <c r="C33" s="111"/>
      <c r="D33" s="111"/>
      <c r="E33" s="111"/>
      <c r="F33" s="111"/>
      <c r="G33" s="32"/>
      <c r="H33" s="33"/>
      <c r="I33" s="32">
        <f>I32-I28</f>
        <v>12868.726500000001</v>
      </c>
      <c r="J33" s="33"/>
      <c r="K33" s="33"/>
      <c r="L33" s="33"/>
    </row>
    <row r="34" spans="1:12">
      <c r="A34" s="107" t="s">
        <v>76</v>
      </c>
      <c r="B34" s="107"/>
      <c r="C34" s="107"/>
      <c r="D34" s="107"/>
      <c r="E34" s="107"/>
      <c r="F34" s="107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>
      <c r="A35" s="107" t="s">
        <v>77</v>
      </c>
      <c r="B35" s="107"/>
      <c r="C35" s="107"/>
      <c r="D35" s="107"/>
      <c r="E35" s="107"/>
      <c r="F35" s="107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>
      <c r="A36" s="107" t="s">
        <v>78</v>
      </c>
      <c r="B36" s="107"/>
      <c r="C36" s="107"/>
      <c r="D36" s="107"/>
      <c r="E36" s="107"/>
      <c r="F36" s="107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>
      <c r="A37" s="107" t="s">
        <v>79</v>
      </c>
      <c r="B37" s="107"/>
      <c r="C37" s="107"/>
      <c r="D37" s="107"/>
      <c r="E37" s="107"/>
      <c r="F37" s="107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>
      <c r="A38" s="107" t="s">
        <v>80</v>
      </c>
      <c r="B38" s="107"/>
      <c r="C38" s="107"/>
      <c r="D38" s="107"/>
      <c r="E38" s="107"/>
      <c r="F38" s="107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>
      <c r="A39" s="107" t="s">
        <v>81</v>
      </c>
      <c r="B39" s="107"/>
      <c r="C39" s="107"/>
      <c r="D39" s="107"/>
      <c r="E39" s="107"/>
      <c r="F39" s="107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>
      <c r="A40" s="107" t="s">
        <v>24</v>
      </c>
      <c r="B40" s="107"/>
      <c r="C40" s="107"/>
      <c r="D40" s="107"/>
      <c r="E40" s="107"/>
      <c r="F40" s="107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>
      <c r="A41" s="110" t="s">
        <v>82</v>
      </c>
      <c r="B41" s="110"/>
      <c r="C41" s="110"/>
      <c r="D41" s="110"/>
      <c r="E41" s="110"/>
      <c r="F41" s="110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>
      <c r="A42" s="110" t="s">
        <v>83</v>
      </c>
      <c r="B42" s="110"/>
      <c r="C42" s="110"/>
      <c r="D42" s="110"/>
      <c r="E42" s="110"/>
      <c r="F42" s="110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>
      <c r="A43" s="106" t="s">
        <v>84</v>
      </c>
      <c r="B43" s="106"/>
      <c r="C43" s="106"/>
      <c r="D43" s="106"/>
      <c r="E43" s="106"/>
      <c r="F43" s="106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>
      <c r="A44" s="107" t="s">
        <v>85</v>
      </c>
      <c r="B44" s="107"/>
      <c r="C44" s="107"/>
      <c r="D44" s="107"/>
      <c r="E44" s="107"/>
      <c r="F44" s="107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>
      <c r="A45" s="111" t="s">
        <v>86</v>
      </c>
      <c r="B45" s="111"/>
      <c r="C45" s="111"/>
      <c r="D45" s="111"/>
      <c r="E45" s="111"/>
      <c r="F45" s="111"/>
      <c r="G45" s="32"/>
      <c r="H45" s="33"/>
      <c r="I45" s="32">
        <f>I33-J43-J44</f>
        <v>9423.0314861000006</v>
      </c>
      <c r="J45" s="33"/>
      <c r="K45" s="33"/>
      <c r="L45" s="33"/>
    </row>
    <row r="46" spans="1:12">
      <c r="A46" s="107" t="s">
        <v>87</v>
      </c>
      <c r="B46" s="107"/>
      <c r="C46" s="107"/>
      <c r="D46" s="107"/>
      <c r="E46" s="107"/>
      <c r="F46" s="107"/>
      <c r="G46" s="23"/>
      <c r="H46" s="34"/>
      <c r="I46" s="23">
        <f>H46*180/360</f>
        <v>0</v>
      </c>
      <c r="J46" s="23"/>
      <c r="K46" s="46"/>
      <c r="L46" s="47"/>
    </row>
    <row r="47" spans="1:12">
      <c r="A47" s="111" t="s">
        <v>88</v>
      </c>
      <c r="B47" s="111"/>
      <c r="C47" s="111"/>
      <c r="D47" s="111"/>
      <c r="E47" s="111"/>
      <c r="F47" s="111"/>
      <c r="G47" s="32"/>
      <c r="H47" s="33"/>
      <c r="I47" s="32">
        <f>I45-I46</f>
        <v>9423.0314861000006</v>
      </c>
      <c r="J47" s="33"/>
      <c r="K47" s="33"/>
      <c r="L47" s="33"/>
    </row>
    <row r="48" spans="1:12">
      <c r="A48" s="107" t="s">
        <v>89</v>
      </c>
      <c r="B48" s="107"/>
      <c r="C48" s="107"/>
      <c r="D48" s="107"/>
      <c r="E48" s="107"/>
      <c r="F48" s="107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>
      <c r="A49" s="107" t="s">
        <v>90</v>
      </c>
      <c r="B49" s="107"/>
      <c r="C49" s="107"/>
      <c r="D49" s="107"/>
      <c r="E49" s="107"/>
      <c r="F49" s="107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>
      <c r="A50" s="106" t="s">
        <v>91</v>
      </c>
      <c r="B50" s="106"/>
      <c r="C50" s="106"/>
      <c r="D50" s="106"/>
      <c r="E50" s="106"/>
      <c r="F50" s="106"/>
      <c r="G50" s="21"/>
      <c r="H50" s="22"/>
      <c r="I50" s="21"/>
      <c r="J50" s="21">
        <f>J48-J49</f>
        <v>1770.4973719406673</v>
      </c>
      <c r="K50" s="21"/>
      <c r="L50" s="21"/>
    </row>
    <row r="51" spans="1:12">
      <c r="A51" s="112" t="s">
        <v>92</v>
      </c>
      <c r="B51" s="112"/>
      <c r="C51" s="112"/>
      <c r="D51" s="112"/>
      <c r="E51" s="112"/>
      <c r="F51" s="112"/>
      <c r="G51" s="25"/>
      <c r="H51" s="48"/>
      <c r="I51" s="47"/>
      <c r="J51" s="49">
        <v>0</v>
      </c>
      <c r="K51" s="46"/>
      <c r="L51" s="47"/>
    </row>
    <row r="52" spans="1:12">
      <c r="A52" s="107" t="s">
        <v>93</v>
      </c>
      <c r="B52" s="107"/>
      <c r="C52" s="107"/>
      <c r="D52" s="107"/>
      <c r="E52" s="107"/>
      <c r="F52" s="107"/>
      <c r="G52" s="25"/>
      <c r="H52" s="48"/>
      <c r="I52" s="44"/>
      <c r="J52" s="28">
        <v>0</v>
      </c>
      <c r="K52" s="46"/>
      <c r="L52" s="47"/>
    </row>
    <row r="53" spans="1:12">
      <c r="A53" s="113" t="s">
        <v>94</v>
      </c>
      <c r="B53" s="113"/>
      <c r="C53" s="113"/>
      <c r="D53" s="113"/>
      <c r="E53" s="113"/>
      <c r="F53" s="113"/>
      <c r="G53" s="41"/>
      <c r="H53" s="42"/>
      <c r="I53" s="28">
        <f>1-0.53</f>
        <v>0.47</v>
      </c>
      <c r="J53" s="41"/>
      <c r="K53" s="43"/>
      <c r="L53" s="44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14" t="s">
        <v>95</v>
      </c>
      <c r="B55" s="14" t="s">
        <v>96</v>
      </c>
      <c r="C55" s="14" t="s">
        <v>97</v>
      </c>
      <c r="D55" s="104" t="s">
        <v>98</v>
      </c>
      <c r="E55" s="104"/>
      <c r="F55" s="104"/>
      <c r="G55" s="14" t="s">
        <v>99</v>
      </c>
      <c r="H55" s="50"/>
      <c r="I55" s="52">
        <f>I32+I53</f>
        <v>17869.196500000002</v>
      </c>
      <c r="J55" s="52">
        <f>J43+J50+J51+J52</f>
        <v>2716.1923858406672</v>
      </c>
      <c r="K55" s="14" t="s">
        <v>100</v>
      </c>
      <c r="L55" s="52">
        <f>L43</f>
        <v>2354.57730915</v>
      </c>
    </row>
    <row r="56" spans="1:12">
      <c r="A56" s="52">
        <f>156411.11+I32</f>
        <v>174279.83649999998</v>
      </c>
      <c r="B56" s="52">
        <f>111411.11+I33</f>
        <v>124279.8365</v>
      </c>
      <c r="C56" s="52">
        <f>2419.2+J34</f>
        <v>2688</v>
      </c>
      <c r="D56" s="114">
        <f>14978.83+J50</f>
        <v>16749.327371940668</v>
      </c>
      <c r="E56" s="114"/>
      <c r="F56" s="114"/>
      <c r="G56" s="52">
        <f>133157+I55</f>
        <v>151026.19649999999</v>
      </c>
      <c r="H56" s="104" t="s">
        <v>101</v>
      </c>
      <c r="I56" s="104"/>
      <c r="J56" s="52">
        <f>I55-J55</f>
        <v>15153.004114159336</v>
      </c>
      <c r="K56" s="14" t="s">
        <v>102</v>
      </c>
      <c r="L56" s="52">
        <f>20499.47+L55</f>
        <v>22854.047309150003</v>
      </c>
    </row>
    <row r="57" spans="1:1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>
      <c r="A61" s="105" t="s">
        <v>26</v>
      </c>
      <c r="B61" s="105"/>
      <c r="C61" s="105" t="s">
        <v>27</v>
      </c>
      <c r="D61" s="105"/>
      <c r="E61" s="105"/>
      <c r="F61" s="105"/>
      <c r="G61" s="105" t="s">
        <v>28</v>
      </c>
      <c r="H61" s="105"/>
      <c r="I61" s="105"/>
      <c r="J61" s="105" t="s">
        <v>29</v>
      </c>
      <c r="K61" s="105"/>
      <c r="L61" s="105"/>
    </row>
    <row r="62" spans="1:12">
      <c r="A62" s="14" t="s">
        <v>30</v>
      </c>
      <c r="B62" s="104" t="s">
        <v>31</v>
      </c>
      <c r="C62" s="104"/>
      <c r="D62" s="104"/>
      <c r="E62" s="104"/>
      <c r="F62" s="104"/>
      <c r="G62" s="104" t="s">
        <v>32</v>
      </c>
      <c r="H62" s="104"/>
      <c r="I62" s="104"/>
      <c r="J62" s="104"/>
      <c r="K62" s="104"/>
      <c r="L62" s="104"/>
    </row>
    <row r="63" spans="1:12">
      <c r="A63" s="16">
        <v>3</v>
      </c>
      <c r="B63" s="102" t="s">
        <v>104</v>
      </c>
      <c r="C63" s="102"/>
      <c r="D63" s="102"/>
      <c r="E63" s="102"/>
      <c r="F63" s="102"/>
      <c r="G63" s="103">
        <v>42461</v>
      </c>
      <c r="H63" s="103"/>
      <c r="I63" s="103"/>
      <c r="J63" s="103">
        <v>42490</v>
      </c>
      <c r="K63" s="103"/>
      <c r="L63" s="103"/>
    </row>
    <row r="64" spans="1:12">
      <c r="A64" s="14" t="s">
        <v>34</v>
      </c>
      <c r="B64" s="14" t="s">
        <v>35</v>
      </c>
      <c r="C64" s="14" t="s">
        <v>36</v>
      </c>
      <c r="D64" s="14" t="s">
        <v>37</v>
      </c>
      <c r="E64" s="14" t="s">
        <v>38</v>
      </c>
      <c r="F64" s="14" t="s">
        <v>39</v>
      </c>
      <c r="G64" s="104" t="s">
        <v>40</v>
      </c>
      <c r="H64" s="104"/>
      <c r="I64" s="104"/>
      <c r="J64" s="104"/>
      <c r="K64" s="104"/>
      <c r="L64" s="104"/>
    </row>
    <row r="65" spans="1:12">
      <c r="A65" s="17">
        <v>41791</v>
      </c>
      <c r="B65" s="16"/>
      <c r="C65" s="17">
        <v>24557</v>
      </c>
      <c r="D65" s="16" t="s">
        <v>41</v>
      </c>
      <c r="E65" s="16">
        <v>0</v>
      </c>
      <c r="F65" s="16">
        <v>0</v>
      </c>
      <c r="G65" s="102"/>
      <c r="H65" s="102"/>
      <c r="I65" s="102"/>
      <c r="J65" s="102"/>
      <c r="K65" s="102"/>
      <c r="L65" s="102"/>
    </row>
    <row r="66" spans="1:12">
      <c r="A66" s="14" t="s">
        <v>42</v>
      </c>
      <c r="B66" s="14" t="s">
        <v>43</v>
      </c>
      <c r="C66" s="14" t="s">
        <v>44</v>
      </c>
      <c r="D66" s="104" t="s">
        <v>45</v>
      </c>
      <c r="E66" s="104"/>
      <c r="F66" s="104"/>
      <c r="G66" s="104" t="s">
        <v>46</v>
      </c>
      <c r="H66" s="104"/>
      <c r="I66" s="104"/>
      <c r="J66" s="104"/>
      <c r="K66" s="104"/>
      <c r="L66" s="104"/>
    </row>
    <row r="67" spans="1:12">
      <c r="A67" s="16">
        <v>141034737</v>
      </c>
      <c r="B67" s="16"/>
      <c r="C67" s="16"/>
      <c r="D67" s="102" t="s">
        <v>47</v>
      </c>
      <c r="E67" s="102"/>
      <c r="F67" s="102"/>
      <c r="G67" s="102" t="s">
        <v>105</v>
      </c>
      <c r="H67" s="102"/>
      <c r="I67" s="102"/>
      <c r="J67" s="102"/>
      <c r="K67" s="102"/>
      <c r="L67" s="102"/>
    </row>
    <row r="68" spans="1:1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>
      <c r="A71" s="108" t="s">
        <v>49</v>
      </c>
      <c r="B71" s="108"/>
      <c r="C71" s="108"/>
      <c r="D71" s="108"/>
      <c r="E71" s="108"/>
      <c r="F71" s="108"/>
      <c r="G71" s="108" t="s">
        <v>50</v>
      </c>
      <c r="H71" s="108" t="s">
        <v>51</v>
      </c>
      <c r="I71" s="108" t="s">
        <v>52</v>
      </c>
      <c r="J71" s="108"/>
      <c r="K71" s="108" t="s">
        <v>53</v>
      </c>
      <c r="L71" s="108"/>
    </row>
    <row r="72" spans="1:12">
      <c r="A72" s="108"/>
      <c r="B72" s="108"/>
      <c r="C72" s="108"/>
      <c r="D72" s="108"/>
      <c r="E72" s="108"/>
      <c r="F72" s="108"/>
      <c r="G72" s="108"/>
      <c r="H72" s="108"/>
      <c r="I72" s="20" t="s">
        <v>54</v>
      </c>
      <c r="J72" s="20" t="s">
        <v>55</v>
      </c>
      <c r="K72" s="20" t="s">
        <v>56</v>
      </c>
      <c r="L72" s="20" t="s">
        <v>57</v>
      </c>
    </row>
    <row r="73" spans="1:12">
      <c r="A73" s="106" t="s">
        <v>58</v>
      </c>
      <c r="B73" s="106"/>
      <c r="C73" s="106"/>
      <c r="D73" s="106"/>
      <c r="E73" s="106"/>
      <c r="F73" s="106"/>
      <c r="G73" s="21">
        <v>100000</v>
      </c>
      <c r="H73" s="22"/>
      <c r="I73" s="21"/>
      <c r="J73" s="21"/>
      <c r="K73" s="21"/>
      <c r="L73" s="21"/>
    </row>
    <row r="74" spans="1:12">
      <c r="A74" s="106" t="s">
        <v>59</v>
      </c>
      <c r="B74" s="106"/>
      <c r="C74" s="106"/>
      <c r="D74" s="106"/>
      <c r="E74" s="106"/>
      <c r="F74" s="106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>
      <c r="A75" s="107" t="s">
        <v>60</v>
      </c>
      <c r="B75" s="107"/>
      <c r="C75" s="107"/>
      <c r="D75" s="107"/>
      <c r="E75" s="107"/>
      <c r="F75" s="107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>
      <c r="A76" s="107" t="s">
        <v>61</v>
      </c>
      <c r="B76" s="107"/>
      <c r="C76" s="107"/>
      <c r="D76" s="107"/>
      <c r="E76" s="107"/>
      <c r="F76" s="107"/>
      <c r="G76" s="23"/>
      <c r="H76" s="24">
        <v>0</v>
      </c>
      <c r="I76" s="23">
        <f>G73/26*H76</f>
        <v>0</v>
      </c>
      <c r="J76" s="25"/>
      <c r="K76" s="26"/>
      <c r="L76" s="26"/>
    </row>
    <row r="77" spans="1:12">
      <c r="A77" s="107" t="s">
        <v>62</v>
      </c>
      <c r="B77" s="107"/>
      <c r="C77" s="107"/>
      <c r="D77" s="107"/>
      <c r="E77" s="107"/>
      <c r="F77" s="107"/>
      <c r="G77" s="23"/>
      <c r="H77" s="24">
        <v>0</v>
      </c>
      <c r="I77" s="23"/>
      <c r="J77" s="27">
        <f>G73/26*H77</f>
        <v>0</v>
      </c>
      <c r="K77" s="26"/>
      <c r="L77" s="26"/>
    </row>
    <row r="78" spans="1:12">
      <c r="A78" s="107" t="s">
        <v>63</v>
      </c>
      <c r="B78" s="107"/>
      <c r="C78" s="107"/>
      <c r="D78" s="107"/>
      <c r="E78" s="107"/>
      <c r="F78" s="107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>
      <c r="A79" s="107" t="s">
        <v>64</v>
      </c>
      <c r="B79" s="107"/>
      <c r="C79" s="107"/>
      <c r="D79" s="107"/>
      <c r="E79" s="107"/>
      <c r="F79" s="107"/>
      <c r="G79" s="23"/>
      <c r="H79" s="24">
        <v>0</v>
      </c>
      <c r="I79" s="23">
        <f>G73/26*H79</f>
        <v>0</v>
      </c>
      <c r="J79" s="25"/>
      <c r="K79" s="26"/>
      <c r="L79" s="26"/>
    </row>
    <row r="80" spans="1:12">
      <c r="A80" s="107" t="s">
        <v>65</v>
      </c>
      <c r="B80" s="107"/>
      <c r="C80" s="107"/>
      <c r="D80" s="107"/>
      <c r="E80" s="107"/>
      <c r="F80" s="107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>
      <c r="A81" s="107" t="s">
        <v>66</v>
      </c>
      <c r="B81" s="107"/>
      <c r="C81" s="107"/>
      <c r="D81" s="107"/>
      <c r="E81" s="107"/>
      <c r="F81" s="107"/>
      <c r="G81" s="29"/>
      <c r="H81" s="30"/>
      <c r="I81" s="30"/>
      <c r="J81" s="25"/>
      <c r="K81" s="26"/>
      <c r="L81" s="26"/>
    </row>
    <row r="82" spans="1:12">
      <c r="A82" s="109">
        <v>0.25</v>
      </c>
      <c r="B82" s="109"/>
      <c r="C82" s="109"/>
      <c r="D82" s="109"/>
      <c r="E82" s="109"/>
      <c r="F82" s="109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>
      <c r="A83" s="109">
        <v>0.5</v>
      </c>
      <c r="B83" s="109"/>
      <c r="C83" s="109"/>
      <c r="D83" s="109"/>
      <c r="E83" s="109"/>
      <c r="F83" s="109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>
      <c r="A84" s="109">
        <v>1</v>
      </c>
      <c r="B84" s="109"/>
      <c r="C84" s="109"/>
      <c r="D84" s="109"/>
      <c r="E84" s="109"/>
      <c r="F84" s="109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>
      <c r="A85" s="106" t="s">
        <v>67</v>
      </c>
      <c r="B85" s="106"/>
      <c r="C85" s="106"/>
      <c r="D85" s="106"/>
      <c r="E85" s="106"/>
      <c r="F85" s="106"/>
      <c r="G85" s="21"/>
      <c r="H85" s="22"/>
      <c r="I85" s="21">
        <f>SUM(I86:I87)</f>
        <v>0</v>
      </c>
      <c r="J85" s="21"/>
      <c r="K85" s="21"/>
      <c r="L85" s="21"/>
    </row>
    <row r="86" spans="1:12">
      <c r="A86" s="107" t="s">
        <v>68</v>
      </c>
      <c r="B86" s="107"/>
      <c r="C86" s="107"/>
      <c r="D86" s="107"/>
      <c r="E86" s="107"/>
      <c r="F86" s="107"/>
      <c r="G86" s="23">
        <f>(G63-A65)/360</f>
        <v>1.8611111111111112</v>
      </c>
      <c r="H86" s="31">
        <v>0</v>
      </c>
      <c r="I86" s="23">
        <f>I74*H86</f>
        <v>0</v>
      </c>
      <c r="J86" s="25"/>
      <c r="K86" s="26"/>
      <c r="L86" s="26"/>
    </row>
    <row r="87" spans="1:12">
      <c r="A87" s="107" t="s">
        <v>69</v>
      </c>
      <c r="B87" s="107"/>
      <c r="C87" s="107"/>
      <c r="D87" s="107"/>
      <c r="E87" s="107"/>
      <c r="F87" s="107"/>
      <c r="G87" s="23"/>
      <c r="H87" s="24"/>
      <c r="I87" s="23"/>
      <c r="J87" s="25"/>
      <c r="K87" s="26"/>
      <c r="L87" s="26"/>
    </row>
    <row r="88" spans="1:12">
      <c r="A88" s="106" t="s">
        <v>70</v>
      </c>
      <c r="B88" s="106"/>
      <c r="C88" s="106"/>
      <c r="D88" s="106"/>
      <c r="E88" s="106"/>
      <c r="F88" s="106"/>
      <c r="G88" s="21"/>
      <c r="H88" s="22"/>
      <c r="I88" s="21">
        <f>SUM(I89:I91)</f>
        <v>6000</v>
      </c>
      <c r="J88" s="21"/>
      <c r="K88" s="21"/>
      <c r="L88" s="21"/>
    </row>
    <row r="89" spans="1:12">
      <c r="A89" s="107" t="s">
        <v>71</v>
      </c>
      <c r="B89" s="107"/>
      <c r="C89" s="107"/>
      <c r="D89" s="107"/>
      <c r="E89" s="107"/>
      <c r="F89" s="107"/>
      <c r="G89" s="23"/>
      <c r="H89" s="24"/>
      <c r="I89" s="23">
        <v>3000</v>
      </c>
      <c r="J89" s="25"/>
      <c r="K89" s="26"/>
      <c r="L89" s="26"/>
    </row>
    <row r="90" spans="1:12">
      <c r="A90" s="107" t="s">
        <v>72</v>
      </c>
      <c r="B90" s="107"/>
      <c r="C90" s="107"/>
      <c r="D90" s="107"/>
      <c r="E90" s="107"/>
      <c r="F90" s="107"/>
      <c r="G90" s="23"/>
      <c r="H90" s="31"/>
      <c r="I90" s="23">
        <v>3000</v>
      </c>
      <c r="J90" s="25"/>
      <c r="K90" s="26"/>
      <c r="L90" s="26"/>
    </row>
    <row r="91" spans="1:12">
      <c r="A91" s="107" t="s">
        <v>73</v>
      </c>
      <c r="B91" s="107"/>
      <c r="C91" s="107"/>
      <c r="D91" s="107"/>
      <c r="E91" s="107"/>
      <c r="F91" s="107"/>
      <c r="G91" s="23"/>
      <c r="H91" s="24"/>
      <c r="I91" s="23"/>
      <c r="J91" s="25"/>
      <c r="K91" s="26"/>
      <c r="L91" s="26"/>
    </row>
    <row r="92" spans="1:12">
      <c r="A92" s="111" t="s">
        <v>74</v>
      </c>
      <c r="B92" s="111"/>
      <c r="C92" s="111"/>
      <c r="D92" s="111"/>
      <c r="E92" s="111"/>
      <c r="F92" s="111"/>
      <c r="G92" s="32"/>
      <c r="H92" s="33"/>
      <c r="I92" s="32">
        <f>I74+I85+I88</f>
        <v>106000</v>
      </c>
      <c r="J92" s="33"/>
      <c r="K92" s="33"/>
      <c r="L92" s="33"/>
    </row>
    <row r="93" spans="1:12">
      <c r="A93" s="111" t="s">
        <v>75</v>
      </c>
      <c r="B93" s="111"/>
      <c r="C93" s="111"/>
      <c r="D93" s="111"/>
      <c r="E93" s="111"/>
      <c r="F93" s="111"/>
      <c r="G93" s="32"/>
      <c r="H93" s="33"/>
      <c r="I93" s="32">
        <f>I92-I88</f>
        <v>100000</v>
      </c>
      <c r="J93" s="33"/>
      <c r="K93" s="33"/>
      <c r="L93" s="33"/>
    </row>
    <row r="94" spans="1:12">
      <c r="A94" s="107" t="s">
        <v>76</v>
      </c>
      <c r="B94" s="107"/>
      <c r="C94" s="107"/>
      <c r="D94" s="107"/>
      <c r="E94" s="107"/>
      <c r="F94" s="107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>
      <c r="A95" s="107" t="s">
        <v>77</v>
      </c>
      <c r="B95" s="107"/>
      <c r="C95" s="107"/>
      <c r="D95" s="107"/>
      <c r="E95" s="107"/>
      <c r="F95" s="107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>
      <c r="A96" s="107" t="s">
        <v>78</v>
      </c>
      <c r="B96" s="107"/>
      <c r="C96" s="107"/>
      <c r="D96" s="107"/>
      <c r="E96" s="107"/>
      <c r="F96" s="107"/>
      <c r="G96" s="23"/>
      <c r="H96" s="34">
        <v>0.25</v>
      </c>
      <c r="I96" s="23"/>
      <c r="J96" s="23">
        <f>I93*H96</f>
        <v>25000</v>
      </c>
      <c r="K96" s="35">
        <v>0.06</v>
      </c>
      <c r="L96" s="23">
        <f>I93*K96</f>
        <v>6000</v>
      </c>
    </row>
    <row r="97" spans="1:12">
      <c r="A97" s="107" t="s">
        <v>79</v>
      </c>
      <c r="B97" s="107"/>
      <c r="C97" s="107"/>
      <c r="D97" s="107"/>
      <c r="E97" s="107"/>
      <c r="F97" s="107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>
      <c r="A98" s="107" t="s">
        <v>80</v>
      </c>
      <c r="B98" s="107"/>
      <c r="C98" s="107"/>
      <c r="D98" s="107"/>
      <c r="E98" s="107"/>
      <c r="F98" s="107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>
      <c r="A99" s="107" t="s">
        <v>81</v>
      </c>
      <c r="B99" s="107"/>
      <c r="C99" s="107"/>
      <c r="D99" s="107"/>
      <c r="E99" s="107"/>
      <c r="F99" s="107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>
      <c r="A100" s="107" t="s">
        <v>24</v>
      </c>
      <c r="B100" s="107"/>
      <c r="C100" s="107"/>
      <c r="D100" s="107"/>
      <c r="E100" s="107"/>
      <c r="F100" s="107"/>
      <c r="G100" s="23"/>
      <c r="H100" s="34" t="str">
        <f>[1]Taux!D$7</f>
        <v>2,26%</v>
      </c>
      <c r="I100" s="23"/>
      <c r="J100" s="23">
        <f>I93*H100</f>
        <v>2260</v>
      </c>
      <c r="K100" s="34" t="str">
        <f>[1]Taux!C$7</f>
        <v>4,11%</v>
      </c>
      <c r="L100" s="23">
        <f>I93*K100</f>
        <v>4110</v>
      </c>
    </row>
    <row r="101" spans="1:12">
      <c r="A101" s="110" t="s">
        <v>82</v>
      </c>
      <c r="B101" s="110"/>
      <c r="C101" s="110"/>
      <c r="D101" s="110"/>
      <c r="E101" s="110"/>
      <c r="F101" s="110"/>
      <c r="G101" s="37"/>
      <c r="H101" s="38"/>
      <c r="I101" s="39"/>
      <c r="J101" s="40"/>
      <c r="K101" s="34" t="str">
        <f>[1]Taux!C$4</f>
        <v>6,40%</v>
      </c>
      <c r="L101" s="23">
        <f>I93*K101</f>
        <v>6400</v>
      </c>
    </row>
    <row r="102" spans="1:12">
      <c r="A102" s="110" t="s">
        <v>83</v>
      </c>
      <c r="B102" s="110"/>
      <c r="C102" s="110"/>
      <c r="D102" s="110"/>
      <c r="E102" s="110"/>
      <c r="F102" s="110"/>
      <c r="G102" s="41"/>
      <c r="H102" s="42"/>
      <c r="I102" s="43"/>
      <c r="J102" s="44"/>
      <c r="K102" s="34" t="str">
        <f>[1]Taux!C$8</f>
        <v>1,6 %</v>
      </c>
      <c r="L102" s="23">
        <f>I93*K102</f>
        <v>1600</v>
      </c>
    </row>
    <row r="103" spans="1:12">
      <c r="A103" s="106" t="s">
        <v>84</v>
      </c>
      <c r="B103" s="106"/>
      <c r="C103" s="106"/>
      <c r="D103" s="106"/>
      <c r="E103" s="106"/>
      <c r="F103" s="106"/>
      <c r="G103" s="21"/>
      <c r="H103" s="22"/>
      <c r="I103" s="22"/>
      <c r="J103" s="21">
        <f>SUM(J94:J100)</f>
        <v>27528.799999999999</v>
      </c>
      <c r="K103" s="21"/>
      <c r="L103" s="21">
        <f>SUM(L94:L102)</f>
        <v>18648.8</v>
      </c>
    </row>
    <row r="104" spans="1:12">
      <c r="A104" s="107" t="s">
        <v>85</v>
      </c>
      <c r="B104" s="107"/>
      <c r="C104" s="107"/>
      <c r="D104" s="107"/>
      <c r="E104" s="107"/>
      <c r="F104" s="107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>
      <c r="A105" s="111" t="s">
        <v>86</v>
      </c>
      <c r="B105" s="111"/>
      <c r="C105" s="111"/>
      <c r="D105" s="111"/>
      <c r="E105" s="111"/>
      <c r="F105" s="111"/>
      <c r="G105" s="32"/>
      <c r="H105" s="33"/>
      <c r="I105" s="32">
        <f>I93-J103-J104</f>
        <v>69971.199999999997</v>
      </c>
      <c r="J105" s="33"/>
      <c r="K105" s="33"/>
      <c r="L105" s="33"/>
    </row>
    <row r="106" spans="1:12">
      <c r="A106" s="107" t="s">
        <v>87</v>
      </c>
      <c r="B106" s="107"/>
      <c r="C106" s="107"/>
      <c r="D106" s="107"/>
      <c r="E106" s="107"/>
      <c r="F106" s="107"/>
      <c r="G106" s="23"/>
      <c r="H106" s="34"/>
      <c r="I106" s="23">
        <f>H106*180/360</f>
        <v>0</v>
      </c>
      <c r="J106" s="23"/>
      <c r="K106" s="46"/>
      <c r="L106" s="47"/>
    </row>
    <row r="107" spans="1:12">
      <c r="A107" s="111" t="s">
        <v>88</v>
      </c>
      <c r="B107" s="111"/>
      <c r="C107" s="111"/>
      <c r="D107" s="111"/>
      <c r="E107" s="111"/>
      <c r="F107" s="111"/>
      <c r="G107" s="32"/>
      <c r="H107" s="33"/>
      <c r="I107" s="32">
        <f>I105-I106</f>
        <v>69971.199999999997</v>
      </c>
      <c r="J107" s="33"/>
      <c r="K107" s="33"/>
      <c r="L107" s="33"/>
    </row>
    <row r="108" spans="1:12">
      <c r="A108" s="107" t="s">
        <v>89</v>
      </c>
      <c r="B108" s="107"/>
      <c r="C108" s="107"/>
      <c r="D108" s="107"/>
      <c r="E108" s="107"/>
      <c r="F108" s="107"/>
      <c r="G108" s="25"/>
      <c r="H108" s="48"/>
      <c r="I108" s="40"/>
      <c r="J108" s="23">
        <f>IF(AND(I107&gt;0,I107&lt;2500),I107*[1]Taux!C$15-[1]Taux!I$15,IF(AND(I107&gt;2500,I107&lt;4166.67),I107*[1]Taux!C$16-[1]Taux!I$16,IF(AND(I107&gt;4166.67,I107&lt;5000),I107*[1]Taux!C$17-[1]Taux!I$17,IF(AND(I107&gt;5000,I107&lt;6666.67),I107*[1]Taux!C$18-[1]Taux!I$18,IF(AND(I107&gt;6666.67,I107&lt;15000),I107*[1]Taux!C$19-[1]Taux!I$19,IF(I107&gt;15000,I107*[1]Taux!C$20-[1]Taux!I$20))))))</f>
        <v>24555.722666666668</v>
      </c>
      <c r="K108" s="46"/>
      <c r="L108" s="47"/>
    </row>
    <row r="109" spans="1:12">
      <c r="A109" s="107" t="s">
        <v>90</v>
      </c>
      <c r="B109" s="107"/>
      <c r="C109" s="107"/>
      <c r="D109" s="107"/>
      <c r="E109" s="107"/>
      <c r="F109" s="107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>
      <c r="A110" s="106" t="s">
        <v>91</v>
      </c>
      <c r="B110" s="106"/>
      <c r="C110" s="106"/>
      <c r="D110" s="106"/>
      <c r="E110" s="106"/>
      <c r="F110" s="106"/>
      <c r="G110" s="21"/>
      <c r="H110" s="22"/>
      <c r="I110" s="21"/>
      <c r="J110" s="21">
        <f>J108-J109</f>
        <v>24555.722666666668</v>
      </c>
      <c r="K110" s="21"/>
      <c r="L110" s="21"/>
    </row>
    <row r="111" spans="1:12">
      <c r="A111" s="112" t="s">
        <v>92</v>
      </c>
      <c r="B111" s="112"/>
      <c r="C111" s="112"/>
      <c r="D111" s="112"/>
      <c r="E111" s="112"/>
      <c r="F111" s="112"/>
      <c r="G111" s="25"/>
      <c r="H111" s="48"/>
      <c r="I111" s="47"/>
      <c r="J111" s="49">
        <v>0</v>
      </c>
      <c r="K111" s="46"/>
      <c r="L111" s="47"/>
    </row>
    <row r="112" spans="1:12">
      <c r="A112" s="107" t="s">
        <v>93</v>
      </c>
      <c r="B112" s="107"/>
      <c r="C112" s="107"/>
      <c r="D112" s="107"/>
      <c r="E112" s="107"/>
      <c r="F112" s="107"/>
      <c r="G112" s="25"/>
      <c r="H112" s="48"/>
      <c r="I112" s="44"/>
      <c r="J112" s="28">
        <v>0</v>
      </c>
      <c r="K112" s="46"/>
      <c r="L112" s="47"/>
    </row>
    <row r="113" spans="1:13">
      <c r="A113" s="113" t="s">
        <v>94</v>
      </c>
      <c r="B113" s="113"/>
      <c r="C113" s="113"/>
      <c r="D113" s="113"/>
      <c r="E113" s="113"/>
      <c r="F113" s="113"/>
      <c r="G113" s="41"/>
      <c r="H113" s="42"/>
      <c r="I113" s="28">
        <f>1-0.48</f>
        <v>0.52</v>
      </c>
      <c r="J113" s="41"/>
      <c r="K113" s="43"/>
      <c r="L113" s="44"/>
    </row>
    <row r="114" spans="1:1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>
      <c r="A115" s="14" t="s">
        <v>95</v>
      </c>
      <c r="B115" s="14" t="s">
        <v>96</v>
      </c>
      <c r="C115" s="14" t="s">
        <v>97</v>
      </c>
      <c r="D115" s="104" t="s">
        <v>98</v>
      </c>
      <c r="E115" s="104"/>
      <c r="F115" s="104"/>
      <c r="G115" s="14" t="s">
        <v>99</v>
      </c>
      <c r="H115" s="50"/>
      <c r="I115" s="52">
        <f>I92+I113</f>
        <v>106000.52</v>
      </c>
      <c r="J115" s="52">
        <f>J103+J110+J111+J112</f>
        <v>52084.522666666671</v>
      </c>
      <c r="K115" s="14" t="s">
        <v>100</v>
      </c>
      <c r="L115" s="52">
        <f>L103</f>
        <v>18648.8</v>
      </c>
    </row>
    <row r="116" spans="1:13">
      <c r="A116" s="52">
        <f>974000+I92</f>
        <v>1080000</v>
      </c>
      <c r="B116" s="52">
        <f>920000+I93</f>
        <v>1020000</v>
      </c>
      <c r="C116" s="52">
        <f>2419.2+J94</f>
        <v>2688</v>
      </c>
      <c r="D116" s="114">
        <f>226529.75+J110</f>
        <v>251085.47266666667</v>
      </c>
      <c r="E116" s="114"/>
      <c r="F116" s="114"/>
      <c r="G116" s="52">
        <f>494263.97+I115</f>
        <v>600264.49</v>
      </c>
      <c r="H116" s="104" t="s">
        <v>101</v>
      </c>
      <c r="I116" s="104"/>
      <c r="J116" s="52">
        <f>I115-J115</f>
        <v>53915.997333333333</v>
      </c>
      <c r="K116" s="14" t="s">
        <v>102</v>
      </c>
      <c r="L116" s="52">
        <f>171461.2+L115</f>
        <v>190110</v>
      </c>
    </row>
    <row r="117" spans="1: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72564.797333333336</v>
      </c>
    </row>
    <row r="118" spans="1: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>
      <c r="A121" s="105" t="s">
        <v>26</v>
      </c>
      <c r="B121" s="105"/>
      <c r="C121" s="105" t="s">
        <v>27</v>
      </c>
      <c r="D121" s="105"/>
      <c r="E121" s="105"/>
      <c r="F121" s="105"/>
      <c r="G121" s="105" t="s">
        <v>28</v>
      </c>
      <c r="H121" s="105"/>
      <c r="I121" s="105"/>
      <c r="J121" s="105" t="s">
        <v>29</v>
      </c>
      <c r="K121" s="105"/>
      <c r="L121" s="105"/>
    </row>
    <row r="122" spans="1:13">
      <c r="A122" s="14" t="s">
        <v>30</v>
      </c>
      <c r="B122" s="104" t="s">
        <v>31</v>
      </c>
      <c r="C122" s="104"/>
      <c r="D122" s="104"/>
      <c r="E122" s="104"/>
      <c r="F122" s="104"/>
      <c r="G122" s="104" t="s">
        <v>32</v>
      </c>
      <c r="H122" s="104"/>
      <c r="I122" s="104"/>
      <c r="J122" s="104"/>
      <c r="K122" s="104"/>
      <c r="L122" s="104"/>
    </row>
    <row r="123" spans="1:13">
      <c r="A123" s="16">
        <v>4</v>
      </c>
      <c r="B123" s="102" t="s">
        <v>106</v>
      </c>
      <c r="C123" s="102"/>
      <c r="D123" s="102"/>
      <c r="E123" s="102"/>
      <c r="F123" s="102"/>
      <c r="G123" s="103">
        <v>42461</v>
      </c>
      <c r="H123" s="103"/>
      <c r="I123" s="103"/>
      <c r="J123" s="103">
        <v>42490</v>
      </c>
      <c r="K123" s="103"/>
      <c r="L123" s="103"/>
    </row>
    <row r="124" spans="1:13">
      <c r="A124" s="14" t="s">
        <v>34</v>
      </c>
      <c r="B124" s="14" t="s">
        <v>35</v>
      </c>
      <c r="C124" s="14" t="s">
        <v>36</v>
      </c>
      <c r="D124" s="14" t="s">
        <v>37</v>
      </c>
      <c r="E124" s="14" t="s">
        <v>38</v>
      </c>
      <c r="F124" s="14" t="s">
        <v>39</v>
      </c>
      <c r="G124" s="104" t="s">
        <v>40</v>
      </c>
      <c r="H124" s="104"/>
      <c r="I124" s="104"/>
      <c r="J124" s="104"/>
      <c r="K124" s="104"/>
      <c r="L124" s="104"/>
    </row>
    <row r="125" spans="1:13">
      <c r="A125" s="17">
        <v>41791</v>
      </c>
      <c r="B125" s="16"/>
      <c r="C125" s="17">
        <v>28152</v>
      </c>
      <c r="D125" s="16" t="s">
        <v>41</v>
      </c>
      <c r="E125" s="16">
        <v>0</v>
      </c>
      <c r="F125" s="16">
        <v>0</v>
      </c>
      <c r="G125" s="102"/>
      <c r="H125" s="102"/>
      <c r="I125" s="102"/>
      <c r="J125" s="102"/>
      <c r="K125" s="102"/>
      <c r="L125" s="102"/>
    </row>
    <row r="126" spans="1:13">
      <c r="A126" s="14" t="s">
        <v>42</v>
      </c>
      <c r="B126" s="14" t="s">
        <v>43</v>
      </c>
      <c r="C126" s="14" t="s">
        <v>44</v>
      </c>
      <c r="D126" s="104" t="s">
        <v>45</v>
      </c>
      <c r="E126" s="104"/>
      <c r="F126" s="104"/>
      <c r="G126" s="104" t="s">
        <v>46</v>
      </c>
      <c r="H126" s="104"/>
      <c r="I126" s="104"/>
      <c r="J126" s="104"/>
      <c r="K126" s="104"/>
      <c r="L126" s="104"/>
    </row>
    <row r="127" spans="1:13">
      <c r="A127" s="16">
        <v>123952551</v>
      </c>
      <c r="B127" s="16"/>
      <c r="C127" s="16"/>
      <c r="D127" s="102" t="s">
        <v>47</v>
      </c>
      <c r="E127" s="102"/>
      <c r="F127" s="102"/>
      <c r="G127" s="102" t="s">
        <v>107</v>
      </c>
      <c r="H127" s="102"/>
      <c r="I127" s="102"/>
      <c r="J127" s="102"/>
      <c r="K127" s="102"/>
      <c r="L127" s="102"/>
    </row>
    <row r="128" spans="1: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>
      <c r="A131" s="108" t="s">
        <v>49</v>
      </c>
      <c r="B131" s="108"/>
      <c r="C131" s="108"/>
      <c r="D131" s="108"/>
      <c r="E131" s="108"/>
      <c r="F131" s="108"/>
      <c r="G131" s="108" t="s">
        <v>50</v>
      </c>
      <c r="H131" s="108" t="s">
        <v>51</v>
      </c>
      <c r="I131" s="108" t="s">
        <v>52</v>
      </c>
      <c r="J131" s="108"/>
      <c r="K131" s="108" t="s">
        <v>53</v>
      </c>
      <c r="L131" s="108"/>
    </row>
    <row r="132" spans="1:12">
      <c r="A132" s="108"/>
      <c r="B132" s="108"/>
      <c r="C132" s="108"/>
      <c r="D132" s="108"/>
      <c r="E132" s="108"/>
      <c r="F132" s="108"/>
      <c r="G132" s="108"/>
      <c r="H132" s="108"/>
      <c r="I132" s="20" t="s">
        <v>54</v>
      </c>
      <c r="J132" s="20" t="s">
        <v>55</v>
      </c>
      <c r="K132" s="20" t="s">
        <v>56</v>
      </c>
      <c r="L132" s="20" t="s">
        <v>57</v>
      </c>
    </row>
    <row r="133" spans="1:12">
      <c r="A133" s="106" t="s">
        <v>58</v>
      </c>
      <c r="B133" s="106"/>
      <c r="C133" s="106"/>
      <c r="D133" s="106"/>
      <c r="E133" s="106"/>
      <c r="F133" s="106"/>
      <c r="G133" s="21">
        <v>90000</v>
      </c>
      <c r="H133" s="22"/>
      <c r="I133" s="21"/>
      <c r="J133" s="21"/>
      <c r="K133" s="21"/>
      <c r="L133" s="21"/>
    </row>
    <row r="134" spans="1:12">
      <c r="A134" s="106" t="s">
        <v>59</v>
      </c>
      <c r="B134" s="106"/>
      <c r="C134" s="106"/>
      <c r="D134" s="106"/>
      <c r="E134" s="106"/>
      <c r="F134" s="106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>
      <c r="A135" s="107" t="s">
        <v>60</v>
      </c>
      <c r="B135" s="107"/>
      <c r="C135" s="107"/>
      <c r="D135" s="107"/>
      <c r="E135" s="107"/>
      <c r="F135" s="107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>
      <c r="A136" s="107" t="s">
        <v>61</v>
      </c>
      <c r="B136" s="107"/>
      <c r="C136" s="107"/>
      <c r="D136" s="107"/>
      <c r="E136" s="107"/>
      <c r="F136" s="107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>
      <c r="A137" s="107" t="s">
        <v>62</v>
      </c>
      <c r="B137" s="107"/>
      <c r="C137" s="107"/>
      <c r="D137" s="107"/>
      <c r="E137" s="107"/>
      <c r="F137" s="107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>
      <c r="A138" s="107" t="s">
        <v>63</v>
      </c>
      <c r="B138" s="107"/>
      <c r="C138" s="107"/>
      <c r="D138" s="107"/>
      <c r="E138" s="107"/>
      <c r="F138" s="107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>
      <c r="A139" s="107" t="s">
        <v>64</v>
      </c>
      <c r="B139" s="107"/>
      <c r="C139" s="107"/>
      <c r="D139" s="107"/>
      <c r="E139" s="107"/>
      <c r="F139" s="107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>
      <c r="A140" s="107" t="s">
        <v>65</v>
      </c>
      <c r="B140" s="107"/>
      <c r="C140" s="107"/>
      <c r="D140" s="107"/>
      <c r="E140" s="107"/>
      <c r="F140" s="107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>
      <c r="A141" s="107" t="s">
        <v>66</v>
      </c>
      <c r="B141" s="107"/>
      <c r="C141" s="107"/>
      <c r="D141" s="107"/>
      <c r="E141" s="107"/>
      <c r="F141" s="107"/>
      <c r="G141" s="29"/>
      <c r="H141" s="30"/>
      <c r="I141" s="30"/>
      <c r="J141" s="25"/>
      <c r="K141" s="26"/>
      <c r="L141" s="26"/>
    </row>
    <row r="142" spans="1:12">
      <c r="A142" s="109">
        <v>0.25</v>
      </c>
      <c r="B142" s="109"/>
      <c r="C142" s="109"/>
      <c r="D142" s="109"/>
      <c r="E142" s="109"/>
      <c r="F142" s="109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>
      <c r="A143" s="109">
        <v>0.5</v>
      </c>
      <c r="B143" s="109"/>
      <c r="C143" s="109"/>
      <c r="D143" s="109"/>
      <c r="E143" s="109"/>
      <c r="F143" s="109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>
      <c r="A144" s="109">
        <v>1</v>
      </c>
      <c r="B144" s="109"/>
      <c r="C144" s="109"/>
      <c r="D144" s="109"/>
      <c r="E144" s="109"/>
      <c r="F144" s="109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>
      <c r="A145" s="106" t="s">
        <v>67</v>
      </c>
      <c r="B145" s="106"/>
      <c r="C145" s="106"/>
      <c r="D145" s="106"/>
      <c r="E145" s="106"/>
      <c r="F145" s="106"/>
      <c r="G145" s="21"/>
      <c r="H145" s="22"/>
      <c r="I145" s="21">
        <f>SUM(I146:I147)</f>
        <v>0</v>
      </c>
      <c r="J145" s="21"/>
      <c r="K145" s="21"/>
      <c r="L145" s="21"/>
    </row>
    <row r="146" spans="1:12">
      <c r="A146" s="107" t="s">
        <v>68</v>
      </c>
      <c r="B146" s="107"/>
      <c r="C146" s="107"/>
      <c r="D146" s="107"/>
      <c r="E146" s="107"/>
      <c r="F146" s="107"/>
      <c r="G146" s="23">
        <f>(G123-A125)/360</f>
        <v>1.8611111111111112</v>
      </c>
      <c r="H146" s="31">
        <v>0</v>
      </c>
      <c r="I146" s="23">
        <f>I134*H146</f>
        <v>0</v>
      </c>
      <c r="J146" s="25"/>
      <c r="K146" s="26"/>
      <c r="L146" s="26"/>
    </row>
    <row r="147" spans="1:12">
      <c r="A147" s="107" t="s">
        <v>69</v>
      </c>
      <c r="B147" s="107"/>
      <c r="C147" s="107"/>
      <c r="D147" s="107"/>
      <c r="E147" s="107"/>
      <c r="F147" s="107"/>
      <c r="G147" s="23"/>
      <c r="H147" s="24"/>
      <c r="I147" s="23"/>
      <c r="J147" s="25"/>
      <c r="K147" s="26"/>
      <c r="L147" s="26"/>
    </row>
    <row r="148" spans="1:12">
      <c r="A148" s="106" t="s">
        <v>70</v>
      </c>
      <c r="B148" s="106"/>
      <c r="C148" s="106"/>
      <c r="D148" s="106"/>
      <c r="E148" s="106"/>
      <c r="F148" s="106"/>
      <c r="G148" s="21"/>
      <c r="H148" s="22"/>
      <c r="I148" s="21">
        <f>SUM(I149:I151)</f>
        <v>6000</v>
      </c>
      <c r="J148" s="21"/>
      <c r="K148" s="21"/>
      <c r="L148" s="21"/>
    </row>
    <row r="149" spans="1:12">
      <c r="A149" s="107" t="s">
        <v>71</v>
      </c>
      <c r="B149" s="107"/>
      <c r="C149" s="107"/>
      <c r="D149" s="107"/>
      <c r="E149" s="107"/>
      <c r="F149" s="107"/>
      <c r="G149" s="23"/>
      <c r="H149" s="24"/>
      <c r="I149" s="23">
        <v>3000</v>
      </c>
      <c r="J149" s="25"/>
      <c r="K149" s="26"/>
      <c r="L149" s="26"/>
    </row>
    <row r="150" spans="1:12">
      <c r="A150" s="107" t="s">
        <v>72</v>
      </c>
      <c r="B150" s="107"/>
      <c r="C150" s="107"/>
      <c r="D150" s="107"/>
      <c r="E150" s="107"/>
      <c r="F150" s="107"/>
      <c r="G150" s="23"/>
      <c r="H150" s="31"/>
      <c r="I150" s="23">
        <v>3000</v>
      </c>
      <c r="J150" s="25"/>
      <c r="K150" s="26"/>
      <c r="L150" s="26"/>
    </row>
    <row r="151" spans="1:12">
      <c r="A151" s="107" t="s">
        <v>73</v>
      </c>
      <c r="B151" s="107"/>
      <c r="C151" s="107"/>
      <c r="D151" s="107"/>
      <c r="E151" s="107"/>
      <c r="F151" s="107"/>
      <c r="G151" s="23"/>
      <c r="H151" s="24"/>
      <c r="I151" s="23"/>
      <c r="J151" s="25"/>
      <c r="K151" s="26"/>
      <c r="L151" s="26"/>
    </row>
    <row r="152" spans="1:12">
      <c r="A152" s="111" t="s">
        <v>74</v>
      </c>
      <c r="B152" s="111"/>
      <c r="C152" s="111"/>
      <c r="D152" s="111"/>
      <c r="E152" s="111"/>
      <c r="F152" s="111"/>
      <c r="G152" s="32"/>
      <c r="H152" s="33"/>
      <c r="I152" s="32">
        <f>I134+I145+I148</f>
        <v>96000</v>
      </c>
      <c r="J152" s="33"/>
      <c r="K152" s="33"/>
      <c r="L152" s="33"/>
    </row>
    <row r="153" spans="1:12">
      <c r="A153" s="111" t="s">
        <v>75</v>
      </c>
      <c r="B153" s="111"/>
      <c r="C153" s="111"/>
      <c r="D153" s="111"/>
      <c r="E153" s="111"/>
      <c r="F153" s="111"/>
      <c r="G153" s="32"/>
      <c r="H153" s="33"/>
      <c r="I153" s="32">
        <f>I152-I148</f>
        <v>90000</v>
      </c>
      <c r="J153" s="33"/>
      <c r="K153" s="33"/>
      <c r="L153" s="33"/>
    </row>
    <row r="154" spans="1:12">
      <c r="A154" s="107" t="s">
        <v>76</v>
      </c>
      <c r="B154" s="107"/>
      <c r="C154" s="107"/>
      <c r="D154" s="107"/>
      <c r="E154" s="107"/>
      <c r="F154" s="107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>
      <c r="A155" s="107" t="s">
        <v>77</v>
      </c>
      <c r="B155" s="107"/>
      <c r="C155" s="107"/>
      <c r="D155" s="107"/>
      <c r="E155" s="107"/>
      <c r="F155" s="107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>
      <c r="A156" s="107" t="s">
        <v>78</v>
      </c>
      <c r="B156" s="107"/>
      <c r="C156" s="107"/>
      <c r="D156" s="107"/>
      <c r="E156" s="107"/>
      <c r="F156" s="107"/>
      <c r="G156" s="23"/>
      <c r="H156" s="34">
        <v>0.5</v>
      </c>
      <c r="I156" s="23"/>
      <c r="J156" s="23">
        <f>I153*H156</f>
        <v>45000</v>
      </c>
      <c r="K156" s="35">
        <v>0.06</v>
      </c>
      <c r="L156" s="23">
        <f>I153*K156</f>
        <v>5400</v>
      </c>
    </row>
    <row r="157" spans="1:12">
      <c r="A157" s="107" t="s">
        <v>79</v>
      </c>
      <c r="B157" s="107"/>
      <c r="C157" s="107"/>
      <c r="D157" s="107"/>
      <c r="E157" s="107"/>
      <c r="F157" s="107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>
      <c r="A158" s="107" t="s">
        <v>80</v>
      </c>
      <c r="B158" s="107"/>
      <c r="C158" s="107"/>
      <c r="D158" s="107"/>
      <c r="E158" s="107"/>
      <c r="F158" s="107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>
      <c r="A159" s="107" t="s">
        <v>81</v>
      </c>
      <c r="B159" s="107"/>
      <c r="C159" s="107"/>
      <c r="D159" s="107"/>
      <c r="E159" s="107"/>
      <c r="F159" s="107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>
      <c r="A160" s="107" t="s">
        <v>24</v>
      </c>
      <c r="B160" s="107"/>
      <c r="C160" s="107"/>
      <c r="D160" s="107"/>
      <c r="E160" s="107"/>
      <c r="F160" s="107"/>
      <c r="G160" s="23"/>
      <c r="H160" s="34" t="str">
        <f>[1]Taux!D$7</f>
        <v>2,26%</v>
      </c>
      <c r="I160" s="23"/>
      <c r="J160" s="23">
        <f>I153*H160</f>
        <v>2033.9999999999998</v>
      </c>
      <c r="K160" s="34" t="str">
        <f>[1]Taux!C$7</f>
        <v>4,11%</v>
      </c>
      <c r="L160" s="23">
        <f>I153*K160</f>
        <v>3699</v>
      </c>
    </row>
    <row r="161" spans="1:12">
      <c r="A161" s="110" t="s">
        <v>82</v>
      </c>
      <c r="B161" s="110"/>
      <c r="C161" s="110"/>
      <c r="D161" s="110"/>
      <c r="E161" s="110"/>
      <c r="F161" s="110"/>
      <c r="G161" s="37"/>
      <c r="H161" s="38"/>
      <c r="I161" s="39"/>
      <c r="J161" s="40"/>
      <c r="K161" s="34" t="str">
        <f>[1]Taux!C$4</f>
        <v>6,40%</v>
      </c>
      <c r="L161" s="23">
        <f>I153*K161</f>
        <v>5760</v>
      </c>
    </row>
    <row r="162" spans="1:12">
      <c r="A162" s="110" t="s">
        <v>83</v>
      </c>
      <c r="B162" s="110"/>
      <c r="C162" s="110"/>
      <c r="D162" s="110"/>
      <c r="E162" s="110"/>
      <c r="F162" s="110"/>
      <c r="G162" s="41"/>
      <c r="H162" s="42"/>
      <c r="I162" s="43"/>
      <c r="J162" s="44"/>
      <c r="K162" s="34" t="str">
        <f>[1]Taux!C$8</f>
        <v>1,6 %</v>
      </c>
      <c r="L162" s="23">
        <f>I153*K162</f>
        <v>1440</v>
      </c>
    </row>
    <row r="163" spans="1:12">
      <c r="A163" s="106" t="s">
        <v>84</v>
      </c>
      <c r="B163" s="106"/>
      <c r="C163" s="106"/>
      <c r="D163" s="106"/>
      <c r="E163" s="106"/>
      <c r="F163" s="106"/>
      <c r="G163" s="21"/>
      <c r="H163" s="22"/>
      <c r="I163" s="22"/>
      <c r="J163" s="21">
        <f>SUM(J154:J160)</f>
        <v>47302.8</v>
      </c>
      <c r="K163" s="21"/>
      <c r="L163" s="21">
        <f>SUM(L154:L162)</f>
        <v>16837.8</v>
      </c>
    </row>
    <row r="164" spans="1:12">
      <c r="A164" s="107" t="s">
        <v>85</v>
      </c>
      <c r="B164" s="107"/>
      <c r="C164" s="107"/>
      <c r="D164" s="107"/>
      <c r="E164" s="107"/>
      <c r="F164" s="107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>
      <c r="A165" s="111" t="s">
        <v>86</v>
      </c>
      <c r="B165" s="111"/>
      <c r="C165" s="111"/>
      <c r="D165" s="111"/>
      <c r="E165" s="111"/>
      <c r="F165" s="111"/>
      <c r="G165" s="32"/>
      <c r="H165" s="33"/>
      <c r="I165" s="32">
        <f>I153-J163-J164</f>
        <v>40197.199999999997</v>
      </c>
      <c r="J165" s="33"/>
      <c r="K165" s="33"/>
      <c r="L165" s="33"/>
    </row>
    <row r="166" spans="1:12">
      <c r="A166" s="107" t="s">
        <v>87</v>
      </c>
      <c r="B166" s="107"/>
      <c r="C166" s="107"/>
      <c r="D166" s="107"/>
      <c r="E166" s="107"/>
      <c r="F166" s="107"/>
      <c r="G166" s="23"/>
      <c r="H166" s="34"/>
      <c r="I166" s="23">
        <f>H166*180/360</f>
        <v>0</v>
      </c>
      <c r="J166" s="23"/>
      <c r="K166" s="46"/>
      <c r="L166" s="47"/>
    </row>
    <row r="167" spans="1:12">
      <c r="A167" s="111" t="s">
        <v>88</v>
      </c>
      <c r="B167" s="111"/>
      <c r="C167" s="111"/>
      <c r="D167" s="111"/>
      <c r="E167" s="111"/>
      <c r="F167" s="111"/>
      <c r="G167" s="32"/>
      <c r="H167" s="33"/>
      <c r="I167" s="32">
        <f>I165-I166</f>
        <v>40197.199999999997</v>
      </c>
      <c r="J167" s="33"/>
      <c r="K167" s="33"/>
      <c r="L167" s="33"/>
    </row>
    <row r="168" spans="1:12">
      <c r="A168" s="107" t="s">
        <v>89</v>
      </c>
      <c r="B168" s="107"/>
      <c r="C168" s="107"/>
      <c r="D168" s="107"/>
      <c r="E168" s="107"/>
      <c r="F168" s="107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13241.602666666666</v>
      </c>
      <c r="K168" s="46"/>
      <c r="L168" s="47"/>
    </row>
    <row r="169" spans="1:12">
      <c r="A169" s="107" t="s">
        <v>90</v>
      </c>
      <c r="B169" s="107"/>
      <c r="C169" s="107"/>
      <c r="D169" s="107"/>
      <c r="E169" s="107"/>
      <c r="F169" s="107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>
      <c r="A170" s="106" t="s">
        <v>91</v>
      </c>
      <c r="B170" s="106"/>
      <c r="C170" s="106"/>
      <c r="D170" s="106"/>
      <c r="E170" s="106"/>
      <c r="F170" s="106"/>
      <c r="G170" s="21"/>
      <c r="H170" s="22"/>
      <c r="I170" s="21"/>
      <c r="J170" s="21">
        <f>J168-J169</f>
        <v>13241.602666666666</v>
      </c>
      <c r="K170" s="21"/>
      <c r="L170" s="21"/>
    </row>
    <row r="171" spans="1:12">
      <c r="A171" s="112" t="s">
        <v>92</v>
      </c>
      <c r="B171" s="112"/>
      <c r="C171" s="112"/>
      <c r="D171" s="112"/>
      <c r="E171" s="112"/>
      <c r="F171" s="112"/>
      <c r="G171" s="25"/>
      <c r="H171" s="48"/>
      <c r="I171" s="47"/>
      <c r="J171" s="49">
        <v>0</v>
      </c>
      <c r="K171" s="46"/>
      <c r="L171" s="47"/>
    </row>
    <row r="172" spans="1:12">
      <c r="A172" s="107" t="s">
        <v>93</v>
      </c>
      <c r="B172" s="107"/>
      <c r="C172" s="107"/>
      <c r="D172" s="107"/>
      <c r="E172" s="107"/>
      <c r="F172" s="107"/>
      <c r="G172" s="25"/>
      <c r="H172" s="48"/>
      <c r="I172" s="44"/>
      <c r="J172" s="28">
        <v>0</v>
      </c>
      <c r="K172" s="46"/>
      <c r="L172" s="47"/>
    </row>
    <row r="173" spans="1:12">
      <c r="A173" s="113" t="s">
        <v>94</v>
      </c>
      <c r="B173" s="113"/>
      <c r="C173" s="113"/>
      <c r="D173" s="113"/>
      <c r="E173" s="113"/>
      <c r="F173" s="113"/>
      <c r="G173" s="41"/>
      <c r="H173" s="42"/>
      <c r="I173" s="28">
        <f>1-0.6</f>
        <v>0.4</v>
      </c>
      <c r="J173" s="41"/>
      <c r="K173" s="43"/>
      <c r="L173" s="44"/>
    </row>
    <row r="174" spans="1:1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>
      <c r="A175" s="14" t="s">
        <v>95</v>
      </c>
      <c r="B175" s="14" t="s">
        <v>96</v>
      </c>
      <c r="C175" s="14" t="s">
        <v>97</v>
      </c>
      <c r="D175" s="104" t="s">
        <v>98</v>
      </c>
      <c r="E175" s="104"/>
      <c r="F175" s="104"/>
      <c r="G175" s="14" t="s">
        <v>99</v>
      </c>
      <c r="H175" s="50"/>
      <c r="I175" s="52">
        <f>I152+I173</f>
        <v>96000.4</v>
      </c>
      <c r="J175" s="52">
        <f>J163+J170+J171+J172</f>
        <v>60544.402666666669</v>
      </c>
      <c r="K175" s="14" t="s">
        <v>100</v>
      </c>
      <c r="L175" s="52">
        <f>L163</f>
        <v>16837.8</v>
      </c>
    </row>
    <row r="176" spans="1:12">
      <c r="A176" s="52">
        <f>882000+I152</f>
        <v>978000</v>
      </c>
      <c r="B176" s="52">
        <f>828000+I153</f>
        <v>918000</v>
      </c>
      <c r="C176" s="52">
        <f>2419.2+J154</f>
        <v>2688</v>
      </c>
      <c r="D176" s="114">
        <f>122440.83+J170</f>
        <v>135682.43266666666</v>
      </c>
      <c r="E176" s="114"/>
      <c r="F176" s="114"/>
      <c r="G176" s="52">
        <f>324432+I175</f>
        <v>420432.4</v>
      </c>
      <c r="H176" s="104" t="s">
        <v>101</v>
      </c>
      <c r="I176" s="104"/>
      <c r="J176" s="52">
        <f>I175-J175</f>
        <v>35455.997333333326</v>
      </c>
      <c r="K176" s="14" t="s">
        <v>102</v>
      </c>
      <c r="L176" s="52">
        <f>154800+L175</f>
        <v>171637.8</v>
      </c>
    </row>
    <row r="177" spans="1:1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52293.797333333321</v>
      </c>
    </row>
    <row r="181" spans="1:12">
      <c r="A181" s="105" t="s">
        <v>26</v>
      </c>
      <c r="B181" s="105"/>
      <c r="C181" s="105" t="s">
        <v>27</v>
      </c>
      <c r="D181" s="105"/>
      <c r="E181" s="105"/>
      <c r="F181" s="105"/>
      <c r="G181" s="105" t="s">
        <v>28</v>
      </c>
      <c r="H181" s="105"/>
      <c r="I181" s="105"/>
      <c r="J181" s="105" t="s">
        <v>29</v>
      </c>
      <c r="K181" s="105"/>
      <c r="L181" s="105"/>
    </row>
    <row r="182" spans="1:12">
      <c r="A182" s="14" t="s">
        <v>30</v>
      </c>
      <c r="B182" s="104" t="s">
        <v>31</v>
      </c>
      <c r="C182" s="104"/>
      <c r="D182" s="104"/>
      <c r="E182" s="104"/>
      <c r="F182" s="104"/>
      <c r="G182" s="104" t="s">
        <v>32</v>
      </c>
      <c r="H182" s="104"/>
      <c r="I182" s="104"/>
      <c r="J182" s="104"/>
      <c r="K182" s="104"/>
      <c r="L182" s="104"/>
    </row>
    <row r="183" spans="1:12">
      <c r="A183" s="16">
        <v>5</v>
      </c>
      <c r="B183" s="102" t="s">
        <v>108</v>
      </c>
      <c r="C183" s="102"/>
      <c r="D183" s="102"/>
      <c r="E183" s="102"/>
      <c r="F183" s="102"/>
      <c r="G183" s="103">
        <v>42461</v>
      </c>
      <c r="H183" s="103"/>
      <c r="I183" s="103"/>
      <c r="J183" s="103">
        <v>42490</v>
      </c>
      <c r="K183" s="103"/>
      <c r="L183" s="103"/>
    </row>
    <row r="184" spans="1:12">
      <c r="A184" s="14" t="s">
        <v>34</v>
      </c>
      <c r="B184" s="14" t="s">
        <v>35</v>
      </c>
      <c r="C184" s="14" t="s">
        <v>36</v>
      </c>
      <c r="D184" s="14" t="s">
        <v>37</v>
      </c>
      <c r="E184" s="14" t="s">
        <v>38</v>
      </c>
      <c r="F184" s="14" t="s">
        <v>39</v>
      </c>
      <c r="G184" s="104" t="s">
        <v>40</v>
      </c>
      <c r="H184" s="104"/>
      <c r="I184" s="104"/>
      <c r="J184" s="104"/>
      <c r="K184" s="104"/>
      <c r="L184" s="104"/>
    </row>
    <row r="185" spans="1:12">
      <c r="A185" s="17">
        <v>41791</v>
      </c>
      <c r="B185" s="16"/>
      <c r="C185" s="17">
        <v>21792</v>
      </c>
      <c r="D185" s="16" t="s">
        <v>41</v>
      </c>
      <c r="E185" s="16">
        <v>2</v>
      </c>
      <c r="F185" s="16">
        <v>3</v>
      </c>
      <c r="G185" s="102"/>
      <c r="H185" s="102"/>
      <c r="I185" s="102"/>
      <c r="J185" s="102"/>
      <c r="K185" s="102"/>
      <c r="L185" s="102"/>
    </row>
    <row r="186" spans="1:12">
      <c r="A186" s="14" t="s">
        <v>42</v>
      </c>
      <c r="B186" s="14" t="s">
        <v>43</v>
      </c>
      <c r="C186" s="14" t="s">
        <v>44</v>
      </c>
      <c r="D186" s="104" t="s">
        <v>45</v>
      </c>
      <c r="E186" s="104"/>
      <c r="F186" s="104"/>
      <c r="G186" s="104" t="s">
        <v>46</v>
      </c>
      <c r="H186" s="104"/>
      <c r="I186" s="104"/>
      <c r="J186" s="104"/>
      <c r="K186" s="104"/>
      <c r="L186" s="104"/>
    </row>
    <row r="187" spans="1:12">
      <c r="A187" s="16">
        <v>132944135</v>
      </c>
      <c r="B187" s="16"/>
      <c r="C187" s="16"/>
      <c r="D187" s="102" t="s">
        <v>47</v>
      </c>
      <c r="E187" s="102"/>
      <c r="F187" s="102"/>
      <c r="G187" s="102" t="s">
        <v>109</v>
      </c>
      <c r="H187" s="102"/>
      <c r="I187" s="102"/>
      <c r="J187" s="102"/>
      <c r="K187" s="102"/>
      <c r="L187" s="102"/>
    </row>
    <row r="188" spans="1:1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>
      <c r="A191" s="108" t="s">
        <v>49</v>
      </c>
      <c r="B191" s="108"/>
      <c r="C191" s="108"/>
      <c r="D191" s="108"/>
      <c r="E191" s="108"/>
      <c r="F191" s="108"/>
      <c r="G191" s="108" t="s">
        <v>50</v>
      </c>
      <c r="H191" s="108" t="s">
        <v>51</v>
      </c>
      <c r="I191" s="108" t="s">
        <v>52</v>
      </c>
      <c r="J191" s="108"/>
      <c r="K191" s="108" t="s">
        <v>53</v>
      </c>
      <c r="L191" s="108"/>
    </row>
    <row r="192" spans="1:12">
      <c r="A192" s="108"/>
      <c r="B192" s="108"/>
      <c r="C192" s="108"/>
      <c r="D192" s="108"/>
      <c r="E192" s="108"/>
      <c r="F192" s="108"/>
      <c r="G192" s="108"/>
      <c r="H192" s="108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>
      <c r="A193" s="106" t="s">
        <v>58</v>
      </c>
      <c r="B193" s="106"/>
      <c r="C193" s="106"/>
      <c r="D193" s="106"/>
      <c r="E193" s="106"/>
      <c r="F193" s="106"/>
      <c r="G193" s="21">
        <v>12125.57</v>
      </c>
      <c r="H193" s="22"/>
      <c r="I193" s="21"/>
      <c r="J193" s="21"/>
      <c r="K193" s="21"/>
      <c r="L193" s="21"/>
    </row>
    <row r="194" spans="1:12">
      <c r="A194" s="106" t="s">
        <v>59</v>
      </c>
      <c r="B194" s="106"/>
      <c r="C194" s="106"/>
      <c r="D194" s="106"/>
      <c r="E194" s="106"/>
      <c r="F194" s="106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>
      <c r="A195" s="107" t="s">
        <v>60</v>
      </c>
      <c r="B195" s="107"/>
      <c r="C195" s="107"/>
      <c r="D195" s="107"/>
      <c r="E195" s="107"/>
      <c r="F195" s="107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>
      <c r="A196" s="107" t="s">
        <v>61</v>
      </c>
      <c r="B196" s="107"/>
      <c r="C196" s="107"/>
      <c r="D196" s="107"/>
      <c r="E196" s="107"/>
      <c r="F196" s="107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>
      <c r="A197" s="107" t="s">
        <v>62</v>
      </c>
      <c r="B197" s="107"/>
      <c r="C197" s="107"/>
      <c r="D197" s="107"/>
      <c r="E197" s="107"/>
      <c r="F197" s="107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>
      <c r="A198" s="107" t="s">
        <v>63</v>
      </c>
      <c r="B198" s="107"/>
      <c r="C198" s="107"/>
      <c r="D198" s="107"/>
      <c r="E198" s="107"/>
      <c r="F198" s="107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>
      <c r="A199" s="107" t="s">
        <v>64</v>
      </c>
      <c r="B199" s="107"/>
      <c r="C199" s="107"/>
      <c r="D199" s="107"/>
      <c r="E199" s="107"/>
      <c r="F199" s="107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>
      <c r="A200" s="107" t="s">
        <v>65</v>
      </c>
      <c r="B200" s="107"/>
      <c r="C200" s="107"/>
      <c r="D200" s="107"/>
      <c r="E200" s="107"/>
      <c r="F200" s="107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>
      <c r="A201" s="107" t="s">
        <v>66</v>
      </c>
      <c r="B201" s="107"/>
      <c r="C201" s="107"/>
      <c r="D201" s="107"/>
      <c r="E201" s="107"/>
      <c r="F201" s="107"/>
      <c r="G201" s="29"/>
      <c r="H201" s="30"/>
      <c r="I201" s="30"/>
      <c r="J201" s="25"/>
      <c r="K201" s="26"/>
      <c r="L201" s="26"/>
    </row>
    <row r="202" spans="1:12">
      <c r="A202" s="109">
        <v>0.25</v>
      </c>
      <c r="B202" s="109"/>
      <c r="C202" s="109"/>
      <c r="D202" s="109"/>
      <c r="E202" s="109"/>
      <c r="F202" s="109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>
      <c r="A203" s="109">
        <v>0.5</v>
      </c>
      <c r="B203" s="109"/>
      <c r="C203" s="109"/>
      <c r="D203" s="109"/>
      <c r="E203" s="109"/>
      <c r="F203" s="109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>
      <c r="A204" s="109">
        <v>1</v>
      </c>
      <c r="B204" s="109"/>
      <c r="C204" s="109"/>
      <c r="D204" s="109"/>
      <c r="E204" s="109"/>
      <c r="F204" s="109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>
      <c r="A205" s="106" t="s">
        <v>67</v>
      </c>
      <c r="B205" s="106"/>
      <c r="C205" s="106"/>
      <c r="D205" s="106"/>
      <c r="E205" s="106"/>
      <c r="F205" s="106"/>
      <c r="G205" s="21"/>
      <c r="H205" s="22"/>
      <c r="I205" s="21">
        <f>SUM(I206:I207)</f>
        <v>0</v>
      </c>
      <c r="J205" s="21"/>
      <c r="K205" s="21"/>
      <c r="L205" s="21"/>
    </row>
    <row r="206" spans="1:12">
      <c r="A206" s="107" t="s">
        <v>68</v>
      </c>
      <c r="B206" s="107"/>
      <c r="C206" s="107"/>
      <c r="D206" s="107"/>
      <c r="E206" s="107"/>
      <c r="F206" s="107"/>
      <c r="G206" s="23">
        <f>(G183-A185)/360</f>
        <v>1.8611111111111112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</v>
      </c>
      <c r="I206" s="23">
        <f>I194*H206</f>
        <v>0</v>
      </c>
      <c r="J206" s="25"/>
      <c r="K206" s="26"/>
      <c r="L206" s="26"/>
    </row>
    <row r="207" spans="1:12">
      <c r="A207" s="107" t="s">
        <v>69</v>
      </c>
      <c r="B207" s="107"/>
      <c r="C207" s="107"/>
      <c r="D207" s="107"/>
      <c r="E207" s="107"/>
      <c r="F207" s="107"/>
      <c r="G207" s="23"/>
      <c r="H207" s="24"/>
      <c r="I207" s="23"/>
      <c r="J207" s="25"/>
      <c r="K207" s="26"/>
      <c r="L207" s="26"/>
    </row>
    <row r="208" spans="1:12">
      <c r="A208" s="106" t="s">
        <v>70</v>
      </c>
      <c r="B208" s="106"/>
      <c r="C208" s="106"/>
      <c r="D208" s="106"/>
      <c r="E208" s="106"/>
      <c r="F208" s="106"/>
      <c r="G208" s="21"/>
      <c r="H208" s="22"/>
      <c r="I208" s="21">
        <f>SUM(I209:I211)</f>
        <v>5000</v>
      </c>
      <c r="J208" s="21"/>
      <c r="K208" s="21"/>
      <c r="L208" s="21"/>
    </row>
    <row r="209" spans="1:12">
      <c r="A209" s="107" t="s">
        <v>71</v>
      </c>
      <c r="B209" s="107"/>
      <c r="C209" s="107"/>
      <c r="D209" s="107"/>
      <c r="E209" s="107"/>
      <c r="F209" s="107"/>
      <c r="G209" s="23"/>
      <c r="H209" s="24"/>
      <c r="I209" s="23">
        <v>2500</v>
      </c>
      <c r="J209" s="25"/>
      <c r="K209" s="26"/>
      <c r="L209" s="26"/>
    </row>
    <row r="210" spans="1:12">
      <c r="A210" s="107" t="s">
        <v>72</v>
      </c>
      <c r="B210" s="107"/>
      <c r="C210" s="107"/>
      <c r="D210" s="107"/>
      <c r="E210" s="107"/>
      <c r="F210" s="107"/>
      <c r="G210" s="23"/>
      <c r="H210" s="31">
        <v>0</v>
      </c>
      <c r="I210" s="23">
        <v>2500</v>
      </c>
      <c r="J210" s="25"/>
      <c r="K210" s="26"/>
      <c r="L210" s="26"/>
    </row>
    <row r="211" spans="1:12">
      <c r="A211" s="107" t="s">
        <v>73</v>
      </c>
      <c r="B211" s="107"/>
      <c r="C211" s="107"/>
      <c r="D211" s="107"/>
      <c r="E211" s="107"/>
      <c r="F211" s="107"/>
      <c r="G211" s="23"/>
      <c r="H211" s="24"/>
      <c r="I211" s="23"/>
      <c r="J211" s="25"/>
      <c r="K211" s="26"/>
      <c r="L211" s="26"/>
    </row>
    <row r="212" spans="1:12">
      <c r="A212" s="111" t="s">
        <v>74</v>
      </c>
      <c r="B212" s="111"/>
      <c r="C212" s="111"/>
      <c r="D212" s="111"/>
      <c r="E212" s="111"/>
      <c r="F212" s="111"/>
      <c r="G212" s="32"/>
      <c r="H212" s="33"/>
      <c r="I212" s="32">
        <f>I194+I205+I208</f>
        <v>17125.57</v>
      </c>
      <c r="J212" s="33"/>
      <c r="K212" s="33"/>
      <c r="L212" s="33"/>
    </row>
    <row r="213" spans="1:12">
      <c r="A213" s="111" t="s">
        <v>75</v>
      </c>
      <c r="B213" s="111"/>
      <c r="C213" s="111"/>
      <c r="D213" s="111"/>
      <c r="E213" s="111"/>
      <c r="F213" s="111"/>
      <c r="G213" s="32"/>
      <c r="H213" s="33"/>
      <c r="I213" s="32">
        <f>I212-I208</f>
        <v>12125.57</v>
      </c>
      <c r="J213" s="33"/>
      <c r="K213" s="33"/>
      <c r="L213" s="33"/>
    </row>
    <row r="214" spans="1:12">
      <c r="A214" s="107" t="s">
        <v>76</v>
      </c>
      <c r="B214" s="107"/>
      <c r="C214" s="107"/>
      <c r="D214" s="107"/>
      <c r="E214" s="107"/>
      <c r="F214" s="107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>
      <c r="A215" s="107" t="s">
        <v>77</v>
      </c>
      <c r="B215" s="107"/>
      <c r="C215" s="107"/>
      <c r="D215" s="107"/>
      <c r="E215" s="107"/>
      <c r="F215" s="107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>
      <c r="A216" s="107" t="s">
        <v>78</v>
      </c>
      <c r="B216" s="107"/>
      <c r="C216" s="107"/>
      <c r="D216" s="107"/>
      <c r="E216" s="107"/>
      <c r="F216" s="107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>
      <c r="A217" s="107" t="s">
        <v>79</v>
      </c>
      <c r="B217" s="107"/>
      <c r="C217" s="107"/>
      <c r="D217" s="107"/>
      <c r="E217" s="107"/>
      <c r="F217" s="107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>
      <c r="A218" s="107" t="s">
        <v>80</v>
      </c>
      <c r="B218" s="107"/>
      <c r="C218" s="107"/>
      <c r="D218" s="107"/>
      <c r="E218" s="107"/>
      <c r="F218" s="107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>
      <c r="A219" s="107" t="s">
        <v>81</v>
      </c>
      <c r="B219" s="107"/>
      <c r="C219" s="107"/>
      <c r="D219" s="107"/>
      <c r="E219" s="107"/>
      <c r="F219" s="107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>
      <c r="A220" s="107" t="s">
        <v>24</v>
      </c>
      <c r="B220" s="107"/>
      <c r="C220" s="107"/>
      <c r="D220" s="107"/>
      <c r="E220" s="107"/>
      <c r="F220" s="107"/>
      <c r="G220" s="23"/>
      <c r="H220" s="34" t="str">
        <f>[1]Taux!D$7</f>
        <v>2,26%</v>
      </c>
      <c r="I220" s="23"/>
      <c r="J220" s="23">
        <f>I213*H220</f>
        <v>274.03788199999997</v>
      </c>
      <c r="K220" s="34" t="str">
        <f>[1]Taux!C$7</f>
        <v>4,11%</v>
      </c>
      <c r="L220" s="23">
        <f>I213*K220</f>
        <v>498.36092699999995</v>
      </c>
    </row>
    <row r="221" spans="1:12">
      <c r="A221" s="110" t="s">
        <v>82</v>
      </c>
      <c r="B221" s="110"/>
      <c r="C221" s="110"/>
      <c r="D221" s="110"/>
      <c r="E221" s="110"/>
      <c r="F221" s="110"/>
      <c r="G221" s="37"/>
      <c r="H221" s="38"/>
      <c r="I221" s="39"/>
      <c r="J221" s="40"/>
      <c r="K221" s="34" t="str">
        <f>[1]Taux!C$4</f>
        <v>6,40%</v>
      </c>
      <c r="L221" s="23">
        <f>I213*K221</f>
        <v>776.03647999999998</v>
      </c>
    </row>
    <row r="222" spans="1:12">
      <c r="A222" s="110" t="s">
        <v>83</v>
      </c>
      <c r="B222" s="110"/>
      <c r="C222" s="110"/>
      <c r="D222" s="110"/>
      <c r="E222" s="110"/>
      <c r="F222" s="110"/>
      <c r="G222" s="41"/>
      <c r="H222" s="42"/>
      <c r="I222" s="43"/>
      <c r="J222" s="44"/>
      <c r="K222" s="34" t="str">
        <f>[1]Taux!C$8</f>
        <v>1,6 %</v>
      </c>
      <c r="L222" s="23">
        <f>I213*K222</f>
        <v>194.00912</v>
      </c>
    </row>
    <row r="223" spans="1:12">
      <c r="A223" s="106" t="s">
        <v>84</v>
      </c>
      <c r="B223" s="106"/>
      <c r="C223" s="106"/>
      <c r="D223" s="106"/>
      <c r="E223" s="106"/>
      <c r="F223" s="106"/>
      <c r="G223" s="21"/>
      <c r="H223" s="22"/>
      <c r="I223" s="22"/>
      <c r="J223" s="21">
        <f>SUM(J214:J220)</f>
        <v>542.83788200000004</v>
      </c>
      <c r="K223" s="21"/>
      <c r="L223" s="21">
        <f>SUM(L214:L222)</f>
        <v>2007.2065269999998</v>
      </c>
    </row>
    <row r="224" spans="1:12">
      <c r="A224" s="107" t="s">
        <v>85</v>
      </c>
      <c r="B224" s="107"/>
      <c r="C224" s="107"/>
      <c r="D224" s="107"/>
      <c r="E224" s="107"/>
      <c r="F224" s="107"/>
      <c r="G224" s="23"/>
      <c r="H224" s="45">
        <v>0.2</v>
      </c>
      <c r="I224" s="23"/>
      <c r="J224" s="23">
        <f>IF(I213*H224&lt;2500,I213*H224,2500)</f>
        <v>2425.114</v>
      </c>
      <c r="K224" s="46"/>
      <c r="L224" s="47"/>
    </row>
    <row r="225" spans="1:12">
      <c r="A225" s="111" t="s">
        <v>86</v>
      </c>
      <c r="B225" s="111"/>
      <c r="C225" s="111"/>
      <c r="D225" s="111"/>
      <c r="E225" s="111"/>
      <c r="F225" s="111"/>
      <c r="G225" s="32"/>
      <c r="H225" s="33"/>
      <c r="I225" s="32">
        <f>I213-J223-J224</f>
        <v>9157.6181180000003</v>
      </c>
      <c r="J225" s="33"/>
      <c r="K225" s="33"/>
      <c r="L225" s="33"/>
    </row>
    <row r="226" spans="1:12">
      <c r="A226" s="107" t="s">
        <v>87</v>
      </c>
      <c r="B226" s="107"/>
      <c r="C226" s="107"/>
      <c r="D226" s="107"/>
      <c r="E226" s="107"/>
      <c r="F226" s="107"/>
      <c r="G226" s="23"/>
      <c r="H226" s="34"/>
      <c r="I226" s="23">
        <f>H226*180/360</f>
        <v>0</v>
      </c>
      <c r="J226" s="23"/>
      <c r="K226" s="46"/>
      <c r="L226" s="47"/>
    </row>
    <row r="227" spans="1:12">
      <c r="A227" s="111" t="s">
        <v>88</v>
      </c>
      <c r="B227" s="111"/>
      <c r="C227" s="111"/>
      <c r="D227" s="111"/>
      <c r="E227" s="111"/>
      <c r="F227" s="111"/>
      <c r="G227" s="32"/>
      <c r="H227" s="33"/>
      <c r="I227" s="32">
        <f>I225-I226</f>
        <v>9157.6181180000003</v>
      </c>
      <c r="J227" s="33"/>
      <c r="K227" s="33"/>
      <c r="L227" s="33"/>
    </row>
    <row r="228" spans="1:12">
      <c r="A228" s="107" t="s">
        <v>89</v>
      </c>
      <c r="B228" s="107"/>
      <c r="C228" s="107"/>
      <c r="D228" s="107"/>
      <c r="E228" s="107"/>
      <c r="F228" s="107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1680.256826786667</v>
      </c>
      <c r="K228" s="46"/>
      <c r="L228" s="47"/>
    </row>
    <row r="229" spans="1:12">
      <c r="A229" s="107" t="s">
        <v>90</v>
      </c>
      <c r="B229" s="107"/>
      <c r="C229" s="107"/>
      <c r="D229" s="107"/>
      <c r="E229" s="107"/>
      <c r="F229" s="107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>
      <c r="A230" s="106" t="s">
        <v>91</v>
      </c>
      <c r="B230" s="106"/>
      <c r="C230" s="106"/>
      <c r="D230" s="106"/>
      <c r="E230" s="106"/>
      <c r="F230" s="106"/>
      <c r="G230" s="21"/>
      <c r="H230" s="22"/>
      <c r="I230" s="21"/>
      <c r="J230" s="21">
        <f>J228-J229</f>
        <v>1590.256826786667</v>
      </c>
      <c r="K230" s="21"/>
      <c r="L230" s="21"/>
    </row>
    <row r="231" spans="1:12">
      <c r="A231" s="112" t="s">
        <v>92</v>
      </c>
      <c r="B231" s="112"/>
      <c r="C231" s="112"/>
      <c r="D231" s="112"/>
      <c r="E231" s="112"/>
      <c r="F231" s="112"/>
      <c r="G231" s="25"/>
      <c r="H231" s="48"/>
      <c r="I231" s="47"/>
      <c r="J231" s="49">
        <v>0</v>
      </c>
      <c r="K231" s="46"/>
      <c r="L231" s="47"/>
    </row>
    <row r="232" spans="1:12">
      <c r="A232" s="107" t="s">
        <v>93</v>
      </c>
      <c r="B232" s="107"/>
      <c r="C232" s="107"/>
      <c r="D232" s="107"/>
      <c r="E232" s="107"/>
      <c r="F232" s="107"/>
      <c r="G232" s="25"/>
      <c r="H232" s="48"/>
      <c r="I232" s="44"/>
      <c r="J232" s="28">
        <v>0</v>
      </c>
      <c r="K232" s="46"/>
      <c r="L232" s="47"/>
    </row>
    <row r="233" spans="1:12">
      <c r="A233" s="113" t="s">
        <v>94</v>
      </c>
      <c r="B233" s="113"/>
      <c r="C233" s="113"/>
      <c r="D233" s="113"/>
      <c r="E233" s="113"/>
      <c r="F233" s="113"/>
      <c r="G233" s="41"/>
      <c r="H233" s="42"/>
      <c r="I233" s="28">
        <f>1-0.98</f>
        <v>2.0000000000000018E-2</v>
      </c>
      <c r="J233" s="41"/>
      <c r="K233" s="43"/>
      <c r="L233" s="44"/>
    </row>
    <row r="234" spans="1:1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>
      <c r="A235" s="14" t="s">
        <v>95</v>
      </c>
      <c r="B235" s="14" t="s">
        <v>96</v>
      </c>
      <c r="C235" s="14" t="s">
        <v>97</v>
      </c>
      <c r="D235" s="104" t="s">
        <v>98</v>
      </c>
      <c r="E235" s="104"/>
      <c r="F235" s="104"/>
      <c r="G235" s="14" t="s">
        <v>99</v>
      </c>
      <c r="H235" s="50"/>
      <c r="I235" s="52">
        <f>I212+I233</f>
        <v>17125.59</v>
      </c>
      <c r="J235" s="52">
        <f>J223+J230+J231+J232</f>
        <v>2133.0947087866671</v>
      </c>
      <c r="K235" s="14" t="s">
        <v>100</v>
      </c>
      <c r="L235" s="52">
        <f>L223</f>
        <v>2007.2065269999998</v>
      </c>
    </row>
    <row r="236" spans="1:12">
      <c r="A236" s="52">
        <f>156555.24+I212</f>
        <v>173680.81</v>
      </c>
      <c r="B236" s="52">
        <f>111555.24+I213</f>
        <v>123680.81</v>
      </c>
      <c r="C236" s="52">
        <f>2419.2+J214</f>
        <v>2688</v>
      </c>
      <c r="D236" s="114">
        <f>15016.37+J230</f>
        <v>16606.626826786669</v>
      </c>
      <c r="E236" s="114"/>
      <c r="F236" s="114"/>
      <c r="G236" s="52">
        <f>136602.47+I235</f>
        <v>153728.06</v>
      </c>
      <c r="H236" s="104" t="s">
        <v>101</v>
      </c>
      <c r="I236" s="104"/>
      <c r="J236" s="52">
        <f>I235-J235</f>
        <v>14992.495291213334</v>
      </c>
      <c r="K236" s="14" t="s">
        <v>102</v>
      </c>
      <c r="L236" s="52">
        <f>20589.65+L235</f>
        <v>22596.856527</v>
      </c>
    </row>
    <row r="237" spans="1:1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16999.701818213332</v>
      </c>
    </row>
    <row r="241" spans="1:12">
      <c r="A241" s="105" t="s">
        <v>26</v>
      </c>
      <c r="B241" s="105"/>
      <c r="C241" s="105" t="s">
        <v>27</v>
      </c>
      <c r="D241" s="105"/>
      <c r="E241" s="105"/>
      <c r="F241" s="105"/>
      <c r="G241" s="105" t="s">
        <v>28</v>
      </c>
      <c r="H241" s="105"/>
      <c r="I241" s="105"/>
      <c r="J241" s="105" t="s">
        <v>29</v>
      </c>
      <c r="K241" s="105"/>
      <c r="L241" s="105"/>
    </row>
    <row r="242" spans="1:12">
      <c r="A242" s="14" t="s">
        <v>30</v>
      </c>
      <c r="B242" s="104" t="s">
        <v>31</v>
      </c>
      <c r="C242" s="104"/>
      <c r="D242" s="104"/>
      <c r="E242" s="104"/>
      <c r="F242" s="104"/>
      <c r="G242" s="104" t="s">
        <v>32</v>
      </c>
      <c r="H242" s="104"/>
      <c r="I242" s="104"/>
      <c r="J242" s="104"/>
      <c r="K242" s="104"/>
      <c r="L242" s="104"/>
    </row>
    <row r="243" spans="1:12">
      <c r="A243" s="16">
        <v>6</v>
      </c>
      <c r="B243" s="102" t="s">
        <v>110</v>
      </c>
      <c r="C243" s="102"/>
      <c r="D243" s="102"/>
      <c r="E243" s="102"/>
      <c r="F243" s="102"/>
      <c r="G243" s="103">
        <v>42461</v>
      </c>
      <c r="H243" s="103"/>
      <c r="I243" s="103"/>
      <c r="J243" s="103">
        <v>42490</v>
      </c>
      <c r="K243" s="103"/>
      <c r="L243" s="103"/>
    </row>
    <row r="244" spans="1:12">
      <c r="A244" s="14" t="s">
        <v>34</v>
      </c>
      <c r="B244" s="14" t="s">
        <v>35</v>
      </c>
      <c r="C244" s="14" t="s">
        <v>36</v>
      </c>
      <c r="D244" s="14" t="s">
        <v>37</v>
      </c>
      <c r="E244" s="14" t="s">
        <v>38</v>
      </c>
      <c r="F244" s="14" t="s">
        <v>39</v>
      </c>
      <c r="G244" s="104" t="s">
        <v>40</v>
      </c>
      <c r="H244" s="104"/>
      <c r="I244" s="104"/>
      <c r="J244" s="104"/>
      <c r="K244" s="104"/>
      <c r="L244" s="104"/>
    </row>
    <row r="245" spans="1:12">
      <c r="A245" s="17">
        <v>41821</v>
      </c>
      <c r="B245" s="16"/>
      <c r="C245" s="17">
        <v>31573</v>
      </c>
      <c r="D245" s="16" t="s">
        <v>111</v>
      </c>
      <c r="E245" s="16">
        <v>0</v>
      </c>
      <c r="F245" s="16">
        <v>0</v>
      </c>
      <c r="G245" s="102"/>
      <c r="H245" s="102"/>
      <c r="I245" s="102"/>
      <c r="J245" s="102"/>
      <c r="K245" s="102"/>
      <c r="L245" s="102"/>
    </row>
    <row r="246" spans="1:12">
      <c r="A246" s="14" t="s">
        <v>42</v>
      </c>
      <c r="B246" s="14" t="s">
        <v>43</v>
      </c>
      <c r="C246" s="14" t="s">
        <v>44</v>
      </c>
      <c r="D246" s="104" t="s">
        <v>45</v>
      </c>
      <c r="E246" s="104"/>
      <c r="F246" s="104"/>
      <c r="G246" s="104" t="s">
        <v>46</v>
      </c>
      <c r="H246" s="104"/>
      <c r="I246" s="104"/>
      <c r="J246" s="104"/>
      <c r="K246" s="104"/>
      <c r="L246" s="104"/>
    </row>
    <row r="247" spans="1:12">
      <c r="A247" s="16">
        <v>195441186</v>
      </c>
      <c r="B247" s="16"/>
      <c r="C247" s="16"/>
      <c r="D247" s="102" t="s">
        <v>47</v>
      </c>
      <c r="E247" s="102"/>
      <c r="F247" s="102"/>
      <c r="G247" s="102" t="s">
        <v>107</v>
      </c>
      <c r="H247" s="102"/>
      <c r="I247" s="102"/>
      <c r="J247" s="102"/>
      <c r="K247" s="102"/>
      <c r="L247" s="102"/>
    </row>
    <row r="248" spans="1:1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>
      <c r="A251" s="108" t="s">
        <v>49</v>
      </c>
      <c r="B251" s="108"/>
      <c r="C251" s="108"/>
      <c r="D251" s="108"/>
      <c r="E251" s="108"/>
      <c r="F251" s="108"/>
      <c r="G251" s="108" t="s">
        <v>50</v>
      </c>
      <c r="H251" s="108" t="s">
        <v>51</v>
      </c>
      <c r="I251" s="108" t="s">
        <v>52</v>
      </c>
      <c r="J251" s="108"/>
      <c r="K251" s="108" t="s">
        <v>53</v>
      </c>
      <c r="L251" s="108"/>
    </row>
    <row r="252" spans="1:12">
      <c r="A252" s="108"/>
      <c r="B252" s="108"/>
      <c r="C252" s="108"/>
      <c r="D252" s="108"/>
      <c r="E252" s="108"/>
      <c r="F252" s="108"/>
      <c r="G252" s="108"/>
      <c r="H252" s="108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>
      <c r="A253" s="106" t="s">
        <v>58</v>
      </c>
      <c r="B253" s="106"/>
      <c r="C253" s="106"/>
      <c r="D253" s="106"/>
      <c r="E253" s="106"/>
      <c r="F253" s="106"/>
      <c r="G253" s="21">
        <v>2895.13</v>
      </c>
      <c r="H253" s="22"/>
      <c r="I253" s="21"/>
      <c r="J253" s="21"/>
      <c r="K253" s="21"/>
      <c r="L253" s="21"/>
    </row>
    <row r="254" spans="1:12">
      <c r="A254" s="106" t="s">
        <v>59</v>
      </c>
      <c r="B254" s="106"/>
      <c r="C254" s="106"/>
      <c r="D254" s="106"/>
      <c r="E254" s="106"/>
      <c r="F254" s="106"/>
      <c r="G254" s="21"/>
      <c r="H254" s="21"/>
      <c r="I254" s="21">
        <f>IF(I255+I256-J257-J258+I259+I262+I263+I264+I260&lt;G253,I255+I256-J257-J258+I259+I262+I263+I264+I260,G253)</f>
        <v>2895.13</v>
      </c>
      <c r="J254" s="21"/>
      <c r="K254" s="21"/>
      <c r="L254" s="21"/>
    </row>
    <row r="255" spans="1:12">
      <c r="A255" s="107" t="s">
        <v>60</v>
      </c>
      <c r="B255" s="107"/>
      <c r="C255" s="107"/>
      <c r="D255" s="107"/>
      <c r="E255" s="107"/>
      <c r="F255" s="107"/>
      <c r="G255" s="23"/>
      <c r="H255" s="24">
        <v>26</v>
      </c>
      <c r="I255" s="23">
        <f>G253/26*H255</f>
        <v>2895.13</v>
      </c>
      <c r="J255" s="25"/>
      <c r="K255" s="26"/>
      <c r="L255" s="26"/>
    </row>
    <row r="256" spans="1:12">
      <c r="A256" s="107" t="s">
        <v>61</v>
      </c>
      <c r="B256" s="107"/>
      <c r="C256" s="107"/>
      <c r="D256" s="107"/>
      <c r="E256" s="107"/>
      <c r="F256" s="107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>
      <c r="A257" s="107" t="s">
        <v>62</v>
      </c>
      <c r="B257" s="107"/>
      <c r="C257" s="107"/>
      <c r="D257" s="107"/>
      <c r="E257" s="107"/>
      <c r="F257" s="107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>
      <c r="A258" s="107" t="s">
        <v>63</v>
      </c>
      <c r="B258" s="107"/>
      <c r="C258" s="107"/>
      <c r="D258" s="107"/>
      <c r="E258" s="107"/>
      <c r="F258" s="107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>
      <c r="A259" s="107" t="s">
        <v>64</v>
      </c>
      <c r="B259" s="107"/>
      <c r="C259" s="107"/>
      <c r="D259" s="107"/>
      <c r="E259" s="107"/>
      <c r="F259" s="107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>
      <c r="A260" s="107" t="s">
        <v>65</v>
      </c>
      <c r="B260" s="107"/>
      <c r="C260" s="107"/>
      <c r="D260" s="107"/>
      <c r="E260" s="107"/>
      <c r="F260" s="107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>
      <c r="A261" s="107" t="s">
        <v>66</v>
      </c>
      <c r="B261" s="107"/>
      <c r="C261" s="107"/>
      <c r="D261" s="107"/>
      <c r="E261" s="107"/>
      <c r="F261" s="107"/>
      <c r="G261" s="29"/>
      <c r="H261" s="30"/>
      <c r="I261" s="30"/>
      <c r="J261" s="25"/>
      <c r="K261" s="26"/>
      <c r="L261" s="26"/>
    </row>
    <row r="262" spans="1:12">
      <c r="A262" s="109">
        <v>0.25</v>
      </c>
      <c r="B262" s="109"/>
      <c r="C262" s="109"/>
      <c r="D262" s="109"/>
      <c r="E262" s="109"/>
      <c r="F262" s="109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>
      <c r="A263" s="109">
        <v>0.5</v>
      </c>
      <c r="B263" s="109"/>
      <c r="C263" s="109"/>
      <c r="D263" s="109"/>
      <c r="E263" s="109"/>
      <c r="F263" s="109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>
      <c r="A264" s="109">
        <v>1</v>
      </c>
      <c r="B264" s="109"/>
      <c r="C264" s="109"/>
      <c r="D264" s="109"/>
      <c r="E264" s="109"/>
      <c r="F264" s="109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>
      <c r="A265" s="106" t="s">
        <v>67</v>
      </c>
      <c r="B265" s="106"/>
      <c r="C265" s="106"/>
      <c r="D265" s="106"/>
      <c r="E265" s="106"/>
      <c r="F265" s="106"/>
      <c r="G265" s="21"/>
      <c r="H265" s="22"/>
      <c r="I265" s="21">
        <f>SUM(I266:I267)</f>
        <v>0</v>
      </c>
      <c r="J265" s="21"/>
      <c r="K265" s="21"/>
      <c r="L265" s="21"/>
    </row>
    <row r="266" spans="1:12">
      <c r="A266" s="107" t="s">
        <v>68</v>
      </c>
      <c r="B266" s="107"/>
      <c r="C266" s="107"/>
      <c r="D266" s="107"/>
      <c r="E266" s="107"/>
      <c r="F266" s="107"/>
      <c r="G266" s="23">
        <f>(G243-A245)/360</f>
        <v>1.7777777777777777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</v>
      </c>
      <c r="I266" s="23">
        <f>I254*H266</f>
        <v>0</v>
      </c>
      <c r="J266" s="25"/>
      <c r="K266" s="26"/>
      <c r="L266" s="26"/>
    </row>
    <row r="267" spans="1:12">
      <c r="A267" s="107" t="s">
        <v>69</v>
      </c>
      <c r="B267" s="107"/>
      <c r="C267" s="107"/>
      <c r="D267" s="107"/>
      <c r="E267" s="107"/>
      <c r="F267" s="107"/>
      <c r="G267" s="23"/>
      <c r="H267" s="24"/>
      <c r="I267" s="23"/>
      <c r="J267" s="25"/>
      <c r="K267" s="26"/>
      <c r="L267" s="26"/>
    </row>
    <row r="268" spans="1:12">
      <c r="A268" s="106" t="s">
        <v>70</v>
      </c>
      <c r="B268" s="106"/>
      <c r="C268" s="106"/>
      <c r="D268" s="106"/>
      <c r="E268" s="106"/>
      <c r="F268" s="106"/>
      <c r="G268" s="21"/>
      <c r="H268" s="22"/>
      <c r="I268" s="21">
        <f>SUM(I269:I271)</f>
        <v>300</v>
      </c>
      <c r="J268" s="21"/>
      <c r="K268" s="21"/>
      <c r="L268" s="21"/>
    </row>
    <row r="269" spans="1:12">
      <c r="A269" s="107" t="s">
        <v>71</v>
      </c>
      <c r="B269" s="107"/>
      <c r="C269" s="107"/>
      <c r="D269" s="107"/>
      <c r="E269" s="107"/>
      <c r="F269" s="107"/>
      <c r="G269" s="23"/>
      <c r="H269" s="24"/>
      <c r="I269" s="23">
        <v>300</v>
      </c>
      <c r="J269" s="25"/>
      <c r="K269" s="26"/>
      <c r="L269" s="26"/>
    </row>
    <row r="270" spans="1:12">
      <c r="A270" s="107" t="s">
        <v>72</v>
      </c>
      <c r="B270" s="107"/>
      <c r="C270" s="107"/>
      <c r="D270" s="107"/>
      <c r="E270" s="107"/>
      <c r="F270" s="107"/>
      <c r="G270" s="23"/>
      <c r="H270" s="31">
        <v>0</v>
      </c>
      <c r="I270" s="23"/>
      <c r="J270" s="25"/>
      <c r="K270" s="26"/>
      <c r="L270" s="26"/>
    </row>
    <row r="271" spans="1:12">
      <c r="A271" s="107" t="s">
        <v>73</v>
      </c>
      <c r="B271" s="107"/>
      <c r="C271" s="107"/>
      <c r="D271" s="107"/>
      <c r="E271" s="107"/>
      <c r="F271" s="107"/>
      <c r="G271" s="23"/>
      <c r="H271" s="24"/>
      <c r="I271" s="23"/>
      <c r="J271" s="25"/>
      <c r="K271" s="26"/>
      <c r="L271" s="26"/>
    </row>
    <row r="272" spans="1:12">
      <c r="A272" s="111" t="s">
        <v>74</v>
      </c>
      <c r="B272" s="111"/>
      <c r="C272" s="111"/>
      <c r="D272" s="111"/>
      <c r="E272" s="111"/>
      <c r="F272" s="111"/>
      <c r="G272" s="32"/>
      <c r="H272" s="33"/>
      <c r="I272" s="32">
        <f>I254+I265+I268</f>
        <v>3195.13</v>
      </c>
      <c r="J272" s="33"/>
      <c r="K272" s="33"/>
      <c r="L272" s="33"/>
    </row>
    <row r="273" spans="1:12">
      <c r="A273" s="111" t="s">
        <v>75</v>
      </c>
      <c r="B273" s="111"/>
      <c r="C273" s="111"/>
      <c r="D273" s="111"/>
      <c r="E273" s="111"/>
      <c r="F273" s="111"/>
      <c r="G273" s="32"/>
      <c r="H273" s="33"/>
      <c r="I273" s="32">
        <f>I272-I268</f>
        <v>2895.13</v>
      </c>
      <c r="J273" s="33"/>
      <c r="K273" s="33"/>
      <c r="L273" s="33"/>
    </row>
    <row r="274" spans="1:12">
      <c r="A274" s="107" t="s">
        <v>76</v>
      </c>
      <c r="B274" s="107"/>
      <c r="C274" s="107"/>
      <c r="D274" s="107"/>
      <c r="E274" s="107"/>
      <c r="F274" s="107"/>
      <c r="G274" s="23"/>
      <c r="H274" s="34">
        <f>[1]Taux!D$5+[1]Taux!D$6</f>
        <v>4.4800000000000006E-2</v>
      </c>
      <c r="I274" s="23"/>
      <c r="J274" s="23">
        <f>IF(I273&lt;6000,I273*H274,6000*H274)</f>
        <v>129.70182400000002</v>
      </c>
      <c r="K274" s="35">
        <f>[1]Taux!C$5+[1]Taux!C$6</f>
        <v>8.9799999999999991E-2</v>
      </c>
      <c r="L274" s="23">
        <f>IF(I273&lt;6000,I273*K274,6000*K274)</f>
        <v>259.98267399999997</v>
      </c>
    </row>
    <row r="275" spans="1:12">
      <c r="A275" s="107" t="s">
        <v>77</v>
      </c>
      <c r="B275" s="107"/>
      <c r="C275" s="107"/>
      <c r="D275" s="107"/>
      <c r="E275" s="107"/>
      <c r="F275" s="107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>
      <c r="A276" s="107" t="s">
        <v>78</v>
      </c>
      <c r="B276" s="107"/>
      <c r="C276" s="107"/>
      <c r="D276" s="107"/>
      <c r="E276" s="107"/>
      <c r="F276" s="107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57.902600000000007</v>
      </c>
    </row>
    <row r="277" spans="1:12">
      <c r="A277" s="107" t="s">
        <v>79</v>
      </c>
      <c r="B277" s="107"/>
      <c r="C277" s="107"/>
      <c r="D277" s="107"/>
      <c r="E277" s="107"/>
      <c r="F277" s="107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>
      <c r="A278" s="107" t="s">
        <v>80</v>
      </c>
      <c r="B278" s="107"/>
      <c r="C278" s="107"/>
      <c r="D278" s="107"/>
      <c r="E278" s="107"/>
      <c r="F278" s="107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>
      <c r="A279" s="107" t="s">
        <v>81</v>
      </c>
      <c r="B279" s="107"/>
      <c r="C279" s="107"/>
      <c r="D279" s="107"/>
      <c r="E279" s="107"/>
      <c r="F279" s="107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>
      <c r="A280" s="107" t="s">
        <v>24</v>
      </c>
      <c r="B280" s="107"/>
      <c r="C280" s="107"/>
      <c r="D280" s="107"/>
      <c r="E280" s="107"/>
      <c r="F280" s="107"/>
      <c r="G280" s="23"/>
      <c r="H280" s="34" t="str">
        <f>[1]Taux!D$7</f>
        <v>2,26%</v>
      </c>
      <c r="I280" s="23"/>
      <c r="J280" s="23">
        <f>I273*H280</f>
        <v>65.429937999999993</v>
      </c>
      <c r="K280" s="34" t="str">
        <f>[1]Taux!C$7</f>
        <v>4,11%</v>
      </c>
      <c r="L280" s="23">
        <f>I273*K280</f>
        <v>118.98984299999999</v>
      </c>
    </row>
    <row r="281" spans="1:12">
      <c r="A281" s="110" t="s">
        <v>82</v>
      </c>
      <c r="B281" s="110"/>
      <c r="C281" s="110"/>
      <c r="D281" s="110"/>
      <c r="E281" s="110"/>
      <c r="F281" s="110"/>
      <c r="G281" s="37"/>
      <c r="H281" s="38"/>
      <c r="I281" s="39"/>
      <c r="J281" s="40"/>
      <c r="K281" s="34" t="str">
        <f>[1]Taux!C$4</f>
        <v>6,40%</v>
      </c>
      <c r="L281" s="23">
        <f>I273*K281</f>
        <v>185.28832</v>
      </c>
    </row>
    <row r="282" spans="1:12">
      <c r="A282" s="110" t="s">
        <v>83</v>
      </c>
      <c r="B282" s="110"/>
      <c r="C282" s="110"/>
      <c r="D282" s="110"/>
      <c r="E282" s="110"/>
      <c r="F282" s="110"/>
      <c r="G282" s="41"/>
      <c r="H282" s="42"/>
      <c r="I282" s="43"/>
      <c r="J282" s="44"/>
      <c r="K282" s="34" t="str">
        <f>[1]Taux!C$8</f>
        <v>1,6 %</v>
      </c>
      <c r="L282" s="23">
        <f>I273*K282</f>
        <v>46.32208</v>
      </c>
    </row>
    <row r="283" spans="1:12">
      <c r="A283" s="106" t="s">
        <v>84</v>
      </c>
      <c r="B283" s="106"/>
      <c r="C283" s="106"/>
      <c r="D283" s="106"/>
      <c r="E283" s="106"/>
      <c r="F283" s="106"/>
      <c r="G283" s="21"/>
      <c r="H283" s="22"/>
      <c r="I283" s="22"/>
      <c r="J283" s="21">
        <f>SUM(J274:J280)</f>
        <v>195.13176200000001</v>
      </c>
      <c r="K283" s="21"/>
      <c r="L283" s="21">
        <f>SUM(L274:L282)</f>
        <v>668.48551699999996</v>
      </c>
    </row>
    <row r="284" spans="1:12">
      <c r="A284" s="107" t="s">
        <v>85</v>
      </c>
      <c r="B284" s="107"/>
      <c r="C284" s="107"/>
      <c r="D284" s="107"/>
      <c r="E284" s="107"/>
      <c r="F284" s="107"/>
      <c r="G284" s="23"/>
      <c r="H284" s="45">
        <v>0.2</v>
      </c>
      <c r="I284" s="23"/>
      <c r="J284" s="23">
        <f>IF(I273*H284&lt;2500,I273*H284,2500)</f>
        <v>579.02600000000007</v>
      </c>
      <c r="K284" s="46"/>
      <c r="L284" s="47"/>
    </row>
    <row r="285" spans="1:12">
      <c r="A285" s="111" t="s">
        <v>86</v>
      </c>
      <c r="B285" s="111"/>
      <c r="C285" s="111"/>
      <c r="D285" s="111"/>
      <c r="E285" s="111"/>
      <c r="F285" s="111"/>
      <c r="G285" s="32"/>
      <c r="H285" s="33"/>
      <c r="I285" s="32">
        <f>I273-J283-J284</f>
        <v>2120.9722380000003</v>
      </c>
      <c r="J285" s="33"/>
      <c r="K285" s="33"/>
      <c r="L285" s="33"/>
    </row>
    <row r="286" spans="1:12">
      <c r="A286" s="107" t="s">
        <v>87</v>
      </c>
      <c r="B286" s="107"/>
      <c r="C286" s="107"/>
      <c r="D286" s="107"/>
      <c r="E286" s="107"/>
      <c r="F286" s="107"/>
      <c r="G286" s="23"/>
      <c r="H286" s="34"/>
      <c r="I286" s="23">
        <f>H286*180/360</f>
        <v>0</v>
      </c>
      <c r="J286" s="23"/>
      <c r="K286" s="46"/>
      <c r="L286" s="47"/>
    </row>
    <row r="287" spans="1:12">
      <c r="A287" s="111" t="s">
        <v>88</v>
      </c>
      <c r="B287" s="111"/>
      <c r="C287" s="111"/>
      <c r="D287" s="111"/>
      <c r="E287" s="111"/>
      <c r="F287" s="111"/>
      <c r="G287" s="32"/>
      <c r="H287" s="33"/>
      <c r="I287" s="32">
        <f>I285-I286</f>
        <v>2120.9722380000003</v>
      </c>
      <c r="J287" s="33"/>
      <c r="K287" s="33"/>
      <c r="L287" s="33"/>
    </row>
    <row r="288" spans="1:12">
      <c r="A288" s="107" t="s">
        <v>89</v>
      </c>
      <c r="B288" s="107"/>
      <c r="C288" s="107"/>
      <c r="D288" s="107"/>
      <c r="E288" s="107"/>
      <c r="F288" s="107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0</v>
      </c>
      <c r="K288" s="46"/>
      <c r="L288" s="47"/>
    </row>
    <row r="289" spans="1:12">
      <c r="A289" s="107" t="s">
        <v>90</v>
      </c>
      <c r="B289" s="107"/>
      <c r="C289" s="107"/>
      <c r="D289" s="107"/>
      <c r="E289" s="107"/>
      <c r="F289" s="107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>
      <c r="A290" s="106" t="s">
        <v>91</v>
      </c>
      <c r="B290" s="106"/>
      <c r="C290" s="106"/>
      <c r="D290" s="106"/>
      <c r="E290" s="106"/>
      <c r="F290" s="106"/>
      <c r="G290" s="21"/>
      <c r="H290" s="22"/>
      <c r="I290" s="21"/>
      <c r="J290" s="21">
        <f>J288-J289</f>
        <v>0</v>
      </c>
      <c r="K290" s="21"/>
      <c r="L290" s="21"/>
    </row>
    <row r="291" spans="1:12">
      <c r="A291" s="112" t="s">
        <v>92</v>
      </c>
      <c r="B291" s="112"/>
      <c r="C291" s="112"/>
      <c r="D291" s="112"/>
      <c r="E291" s="112"/>
      <c r="F291" s="112"/>
      <c r="G291" s="25"/>
      <c r="H291" s="48"/>
      <c r="I291" s="47"/>
      <c r="J291" s="49">
        <v>0</v>
      </c>
      <c r="K291" s="46"/>
      <c r="L291" s="47"/>
    </row>
    <row r="292" spans="1:12">
      <c r="A292" s="107" t="s">
        <v>93</v>
      </c>
      <c r="B292" s="107"/>
      <c r="C292" s="107"/>
      <c r="D292" s="107"/>
      <c r="E292" s="107"/>
      <c r="F292" s="107"/>
      <c r="G292" s="25"/>
      <c r="H292" s="48"/>
      <c r="I292" s="44"/>
      <c r="J292" s="28"/>
      <c r="K292" s="46"/>
      <c r="L292" s="47"/>
    </row>
    <row r="293" spans="1:12">
      <c r="A293" s="113" t="s">
        <v>94</v>
      </c>
      <c r="B293" s="113"/>
      <c r="C293" s="113"/>
      <c r="D293" s="113"/>
      <c r="E293" s="113"/>
      <c r="F293" s="113"/>
      <c r="G293" s="41"/>
      <c r="H293" s="42"/>
      <c r="I293" s="28"/>
      <c r="J293" s="41"/>
      <c r="K293" s="43"/>
      <c r="L293" s="44"/>
    </row>
    <row r="294" spans="1:1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>
      <c r="A295" s="14" t="s">
        <v>95</v>
      </c>
      <c r="B295" s="14" t="s">
        <v>96</v>
      </c>
      <c r="C295" s="14" t="s">
        <v>97</v>
      </c>
      <c r="D295" s="104" t="s">
        <v>98</v>
      </c>
      <c r="E295" s="104"/>
      <c r="F295" s="104"/>
      <c r="G295" s="14" t="s">
        <v>99</v>
      </c>
      <c r="H295" s="50"/>
      <c r="I295" s="52">
        <f>I272+I293</f>
        <v>3195.13</v>
      </c>
      <c r="J295" s="52">
        <f>J283+J290+J291+J292</f>
        <v>195.13176200000001</v>
      </c>
      <c r="K295" s="14" t="s">
        <v>100</v>
      </c>
      <c r="L295" s="52">
        <f>L283</f>
        <v>668.48551699999996</v>
      </c>
    </row>
    <row r="296" spans="1:12">
      <c r="A296" s="52">
        <f>32114.9+I272</f>
        <v>35310.03</v>
      </c>
      <c r="B296" s="52">
        <f>29414.9+I273</f>
        <v>32310.030000000002</v>
      </c>
      <c r="C296" s="52">
        <f>1317.78+J274</f>
        <v>1447.481824</v>
      </c>
      <c r="D296" s="114">
        <f>132.35+J290</f>
        <v>132.35</v>
      </c>
      <c r="E296" s="114"/>
      <c r="F296" s="114"/>
      <c r="G296" s="52">
        <f>30000+I295</f>
        <v>33195.129999999997</v>
      </c>
      <c r="H296" s="104" t="s">
        <v>101</v>
      </c>
      <c r="I296" s="104"/>
      <c r="J296" s="52">
        <f>I295-J295</f>
        <v>2999.9982380000001</v>
      </c>
      <c r="K296" s="14" t="s">
        <v>102</v>
      </c>
      <c r="L296" s="52">
        <f>5864.92+L295</f>
        <v>6533.4055170000001</v>
      </c>
    </row>
    <row r="297" spans="1:1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3668.4837550000002</v>
      </c>
    </row>
    <row r="301" spans="1:12">
      <c r="A301" s="105" t="s">
        <v>26</v>
      </c>
      <c r="B301" s="105"/>
      <c r="C301" s="105" t="s">
        <v>27</v>
      </c>
      <c r="D301" s="105"/>
      <c r="E301" s="105"/>
      <c r="F301" s="105"/>
      <c r="G301" s="105" t="s">
        <v>28</v>
      </c>
      <c r="H301" s="105"/>
      <c r="I301" s="105"/>
      <c r="J301" s="105" t="s">
        <v>29</v>
      </c>
      <c r="K301" s="105"/>
      <c r="L301" s="105"/>
    </row>
    <row r="302" spans="1:12">
      <c r="A302" s="14" t="s">
        <v>30</v>
      </c>
      <c r="B302" s="104" t="s">
        <v>31</v>
      </c>
      <c r="C302" s="104"/>
      <c r="D302" s="104"/>
      <c r="E302" s="104"/>
      <c r="F302" s="104"/>
      <c r="G302" s="104" t="s">
        <v>32</v>
      </c>
      <c r="H302" s="104"/>
      <c r="I302" s="104"/>
      <c r="J302" s="104"/>
      <c r="K302" s="104"/>
      <c r="L302" s="104"/>
    </row>
    <row r="303" spans="1:12">
      <c r="A303" s="16">
        <v>7</v>
      </c>
      <c r="B303" s="102" t="s">
        <v>112</v>
      </c>
      <c r="C303" s="102"/>
      <c r="D303" s="102"/>
      <c r="E303" s="102"/>
      <c r="F303" s="102"/>
      <c r="G303" s="103">
        <v>42461</v>
      </c>
      <c r="H303" s="103"/>
      <c r="I303" s="103"/>
      <c r="J303" s="103">
        <v>42490</v>
      </c>
      <c r="K303" s="103"/>
      <c r="L303" s="103"/>
    </row>
    <row r="304" spans="1:12">
      <c r="A304" s="14" t="s">
        <v>34</v>
      </c>
      <c r="B304" s="14" t="s">
        <v>35</v>
      </c>
      <c r="C304" s="14" t="s">
        <v>36</v>
      </c>
      <c r="D304" s="14" t="s">
        <v>37</v>
      </c>
      <c r="E304" s="14" t="s">
        <v>38</v>
      </c>
      <c r="F304" s="14" t="s">
        <v>39</v>
      </c>
      <c r="G304" s="104" t="s">
        <v>40</v>
      </c>
      <c r="H304" s="104"/>
      <c r="I304" s="104"/>
      <c r="J304" s="104"/>
      <c r="K304" s="104"/>
      <c r="L304" s="104"/>
    </row>
    <row r="305" spans="1:12">
      <c r="A305" s="17">
        <v>42005</v>
      </c>
      <c r="B305" s="16"/>
      <c r="C305" s="17">
        <v>34565</v>
      </c>
      <c r="D305" s="16" t="s">
        <v>111</v>
      </c>
      <c r="E305" s="16">
        <v>0</v>
      </c>
      <c r="F305" s="16">
        <v>0</v>
      </c>
      <c r="G305" s="102"/>
      <c r="H305" s="102"/>
      <c r="I305" s="102"/>
      <c r="J305" s="102"/>
      <c r="K305" s="102"/>
      <c r="L305" s="102"/>
    </row>
    <row r="306" spans="1:12">
      <c r="A306" s="14" t="s">
        <v>42</v>
      </c>
      <c r="B306" s="14" t="s">
        <v>43</v>
      </c>
      <c r="C306" s="14" t="s">
        <v>44</v>
      </c>
      <c r="D306" s="104" t="s">
        <v>45</v>
      </c>
      <c r="E306" s="104"/>
      <c r="F306" s="104"/>
      <c r="G306" s="104" t="s">
        <v>46</v>
      </c>
      <c r="H306" s="104"/>
      <c r="I306" s="104"/>
      <c r="J306" s="104"/>
      <c r="K306" s="104"/>
      <c r="L306" s="104"/>
    </row>
    <row r="307" spans="1:12">
      <c r="A307" s="16">
        <v>168098097</v>
      </c>
      <c r="B307" s="16"/>
      <c r="C307" s="16"/>
      <c r="D307" s="102" t="s">
        <v>47</v>
      </c>
      <c r="E307" s="102"/>
      <c r="F307" s="102"/>
      <c r="G307" s="102" t="s">
        <v>107</v>
      </c>
      <c r="H307" s="102"/>
      <c r="I307" s="102"/>
      <c r="J307" s="102"/>
      <c r="K307" s="102"/>
      <c r="L307" s="102"/>
    </row>
    <row r="308" spans="1:1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>
      <c r="A311" s="108" t="s">
        <v>49</v>
      </c>
      <c r="B311" s="108"/>
      <c r="C311" s="108"/>
      <c r="D311" s="108"/>
      <c r="E311" s="108"/>
      <c r="F311" s="108"/>
      <c r="G311" s="108" t="s">
        <v>50</v>
      </c>
      <c r="H311" s="108" t="s">
        <v>51</v>
      </c>
      <c r="I311" s="108" t="s">
        <v>52</v>
      </c>
      <c r="J311" s="108"/>
      <c r="K311" s="108" t="s">
        <v>53</v>
      </c>
      <c r="L311" s="108"/>
    </row>
    <row r="312" spans="1:12">
      <c r="A312" s="108"/>
      <c r="B312" s="108"/>
      <c r="C312" s="108"/>
      <c r="D312" s="108"/>
      <c r="E312" s="108"/>
      <c r="F312" s="108"/>
      <c r="G312" s="108"/>
      <c r="H312" s="108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>
      <c r="A313" s="106" t="s">
        <v>58</v>
      </c>
      <c r="B313" s="106"/>
      <c r="C313" s="106"/>
      <c r="D313" s="106"/>
      <c r="E313" s="106"/>
      <c r="F313" s="106"/>
      <c r="G313" s="21">
        <v>2807.8</v>
      </c>
      <c r="H313" s="22"/>
      <c r="I313" s="21"/>
      <c r="J313" s="21"/>
      <c r="K313" s="21"/>
      <c r="L313" s="21"/>
    </row>
    <row r="314" spans="1:12">
      <c r="A314" s="106" t="s">
        <v>59</v>
      </c>
      <c r="B314" s="106"/>
      <c r="C314" s="106"/>
      <c r="D314" s="106"/>
      <c r="E314" s="106"/>
      <c r="F314" s="106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>
      <c r="A315" s="107" t="s">
        <v>60</v>
      </c>
      <c r="B315" s="107"/>
      <c r="C315" s="107"/>
      <c r="D315" s="107"/>
      <c r="E315" s="107"/>
      <c r="F315" s="107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>
      <c r="A316" s="107" t="s">
        <v>61</v>
      </c>
      <c r="B316" s="107"/>
      <c r="C316" s="107"/>
      <c r="D316" s="107"/>
      <c r="E316" s="107"/>
      <c r="F316" s="107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>
      <c r="A317" s="107" t="s">
        <v>62</v>
      </c>
      <c r="B317" s="107"/>
      <c r="C317" s="107"/>
      <c r="D317" s="107"/>
      <c r="E317" s="107"/>
      <c r="F317" s="107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>
      <c r="A318" s="107" t="s">
        <v>63</v>
      </c>
      <c r="B318" s="107"/>
      <c r="C318" s="107"/>
      <c r="D318" s="107"/>
      <c r="E318" s="107"/>
      <c r="F318" s="107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>
      <c r="A319" s="107" t="s">
        <v>64</v>
      </c>
      <c r="B319" s="107"/>
      <c r="C319" s="107"/>
      <c r="D319" s="107"/>
      <c r="E319" s="107"/>
      <c r="F319" s="107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>
      <c r="A320" s="107" t="s">
        <v>65</v>
      </c>
      <c r="B320" s="107"/>
      <c r="C320" s="107"/>
      <c r="D320" s="107"/>
      <c r="E320" s="107"/>
      <c r="F320" s="107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>
      <c r="A321" s="107" t="s">
        <v>66</v>
      </c>
      <c r="B321" s="107"/>
      <c r="C321" s="107"/>
      <c r="D321" s="107"/>
      <c r="E321" s="107"/>
      <c r="F321" s="107"/>
      <c r="G321" s="29"/>
      <c r="H321" s="30"/>
      <c r="I321" s="30"/>
      <c r="J321" s="25"/>
      <c r="K321" s="26"/>
      <c r="L321" s="26"/>
    </row>
    <row r="322" spans="1:12">
      <c r="A322" s="109">
        <v>0.25</v>
      </c>
      <c r="B322" s="109"/>
      <c r="C322" s="109"/>
      <c r="D322" s="109"/>
      <c r="E322" s="109"/>
      <c r="F322" s="109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>
      <c r="A323" s="109">
        <v>0.5</v>
      </c>
      <c r="B323" s="109"/>
      <c r="C323" s="109"/>
      <c r="D323" s="109"/>
      <c r="E323" s="109"/>
      <c r="F323" s="109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>
      <c r="A324" s="109">
        <v>1</v>
      </c>
      <c r="B324" s="109"/>
      <c r="C324" s="109"/>
      <c r="D324" s="109"/>
      <c r="E324" s="109"/>
      <c r="F324" s="109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>
      <c r="A325" s="106" t="s">
        <v>67</v>
      </c>
      <c r="B325" s="106"/>
      <c r="C325" s="106"/>
      <c r="D325" s="106"/>
      <c r="E325" s="106"/>
      <c r="F325" s="106"/>
      <c r="G325" s="21"/>
      <c r="H325" s="22"/>
      <c r="I325" s="21">
        <f>SUM(I326:I327)</f>
        <v>0</v>
      </c>
      <c r="J325" s="21"/>
      <c r="K325" s="21"/>
      <c r="L325" s="21"/>
    </row>
    <row r="326" spans="1:12">
      <c r="A326" s="107" t="s">
        <v>68</v>
      </c>
      <c r="B326" s="107"/>
      <c r="C326" s="107"/>
      <c r="D326" s="107"/>
      <c r="E326" s="107"/>
      <c r="F326" s="107"/>
      <c r="G326" s="23">
        <f>(G303-A305)/360</f>
        <v>1.2666666666666666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>
      <c r="A327" s="107" t="s">
        <v>69</v>
      </c>
      <c r="B327" s="107"/>
      <c r="C327" s="107"/>
      <c r="D327" s="107"/>
      <c r="E327" s="107"/>
      <c r="F327" s="107"/>
      <c r="G327" s="23"/>
      <c r="H327" s="24"/>
      <c r="I327" s="23"/>
      <c r="J327" s="25"/>
      <c r="K327" s="26"/>
      <c r="L327" s="26"/>
    </row>
    <row r="328" spans="1:12">
      <c r="A328" s="106" t="s">
        <v>70</v>
      </c>
      <c r="B328" s="106"/>
      <c r="C328" s="106"/>
      <c r="D328" s="106"/>
      <c r="E328" s="106"/>
      <c r="F328" s="106"/>
      <c r="G328" s="21"/>
      <c r="H328" s="22"/>
      <c r="I328" s="21">
        <f>SUM(I329:I331)</f>
        <v>0</v>
      </c>
      <c r="J328" s="21"/>
      <c r="K328" s="21"/>
      <c r="L328" s="21"/>
    </row>
    <row r="329" spans="1:12">
      <c r="A329" s="107" t="s">
        <v>71</v>
      </c>
      <c r="B329" s="107"/>
      <c r="C329" s="107"/>
      <c r="D329" s="107"/>
      <c r="E329" s="107"/>
      <c r="F329" s="107"/>
      <c r="G329" s="23"/>
      <c r="H329" s="24"/>
      <c r="I329" s="23"/>
      <c r="J329" s="25"/>
      <c r="K329" s="26"/>
      <c r="L329" s="26"/>
    </row>
    <row r="330" spans="1:12">
      <c r="A330" s="107" t="s">
        <v>72</v>
      </c>
      <c r="B330" s="107"/>
      <c r="C330" s="107"/>
      <c r="D330" s="107"/>
      <c r="E330" s="107"/>
      <c r="F330" s="107"/>
      <c r="G330" s="23"/>
      <c r="H330" s="31">
        <v>0</v>
      </c>
      <c r="I330" s="23"/>
      <c r="J330" s="25"/>
      <c r="K330" s="26"/>
      <c r="L330" s="26"/>
    </row>
    <row r="331" spans="1:12">
      <c r="A331" s="107" t="s">
        <v>73</v>
      </c>
      <c r="B331" s="107"/>
      <c r="C331" s="107"/>
      <c r="D331" s="107"/>
      <c r="E331" s="107"/>
      <c r="F331" s="107"/>
      <c r="G331" s="23"/>
      <c r="H331" s="24"/>
      <c r="I331" s="23"/>
      <c r="J331" s="25"/>
      <c r="K331" s="26"/>
      <c r="L331" s="26"/>
    </row>
    <row r="332" spans="1:12">
      <c r="A332" s="111" t="s">
        <v>74</v>
      </c>
      <c r="B332" s="111"/>
      <c r="C332" s="111"/>
      <c r="D332" s="111"/>
      <c r="E332" s="111"/>
      <c r="F332" s="111"/>
      <c r="G332" s="32"/>
      <c r="H332" s="33"/>
      <c r="I332" s="32">
        <f>I314+I325+I328</f>
        <v>2807.8</v>
      </c>
      <c r="J332" s="33"/>
      <c r="K332" s="33"/>
      <c r="L332" s="33"/>
    </row>
    <row r="333" spans="1:12">
      <c r="A333" s="111" t="s">
        <v>75</v>
      </c>
      <c r="B333" s="111"/>
      <c r="C333" s="111"/>
      <c r="D333" s="111"/>
      <c r="E333" s="111"/>
      <c r="F333" s="111"/>
      <c r="G333" s="32"/>
      <c r="H333" s="33"/>
      <c r="I333" s="32">
        <f>I332-I328</f>
        <v>2807.8</v>
      </c>
      <c r="J333" s="33"/>
      <c r="K333" s="33"/>
      <c r="L333" s="33"/>
    </row>
    <row r="334" spans="1:12">
      <c r="A334" s="107" t="s">
        <v>76</v>
      </c>
      <c r="B334" s="107"/>
      <c r="C334" s="107"/>
      <c r="D334" s="107"/>
      <c r="E334" s="107"/>
      <c r="F334" s="107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>
      <c r="A335" s="107" t="s">
        <v>77</v>
      </c>
      <c r="B335" s="107"/>
      <c r="C335" s="107"/>
      <c r="D335" s="107"/>
      <c r="E335" s="107"/>
      <c r="F335" s="107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>
      <c r="A336" s="107" t="s">
        <v>78</v>
      </c>
      <c r="B336" s="107"/>
      <c r="C336" s="107"/>
      <c r="D336" s="107"/>
      <c r="E336" s="107"/>
      <c r="F336" s="107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>
      <c r="A337" s="107" t="s">
        <v>79</v>
      </c>
      <c r="B337" s="107"/>
      <c r="C337" s="107"/>
      <c r="D337" s="107"/>
      <c r="E337" s="107"/>
      <c r="F337" s="107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>
      <c r="A338" s="107" t="s">
        <v>80</v>
      </c>
      <c r="B338" s="107"/>
      <c r="C338" s="107"/>
      <c r="D338" s="107"/>
      <c r="E338" s="107"/>
      <c r="F338" s="107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>
      <c r="A339" s="107" t="s">
        <v>81</v>
      </c>
      <c r="B339" s="107"/>
      <c r="C339" s="107"/>
      <c r="D339" s="107"/>
      <c r="E339" s="107"/>
      <c r="F339" s="107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>
      <c r="A340" s="107" t="s">
        <v>24</v>
      </c>
      <c r="B340" s="107"/>
      <c r="C340" s="107"/>
      <c r="D340" s="107"/>
      <c r="E340" s="107"/>
      <c r="F340" s="107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>
      <c r="A341" s="110" t="s">
        <v>82</v>
      </c>
      <c r="B341" s="110"/>
      <c r="C341" s="110"/>
      <c r="D341" s="110"/>
      <c r="E341" s="110"/>
      <c r="F341" s="110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>
      <c r="A342" s="110" t="s">
        <v>83</v>
      </c>
      <c r="B342" s="110"/>
      <c r="C342" s="110"/>
      <c r="D342" s="110"/>
      <c r="E342" s="110"/>
      <c r="F342" s="110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>
      <c r="A343" s="106" t="s">
        <v>84</v>
      </c>
      <c r="B343" s="106"/>
      <c r="C343" s="106"/>
      <c r="D343" s="106"/>
      <c r="E343" s="106"/>
      <c r="F343" s="106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>
      <c r="A344" s="107" t="s">
        <v>85</v>
      </c>
      <c r="B344" s="107"/>
      <c r="C344" s="107"/>
      <c r="D344" s="107"/>
      <c r="E344" s="107"/>
      <c r="F344" s="107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>
      <c r="A345" s="111" t="s">
        <v>86</v>
      </c>
      <c r="B345" s="111"/>
      <c r="C345" s="111"/>
      <c r="D345" s="111"/>
      <c r="E345" s="111"/>
      <c r="F345" s="111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>
      <c r="A346" s="107" t="s">
        <v>87</v>
      </c>
      <c r="B346" s="107"/>
      <c r="C346" s="107"/>
      <c r="D346" s="107"/>
      <c r="E346" s="107"/>
      <c r="F346" s="107"/>
      <c r="G346" s="23"/>
      <c r="H346" s="34"/>
      <c r="I346" s="23">
        <f>H346*180/360</f>
        <v>0</v>
      </c>
      <c r="J346" s="23"/>
      <c r="K346" s="46"/>
      <c r="L346" s="47"/>
    </row>
    <row r="347" spans="1:12">
      <c r="A347" s="111" t="s">
        <v>88</v>
      </c>
      <c r="B347" s="111"/>
      <c r="C347" s="111"/>
      <c r="D347" s="111"/>
      <c r="E347" s="111"/>
      <c r="F347" s="111"/>
      <c r="G347" s="32"/>
      <c r="H347" s="33"/>
      <c r="I347" s="32">
        <f>I345-I346</f>
        <v>2056.9942800000003</v>
      </c>
      <c r="J347" s="33"/>
      <c r="K347" s="33"/>
      <c r="L347" s="33"/>
    </row>
    <row r="348" spans="1:12">
      <c r="A348" s="107" t="s">
        <v>89</v>
      </c>
      <c r="B348" s="107"/>
      <c r="C348" s="107"/>
      <c r="D348" s="107"/>
      <c r="E348" s="107"/>
      <c r="F348" s="107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>
      <c r="A349" s="107" t="s">
        <v>90</v>
      </c>
      <c r="B349" s="107"/>
      <c r="C349" s="107"/>
      <c r="D349" s="107"/>
      <c r="E349" s="107"/>
      <c r="F349" s="107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>
      <c r="A350" s="106" t="s">
        <v>91</v>
      </c>
      <c r="B350" s="106"/>
      <c r="C350" s="106"/>
      <c r="D350" s="106"/>
      <c r="E350" s="106"/>
      <c r="F350" s="106"/>
      <c r="G350" s="21"/>
      <c r="H350" s="22"/>
      <c r="I350" s="21"/>
      <c r="J350" s="21">
        <f>J348-J349</f>
        <v>0</v>
      </c>
      <c r="K350" s="21"/>
      <c r="L350" s="21"/>
    </row>
    <row r="351" spans="1:12">
      <c r="A351" s="112" t="s">
        <v>92</v>
      </c>
      <c r="B351" s="112"/>
      <c r="C351" s="112"/>
      <c r="D351" s="112"/>
      <c r="E351" s="112"/>
      <c r="F351" s="112"/>
      <c r="G351" s="25"/>
      <c r="H351" s="48"/>
      <c r="I351" s="47"/>
      <c r="J351" s="49">
        <v>0</v>
      </c>
      <c r="K351" s="46"/>
      <c r="L351" s="47"/>
    </row>
    <row r="352" spans="1:12">
      <c r="A352" s="107" t="s">
        <v>93</v>
      </c>
      <c r="B352" s="107"/>
      <c r="C352" s="107"/>
      <c r="D352" s="107"/>
      <c r="E352" s="107"/>
      <c r="F352" s="107"/>
      <c r="G352" s="25"/>
      <c r="H352" s="48"/>
      <c r="I352" s="44"/>
      <c r="J352" s="28"/>
      <c r="K352" s="46"/>
      <c r="L352" s="47"/>
    </row>
    <row r="353" spans="1:12">
      <c r="A353" s="113" t="s">
        <v>94</v>
      </c>
      <c r="B353" s="113"/>
      <c r="C353" s="113"/>
      <c r="D353" s="113"/>
      <c r="E353" s="113"/>
      <c r="F353" s="113"/>
      <c r="G353" s="41"/>
      <c r="H353" s="42"/>
      <c r="I353" s="28">
        <f>1-0.55</f>
        <v>0.44999999999999996</v>
      </c>
      <c r="J353" s="41"/>
      <c r="K353" s="43"/>
      <c r="L353" s="44"/>
    </row>
    <row r="354" spans="1:1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>
      <c r="A355" s="14" t="s">
        <v>95</v>
      </c>
      <c r="B355" s="14" t="s">
        <v>96</v>
      </c>
      <c r="C355" s="14" t="s">
        <v>97</v>
      </c>
      <c r="D355" s="104" t="s">
        <v>98</v>
      </c>
      <c r="E355" s="104"/>
      <c r="F355" s="104"/>
      <c r="G355" s="14" t="s">
        <v>99</v>
      </c>
      <c r="H355" s="50"/>
      <c r="I355" s="52">
        <f>I332+I353</f>
        <v>2808.25</v>
      </c>
      <c r="J355" s="52">
        <f>J343+J350+J351+J352</f>
        <v>189.24572000000003</v>
      </c>
      <c r="K355" s="14" t="s">
        <v>100</v>
      </c>
      <c r="L355" s="52">
        <f>L343</f>
        <v>648.32101999999998</v>
      </c>
    </row>
    <row r="356" spans="1:12">
      <c r="A356" s="52">
        <f>25270.2+I332</f>
        <v>28078</v>
      </c>
      <c r="B356" s="52">
        <f>25270.2+I333</f>
        <v>28078</v>
      </c>
      <c r="C356" s="52">
        <f>1132.11+J334</f>
        <v>1257.8994399999999</v>
      </c>
      <c r="D356" s="114">
        <f>0+J350</f>
        <v>0</v>
      </c>
      <c r="E356" s="114"/>
      <c r="F356" s="114"/>
      <c r="G356" s="52">
        <f>17071.02+I355</f>
        <v>19879.27</v>
      </c>
      <c r="H356" s="104" t="s">
        <v>101</v>
      </c>
      <c r="I356" s="104"/>
      <c r="J356" s="52">
        <f>I355-J355</f>
        <v>2619.0042800000001</v>
      </c>
      <c r="K356" s="14" t="s">
        <v>102</v>
      </c>
      <c r="L356" s="52">
        <f>5834.88+L355</f>
        <v>6483.2010200000004</v>
      </c>
    </row>
    <row r="357" spans="1:1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3267.3253</v>
      </c>
    </row>
    <row r="361" spans="1:12">
      <c r="A361" s="105" t="s">
        <v>26</v>
      </c>
      <c r="B361" s="105"/>
      <c r="C361" s="105" t="s">
        <v>27</v>
      </c>
      <c r="D361" s="105"/>
      <c r="E361" s="105"/>
      <c r="F361" s="105"/>
      <c r="G361" s="105" t="s">
        <v>28</v>
      </c>
      <c r="H361" s="105"/>
      <c r="I361" s="105"/>
      <c r="J361" s="105" t="s">
        <v>29</v>
      </c>
      <c r="K361" s="105"/>
      <c r="L361" s="105"/>
    </row>
    <row r="362" spans="1:12">
      <c r="A362" s="14" t="s">
        <v>30</v>
      </c>
      <c r="B362" s="104" t="s">
        <v>31</v>
      </c>
      <c r="C362" s="104"/>
      <c r="D362" s="104"/>
      <c r="E362" s="104"/>
      <c r="F362" s="104"/>
      <c r="G362" s="104" t="s">
        <v>32</v>
      </c>
      <c r="H362" s="104"/>
      <c r="I362" s="104"/>
      <c r="J362" s="104"/>
      <c r="K362" s="104"/>
      <c r="L362" s="104"/>
    </row>
    <row r="363" spans="1:12">
      <c r="A363" s="16">
        <v>8</v>
      </c>
      <c r="B363" s="102" t="s">
        <v>113</v>
      </c>
      <c r="C363" s="102"/>
      <c r="D363" s="102"/>
      <c r="E363" s="102"/>
      <c r="F363" s="102"/>
      <c r="G363" s="103">
        <v>42461</v>
      </c>
      <c r="H363" s="103"/>
      <c r="I363" s="103"/>
      <c r="J363" s="103">
        <v>42490</v>
      </c>
      <c r="K363" s="103"/>
      <c r="L363" s="103"/>
    </row>
    <row r="364" spans="1:12">
      <c r="A364" s="14" t="s">
        <v>34</v>
      </c>
      <c r="B364" s="14" t="s">
        <v>35</v>
      </c>
      <c r="C364" s="14" t="s">
        <v>36</v>
      </c>
      <c r="D364" s="14" t="s">
        <v>37</v>
      </c>
      <c r="E364" s="14" t="s">
        <v>38</v>
      </c>
      <c r="F364" s="14" t="s">
        <v>39</v>
      </c>
      <c r="G364" s="104" t="s">
        <v>40</v>
      </c>
      <c r="H364" s="104"/>
      <c r="I364" s="104"/>
      <c r="J364" s="104"/>
      <c r="K364" s="104"/>
      <c r="L364" s="104"/>
    </row>
    <row r="365" spans="1:12">
      <c r="A365" s="17">
        <v>42278</v>
      </c>
      <c r="B365" s="16"/>
      <c r="C365" s="17">
        <v>33665</v>
      </c>
      <c r="D365" s="16" t="s">
        <v>111</v>
      </c>
      <c r="E365" s="16">
        <v>0</v>
      </c>
      <c r="F365" s="16">
        <v>0</v>
      </c>
      <c r="G365" s="102"/>
      <c r="H365" s="102"/>
      <c r="I365" s="102"/>
      <c r="J365" s="102"/>
      <c r="K365" s="102"/>
      <c r="L365" s="102"/>
    </row>
    <row r="366" spans="1:12">
      <c r="A366" s="14" t="s">
        <v>42</v>
      </c>
      <c r="B366" s="14" t="s">
        <v>43</v>
      </c>
      <c r="C366" s="14" t="s">
        <v>44</v>
      </c>
      <c r="D366" s="104" t="s">
        <v>45</v>
      </c>
      <c r="E366" s="104"/>
      <c r="F366" s="104"/>
      <c r="G366" s="104" t="s">
        <v>116</v>
      </c>
      <c r="H366" s="104"/>
      <c r="I366" s="104"/>
      <c r="J366" s="104"/>
      <c r="K366" s="104"/>
      <c r="L366" s="104"/>
    </row>
    <row r="367" spans="1:12">
      <c r="A367" s="16">
        <v>164315198</v>
      </c>
      <c r="B367" s="16"/>
      <c r="C367" s="16"/>
      <c r="D367" s="102" t="s">
        <v>47</v>
      </c>
      <c r="E367" s="102"/>
      <c r="F367" s="102"/>
      <c r="G367" s="102" t="s">
        <v>114</v>
      </c>
      <c r="H367" s="102"/>
      <c r="I367" s="102"/>
      <c r="J367" s="102"/>
      <c r="K367" s="102"/>
      <c r="L367" s="102"/>
    </row>
    <row r="368" spans="1:1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>
      <c r="A371" s="108" t="s">
        <v>49</v>
      </c>
      <c r="B371" s="108"/>
      <c r="C371" s="108"/>
      <c r="D371" s="108"/>
      <c r="E371" s="108"/>
      <c r="F371" s="108"/>
      <c r="G371" s="108" t="s">
        <v>50</v>
      </c>
      <c r="H371" s="108" t="s">
        <v>51</v>
      </c>
      <c r="I371" s="108" t="s">
        <v>52</v>
      </c>
      <c r="J371" s="108"/>
      <c r="K371" s="108" t="s">
        <v>53</v>
      </c>
      <c r="L371" s="108"/>
    </row>
    <row r="372" spans="1:12">
      <c r="A372" s="108"/>
      <c r="B372" s="108"/>
      <c r="C372" s="108"/>
      <c r="D372" s="108"/>
      <c r="E372" s="108"/>
      <c r="F372" s="108"/>
      <c r="G372" s="108"/>
      <c r="H372" s="108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>
      <c r="A373" s="106" t="s">
        <v>58</v>
      </c>
      <c r="B373" s="106"/>
      <c r="C373" s="106"/>
      <c r="D373" s="106"/>
      <c r="E373" s="106"/>
      <c r="F373" s="106"/>
      <c r="G373" s="21">
        <v>3665.6</v>
      </c>
      <c r="H373" s="22"/>
      <c r="I373" s="21"/>
      <c r="J373" s="21"/>
      <c r="K373" s="21"/>
      <c r="L373" s="21"/>
    </row>
    <row r="374" spans="1:12">
      <c r="A374" s="106" t="s">
        <v>59</v>
      </c>
      <c r="B374" s="106"/>
      <c r="C374" s="106"/>
      <c r="D374" s="106"/>
      <c r="E374" s="106"/>
      <c r="F374" s="106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>
      <c r="A375" s="107" t="s">
        <v>60</v>
      </c>
      <c r="B375" s="107"/>
      <c r="C375" s="107"/>
      <c r="D375" s="107"/>
      <c r="E375" s="107"/>
      <c r="F375" s="107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>
      <c r="A376" s="107" t="s">
        <v>61</v>
      </c>
      <c r="B376" s="107"/>
      <c r="C376" s="107"/>
      <c r="D376" s="107"/>
      <c r="E376" s="107"/>
      <c r="F376" s="107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>
      <c r="A377" s="107" t="s">
        <v>62</v>
      </c>
      <c r="B377" s="107"/>
      <c r="C377" s="107"/>
      <c r="D377" s="107"/>
      <c r="E377" s="107"/>
      <c r="F377" s="107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>
      <c r="A378" s="107" t="s">
        <v>63</v>
      </c>
      <c r="B378" s="107"/>
      <c r="C378" s="107"/>
      <c r="D378" s="107"/>
      <c r="E378" s="107"/>
      <c r="F378" s="107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>
      <c r="A379" s="107" t="s">
        <v>64</v>
      </c>
      <c r="B379" s="107"/>
      <c r="C379" s="107"/>
      <c r="D379" s="107"/>
      <c r="E379" s="107"/>
      <c r="F379" s="107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>
      <c r="A380" s="107" t="s">
        <v>65</v>
      </c>
      <c r="B380" s="107"/>
      <c r="C380" s="107"/>
      <c r="D380" s="107"/>
      <c r="E380" s="107"/>
      <c r="F380" s="107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>
      <c r="A381" s="107" t="s">
        <v>66</v>
      </c>
      <c r="B381" s="107"/>
      <c r="C381" s="107"/>
      <c r="D381" s="107"/>
      <c r="E381" s="107"/>
      <c r="F381" s="107"/>
      <c r="G381" s="29"/>
      <c r="H381" s="30"/>
      <c r="I381" s="30"/>
      <c r="J381" s="25"/>
      <c r="K381" s="26"/>
      <c r="L381" s="26"/>
    </row>
    <row r="382" spans="1:12">
      <c r="A382" s="109">
        <v>0.25</v>
      </c>
      <c r="B382" s="109"/>
      <c r="C382" s="109"/>
      <c r="D382" s="109"/>
      <c r="E382" s="109"/>
      <c r="F382" s="109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>
      <c r="A383" s="109">
        <v>0.5</v>
      </c>
      <c r="B383" s="109"/>
      <c r="C383" s="109"/>
      <c r="D383" s="109"/>
      <c r="E383" s="109"/>
      <c r="F383" s="109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>
      <c r="A384" s="109">
        <v>1</v>
      </c>
      <c r="B384" s="109"/>
      <c r="C384" s="109"/>
      <c r="D384" s="109"/>
      <c r="E384" s="109"/>
      <c r="F384" s="109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>
      <c r="A385" s="106" t="s">
        <v>67</v>
      </c>
      <c r="B385" s="106"/>
      <c r="C385" s="106"/>
      <c r="D385" s="106"/>
      <c r="E385" s="106"/>
      <c r="F385" s="106"/>
      <c r="G385" s="21"/>
      <c r="H385" s="22"/>
      <c r="I385" s="21">
        <f>SUM(I386:I387)</f>
        <v>0</v>
      </c>
      <c r="J385" s="21"/>
      <c r="K385" s="21"/>
      <c r="L385" s="21"/>
    </row>
    <row r="386" spans="1:12">
      <c r="A386" s="107" t="s">
        <v>68</v>
      </c>
      <c r="B386" s="107"/>
      <c r="C386" s="107"/>
      <c r="D386" s="107"/>
      <c r="E386" s="107"/>
      <c r="F386" s="107"/>
      <c r="G386" s="23">
        <f>(G363-A365)/360</f>
        <v>0.5083333333333333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>
      <c r="A387" s="107" t="s">
        <v>69</v>
      </c>
      <c r="B387" s="107"/>
      <c r="C387" s="107"/>
      <c r="D387" s="107"/>
      <c r="E387" s="107"/>
      <c r="F387" s="107"/>
      <c r="G387" s="23"/>
      <c r="H387" s="24"/>
      <c r="I387" s="23"/>
      <c r="J387" s="25"/>
      <c r="K387" s="26"/>
      <c r="L387" s="26"/>
    </row>
    <row r="388" spans="1:12">
      <c r="A388" s="106" t="s">
        <v>70</v>
      </c>
      <c r="B388" s="106"/>
      <c r="C388" s="106"/>
      <c r="D388" s="106"/>
      <c r="E388" s="106"/>
      <c r="F388" s="106"/>
      <c r="G388" s="21"/>
      <c r="H388" s="22"/>
      <c r="I388" s="21">
        <f>SUM(I389:I391)</f>
        <v>600</v>
      </c>
      <c r="J388" s="21"/>
      <c r="K388" s="21"/>
      <c r="L388" s="21"/>
    </row>
    <row r="389" spans="1:12">
      <c r="A389" s="107" t="s">
        <v>71</v>
      </c>
      <c r="B389" s="107"/>
      <c r="C389" s="107"/>
      <c r="D389" s="107"/>
      <c r="E389" s="107"/>
      <c r="F389" s="107"/>
      <c r="G389" s="23"/>
      <c r="H389" s="24"/>
      <c r="I389" s="23">
        <v>600</v>
      </c>
      <c r="J389" s="25"/>
      <c r="K389" s="26"/>
      <c r="L389" s="26"/>
    </row>
    <row r="390" spans="1:12">
      <c r="A390" s="107" t="s">
        <v>72</v>
      </c>
      <c r="B390" s="107"/>
      <c r="C390" s="107"/>
      <c r="D390" s="107"/>
      <c r="E390" s="107"/>
      <c r="F390" s="107"/>
      <c r="G390" s="23"/>
      <c r="H390" s="31">
        <v>0</v>
      </c>
      <c r="I390" s="23"/>
      <c r="J390" s="25"/>
      <c r="K390" s="26"/>
      <c r="L390" s="26"/>
    </row>
    <row r="391" spans="1:12">
      <c r="A391" s="107" t="s">
        <v>73</v>
      </c>
      <c r="B391" s="107"/>
      <c r="C391" s="107"/>
      <c r="D391" s="107"/>
      <c r="E391" s="107"/>
      <c r="F391" s="107"/>
      <c r="G391" s="23"/>
      <c r="H391" s="24"/>
      <c r="I391" s="23"/>
      <c r="J391" s="25"/>
      <c r="K391" s="26"/>
      <c r="L391" s="26"/>
    </row>
    <row r="392" spans="1:12">
      <c r="A392" s="111" t="s">
        <v>74</v>
      </c>
      <c r="B392" s="111"/>
      <c r="C392" s="111"/>
      <c r="D392" s="111"/>
      <c r="E392" s="111"/>
      <c r="F392" s="111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>
      <c r="A393" s="111" t="s">
        <v>75</v>
      </c>
      <c r="B393" s="111"/>
      <c r="C393" s="111"/>
      <c r="D393" s="111"/>
      <c r="E393" s="111"/>
      <c r="F393" s="111"/>
      <c r="G393" s="32"/>
      <c r="H393" s="33"/>
      <c r="I393" s="32">
        <f>I392-I388</f>
        <v>3665.6000000000004</v>
      </c>
      <c r="J393" s="33"/>
      <c r="K393" s="33"/>
      <c r="L393" s="33"/>
    </row>
    <row r="394" spans="1:12">
      <c r="A394" s="107" t="s">
        <v>76</v>
      </c>
      <c r="B394" s="107"/>
      <c r="C394" s="107"/>
      <c r="D394" s="107"/>
      <c r="E394" s="107"/>
      <c r="F394" s="107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>
      <c r="A395" s="107" t="s">
        <v>77</v>
      </c>
      <c r="B395" s="107"/>
      <c r="C395" s="107"/>
      <c r="D395" s="107"/>
      <c r="E395" s="107"/>
      <c r="F395" s="107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>
      <c r="A396" s="107" t="s">
        <v>78</v>
      </c>
      <c r="B396" s="107"/>
      <c r="C396" s="107"/>
      <c r="D396" s="107"/>
      <c r="E396" s="107"/>
      <c r="F396" s="107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>
      <c r="A397" s="107" t="s">
        <v>79</v>
      </c>
      <c r="B397" s="107"/>
      <c r="C397" s="107"/>
      <c r="D397" s="107"/>
      <c r="E397" s="107"/>
      <c r="F397" s="107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>
      <c r="A398" s="107" t="s">
        <v>80</v>
      </c>
      <c r="B398" s="107"/>
      <c r="C398" s="107"/>
      <c r="D398" s="107"/>
      <c r="E398" s="107"/>
      <c r="F398" s="107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>
      <c r="A399" s="107" t="s">
        <v>81</v>
      </c>
      <c r="B399" s="107"/>
      <c r="C399" s="107"/>
      <c r="D399" s="107"/>
      <c r="E399" s="107"/>
      <c r="F399" s="107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>
      <c r="A400" s="107" t="s">
        <v>24</v>
      </c>
      <c r="B400" s="107"/>
      <c r="C400" s="107"/>
      <c r="D400" s="107"/>
      <c r="E400" s="107"/>
      <c r="F400" s="107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>
      <c r="A401" s="110" t="s">
        <v>82</v>
      </c>
      <c r="B401" s="110"/>
      <c r="C401" s="110"/>
      <c r="D401" s="110"/>
      <c r="E401" s="110"/>
      <c r="F401" s="110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>
      <c r="A402" s="110" t="s">
        <v>83</v>
      </c>
      <c r="B402" s="110"/>
      <c r="C402" s="110"/>
      <c r="D402" s="110"/>
      <c r="E402" s="110"/>
      <c r="F402" s="110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>
      <c r="A403" s="106" t="s">
        <v>84</v>
      </c>
      <c r="B403" s="106"/>
      <c r="C403" s="106"/>
      <c r="D403" s="106"/>
      <c r="E403" s="106"/>
      <c r="F403" s="106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>
      <c r="A404" s="107" t="s">
        <v>85</v>
      </c>
      <c r="B404" s="107"/>
      <c r="C404" s="107"/>
      <c r="D404" s="107"/>
      <c r="E404" s="107"/>
      <c r="F404" s="107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>
      <c r="A405" s="111" t="s">
        <v>86</v>
      </c>
      <c r="B405" s="111"/>
      <c r="C405" s="111"/>
      <c r="D405" s="111"/>
      <c r="E405" s="111"/>
      <c r="F405" s="111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>
      <c r="A406" s="107" t="s">
        <v>87</v>
      </c>
      <c r="B406" s="107"/>
      <c r="C406" s="107"/>
      <c r="D406" s="107"/>
      <c r="E406" s="107"/>
      <c r="F406" s="107"/>
      <c r="G406" s="23"/>
      <c r="H406" s="34"/>
      <c r="I406" s="23">
        <f>H406*180/360</f>
        <v>0</v>
      </c>
      <c r="J406" s="23"/>
      <c r="K406" s="46"/>
      <c r="L406" s="47"/>
    </row>
    <row r="407" spans="1:12">
      <c r="A407" s="111" t="s">
        <v>115</v>
      </c>
      <c r="B407" s="111"/>
      <c r="C407" s="111"/>
      <c r="D407" s="111"/>
      <c r="E407" s="111"/>
      <c r="F407" s="111"/>
      <c r="G407" s="32"/>
      <c r="H407" s="33"/>
      <c r="I407" s="32">
        <f>I405-I406</f>
        <v>2685.4185600000001</v>
      </c>
      <c r="J407" s="33"/>
      <c r="K407" s="33"/>
      <c r="L407" s="33"/>
    </row>
    <row r="408" spans="1:12">
      <c r="A408" s="107" t="s">
        <v>89</v>
      </c>
      <c r="B408" s="107"/>
      <c r="C408" s="107"/>
      <c r="D408" s="107"/>
      <c r="E408" s="107"/>
      <c r="F408" s="107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>
      <c r="A409" s="107" t="s">
        <v>90</v>
      </c>
      <c r="B409" s="107"/>
      <c r="C409" s="107"/>
      <c r="D409" s="107"/>
      <c r="E409" s="107"/>
      <c r="F409" s="107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>
      <c r="A410" s="106" t="s">
        <v>91</v>
      </c>
      <c r="B410" s="106"/>
      <c r="C410" s="106"/>
      <c r="D410" s="106"/>
      <c r="E410" s="106"/>
      <c r="F410" s="106"/>
      <c r="G410" s="21"/>
      <c r="H410" s="22"/>
      <c r="I410" s="21"/>
      <c r="J410" s="21">
        <f>J408-J409</f>
        <v>18.541855999999996</v>
      </c>
      <c r="K410" s="21"/>
      <c r="L410" s="21"/>
    </row>
    <row r="411" spans="1:12">
      <c r="A411" s="112" t="s">
        <v>92</v>
      </c>
      <c r="B411" s="112"/>
      <c r="C411" s="112"/>
      <c r="D411" s="112"/>
      <c r="E411" s="112"/>
      <c r="F411" s="112"/>
      <c r="G411" s="25"/>
      <c r="H411" s="48"/>
      <c r="I411" s="47"/>
      <c r="J411" s="49">
        <v>0</v>
      </c>
      <c r="K411" s="46"/>
      <c r="L411" s="47"/>
    </row>
    <row r="412" spans="1:12">
      <c r="A412" s="107" t="s">
        <v>93</v>
      </c>
      <c r="B412" s="107"/>
      <c r="C412" s="107"/>
      <c r="D412" s="107"/>
      <c r="E412" s="107"/>
      <c r="F412" s="107"/>
      <c r="G412" s="25"/>
      <c r="H412" s="48"/>
      <c r="I412" s="44"/>
      <c r="J412" s="28">
        <v>0</v>
      </c>
      <c r="K412" s="46"/>
      <c r="L412" s="47"/>
    </row>
    <row r="413" spans="1:12">
      <c r="A413" s="113" t="s">
        <v>94</v>
      </c>
      <c r="B413" s="113"/>
      <c r="C413" s="113"/>
      <c r="D413" s="113"/>
      <c r="E413" s="113"/>
      <c r="F413" s="113"/>
      <c r="G413" s="41"/>
      <c r="H413" s="42"/>
      <c r="I413" s="28"/>
      <c r="J413" s="41"/>
      <c r="K413" s="43"/>
      <c r="L413" s="44"/>
    </row>
    <row r="414" spans="1:1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>
      <c r="A415" s="14" t="s">
        <v>95</v>
      </c>
      <c r="B415" s="14" t="s">
        <v>96</v>
      </c>
      <c r="C415" s="14" t="s">
        <v>97</v>
      </c>
      <c r="D415" s="104" t="s">
        <v>98</v>
      </c>
      <c r="E415" s="104"/>
      <c r="F415" s="104"/>
      <c r="G415" s="14" t="s">
        <v>99</v>
      </c>
      <c r="H415" s="50"/>
      <c r="I415" s="52">
        <f>I392+I413</f>
        <v>4265.6000000000004</v>
      </c>
      <c r="J415" s="52">
        <f>J403+J410+J411+J412</f>
        <v>265.60329600000006</v>
      </c>
      <c r="K415" s="14" t="s">
        <v>100</v>
      </c>
      <c r="L415" s="52">
        <f>L403</f>
        <v>846.38704000000007</v>
      </c>
    </row>
    <row r="416" spans="1:12">
      <c r="A416" s="52">
        <f>38390.4+I392</f>
        <v>42656</v>
      </c>
      <c r="B416" s="52">
        <f>32990.4+I393</f>
        <v>36656</v>
      </c>
      <c r="C416" s="52">
        <f>1477.98+J394</f>
        <v>1642.1988800000001</v>
      </c>
      <c r="D416" s="114">
        <f>166.87+J410</f>
        <v>185.411856</v>
      </c>
      <c r="E416" s="114"/>
      <c r="F416" s="114"/>
      <c r="G416" s="52">
        <f>36000+I415</f>
        <v>40265.599999999999</v>
      </c>
      <c r="H416" s="104" t="s">
        <v>101</v>
      </c>
      <c r="I416" s="104"/>
      <c r="J416" s="52">
        <f>I415-J415</f>
        <v>3999.9967040000001</v>
      </c>
      <c r="K416" s="14" t="s">
        <v>102</v>
      </c>
      <c r="L416" s="52">
        <f>8246.37+L415</f>
        <v>9092.7570400000004</v>
      </c>
    </row>
    <row r="417" spans="1:1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17"/>
  <sheetViews>
    <sheetView workbookViewId="0">
      <selection activeCell="J284" sqref="J284"/>
    </sheetView>
  </sheetViews>
  <sheetFormatPr baseColWidth="10" defaultRowHeight="15"/>
  <sheetData>
    <row r="1" spans="1:12">
      <c r="A1" s="105" t="s">
        <v>26</v>
      </c>
      <c r="B1" s="105"/>
      <c r="C1" s="105" t="s">
        <v>27</v>
      </c>
      <c r="D1" s="105"/>
      <c r="E1" s="105"/>
      <c r="F1" s="105"/>
      <c r="G1" s="105" t="s">
        <v>28</v>
      </c>
      <c r="H1" s="105"/>
      <c r="I1" s="105"/>
      <c r="J1" s="105" t="s">
        <v>29</v>
      </c>
      <c r="K1" s="105"/>
      <c r="L1" s="105"/>
    </row>
    <row r="2" spans="1:12">
      <c r="A2" s="14" t="s">
        <v>30</v>
      </c>
      <c r="B2" s="104" t="s">
        <v>31</v>
      </c>
      <c r="C2" s="104"/>
      <c r="D2" s="104"/>
      <c r="E2" s="104"/>
      <c r="F2" s="104"/>
      <c r="G2" s="104" t="s">
        <v>32</v>
      </c>
      <c r="H2" s="104"/>
      <c r="I2" s="104"/>
      <c r="J2" s="104"/>
      <c r="K2" s="104"/>
      <c r="L2" s="104"/>
    </row>
    <row r="3" spans="1:12">
      <c r="A3" s="16">
        <v>1</v>
      </c>
      <c r="B3" s="102" t="s">
        <v>33</v>
      </c>
      <c r="C3" s="102"/>
      <c r="D3" s="102"/>
      <c r="E3" s="102"/>
      <c r="F3" s="102"/>
      <c r="G3" s="103">
        <v>42491</v>
      </c>
      <c r="H3" s="103"/>
      <c r="I3" s="103"/>
      <c r="J3" s="103">
        <v>42521</v>
      </c>
      <c r="K3" s="103"/>
      <c r="L3" s="103"/>
    </row>
    <row r="4" spans="1:12">
      <c r="A4" s="14" t="s">
        <v>34</v>
      </c>
      <c r="B4" s="14" t="s">
        <v>35</v>
      </c>
      <c r="C4" s="14" t="s">
        <v>36</v>
      </c>
      <c r="D4" s="14" t="s">
        <v>37</v>
      </c>
      <c r="E4" s="14" t="s">
        <v>38</v>
      </c>
      <c r="F4" s="14" t="s">
        <v>39</v>
      </c>
      <c r="G4" s="104" t="s">
        <v>40</v>
      </c>
      <c r="H4" s="104"/>
      <c r="I4" s="104"/>
      <c r="J4" s="104"/>
      <c r="K4" s="104"/>
      <c r="L4" s="104"/>
    </row>
    <row r="5" spans="1:12">
      <c r="A5" s="17">
        <v>41501</v>
      </c>
      <c r="B5" s="16"/>
      <c r="C5" s="17">
        <v>24624</v>
      </c>
      <c r="D5" s="16" t="s">
        <v>41</v>
      </c>
      <c r="E5" s="16">
        <v>0</v>
      </c>
      <c r="F5" s="16">
        <v>0</v>
      </c>
      <c r="G5" s="102"/>
      <c r="H5" s="102"/>
      <c r="I5" s="102"/>
      <c r="J5" s="102"/>
      <c r="K5" s="102"/>
      <c r="L5" s="102"/>
    </row>
    <row r="6" spans="1:12">
      <c r="A6" s="14" t="s">
        <v>42</v>
      </c>
      <c r="B6" s="14" t="s">
        <v>43</v>
      </c>
      <c r="C6" s="14" t="s">
        <v>44</v>
      </c>
      <c r="D6" s="104" t="s">
        <v>45</v>
      </c>
      <c r="E6" s="104"/>
      <c r="F6" s="104"/>
      <c r="G6" s="104" t="s">
        <v>46</v>
      </c>
      <c r="H6" s="104"/>
      <c r="I6" s="104"/>
      <c r="J6" s="104"/>
      <c r="K6" s="104"/>
      <c r="L6" s="104"/>
    </row>
    <row r="7" spans="1:12">
      <c r="A7" s="16">
        <v>189838836</v>
      </c>
      <c r="B7" s="16"/>
      <c r="C7" s="16"/>
      <c r="D7" s="102" t="s">
        <v>47</v>
      </c>
      <c r="E7" s="102"/>
      <c r="F7" s="102"/>
      <c r="G7" s="102" t="s">
        <v>48</v>
      </c>
      <c r="H7" s="102"/>
      <c r="I7" s="102"/>
      <c r="J7" s="102"/>
      <c r="K7" s="102"/>
      <c r="L7" s="102"/>
    </row>
    <row r="8" spans="1:1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108" t="s">
        <v>49</v>
      </c>
      <c r="B11" s="108"/>
      <c r="C11" s="108"/>
      <c r="D11" s="108"/>
      <c r="E11" s="108"/>
      <c r="F11" s="108"/>
      <c r="G11" s="108" t="s">
        <v>50</v>
      </c>
      <c r="H11" s="108" t="s">
        <v>51</v>
      </c>
      <c r="I11" s="108" t="s">
        <v>52</v>
      </c>
      <c r="J11" s="108"/>
      <c r="K11" s="108" t="s">
        <v>53</v>
      </c>
      <c r="L11" s="108"/>
    </row>
    <row r="12" spans="1:12">
      <c r="A12" s="108"/>
      <c r="B12" s="108"/>
      <c r="C12" s="108"/>
      <c r="D12" s="108"/>
      <c r="E12" s="108"/>
      <c r="F12" s="108"/>
      <c r="G12" s="108"/>
      <c r="H12" s="108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>
      <c r="A13" s="106" t="s">
        <v>58</v>
      </c>
      <c r="B13" s="106"/>
      <c r="C13" s="106"/>
      <c r="D13" s="106"/>
      <c r="E13" s="106"/>
      <c r="F13" s="106"/>
      <c r="G13" s="21">
        <v>12255.93</v>
      </c>
      <c r="H13" s="22"/>
      <c r="I13" s="21"/>
      <c r="J13" s="21"/>
      <c r="K13" s="21"/>
      <c r="L13" s="21"/>
    </row>
    <row r="14" spans="1:12">
      <c r="A14" s="106" t="s">
        <v>59</v>
      </c>
      <c r="B14" s="106"/>
      <c r="C14" s="106"/>
      <c r="D14" s="106"/>
      <c r="E14" s="106"/>
      <c r="F14" s="106"/>
      <c r="G14" s="21"/>
      <c r="H14" s="21"/>
      <c r="I14" s="21">
        <f>IF(I15+I16-J17-J18+I19+I22+I23+I24+I20&lt;G13,I15+I16-J17-J18+I19+I22+I23+I24+I20,G13)</f>
        <v>11313.166153846154</v>
      </c>
      <c r="J14" s="21"/>
      <c r="K14" s="21"/>
      <c r="L14" s="21"/>
    </row>
    <row r="15" spans="1:12">
      <c r="A15" s="107" t="s">
        <v>60</v>
      </c>
      <c r="B15" s="107"/>
      <c r="C15" s="107"/>
      <c r="D15" s="107"/>
      <c r="E15" s="107"/>
      <c r="F15" s="107"/>
      <c r="G15" s="23"/>
      <c r="H15" s="24">
        <v>19.5</v>
      </c>
      <c r="I15" s="23">
        <f>G13/26*H15</f>
        <v>9191.9475000000002</v>
      </c>
      <c r="J15" s="25"/>
      <c r="K15" s="26"/>
      <c r="L15" s="26"/>
    </row>
    <row r="16" spans="1:12">
      <c r="A16" s="107" t="s">
        <v>61</v>
      </c>
      <c r="B16" s="107"/>
      <c r="C16" s="107"/>
      <c r="D16" s="107"/>
      <c r="E16" s="107"/>
      <c r="F16" s="107"/>
      <c r="G16" s="23"/>
      <c r="H16" s="24">
        <v>4.5</v>
      </c>
      <c r="I16" s="23">
        <f>G13/26*H16</f>
        <v>2121.2186538461538</v>
      </c>
      <c r="J16" s="25"/>
      <c r="K16" s="26"/>
      <c r="L16" s="26"/>
    </row>
    <row r="17" spans="1:12">
      <c r="A17" s="107" t="s">
        <v>62</v>
      </c>
      <c r="B17" s="107"/>
      <c r="C17" s="107"/>
      <c r="D17" s="107"/>
      <c r="E17" s="107"/>
      <c r="F17" s="107"/>
      <c r="G17" s="23"/>
      <c r="H17" s="24">
        <v>0</v>
      </c>
      <c r="I17" s="23"/>
      <c r="J17" s="27">
        <f>G13/26*H17</f>
        <v>0</v>
      </c>
      <c r="K17" s="26"/>
      <c r="L17" s="26"/>
    </row>
    <row r="18" spans="1:12">
      <c r="A18" s="107" t="s">
        <v>63</v>
      </c>
      <c r="B18" s="107"/>
      <c r="C18" s="107"/>
      <c r="D18" s="107"/>
      <c r="E18" s="107"/>
      <c r="F18" s="107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>
      <c r="A19" s="107" t="s">
        <v>64</v>
      </c>
      <c r="B19" s="107"/>
      <c r="C19" s="107"/>
      <c r="D19" s="107"/>
      <c r="E19" s="107"/>
      <c r="F19" s="107"/>
      <c r="G19" s="23"/>
      <c r="H19" s="24">
        <v>0</v>
      </c>
      <c r="I19" s="23">
        <f>G13/26*H19</f>
        <v>0</v>
      </c>
      <c r="J19" s="25"/>
      <c r="K19" s="26"/>
      <c r="L19" s="26"/>
    </row>
    <row r="20" spans="1:12">
      <c r="A20" s="107" t="s">
        <v>65</v>
      </c>
      <c r="B20" s="107"/>
      <c r="C20" s="107"/>
      <c r="D20" s="107"/>
      <c r="E20" s="107"/>
      <c r="F20" s="107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>
      <c r="A21" s="107" t="s">
        <v>66</v>
      </c>
      <c r="B21" s="107"/>
      <c r="C21" s="107"/>
      <c r="D21" s="107"/>
      <c r="E21" s="107"/>
      <c r="F21" s="107"/>
      <c r="G21" s="29"/>
      <c r="H21" s="30"/>
      <c r="I21" s="30"/>
      <c r="J21" s="25"/>
      <c r="K21" s="26"/>
      <c r="L21" s="26"/>
    </row>
    <row r="22" spans="1:12">
      <c r="A22" s="109">
        <v>0.25</v>
      </c>
      <c r="B22" s="109"/>
      <c r="C22" s="109"/>
      <c r="D22" s="109"/>
      <c r="E22" s="109"/>
      <c r="F22" s="109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>
      <c r="A23" s="109">
        <v>0.5</v>
      </c>
      <c r="B23" s="109"/>
      <c r="C23" s="109"/>
      <c r="D23" s="109"/>
      <c r="E23" s="109"/>
      <c r="F23" s="109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>
      <c r="A24" s="109">
        <v>1</v>
      </c>
      <c r="B24" s="109"/>
      <c r="C24" s="109"/>
      <c r="D24" s="109"/>
      <c r="E24" s="109"/>
      <c r="F24" s="109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>
      <c r="A25" s="106" t="s">
        <v>67</v>
      </c>
      <c r="B25" s="106"/>
      <c r="C25" s="106"/>
      <c r="D25" s="106"/>
      <c r="E25" s="106"/>
      <c r="F25" s="106"/>
      <c r="G25" s="21"/>
      <c r="H25" s="22"/>
      <c r="I25" s="21">
        <f>SUM(I26:I27)</f>
        <v>565.65830769230774</v>
      </c>
      <c r="J25" s="21"/>
      <c r="K25" s="21"/>
      <c r="L25" s="21"/>
    </row>
    <row r="26" spans="1:12">
      <c r="A26" s="107" t="s">
        <v>68</v>
      </c>
      <c r="B26" s="107"/>
      <c r="C26" s="107"/>
      <c r="D26" s="107"/>
      <c r="E26" s="107"/>
      <c r="F26" s="107"/>
      <c r="G26" s="23">
        <f>(G3-A5)/360</f>
        <v>2.75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565.65830769230774</v>
      </c>
      <c r="J26" s="25"/>
      <c r="K26" s="26"/>
      <c r="L26" s="26"/>
    </row>
    <row r="27" spans="1:12">
      <c r="A27" s="107" t="s">
        <v>69</v>
      </c>
      <c r="B27" s="107"/>
      <c r="C27" s="107"/>
      <c r="D27" s="107"/>
      <c r="E27" s="107"/>
      <c r="F27" s="107"/>
      <c r="G27" s="23"/>
      <c r="H27" s="24"/>
      <c r="I27" s="23"/>
      <c r="J27" s="25"/>
      <c r="K27" s="26"/>
      <c r="L27" s="26"/>
    </row>
    <row r="28" spans="1:12">
      <c r="A28" s="106" t="s">
        <v>70</v>
      </c>
      <c r="B28" s="106"/>
      <c r="C28" s="106"/>
      <c r="D28" s="106"/>
      <c r="E28" s="106"/>
      <c r="F28" s="106"/>
      <c r="G28" s="21"/>
      <c r="H28" s="22"/>
      <c r="I28" s="21">
        <f>SUM(I29:I31)</f>
        <v>5000</v>
      </c>
      <c r="J28" s="21"/>
      <c r="K28" s="21"/>
      <c r="L28" s="21"/>
    </row>
    <row r="29" spans="1:12">
      <c r="A29" s="107" t="s">
        <v>71</v>
      </c>
      <c r="B29" s="107"/>
      <c r="C29" s="107"/>
      <c r="D29" s="107"/>
      <c r="E29" s="107"/>
      <c r="F29" s="107"/>
      <c r="G29" s="23"/>
      <c r="H29" s="24"/>
      <c r="I29" s="23">
        <v>2500</v>
      </c>
      <c r="J29" s="25"/>
      <c r="K29" s="26"/>
      <c r="L29" s="26"/>
    </row>
    <row r="30" spans="1:12">
      <c r="A30" s="107" t="s">
        <v>72</v>
      </c>
      <c r="B30" s="107"/>
      <c r="C30" s="107"/>
      <c r="D30" s="107"/>
      <c r="E30" s="107"/>
      <c r="F30" s="107"/>
      <c r="G30" s="23"/>
      <c r="H30" s="31">
        <v>0</v>
      </c>
      <c r="I30" s="23">
        <v>2500</v>
      </c>
      <c r="J30" s="25"/>
      <c r="K30" s="26"/>
      <c r="L30" s="26"/>
    </row>
    <row r="31" spans="1:12">
      <c r="A31" s="107" t="s">
        <v>73</v>
      </c>
      <c r="B31" s="107"/>
      <c r="C31" s="107"/>
      <c r="D31" s="107"/>
      <c r="E31" s="107"/>
      <c r="F31" s="107"/>
      <c r="G31" s="23"/>
      <c r="H31" s="24"/>
      <c r="I31" s="23"/>
      <c r="J31" s="25"/>
      <c r="K31" s="26"/>
      <c r="L31" s="26"/>
    </row>
    <row r="32" spans="1:12">
      <c r="A32" s="111" t="s">
        <v>74</v>
      </c>
      <c r="B32" s="111"/>
      <c r="C32" s="111"/>
      <c r="D32" s="111"/>
      <c r="E32" s="111"/>
      <c r="F32" s="111"/>
      <c r="G32" s="32"/>
      <c r="H32" s="33"/>
      <c r="I32" s="32">
        <f>I14+I25+I28</f>
        <v>16878.824461538461</v>
      </c>
      <c r="J32" s="33"/>
      <c r="K32" s="33"/>
      <c r="L32" s="33"/>
    </row>
    <row r="33" spans="1:12">
      <c r="A33" s="111" t="s">
        <v>75</v>
      </c>
      <c r="B33" s="111"/>
      <c r="C33" s="111"/>
      <c r="D33" s="111"/>
      <c r="E33" s="111"/>
      <c r="F33" s="111"/>
      <c r="G33" s="32"/>
      <c r="H33" s="33"/>
      <c r="I33" s="32">
        <f>I32-I28</f>
        <v>11878.824461538461</v>
      </c>
      <c r="J33" s="33"/>
      <c r="K33" s="33"/>
      <c r="L33" s="33"/>
    </row>
    <row r="34" spans="1:12">
      <c r="A34" s="107" t="s">
        <v>76</v>
      </c>
      <c r="B34" s="107"/>
      <c r="C34" s="107"/>
      <c r="D34" s="107"/>
      <c r="E34" s="107"/>
      <c r="F34" s="107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>
      <c r="A35" s="107" t="s">
        <v>77</v>
      </c>
      <c r="B35" s="107"/>
      <c r="C35" s="107"/>
      <c r="D35" s="107"/>
      <c r="E35" s="107"/>
      <c r="F35" s="107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>
      <c r="A36" s="107" t="s">
        <v>78</v>
      </c>
      <c r="B36" s="107"/>
      <c r="C36" s="107"/>
      <c r="D36" s="107"/>
      <c r="E36" s="107"/>
      <c r="F36" s="107"/>
      <c r="G36" s="23"/>
      <c r="H36" s="34">
        <v>0.03</v>
      </c>
      <c r="I36" s="23"/>
      <c r="J36" s="23">
        <f>I33*H36</f>
        <v>356.3647338461538</v>
      </c>
      <c r="K36" s="35">
        <v>0.02</v>
      </c>
      <c r="L36" s="23">
        <f>I33*K36</f>
        <v>237.57648923076923</v>
      </c>
    </row>
    <row r="37" spans="1:12">
      <c r="A37" s="107" t="s">
        <v>79</v>
      </c>
      <c r="B37" s="107"/>
      <c r="C37" s="107"/>
      <c r="D37" s="107"/>
      <c r="E37" s="107"/>
      <c r="F37" s="107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>
      <c r="A38" s="107" t="s">
        <v>80</v>
      </c>
      <c r="B38" s="107"/>
      <c r="C38" s="107"/>
      <c r="D38" s="107"/>
      <c r="E38" s="107"/>
      <c r="F38" s="107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>
      <c r="A39" s="107" t="s">
        <v>81</v>
      </c>
      <c r="B39" s="107"/>
      <c r="C39" s="107"/>
      <c r="D39" s="107"/>
      <c r="E39" s="107"/>
      <c r="F39" s="107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>
      <c r="A40" s="107" t="s">
        <v>24</v>
      </c>
      <c r="B40" s="107"/>
      <c r="C40" s="107"/>
      <c r="D40" s="107"/>
      <c r="E40" s="107"/>
      <c r="F40" s="107"/>
      <c r="G40" s="23"/>
      <c r="H40" s="34" t="str">
        <f>[1]Taux!D$7</f>
        <v>2,26%</v>
      </c>
      <c r="I40" s="23"/>
      <c r="J40" s="23">
        <f>I33*H40</f>
        <v>268.46143283076918</v>
      </c>
      <c r="K40" s="34" t="str">
        <f>[1]Taux!C$7</f>
        <v>4,11%</v>
      </c>
      <c r="L40" s="23">
        <f>I33*K40</f>
        <v>488.21968536923072</v>
      </c>
    </row>
    <row r="41" spans="1:12">
      <c r="A41" s="110" t="s">
        <v>82</v>
      </c>
      <c r="B41" s="110"/>
      <c r="C41" s="110"/>
      <c r="D41" s="110"/>
      <c r="E41" s="110"/>
      <c r="F41" s="110"/>
      <c r="G41" s="37"/>
      <c r="H41" s="38"/>
      <c r="I41" s="39"/>
      <c r="J41" s="40"/>
      <c r="K41" s="34" t="str">
        <f>[1]Taux!C$4</f>
        <v>6,40%</v>
      </c>
      <c r="L41" s="23">
        <f>I33*K41</f>
        <v>760.24476553846148</v>
      </c>
    </row>
    <row r="42" spans="1:12">
      <c r="A42" s="110" t="s">
        <v>83</v>
      </c>
      <c r="B42" s="110"/>
      <c r="C42" s="110"/>
      <c r="D42" s="110"/>
      <c r="E42" s="110"/>
      <c r="F42" s="110"/>
      <c r="G42" s="41"/>
      <c r="H42" s="42"/>
      <c r="I42" s="43"/>
      <c r="J42" s="44"/>
      <c r="K42" s="34" t="str">
        <f>[1]Taux!C$8</f>
        <v>1,6 %</v>
      </c>
      <c r="L42" s="23">
        <f>I33*K42</f>
        <v>190.06119138461537</v>
      </c>
    </row>
    <row r="43" spans="1:12">
      <c r="A43" s="106" t="s">
        <v>84</v>
      </c>
      <c r="B43" s="106"/>
      <c r="C43" s="106"/>
      <c r="D43" s="106"/>
      <c r="E43" s="106"/>
      <c r="F43" s="106"/>
      <c r="G43" s="21"/>
      <c r="H43" s="22"/>
      <c r="I43" s="22"/>
      <c r="J43" s="21">
        <f>SUM(J34:J40)</f>
        <v>893.62616667692305</v>
      </c>
      <c r="K43" s="21"/>
      <c r="L43" s="21">
        <f>SUM(L34:L42)</f>
        <v>2214.9021315230766</v>
      </c>
    </row>
    <row r="44" spans="1:12">
      <c r="A44" s="107" t="s">
        <v>85</v>
      </c>
      <c r="B44" s="107"/>
      <c r="C44" s="107"/>
      <c r="D44" s="107"/>
      <c r="E44" s="107"/>
      <c r="F44" s="107"/>
      <c r="G44" s="23"/>
      <c r="H44" s="45">
        <v>0.2</v>
      </c>
      <c r="I44" s="23"/>
      <c r="J44" s="23">
        <f>IF(I33*H44&lt;2500,I33*H44,2500)</f>
        <v>2375.7648923076922</v>
      </c>
      <c r="K44" s="46"/>
      <c r="L44" s="47"/>
    </row>
    <row r="45" spans="1:12">
      <c r="A45" s="111" t="s">
        <v>86</v>
      </c>
      <c r="B45" s="111"/>
      <c r="C45" s="111"/>
      <c r="D45" s="111"/>
      <c r="E45" s="111"/>
      <c r="F45" s="111"/>
      <c r="G45" s="32"/>
      <c r="H45" s="33"/>
      <c r="I45" s="32">
        <f>I33-J43-J44</f>
        <v>8609.4334025538465</v>
      </c>
      <c r="J45" s="33"/>
      <c r="K45" s="33"/>
      <c r="L45" s="33"/>
    </row>
    <row r="46" spans="1:12">
      <c r="A46" s="107" t="s">
        <v>87</v>
      </c>
      <c r="B46" s="107"/>
      <c r="C46" s="107"/>
      <c r="D46" s="107"/>
      <c r="E46" s="107"/>
      <c r="F46" s="107"/>
      <c r="G46" s="23"/>
      <c r="H46" s="34"/>
      <c r="I46" s="23">
        <f>H46*180/360</f>
        <v>0</v>
      </c>
      <c r="J46" s="23"/>
      <c r="K46" s="46"/>
      <c r="L46" s="47"/>
    </row>
    <row r="47" spans="1:12">
      <c r="A47" s="111" t="s">
        <v>88</v>
      </c>
      <c r="B47" s="111"/>
      <c r="C47" s="111"/>
      <c r="D47" s="111"/>
      <c r="E47" s="111"/>
      <c r="F47" s="111"/>
      <c r="G47" s="32"/>
      <c r="H47" s="33"/>
      <c r="I47" s="32">
        <f>I45-I46</f>
        <v>8609.4334025538465</v>
      </c>
      <c r="J47" s="33"/>
      <c r="K47" s="33"/>
      <c r="L47" s="33"/>
    </row>
    <row r="48" spans="1:12">
      <c r="A48" s="107" t="s">
        <v>89</v>
      </c>
      <c r="B48" s="107"/>
      <c r="C48" s="107"/>
      <c r="D48" s="107"/>
      <c r="E48" s="107"/>
      <c r="F48" s="107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1493.8740235349749</v>
      </c>
      <c r="K48" s="46"/>
      <c r="L48" s="47"/>
    </row>
    <row r="49" spans="1:12">
      <c r="A49" s="107" t="s">
        <v>90</v>
      </c>
      <c r="B49" s="107"/>
      <c r="C49" s="107"/>
      <c r="D49" s="107"/>
      <c r="E49" s="107"/>
      <c r="F49" s="107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>
      <c r="A50" s="106" t="s">
        <v>91</v>
      </c>
      <c r="B50" s="106"/>
      <c r="C50" s="106"/>
      <c r="D50" s="106"/>
      <c r="E50" s="106"/>
      <c r="F50" s="106"/>
      <c r="G50" s="21"/>
      <c r="H50" s="22"/>
      <c r="I50" s="21"/>
      <c r="J50" s="21">
        <f>J48-J49</f>
        <v>1493.8740235349749</v>
      </c>
      <c r="K50" s="21"/>
      <c r="L50" s="21"/>
    </row>
    <row r="51" spans="1:12">
      <c r="A51" s="112" t="s">
        <v>92</v>
      </c>
      <c r="B51" s="112"/>
      <c r="C51" s="112"/>
      <c r="D51" s="112"/>
      <c r="E51" s="112"/>
      <c r="F51" s="112"/>
      <c r="G51" s="25"/>
      <c r="H51" s="48"/>
      <c r="I51" s="47"/>
      <c r="J51" s="49">
        <v>0</v>
      </c>
      <c r="K51" s="46"/>
      <c r="L51" s="47"/>
    </row>
    <row r="52" spans="1:12">
      <c r="A52" s="107" t="s">
        <v>93</v>
      </c>
      <c r="B52" s="107"/>
      <c r="C52" s="107"/>
      <c r="D52" s="107"/>
      <c r="E52" s="107"/>
      <c r="F52" s="107"/>
      <c r="G52" s="25"/>
      <c r="H52" s="48"/>
      <c r="I52" s="44"/>
      <c r="J52" s="28">
        <v>0</v>
      </c>
      <c r="K52" s="46"/>
      <c r="L52" s="47"/>
    </row>
    <row r="53" spans="1:12">
      <c r="A53" s="113" t="s">
        <v>94</v>
      </c>
      <c r="B53" s="113"/>
      <c r="C53" s="113"/>
      <c r="D53" s="113"/>
      <c r="E53" s="113"/>
      <c r="F53" s="113"/>
      <c r="G53" s="41"/>
      <c r="H53" s="42"/>
      <c r="I53" s="28">
        <f>1-0.32</f>
        <v>0.67999999999999994</v>
      </c>
      <c r="J53" s="41"/>
      <c r="K53" s="43"/>
      <c r="L53" s="44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14" t="s">
        <v>95</v>
      </c>
      <c r="B55" s="14" t="s">
        <v>96</v>
      </c>
      <c r="C55" s="14" t="s">
        <v>97</v>
      </c>
      <c r="D55" s="104" t="s">
        <v>98</v>
      </c>
      <c r="E55" s="104"/>
      <c r="F55" s="104"/>
      <c r="G55" s="14" t="s">
        <v>99</v>
      </c>
      <c r="H55" s="50"/>
      <c r="I55" s="52">
        <f>I32+I53</f>
        <v>16879.504461538461</v>
      </c>
      <c r="J55" s="52">
        <f>J43+J50+J51+J52</f>
        <v>2387.5001902118979</v>
      </c>
      <c r="K55" s="14" t="s">
        <v>100</v>
      </c>
      <c r="L55" s="52">
        <f>L43</f>
        <v>2214.9021315230766</v>
      </c>
    </row>
    <row r="56" spans="1:12">
      <c r="A56" s="52">
        <f>156411.11+I32</f>
        <v>173289.93446153845</v>
      </c>
      <c r="B56" s="52">
        <f>111411.11+I33</f>
        <v>123289.93446153846</v>
      </c>
      <c r="C56" s="52">
        <f>2419.2+J34</f>
        <v>2688</v>
      </c>
      <c r="D56" s="114">
        <f>14978.83+J50</f>
        <v>16472.704023534974</v>
      </c>
      <c r="E56" s="114"/>
      <c r="F56" s="114"/>
      <c r="G56" s="52">
        <f>133157+I55</f>
        <v>150036.50446153845</v>
      </c>
      <c r="H56" s="104" t="s">
        <v>101</v>
      </c>
      <c r="I56" s="104"/>
      <c r="J56" s="52">
        <f>I55-J55</f>
        <v>14492.004271326563</v>
      </c>
      <c r="K56" s="14" t="s">
        <v>102</v>
      </c>
      <c r="L56" s="52">
        <f>20499.47+L55</f>
        <v>22714.37213152308</v>
      </c>
    </row>
    <row r="57" spans="1:1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16706.90640284964</v>
      </c>
    </row>
    <row r="58" spans="1:1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>
      <c r="A61" s="105" t="s">
        <v>26</v>
      </c>
      <c r="B61" s="105"/>
      <c r="C61" s="105" t="s">
        <v>27</v>
      </c>
      <c r="D61" s="105"/>
      <c r="E61" s="105"/>
      <c r="F61" s="105"/>
      <c r="G61" s="105" t="s">
        <v>28</v>
      </c>
      <c r="H61" s="105"/>
      <c r="I61" s="105"/>
      <c r="J61" s="105" t="s">
        <v>29</v>
      </c>
      <c r="K61" s="105"/>
      <c r="L61" s="105"/>
    </row>
    <row r="62" spans="1:12">
      <c r="A62" s="14" t="s">
        <v>30</v>
      </c>
      <c r="B62" s="104" t="s">
        <v>31</v>
      </c>
      <c r="C62" s="104"/>
      <c r="D62" s="104"/>
      <c r="E62" s="104"/>
      <c r="F62" s="104"/>
      <c r="G62" s="104" t="s">
        <v>32</v>
      </c>
      <c r="H62" s="104"/>
      <c r="I62" s="104"/>
      <c r="J62" s="104"/>
      <c r="K62" s="104"/>
      <c r="L62" s="104"/>
    </row>
    <row r="63" spans="1:12">
      <c r="A63" s="16">
        <v>3</v>
      </c>
      <c r="B63" s="102" t="s">
        <v>104</v>
      </c>
      <c r="C63" s="102"/>
      <c r="D63" s="102"/>
      <c r="E63" s="102"/>
      <c r="F63" s="102"/>
      <c r="G63" s="103">
        <v>42491</v>
      </c>
      <c r="H63" s="103"/>
      <c r="I63" s="103"/>
      <c r="J63" s="103">
        <v>42521</v>
      </c>
      <c r="K63" s="103"/>
      <c r="L63" s="103"/>
    </row>
    <row r="64" spans="1:12">
      <c r="A64" s="14" t="s">
        <v>34</v>
      </c>
      <c r="B64" s="14" t="s">
        <v>35</v>
      </c>
      <c r="C64" s="14" t="s">
        <v>36</v>
      </c>
      <c r="D64" s="14" t="s">
        <v>37</v>
      </c>
      <c r="E64" s="14" t="s">
        <v>38</v>
      </c>
      <c r="F64" s="14" t="s">
        <v>39</v>
      </c>
      <c r="G64" s="104" t="s">
        <v>40</v>
      </c>
      <c r="H64" s="104"/>
      <c r="I64" s="104"/>
      <c r="J64" s="104"/>
      <c r="K64" s="104"/>
      <c r="L64" s="104"/>
    </row>
    <row r="65" spans="1:12">
      <c r="A65" s="17">
        <v>41791</v>
      </c>
      <c r="B65" s="16"/>
      <c r="C65" s="17">
        <v>24557</v>
      </c>
      <c r="D65" s="16" t="s">
        <v>41</v>
      </c>
      <c r="E65" s="16">
        <v>0</v>
      </c>
      <c r="F65" s="16">
        <v>0</v>
      </c>
      <c r="G65" s="102"/>
      <c r="H65" s="102"/>
      <c r="I65" s="102"/>
      <c r="J65" s="102"/>
      <c r="K65" s="102"/>
      <c r="L65" s="102"/>
    </row>
    <row r="66" spans="1:12">
      <c r="A66" s="14" t="s">
        <v>42</v>
      </c>
      <c r="B66" s="14" t="s">
        <v>43</v>
      </c>
      <c r="C66" s="14" t="s">
        <v>44</v>
      </c>
      <c r="D66" s="104" t="s">
        <v>45</v>
      </c>
      <c r="E66" s="104"/>
      <c r="F66" s="104"/>
      <c r="G66" s="104" t="s">
        <v>46</v>
      </c>
      <c r="H66" s="104"/>
      <c r="I66" s="104"/>
      <c r="J66" s="104"/>
      <c r="K66" s="104"/>
      <c r="L66" s="104"/>
    </row>
    <row r="67" spans="1:12">
      <c r="A67" s="16">
        <v>141034737</v>
      </c>
      <c r="B67" s="16"/>
      <c r="C67" s="16"/>
      <c r="D67" s="102" t="s">
        <v>47</v>
      </c>
      <c r="E67" s="102"/>
      <c r="F67" s="102"/>
      <c r="G67" s="102" t="s">
        <v>105</v>
      </c>
      <c r="H67" s="102"/>
      <c r="I67" s="102"/>
      <c r="J67" s="102"/>
      <c r="K67" s="102"/>
      <c r="L67" s="102"/>
    </row>
    <row r="68" spans="1:1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>
      <c r="A71" s="108" t="s">
        <v>49</v>
      </c>
      <c r="B71" s="108"/>
      <c r="C71" s="108"/>
      <c r="D71" s="108"/>
      <c r="E71" s="108"/>
      <c r="F71" s="108"/>
      <c r="G71" s="108" t="s">
        <v>50</v>
      </c>
      <c r="H71" s="108" t="s">
        <v>51</v>
      </c>
      <c r="I71" s="108" t="s">
        <v>52</v>
      </c>
      <c r="J71" s="108"/>
      <c r="K71" s="108" t="s">
        <v>53</v>
      </c>
      <c r="L71" s="108"/>
    </row>
    <row r="72" spans="1:12">
      <c r="A72" s="108"/>
      <c r="B72" s="108"/>
      <c r="C72" s="108"/>
      <c r="D72" s="108"/>
      <c r="E72" s="108"/>
      <c r="F72" s="108"/>
      <c r="G72" s="108"/>
      <c r="H72" s="108"/>
      <c r="I72" s="20" t="s">
        <v>54</v>
      </c>
      <c r="J72" s="20" t="s">
        <v>55</v>
      </c>
      <c r="K72" s="20" t="s">
        <v>56</v>
      </c>
      <c r="L72" s="20" t="s">
        <v>57</v>
      </c>
    </row>
    <row r="73" spans="1:12">
      <c r="A73" s="106" t="s">
        <v>58</v>
      </c>
      <c r="B73" s="106"/>
      <c r="C73" s="106"/>
      <c r="D73" s="106"/>
      <c r="E73" s="106"/>
      <c r="F73" s="106"/>
      <c r="G73" s="21">
        <v>100000</v>
      </c>
      <c r="H73" s="22"/>
      <c r="I73" s="21"/>
      <c r="J73" s="21"/>
      <c r="K73" s="21"/>
      <c r="L73" s="21"/>
    </row>
    <row r="74" spans="1:12">
      <c r="A74" s="106" t="s">
        <v>59</v>
      </c>
      <c r="B74" s="106"/>
      <c r="C74" s="106"/>
      <c r="D74" s="106"/>
      <c r="E74" s="106"/>
      <c r="F74" s="106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>
      <c r="A75" s="107" t="s">
        <v>60</v>
      </c>
      <c r="B75" s="107"/>
      <c r="C75" s="107"/>
      <c r="D75" s="107"/>
      <c r="E75" s="107"/>
      <c r="F75" s="107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>
      <c r="A76" s="107" t="s">
        <v>61</v>
      </c>
      <c r="B76" s="107"/>
      <c r="C76" s="107"/>
      <c r="D76" s="107"/>
      <c r="E76" s="107"/>
      <c r="F76" s="107"/>
      <c r="G76" s="23"/>
      <c r="H76" s="24">
        <v>0</v>
      </c>
      <c r="I76" s="23">
        <f>G73/26*H76</f>
        <v>0</v>
      </c>
      <c r="J76" s="25"/>
      <c r="K76" s="26"/>
      <c r="L76" s="26"/>
    </row>
    <row r="77" spans="1:12">
      <c r="A77" s="107" t="s">
        <v>62</v>
      </c>
      <c r="B77" s="107"/>
      <c r="C77" s="107"/>
      <c r="D77" s="107"/>
      <c r="E77" s="107"/>
      <c r="F77" s="107"/>
      <c r="G77" s="23"/>
      <c r="H77" s="24">
        <v>0</v>
      </c>
      <c r="I77" s="23"/>
      <c r="J77" s="27">
        <f>G73/26*H77</f>
        <v>0</v>
      </c>
      <c r="K77" s="26"/>
      <c r="L77" s="26"/>
    </row>
    <row r="78" spans="1:12">
      <c r="A78" s="107" t="s">
        <v>63</v>
      </c>
      <c r="B78" s="107"/>
      <c r="C78" s="107"/>
      <c r="D78" s="107"/>
      <c r="E78" s="107"/>
      <c r="F78" s="107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>
      <c r="A79" s="107" t="s">
        <v>64</v>
      </c>
      <c r="B79" s="107"/>
      <c r="C79" s="107"/>
      <c r="D79" s="107"/>
      <c r="E79" s="107"/>
      <c r="F79" s="107"/>
      <c r="G79" s="23"/>
      <c r="H79" s="24">
        <v>0</v>
      </c>
      <c r="I79" s="23">
        <f>G73/26*H79</f>
        <v>0</v>
      </c>
      <c r="J79" s="25"/>
      <c r="K79" s="26"/>
      <c r="L79" s="26"/>
    </row>
    <row r="80" spans="1:12">
      <c r="A80" s="107" t="s">
        <v>65</v>
      </c>
      <c r="B80" s="107"/>
      <c r="C80" s="107"/>
      <c r="D80" s="107"/>
      <c r="E80" s="107"/>
      <c r="F80" s="107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>
      <c r="A81" s="107" t="s">
        <v>66</v>
      </c>
      <c r="B81" s="107"/>
      <c r="C81" s="107"/>
      <c r="D81" s="107"/>
      <c r="E81" s="107"/>
      <c r="F81" s="107"/>
      <c r="G81" s="29"/>
      <c r="H81" s="30"/>
      <c r="I81" s="30"/>
      <c r="J81" s="25"/>
      <c r="K81" s="26"/>
      <c r="L81" s="26"/>
    </row>
    <row r="82" spans="1:12">
      <c r="A82" s="109">
        <v>0.25</v>
      </c>
      <c r="B82" s="109"/>
      <c r="C82" s="109"/>
      <c r="D82" s="109"/>
      <c r="E82" s="109"/>
      <c r="F82" s="109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>
      <c r="A83" s="109">
        <v>0.5</v>
      </c>
      <c r="B83" s="109"/>
      <c r="C83" s="109"/>
      <c r="D83" s="109"/>
      <c r="E83" s="109"/>
      <c r="F83" s="109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>
      <c r="A84" s="109">
        <v>1</v>
      </c>
      <c r="B84" s="109"/>
      <c r="C84" s="109"/>
      <c r="D84" s="109"/>
      <c r="E84" s="109"/>
      <c r="F84" s="109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>
      <c r="A85" s="106" t="s">
        <v>67</v>
      </c>
      <c r="B85" s="106"/>
      <c r="C85" s="106"/>
      <c r="D85" s="106"/>
      <c r="E85" s="106"/>
      <c r="F85" s="106"/>
      <c r="G85" s="21"/>
      <c r="H85" s="22"/>
      <c r="I85" s="21">
        <f>SUM(I86:I87)</f>
        <v>0</v>
      </c>
      <c r="J85" s="21"/>
      <c r="K85" s="21"/>
      <c r="L85" s="21"/>
    </row>
    <row r="86" spans="1:12">
      <c r="A86" s="107" t="s">
        <v>68</v>
      </c>
      <c r="B86" s="107"/>
      <c r="C86" s="107"/>
      <c r="D86" s="107"/>
      <c r="E86" s="107"/>
      <c r="F86" s="107"/>
      <c r="G86" s="23">
        <f>(G63-A65)/360</f>
        <v>1.9444444444444444</v>
      </c>
      <c r="H86" s="31">
        <v>0</v>
      </c>
      <c r="I86" s="23">
        <f>I74*H86</f>
        <v>0</v>
      </c>
      <c r="J86" s="25"/>
      <c r="K86" s="26"/>
      <c r="L86" s="26"/>
    </row>
    <row r="87" spans="1:12">
      <c r="A87" s="107" t="s">
        <v>69</v>
      </c>
      <c r="B87" s="107"/>
      <c r="C87" s="107"/>
      <c r="D87" s="107"/>
      <c r="E87" s="107"/>
      <c r="F87" s="107"/>
      <c r="G87" s="23"/>
      <c r="H87" s="24"/>
      <c r="I87" s="23"/>
      <c r="J87" s="25"/>
      <c r="K87" s="26"/>
      <c r="L87" s="26"/>
    </row>
    <row r="88" spans="1:12">
      <c r="A88" s="106" t="s">
        <v>70</v>
      </c>
      <c r="B88" s="106"/>
      <c r="C88" s="106"/>
      <c r="D88" s="106"/>
      <c r="E88" s="106"/>
      <c r="F88" s="106"/>
      <c r="G88" s="21"/>
      <c r="H88" s="22"/>
      <c r="I88" s="21">
        <f>SUM(I89:I91)</f>
        <v>6000</v>
      </c>
      <c r="J88" s="21"/>
      <c r="K88" s="21"/>
      <c r="L88" s="21"/>
    </row>
    <row r="89" spans="1:12">
      <c r="A89" s="107" t="s">
        <v>71</v>
      </c>
      <c r="B89" s="107"/>
      <c r="C89" s="107"/>
      <c r="D89" s="107"/>
      <c r="E89" s="107"/>
      <c r="F89" s="107"/>
      <c r="G89" s="23"/>
      <c r="H89" s="24"/>
      <c r="I89" s="23">
        <v>3000</v>
      </c>
      <c r="J89" s="25"/>
      <c r="K89" s="26"/>
      <c r="L89" s="26"/>
    </row>
    <row r="90" spans="1:12">
      <c r="A90" s="107" t="s">
        <v>72</v>
      </c>
      <c r="B90" s="107"/>
      <c r="C90" s="107"/>
      <c r="D90" s="107"/>
      <c r="E90" s="107"/>
      <c r="F90" s="107"/>
      <c r="G90" s="23"/>
      <c r="H90" s="31"/>
      <c r="I90" s="23">
        <v>3000</v>
      </c>
      <c r="J90" s="25"/>
      <c r="K90" s="26"/>
      <c r="L90" s="26"/>
    </row>
    <row r="91" spans="1:12">
      <c r="A91" s="107" t="s">
        <v>73</v>
      </c>
      <c r="B91" s="107"/>
      <c r="C91" s="107"/>
      <c r="D91" s="107"/>
      <c r="E91" s="107"/>
      <c r="F91" s="107"/>
      <c r="G91" s="23"/>
      <c r="H91" s="24"/>
      <c r="I91" s="23"/>
      <c r="J91" s="25"/>
      <c r="K91" s="26"/>
      <c r="L91" s="26"/>
    </row>
    <row r="92" spans="1:12">
      <c r="A92" s="111" t="s">
        <v>74</v>
      </c>
      <c r="B92" s="111"/>
      <c r="C92" s="111"/>
      <c r="D92" s="111"/>
      <c r="E92" s="111"/>
      <c r="F92" s="111"/>
      <c r="G92" s="32"/>
      <c r="H92" s="33"/>
      <c r="I92" s="32">
        <f>I74+I85+I88</f>
        <v>106000</v>
      </c>
      <c r="J92" s="33"/>
      <c r="K92" s="33"/>
      <c r="L92" s="33"/>
    </row>
    <row r="93" spans="1:12">
      <c r="A93" s="111" t="s">
        <v>75</v>
      </c>
      <c r="B93" s="111"/>
      <c r="C93" s="111"/>
      <c r="D93" s="111"/>
      <c r="E93" s="111"/>
      <c r="F93" s="111"/>
      <c r="G93" s="32"/>
      <c r="H93" s="33"/>
      <c r="I93" s="32">
        <f>I92-I88</f>
        <v>100000</v>
      </c>
      <c r="J93" s="33"/>
      <c r="K93" s="33"/>
      <c r="L93" s="33"/>
    </row>
    <row r="94" spans="1:12">
      <c r="A94" s="107" t="s">
        <v>76</v>
      </c>
      <c r="B94" s="107"/>
      <c r="C94" s="107"/>
      <c r="D94" s="107"/>
      <c r="E94" s="107"/>
      <c r="F94" s="107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>
      <c r="A95" s="107" t="s">
        <v>77</v>
      </c>
      <c r="B95" s="107"/>
      <c r="C95" s="107"/>
      <c r="D95" s="107"/>
      <c r="E95" s="107"/>
      <c r="F95" s="107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>
      <c r="A96" s="107" t="s">
        <v>78</v>
      </c>
      <c r="B96" s="107"/>
      <c r="C96" s="107"/>
      <c r="D96" s="107"/>
      <c r="E96" s="107"/>
      <c r="F96" s="107"/>
      <c r="G96" s="23"/>
      <c r="H96" s="34">
        <v>0.25</v>
      </c>
      <c r="I96" s="23"/>
      <c r="J96" s="23">
        <f>H96*I93</f>
        <v>25000</v>
      </c>
      <c r="K96" s="35">
        <v>0.06</v>
      </c>
      <c r="L96" s="23">
        <f>I93*K96</f>
        <v>6000</v>
      </c>
    </row>
    <row r="97" spans="1:12">
      <c r="A97" s="107" t="s">
        <v>79</v>
      </c>
      <c r="B97" s="107"/>
      <c r="C97" s="107"/>
      <c r="D97" s="107"/>
      <c r="E97" s="107"/>
      <c r="F97" s="107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>
      <c r="A98" s="107" t="s">
        <v>80</v>
      </c>
      <c r="B98" s="107"/>
      <c r="C98" s="107"/>
      <c r="D98" s="107"/>
      <c r="E98" s="107"/>
      <c r="F98" s="107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>
      <c r="A99" s="107" t="s">
        <v>81</v>
      </c>
      <c r="B99" s="107"/>
      <c r="C99" s="107"/>
      <c r="D99" s="107"/>
      <c r="E99" s="107"/>
      <c r="F99" s="107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>
      <c r="A100" s="107" t="s">
        <v>24</v>
      </c>
      <c r="B100" s="107"/>
      <c r="C100" s="107"/>
      <c r="D100" s="107"/>
      <c r="E100" s="107"/>
      <c r="F100" s="107"/>
      <c r="G100" s="23"/>
      <c r="H100" s="34" t="str">
        <f>[1]Taux!D$7</f>
        <v>2,26%</v>
      </c>
      <c r="I100" s="23"/>
      <c r="J100" s="23">
        <f>H100*I93</f>
        <v>2260</v>
      </c>
      <c r="K100" s="34" t="str">
        <f>[1]Taux!C$7</f>
        <v>4,11%</v>
      </c>
      <c r="L100" s="23">
        <f>I93*K100</f>
        <v>4110</v>
      </c>
    </row>
    <row r="101" spans="1:12">
      <c r="A101" s="110" t="s">
        <v>82</v>
      </c>
      <c r="B101" s="110"/>
      <c r="C101" s="110"/>
      <c r="D101" s="110"/>
      <c r="E101" s="110"/>
      <c r="F101" s="110"/>
      <c r="G101" s="37"/>
      <c r="H101" s="38"/>
      <c r="I101" s="39"/>
      <c r="J101" s="40"/>
      <c r="K101" s="34" t="str">
        <f>[1]Taux!C$4</f>
        <v>6,40%</v>
      </c>
      <c r="L101" s="23">
        <f>I93*K101</f>
        <v>6400</v>
      </c>
    </row>
    <row r="102" spans="1:12">
      <c r="A102" s="110" t="s">
        <v>83</v>
      </c>
      <c r="B102" s="110"/>
      <c r="C102" s="110"/>
      <c r="D102" s="110"/>
      <c r="E102" s="110"/>
      <c r="F102" s="110"/>
      <c r="G102" s="41"/>
      <c r="H102" s="42"/>
      <c r="I102" s="43"/>
      <c r="J102" s="44"/>
      <c r="K102" s="34" t="str">
        <f>[1]Taux!C$8</f>
        <v>1,6 %</v>
      </c>
      <c r="L102" s="23">
        <f>I93*K102</f>
        <v>1600</v>
      </c>
    </row>
    <row r="103" spans="1:12">
      <c r="A103" s="106" t="s">
        <v>84</v>
      </c>
      <c r="B103" s="106"/>
      <c r="C103" s="106"/>
      <c r="D103" s="106"/>
      <c r="E103" s="106"/>
      <c r="F103" s="106"/>
      <c r="G103" s="21"/>
      <c r="H103" s="22"/>
      <c r="I103" s="22"/>
      <c r="J103" s="21">
        <f>SUM(J94:J100)</f>
        <v>27528.799999999999</v>
      </c>
      <c r="K103" s="21"/>
      <c r="L103" s="21">
        <f>SUM(L94:L102)</f>
        <v>18648.8</v>
      </c>
    </row>
    <row r="104" spans="1:12">
      <c r="A104" s="107" t="s">
        <v>85</v>
      </c>
      <c r="B104" s="107"/>
      <c r="C104" s="107"/>
      <c r="D104" s="107"/>
      <c r="E104" s="107"/>
      <c r="F104" s="107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>
      <c r="A105" s="111" t="s">
        <v>86</v>
      </c>
      <c r="B105" s="111"/>
      <c r="C105" s="111"/>
      <c r="D105" s="111"/>
      <c r="E105" s="111"/>
      <c r="F105" s="111"/>
      <c r="G105" s="32"/>
      <c r="H105" s="33"/>
      <c r="I105" s="32">
        <f>I93-J103-J104</f>
        <v>69971.199999999997</v>
      </c>
      <c r="J105" s="33"/>
      <c r="K105" s="33"/>
      <c r="L105" s="33"/>
    </row>
    <row r="106" spans="1:12">
      <c r="A106" s="107" t="s">
        <v>87</v>
      </c>
      <c r="B106" s="107"/>
      <c r="C106" s="107"/>
      <c r="D106" s="107"/>
      <c r="E106" s="107"/>
      <c r="F106" s="107"/>
      <c r="G106" s="23"/>
      <c r="H106" s="34"/>
      <c r="I106" s="23">
        <f>H106*180/360</f>
        <v>0</v>
      </c>
      <c r="J106" s="23"/>
      <c r="K106" s="46"/>
      <c r="L106" s="47"/>
    </row>
    <row r="107" spans="1:12">
      <c r="A107" s="111" t="s">
        <v>88</v>
      </c>
      <c r="B107" s="111"/>
      <c r="C107" s="111"/>
      <c r="D107" s="111"/>
      <c r="E107" s="111"/>
      <c r="F107" s="111"/>
      <c r="G107" s="32"/>
      <c r="H107" s="33"/>
      <c r="I107" s="32">
        <f>I105-I106</f>
        <v>69971.199999999997</v>
      </c>
      <c r="J107" s="33"/>
      <c r="K107" s="33"/>
      <c r="L107" s="33"/>
    </row>
    <row r="108" spans="1:12">
      <c r="A108" s="107" t="s">
        <v>89</v>
      </c>
      <c r="B108" s="107"/>
      <c r="C108" s="107"/>
      <c r="D108" s="107"/>
      <c r="E108" s="107"/>
      <c r="F108" s="107"/>
      <c r="G108" s="25"/>
      <c r="H108" s="48"/>
      <c r="I108" s="40"/>
      <c r="J108" s="23">
        <v>24555.72</v>
      </c>
      <c r="K108" s="46"/>
      <c r="L108" s="47"/>
    </row>
    <row r="109" spans="1:12">
      <c r="A109" s="107" t="s">
        <v>90</v>
      </c>
      <c r="B109" s="107"/>
      <c r="C109" s="107"/>
      <c r="D109" s="107"/>
      <c r="E109" s="107"/>
      <c r="F109" s="107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>
      <c r="A110" s="106" t="s">
        <v>91</v>
      </c>
      <c r="B110" s="106"/>
      <c r="C110" s="106"/>
      <c r="D110" s="106"/>
      <c r="E110" s="106"/>
      <c r="F110" s="106"/>
      <c r="G110" s="21"/>
      <c r="H110" s="22"/>
      <c r="I110" s="21"/>
      <c r="J110" s="21">
        <f>J108-J109</f>
        <v>24555.72</v>
      </c>
      <c r="K110" s="21"/>
      <c r="L110" s="21"/>
    </row>
    <row r="111" spans="1:12">
      <c r="A111" s="112" t="s">
        <v>92</v>
      </c>
      <c r="B111" s="112"/>
      <c r="C111" s="112"/>
      <c r="D111" s="112"/>
      <c r="E111" s="112"/>
      <c r="F111" s="112"/>
      <c r="G111" s="25"/>
      <c r="H111" s="48"/>
      <c r="I111" s="47"/>
      <c r="J111" s="49">
        <v>0</v>
      </c>
      <c r="K111" s="46"/>
      <c r="L111" s="47"/>
    </row>
    <row r="112" spans="1:12">
      <c r="A112" s="107" t="s">
        <v>93</v>
      </c>
      <c r="B112" s="107"/>
      <c r="C112" s="107"/>
      <c r="D112" s="107"/>
      <c r="E112" s="107"/>
      <c r="F112" s="107"/>
      <c r="G112" s="25"/>
      <c r="H112" s="48"/>
      <c r="I112" s="44"/>
      <c r="J112" s="28">
        <v>0</v>
      </c>
      <c r="K112" s="46"/>
      <c r="L112" s="47"/>
    </row>
    <row r="113" spans="1:13">
      <c r="A113" s="113" t="s">
        <v>94</v>
      </c>
      <c r="B113" s="113"/>
      <c r="C113" s="113"/>
      <c r="D113" s="113"/>
      <c r="E113" s="113"/>
      <c r="F113" s="113"/>
      <c r="G113" s="41"/>
      <c r="H113" s="42"/>
      <c r="I113" s="28">
        <f>1-0.48</f>
        <v>0.52</v>
      </c>
      <c r="J113" s="41"/>
      <c r="K113" s="43"/>
      <c r="L113" s="44"/>
    </row>
    <row r="114" spans="1:1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>
      <c r="A115" s="14" t="s">
        <v>95</v>
      </c>
      <c r="B115" s="14" t="s">
        <v>96</v>
      </c>
      <c r="C115" s="14" t="s">
        <v>97</v>
      </c>
      <c r="D115" s="104" t="s">
        <v>98</v>
      </c>
      <c r="E115" s="104"/>
      <c r="F115" s="104"/>
      <c r="G115" s="14" t="s">
        <v>99</v>
      </c>
      <c r="H115" s="50"/>
      <c r="I115" s="52">
        <f>I92+I113</f>
        <v>106000.52</v>
      </c>
      <c r="J115" s="52">
        <f>J103+J110+J111+J112</f>
        <v>52084.520000000004</v>
      </c>
      <c r="K115" s="14" t="s">
        <v>100</v>
      </c>
      <c r="L115" s="52">
        <f>L103</f>
        <v>18648.8</v>
      </c>
    </row>
    <row r="116" spans="1:13">
      <c r="A116" s="52">
        <f>974000+I92</f>
        <v>1080000</v>
      </c>
      <c r="B116" s="52">
        <f>920000+I93</f>
        <v>1020000</v>
      </c>
      <c r="C116" s="52">
        <f>2419.2+J94</f>
        <v>2688</v>
      </c>
      <c r="D116" s="114">
        <f>226529.75+J110</f>
        <v>251085.47</v>
      </c>
      <c r="E116" s="114"/>
      <c r="F116" s="114"/>
      <c r="G116" s="52">
        <f>494263.97+I115</f>
        <v>600264.49</v>
      </c>
      <c r="H116" s="104" t="s">
        <v>101</v>
      </c>
      <c r="I116" s="104"/>
      <c r="J116" s="52">
        <f>I115-J115</f>
        <v>53916</v>
      </c>
      <c r="K116" s="14" t="s">
        <v>102</v>
      </c>
      <c r="L116" s="52">
        <f>171461.2+L115</f>
        <v>190110</v>
      </c>
    </row>
    <row r="117" spans="1: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72564.800000000003</v>
      </c>
    </row>
    <row r="118" spans="1: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>
      <c r="A121" s="105" t="s">
        <v>26</v>
      </c>
      <c r="B121" s="105"/>
      <c r="C121" s="105" t="s">
        <v>27</v>
      </c>
      <c r="D121" s="105"/>
      <c r="E121" s="105"/>
      <c r="F121" s="105"/>
      <c r="G121" s="105" t="s">
        <v>28</v>
      </c>
      <c r="H121" s="105"/>
      <c r="I121" s="105"/>
      <c r="J121" s="105" t="s">
        <v>29</v>
      </c>
      <c r="K121" s="105"/>
      <c r="L121" s="105"/>
    </row>
    <row r="122" spans="1:13">
      <c r="A122" s="14" t="s">
        <v>30</v>
      </c>
      <c r="B122" s="104" t="s">
        <v>31</v>
      </c>
      <c r="C122" s="104"/>
      <c r="D122" s="104"/>
      <c r="E122" s="104"/>
      <c r="F122" s="104"/>
      <c r="G122" s="104" t="s">
        <v>32</v>
      </c>
      <c r="H122" s="104"/>
      <c r="I122" s="104"/>
      <c r="J122" s="104"/>
      <c r="K122" s="104"/>
      <c r="L122" s="104"/>
    </row>
    <row r="123" spans="1:13">
      <c r="A123" s="16">
        <v>4</v>
      </c>
      <c r="B123" s="102" t="s">
        <v>106</v>
      </c>
      <c r="C123" s="102"/>
      <c r="D123" s="102"/>
      <c r="E123" s="102"/>
      <c r="F123" s="102"/>
      <c r="G123" s="103">
        <v>42491</v>
      </c>
      <c r="H123" s="103"/>
      <c r="I123" s="103"/>
      <c r="J123" s="103">
        <v>42521</v>
      </c>
      <c r="K123" s="103"/>
      <c r="L123" s="103"/>
    </row>
    <row r="124" spans="1:13">
      <c r="A124" s="14" t="s">
        <v>34</v>
      </c>
      <c r="B124" s="14" t="s">
        <v>35</v>
      </c>
      <c r="C124" s="14" t="s">
        <v>36</v>
      </c>
      <c r="D124" s="14" t="s">
        <v>37</v>
      </c>
      <c r="E124" s="14" t="s">
        <v>38</v>
      </c>
      <c r="F124" s="14" t="s">
        <v>39</v>
      </c>
      <c r="G124" s="104" t="s">
        <v>40</v>
      </c>
      <c r="H124" s="104"/>
      <c r="I124" s="104"/>
      <c r="J124" s="104"/>
      <c r="K124" s="104"/>
      <c r="L124" s="104"/>
    </row>
    <row r="125" spans="1:13">
      <c r="A125" s="17">
        <v>41791</v>
      </c>
      <c r="B125" s="16"/>
      <c r="C125" s="17">
        <v>28152</v>
      </c>
      <c r="D125" s="16" t="s">
        <v>41</v>
      </c>
      <c r="E125" s="16">
        <v>0</v>
      </c>
      <c r="F125" s="16">
        <v>0</v>
      </c>
      <c r="G125" s="102"/>
      <c r="H125" s="102"/>
      <c r="I125" s="102"/>
      <c r="J125" s="102"/>
      <c r="K125" s="102"/>
      <c r="L125" s="102"/>
    </row>
    <row r="126" spans="1:13">
      <c r="A126" s="14" t="s">
        <v>42</v>
      </c>
      <c r="B126" s="14" t="s">
        <v>43</v>
      </c>
      <c r="C126" s="14" t="s">
        <v>44</v>
      </c>
      <c r="D126" s="104" t="s">
        <v>45</v>
      </c>
      <c r="E126" s="104"/>
      <c r="F126" s="104"/>
      <c r="G126" s="104" t="s">
        <v>46</v>
      </c>
      <c r="H126" s="104"/>
      <c r="I126" s="104"/>
      <c r="J126" s="104"/>
      <c r="K126" s="104"/>
      <c r="L126" s="104"/>
    </row>
    <row r="127" spans="1:13">
      <c r="A127" s="16">
        <v>123952551</v>
      </c>
      <c r="B127" s="16"/>
      <c r="C127" s="16"/>
      <c r="D127" s="102" t="s">
        <v>47</v>
      </c>
      <c r="E127" s="102"/>
      <c r="F127" s="102"/>
      <c r="G127" s="102" t="s">
        <v>107</v>
      </c>
      <c r="H127" s="102"/>
      <c r="I127" s="102"/>
      <c r="J127" s="102"/>
      <c r="K127" s="102"/>
      <c r="L127" s="102"/>
    </row>
    <row r="128" spans="1: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>
      <c r="A131" s="108" t="s">
        <v>49</v>
      </c>
      <c r="B131" s="108"/>
      <c r="C131" s="108"/>
      <c r="D131" s="108"/>
      <c r="E131" s="108"/>
      <c r="F131" s="108"/>
      <c r="G131" s="108" t="s">
        <v>50</v>
      </c>
      <c r="H131" s="108" t="s">
        <v>51</v>
      </c>
      <c r="I131" s="108" t="s">
        <v>52</v>
      </c>
      <c r="J131" s="108"/>
      <c r="K131" s="108" t="s">
        <v>53</v>
      </c>
      <c r="L131" s="108"/>
    </row>
    <row r="132" spans="1:12">
      <c r="A132" s="108"/>
      <c r="B132" s="108"/>
      <c r="C132" s="108"/>
      <c r="D132" s="108"/>
      <c r="E132" s="108"/>
      <c r="F132" s="108"/>
      <c r="G132" s="108"/>
      <c r="H132" s="108"/>
      <c r="I132" s="20" t="s">
        <v>54</v>
      </c>
      <c r="J132" s="20" t="s">
        <v>55</v>
      </c>
      <c r="K132" s="20" t="s">
        <v>56</v>
      </c>
      <c r="L132" s="20" t="s">
        <v>57</v>
      </c>
    </row>
    <row r="133" spans="1:12">
      <c r="A133" s="106" t="s">
        <v>58</v>
      </c>
      <c r="B133" s="106"/>
      <c r="C133" s="106"/>
      <c r="D133" s="106"/>
      <c r="E133" s="106"/>
      <c r="F133" s="106"/>
      <c r="G133" s="21">
        <v>90000</v>
      </c>
      <c r="H133" s="22"/>
      <c r="I133" s="21"/>
      <c r="J133" s="21"/>
      <c r="K133" s="21"/>
      <c r="L133" s="21"/>
    </row>
    <row r="134" spans="1:12">
      <c r="A134" s="106" t="s">
        <v>59</v>
      </c>
      <c r="B134" s="106"/>
      <c r="C134" s="106"/>
      <c r="D134" s="106"/>
      <c r="E134" s="106"/>
      <c r="F134" s="106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>
      <c r="A135" s="107" t="s">
        <v>60</v>
      </c>
      <c r="B135" s="107"/>
      <c r="C135" s="107"/>
      <c r="D135" s="107"/>
      <c r="E135" s="107"/>
      <c r="F135" s="107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>
      <c r="A136" s="107" t="s">
        <v>61</v>
      </c>
      <c r="B136" s="107"/>
      <c r="C136" s="107"/>
      <c r="D136" s="107"/>
      <c r="E136" s="107"/>
      <c r="F136" s="107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>
      <c r="A137" s="107" t="s">
        <v>62</v>
      </c>
      <c r="B137" s="107"/>
      <c r="C137" s="107"/>
      <c r="D137" s="107"/>
      <c r="E137" s="107"/>
      <c r="F137" s="107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>
      <c r="A138" s="107" t="s">
        <v>63</v>
      </c>
      <c r="B138" s="107"/>
      <c r="C138" s="107"/>
      <c r="D138" s="107"/>
      <c r="E138" s="107"/>
      <c r="F138" s="107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>
      <c r="A139" s="107" t="s">
        <v>64</v>
      </c>
      <c r="B139" s="107"/>
      <c r="C139" s="107"/>
      <c r="D139" s="107"/>
      <c r="E139" s="107"/>
      <c r="F139" s="107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>
      <c r="A140" s="107" t="s">
        <v>65</v>
      </c>
      <c r="B140" s="107"/>
      <c r="C140" s="107"/>
      <c r="D140" s="107"/>
      <c r="E140" s="107"/>
      <c r="F140" s="107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>
      <c r="A141" s="107" t="s">
        <v>66</v>
      </c>
      <c r="B141" s="107"/>
      <c r="C141" s="107"/>
      <c r="D141" s="107"/>
      <c r="E141" s="107"/>
      <c r="F141" s="107"/>
      <c r="G141" s="29"/>
      <c r="H141" s="30"/>
      <c r="I141" s="30"/>
      <c r="J141" s="25"/>
      <c r="K141" s="26"/>
      <c r="L141" s="26"/>
    </row>
    <row r="142" spans="1:12">
      <c r="A142" s="109">
        <v>0.25</v>
      </c>
      <c r="B142" s="109"/>
      <c r="C142" s="109"/>
      <c r="D142" s="109"/>
      <c r="E142" s="109"/>
      <c r="F142" s="109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>
      <c r="A143" s="109">
        <v>0.5</v>
      </c>
      <c r="B143" s="109"/>
      <c r="C143" s="109"/>
      <c r="D143" s="109"/>
      <c r="E143" s="109"/>
      <c r="F143" s="109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>
      <c r="A144" s="109">
        <v>1</v>
      </c>
      <c r="B144" s="109"/>
      <c r="C144" s="109"/>
      <c r="D144" s="109"/>
      <c r="E144" s="109"/>
      <c r="F144" s="109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>
      <c r="A145" s="106" t="s">
        <v>67</v>
      </c>
      <c r="B145" s="106"/>
      <c r="C145" s="106"/>
      <c r="D145" s="106"/>
      <c r="E145" s="106"/>
      <c r="F145" s="106"/>
      <c r="G145" s="21"/>
      <c r="H145" s="22"/>
      <c r="I145" s="21">
        <f>SUM(I146:I147)</f>
        <v>0</v>
      </c>
      <c r="J145" s="21"/>
      <c r="K145" s="21"/>
      <c r="L145" s="21"/>
    </row>
    <row r="146" spans="1:12">
      <c r="A146" s="107" t="s">
        <v>68</v>
      </c>
      <c r="B146" s="107"/>
      <c r="C146" s="107"/>
      <c r="D146" s="107"/>
      <c r="E146" s="107"/>
      <c r="F146" s="107"/>
      <c r="G146" s="23">
        <f>(G123-A125)/360</f>
        <v>1.9444444444444444</v>
      </c>
      <c r="H146" s="31">
        <v>0</v>
      </c>
      <c r="I146" s="23">
        <f>I134*H146</f>
        <v>0</v>
      </c>
      <c r="J146" s="25"/>
      <c r="K146" s="26"/>
      <c r="L146" s="26"/>
    </row>
    <row r="147" spans="1:12">
      <c r="A147" s="107" t="s">
        <v>69</v>
      </c>
      <c r="B147" s="107"/>
      <c r="C147" s="107"/>
      <c r="D147" s="107"/>
      <c r="E147" s="107"/>
      <c r="F147" s="107"/>
      <c r="G147" s="23"/>
      <c r="H147" s="24"/>
      <c r="I147" s="23"/>
      <c r="J147" s="25"/>
      <c r="K147" s="26"/>
      <c r="L147" s="26"/>
    </row>
    <row r="148" spans="1:12">
      <c r="A148" s="106" t="s">
        <v>70</v>
      </c>
      <c r="B148" s="106"/>
      <c r="C148" s="106"/>
      <c r="D148" s="106"/>
      <c r="E148" s="106"/>
      <c r="F148" s="106"/>
      <c r="G148" s="21"/>
      <c r="H148" s="22"/>
      <c r="I148" s="21">
        <f>SUM(I149:I151)</f>
        <v>6000</v>
      </c>
      <c r="J148" s="21"/>
      <c r="K148" s="21"/>
      <c r="L148" s="21"/>
    </row>
    <row r="149" spans="1:12">
      <c r="A149" s="107" t="s">
        <v>71</v>
      </c>
      <c r="B149" s="107"/>
      <c r="C149" s="107"/>
      <c r="D149" s="107"/>
      <c r="E149" s="107"/>
      <c r="F149" s="107"/>
      <c r="G149" s="23"/>
      <c r="H149" s="24"/>
      <c r="I149" s="23">
        <v>3000</v>
      </c>
      <c r="J149" s="25"/>
      <c r="K149" s="26"/>
      <c r="L149" s="26"/>
    </row>
    <row r="150" spans="1:12">
      <c r="A150" s="107" t="s">
        <v>72</v>
      </c>
      <c r="B150" s="107"/>
      <c r="C150" s="107"/>
      <c r="D150" s="107"/>
      <c r="E150" s="107"/>
      <c r="F150" s="107"/>
      <c r="G150" s="23"/>
      <c r="H150" s="31"/>
      <c r="I150" s="23">
        <v>3000</v>
      </c>
      <c r="J150" s="25"/>
      <c r="K150" s="26"/>
      <c r="L150" s="26"/>
    </row>
    <row r="151" spans="1:12">
      <c r="A151" s="107" t="s">
        <v>73</v>
      </c>
      <c r="B151" s="107"/>
      <c r="C151" s="107"/>
      <c r="D151" s="107"/>
      <c r="E151" s="107"/>
      <c r="F151" s="107"/>
      <c r="G151" s="23"/>
      <c r="H151" s="24"/>
      <c r="I151" s="23"/>
      <c r="J151" s="25"/>
      <c r="K151" s="26"/>
      <c r="L151" s="26"/>
    </row>
    <row r="152" spans="1:12">
      <c r="A152" s="111" t="s">
        <v>74</v>
      </c>
      <c r="B152" s="111"/>
      <c r="C152" s="111"/>
      <c r="D152" s="111"/>
      <c r="E152" s="111"/>
      <c r="F152" s="111"/>
      <c r="G152" s="32"/>
      <c r="H152" s="33"/>
      <c r="I152" s="32">
        <f>I134+I145+I148</f>
        <v>96000</v>
      </c>
      <c r="J152" s="33"/>
      <c r="K152" s="33"/>
      <c r="L152" s="33"/>
    </row>
    <row r="153" spans="1:12">
      <c r="A153" s="111" t="s">
        <v>75</v>
      </c>
      <c r="B153" s="111"/>
      <c r="C153" s="111"/>
      <c r="D153" s="111"/>
      <c r="E153" s="111"/>
      <c r="F153" s="111"/>
      <c r="G153" s="32"/>
      <c r="H153" s="33"/>
      <c r="I153" s="32">
        <f>I152-I148</f>
        <v>90000</v>
      </c>
      <c r="J153" s="33"/>
      <c r="K153" s="33"/>
      <c r="L153" s="33"/>
    </row>
    <row r="154" spans="1:12">
      <c r="A154" s="107" t="s">
        <v>76</v>
      </c>
      <c r="B154" s="107"/>
      <c r="C154" s="107"/>
      <c r="D154" s="107"/>
      <c r="E154" s="107"/>
      <c r="F154" s="107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>
      <c r="A155" s="107" t="s">
        <v>77</v>
      </c>
      <c r="B155" s="107"/>
      <c r="C155" s="107"/>
      <c r="D155" s="107"/>
      <c r="E155" s="107"/>
      <c r="F155" s="107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>
      <c r="A156" s="107" t="s">
        <v>78</v>
      </c>
      <c r="B156" s="107"/>
      <c r="C156" s="107"/>
      <c r="D156" s="107"/>
      <c r="E156" s="107"/>
      <c r="F156" s="107"/>
      <c r="G156" s="23"/>
      <c r="H156" s="34">
        <v>0.5</v>
      </c>
      <c r="I156" s="23"/>
      <c r="J156" s="23">
        <f>I153*H156</f>
        <v>45000</v>
      </c>
      <c r="K156" s="35">
        <v>0.06</v>
      </c>
      <c r="L156" s="23">
        <f>I153*K156</f>
        <v>5400</v>
      </c>
    </row>
    <row r="157" spans="1:12">
      <c r="A157" s="107" t="s">
        <v>79</v>
      </c>
      <c r="B157" s="107"/>
      <c r="C157" s="107"/>
      <c r="D157" s="107"/>
      <c r="E157" s="107"/>
      <c r="F157" s="107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>
      <c r="A158" s="107" t="s">
        <v>80</v>
      </c>
      <c r="B158" s="107"/>
      <c r="C158" s="107"/>
      <c r="D158" s="107"/>
      <c r="E158" s="107"/>
      <c r="F158" s="107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>
      <c r="A159" s="107" t="s">
        <v>81</v>
      </c>
      <c r="B159" s="107"/>
      <c r="C159" s="107"/>
      <c r="D159" s="107"/>
      <c r="E159" s="107"/>
      <c r="F159" s="107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>
      <c r="A160" s="107" t="s">
        <v>24</v>
      </c>
      <c r="B160" s="107"/>
      <c r="C160" s="107"/>
      <c r="D160" s="107"/>
      <c r="E160" s="107"/>
      <c r="F160" s="107"/>
      <c r="G160" s="23"/>
      <c r="H160" s="34" t="str">
        <f>[1]Taux!D$7</f>
        <v>2,26%</v>
      </c>
      <c r="I160" s="23"/>
      <c r="J160" s="23">
        <f>I153*H160</f>
        <v>2033.9999999999998</v>
      </c>
      <c r="K160" s="34" t="str">
        <f>[1]Taux!C$7</f>
        <v>4,11%</v>
      </c>
      <c r="L160" s="23">
        <f>I153*K160</f>
        <v>3699</v>
      </c>
    </row>
    <row r="161" spans="1:12">
      <c r="A161" s="110" t="s">
        <v>82</v>
      </c>
      <c r="B161" s="110"/>
      <c r="C161" s="110"/>
      <c r="D161" s="110"/>
      <c r="E161" s="110"/>
      <c r="F161" s="110"/>
      <c r="G161" s="37"/>
      <c r="H161" s="38"/>
      <c r="I161" s="39"/>
      <c r="J161" s="40"/>
      <c r="K161" s="34" t="str">
        <f>[1]Taux!C$4</f>
        <v>6,40%</v>
      </c>
      <c r="L161" s="23">
        <f>I153*K161</f>
        <v>5760</v>
      </c>
    </row>
    <row r="162" spans="1:12">
      <c r="A162" s="110" t="s">
        <v>83</v>
      </c>
      <c r="B162" s="110"/>
      <c r="C162" s="110"/>
      <c r="D162" s="110"/>
      <c r="E162" s="110"/>
      <c r="F162" s="110"/>
      <c r="G162" s="41"/>
      <c r="H162" s="42"/>
      <c r="I162" s="43"/>
      <c r="J162" s="44"/>
      <c r="K162" s="34" t="str">
        <f>[1]Taux!C$8</f>
        <v>1,6 %</v>
      </c>
      <c r="L162" s="23">
        <f>I153*K162</f>
        <v>1440</v>
      </c>
    </row>
    <row r="163" spans="1:12">
      <c r="A163" s="106" t="s">
        <v>84</v>
      </c>
      <c r="B163" s="106"/>
      <c r="C163" s="106"/>
      <c r="D163" s="106"/>
      <c r="E163" s="106"/>
      <c r="F163" s="106"/>
      <c r="G163" s="21"/>
      <c r="H163" s="22"/>
      <c r="I163" s="22"/>
      <c r="J163" s="21">
        <f>SUM(J154:J160)</f>
        <v>47302.8</v>
      </c>
      <c r="K163" s="21"/>
      <c r="L163" s="21">
        <f>SUM(L154:L162)</f>
        <v>16837.8</v>
      </c>
    </row>
    <row r="164" spans="1:12">
      <c r="A164" s="107" t="s">
        <v>85</v>
      </c>
      <c r="B164" s="107"/>
      <c r="C164" s="107"/>
      <c r="D164" s="107"/>
      <c r="E164" s="107"/>
      <c r="F164" s="107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>
      <c r="A165" s="111" t="s">
        <v>86</v>
      </c>
      <c r="B165" s="111"/>
      <c r="C165" s="111"/>
      <c r="D165" s="111"/>
      <c r="E165" s="111"/>
      <c r="F165" s="111"/>
      <c r="G165" s="32"/>
      <c r="H165" s="33"/>
      <c r="I165" s="32">
        <f>I153-J163-J164</f>
        <v>40197.199999999997</v>
      </c>
      <c r="J165" s="33"/>
      <c r="K165" s="33"/>
      <c r="L165" s="33"/>
    </row>
    <row r="166" spans="1:12">
      <c r="A166" s="107" t="s">
        <v>87</v>
      </c>
      <c r="B166" s="107"/>
      <c r="C166" s="107"/>
      <c r="D166" s="107"/>
      <c r="E166" s="107"/>
      <c r="F166" s="107"/>
      <c r="G166" s="23"/>
      <c r="H166" s="34"/>
      <c r="I166" s="23">
        <f>H166*180/360</f>
        <v>0</v>
      </c>
      <c r="J166" s="23"/>
      <c r="K166" s="46"/>
      <c r="L166" s="47"/>
    </row>
    <row r="167" spans="1:12">
      <c r="A167" s="111" t="s">
        <v>88</v>
      </c>
      <c r="B167" s="111"/>
      <c r="C167" s="111"/>
      <c r="D167" s="111"/>
      <c r="E167" s="111"/>
      <c r="F167" s="111"/>
      <c r="G167" s="32"/>
      <c r="H167" s="33"/>
      <c r="I167" s="32">
        <f>I165-I166</f>
        <v>40197.199999999997</v>
      </c>
      <c r="J167" s="33"/>
      <c r="K167" s="33"/>
      <c r="L167" s="33"/>
    </row>
    <row r="168" spans="1:12">
      <c r="A168" s="107" t="s">
        <v>89</v>
      </c>
      <c r="B168" s="107"/>
      <c r="C168" s="107"/>
      <c r="D168" s="107"/>
      <c r="E168" s="107"/>
      <c r="F168" s="107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13241.602666666666</v>
      </c>
      <c r="K168" s="46"/>
      <c r="L168" s="47"/>
    </row>
    <row r="169" spans="1:12">
      <c r="A169" s="107" t="s">
        <v>90</v>
      </c>
      <c r="B169" s="107"/>
      <c r="C169" s="107"/>
      <c r="D169" s="107"/>
      <c r="E169" s="107"/>
      <c r="F169" s="107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>
      <c r="A170" s="106" t="s">
        <v>91</v>
      </c>
      <c r="B170" s="106"/>
      <c r="C170" s="106"/>
      <c r="D170" s="106"/>
      <c r="E170" s="106"/>
      <c r="F170" s="106"/>
      <c r="G170" s="21"/>
      <c r="H170" s="22"/>
      <c r="I170" s="21"/>
      <c r="J170" s="21">
        <f>J168-J169</f>
        <v>13241.602666666666</v>
      </c>
      <c r="K170" s="21"/>
      <c r="L170" s="21"/>
    </row>
    <row r="171" spans="1:12">
      <c r="A171" s="112" t="s">
        <v>92</v>
      </c>
      <c r="B171" s="112"/>
      <c r="C171" s="112"/>
      <c r="D171" s="112"/>
      <c r="E171" s="112"/>
      <c r="F171" s="112"/>
      <c r="G171" s="25"/>
      <c r="H171" s="48"/>
      <c r="I171" s="47"/>
      <c r="J171" s="49">
        <v>0</v>
      </c>
      <c r="K171" s="46"/>
      <c r="L171" s="47"/>
    </row>
    <row r="172" spans="1:12">
      <c r="A172" s="107" t="s">
        <v>93</v>
      </c>
      <c r="B172" s="107"/>
      <c r="C172" s="107"/>
      <c r="D172" s="107"/>
      <c r="E172" s="107"/>
      <c r="F172" s="107"/>
      <c r="G172" s="25"/>
      <c r="H172" s="48"/>
      <c r="I172" s="44"/>
      <c r="J172" s="28">
        <v>0</v>
      </c>
      <c r="K172" s="46"/>
      <c r="L172" s="47"/>
    </row>
    <row r="173" spans="1:12">
      <c r="A173" s="113" t="s">
        <v>94</v>
      </c>
      <c r="B173" s="113"/>
      <c r="C173" s="113"/>
      <c r="D173" s="113"/>
      <c r="E173" s="113"/>
      <c r="F173" s="113"/>
      <c r="G173" s="41"/>
      <c r="H173" s="42"/>
      <c r="I173" s="28">
        <f>1-0.6</f>
        <v>0.4</v>
      </c>
      <c r="J173" s="41"/>
      <c r="K173" s="43"/>
      <c r="L173" s="44"/>
    </row>
    <row r="174" spans="1:1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>
      <c r="A175" s="14" t="s">
        <v>95</v>
      </c>
      <c r="B175" s="14" t="s">
        <v>96</v>
      </c>
      <c r="C175" s="14" t="s">
        <v>97</v>
      </c>
      <c r="D175" s="104" t="s">
        <v>98</v>
      </c>
      <c r="E175" s="104"/>
      <c r="F175" s="104"/>
      <c r="G175" s="14" t="s">
        <v>99</v>
      </c>
      <c r="H175" s="50"/>
      <c r="I175" s="52">
        <f>I152+I173</f>
        <v>96000.4</v>
      </c>
      <c r="J175" s="52">
        <f>J163+J170+J171+J172</f>
        <v>60544.402666666669</v>
      </c>
      <c r="K175" s="14" t="s">
        <v>100</v>
      </c>
      <c r="L175" s="52">
        <f>L163</f>
        <v>16837.8</v>
      </c>
    </row>
    <row r="176" spans="1:12">
      <c r="A176" s="52">
        <f>882000+I152</f>
        <v>978000</v>
      </c>
      <c r="B176" s="52">
        <f>828000+I153</f>
        <v>918000</v>
      </c>
      <c r="C176" s="52">
        <f>2419.2+J154</f>
        <v>2688</v>
      </c>
      <c r="D176" s="114">
        <f>122440.83+J170</f>
        <v>135682.43266666666</v>
      </c>
      <c r="E176" s="114"/>
      <c r="F176" s="114"/>
      <c r="G176" s="52">
        <f>324432+I175</f>
        <v>420432.4</v>
      </c>
      <c r="H176" s="104" t="s">
        <v>101</v>
      </c>
      <c r="I176" s="104"/>
      <c r="J176" s="52">
        <f>I175-J175</f>
        <v>35455.997333333326</v>
      </c>
      <c r="K176" s="14" t="s">
        <v>102</v>
      </c>
      <c r="L176" s="52">
        <f>154800+L175</f>
        <v>171637.8</v>
      </c>
    </row>
    <row r="177" spans="1:1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52293.797333333321</v>
      </c>
    </row>
    <row r="181" spans="1:12">
      <c r="A181" s="105" t="s">
        <v>26</v>
      </c>
      <c r="B181" s="105"/>
      <c r="C181" s="105" t="s">
        <v>27</v>
      </c>
      <c r="D181" s="105"/>
      <c r="E181" s="105"/>
      <c r="F181" s="105"/>
      <c r="G181" s="105" t="s">
        <v>28</v>
      </c>
      <c r="H181" s="105"/>
      <c r="I181" s="105"/>
      <c r="J181" s="105" t="s">
        <v>29</v>
      </c>
      <c r="K181" s="105"/>
      <c r="L181" s="105"/>
    </row>
    <row r="182" spans="1:12">
      <c r="A182" s="14" t="s">
        <v>30</v>
      </c>
      <c r="B182" s="104" t="s">
        <v>31</v>
      </c>
      <c r="C182" s="104"/>
      <c r="D182" s="104"/>
      <c r="E182" s="104"/>
      <c r="F182" s="104"/>
      <c r="G182" s="104" t="s">
        <v>32</v>
      </c>
      <c r="H182" s="104"/>
      <c r="I182" s="104"/>
      <c r="J182" s="104"/>
      <c r="K182" s="104"/>
      <c r="L182" s="104"/>
    </row>
    <row r="183" spans="1:12">
      <c r="A183" s="16">
        <v>5</v>
      </c>
      <c r="B183" s="102" t="s">
        <v>108</v>
      </c>
      <c r="C183" s="102"/>
      <c r="D183" s="102"/>
      <c r="E183" s="102"/>
      <c r="F183" s="102"/>
      <c r="G183" s="103">
        <v>42491</v>
      </c>
      <c r="H183" s="103"/>
      <c r="I183" s="103"/>
      <c r="J183" s="103">
        <v>42521</v>
      </c>
      <c r="K183" s="103"/>
      <c r="L183" s="103"/>
    </row>
    <row r="184" spans="1:12">
      <c r="A184" s="14" t="s">
        <v>34</v>
      </c>
      <c r="B184" s="14" t="s">
        <v>35</v>
      </c>
      <c r="C184" s="14" t="s">
        <v>36</v>
      </c>
      <c r="D184" s="14" t="s">
        <v>37</v>
      </c>
      <c r="E184" s="14" t="s">
        <v>38</v>
      </c>
      <c r="F184" s="14" t="s">
        <v>39</v>
      </c>
      <c r="G184" s="104" t="s">
        <v>40</v>
      </c>
      <c r="H184" s="104"/>
      <c r="I184" s="104"/>
      <c r="J184" s="104"/>
      <c r="K184" s="104"/>
      <c r="L184" s="104"/>
    </row>
    <row r="185" spans="1:12">
      <c r="A185" s="17">
        <v>41791</v>
      </c>
      <c r="B185" s="16"/>
      <c r="C185" s="17">
        <v>21792</v>
      </c>
      <c r="D185" s="16" t="s">
        <v>41</v>
      </c>
      <c r="E185" s="16">
        <v>2</v>
      </c>
      <c r="F185" s="16">
        <v>3</v>
      </c>
      <c r="G185" s="102"/>
      <c r="H185" s="102"/>
      <c r="I185" s="102"/>
      <c r="J185" s="102"/>
      <c r="K185" s="102"/>
      <c r="L185" s="102"/>
    </row>
    <row r="186" spans="1:12">
      <c r="A186" s="14" t="s">
        <v>42</v>
      </c>
      <c r="B186" s="14" t="s">
        <v>43</v>
      </c>
      <c r="C186" s="14" t="s">
        <v>44</v>
      </c>
      <c r="D186" s="104" t="s">
        <v>45</v>
      </c>
      <c r="E186" s="104"/>
      <c r="F186" s="104"/>
      <c r="G186" s="104" t="s">
        <v>46</v>
      </c>
      <c r="H186" s="104"/>
      <c r="I186" s="104"/>
      <c r="J186" s="104"/>
      <c r="K186" s="104"/>
      <c r="L186" s="104"/>
    </row>
    <row r="187" spans="1:12">
      <c r="A187" s="16">
        <v>132944135</v>
      </c>
      <c r="B187" s="16"/>
      <c r="C187" s="16"/>
      <c r="D187" s="102" t="s">
        <v>47</v>
      </c>
      <c r="E187" s="102"/>
      <c r="F187" s="102"/>
      <c r="G187" s="102" t="s">
        <v>109</v>
      </c>
      <c r="H187" s="102"/>
      <c r="I187" s="102"/>
      <c r="J187" s="102"/>
      <c r="K187" s="102"/>
      <c r="L187" s="102"/>
    </row>
    <row r="188" spans="1:1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>
      <c r="A191" s="108" t="s">
        <v>49</v>
      </c>
      <c r="B191" s="108"/>
      <c r="C191" s="108"/>
      <c r="D191" s="108"/>
      <c r="E191" s="108"/>
      <c r="F191" s="108"/>
      <c r="G191" s="108" t="s">
        <v>50</v>
      </c>
      <c r="H191" s="108" t="s">
        <v>51</v>
      </c>
      <c r="I191" s="108" t="s">
        <v>52</v>
      </c>
      <c r="J191" s="108"/>
      <c r="K191" s="108" t="s">
        <v>53</v>
      </c>
      <c r="L191" s="108"/>
    </row>
    <row r="192" spans="1:12">
      <c r="A192" s="108"/>
      <c r="B192" s="108"/>
      <c r="C192" s="108"/>
      <c r="D192" s="108"/>
      <c r="E192" s="108"/>
      <c r="F192" s="108"/>
      <c r="G192" s="108"/>
      <c r="H192" s="108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>
      <c r="A193" s="106" t="s">
        <v>58</v>
      </c>
      <c r="B193" s="106"/>
      <c r="C193" s="106"/>
      <c r="D193" s="106"/>
      <c r="E193" s="106"/>
      <c r="F193" s="106"/>
      <c r="G193" s="21">
        <v>12125.57</v>
      </c>
      <c r="H193" s="22"/>
      <c r="I193" s="21"/>
      <c r="J193" s="21"/>
      <c r="K193" s="21"/>
      <c r="L193" s="21"/>
    </row>
    <row r="194" spans="1:12">
      <c r="A194" s="106" t="s">
        <v>59</v>
      </c>
      <c r="B194" s="106"/>
      <c r="C194" s="106"/>
      <c r="D194" s="106"/>
      <c r="E194" s="106"/>
      <c r="F194" s="106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>
      <c r="A195" s="107" t="s">
        <v>60</v>
      </c>
      <c r="B195" s="107"/>
      <c r="C195" s="107"/>
      <c r="D195" s="107"/>
      <c r="E195" s="107"/>
      <c r="F195" s="107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>
      <c r="A196" s="107" t="s">
        <v>61</v>
      </c>
      <c r="B196" s="107"/>
      <c r="C196" s="107"/>
      <c r="D196" s="107"/>
      <c r="E196" s="107"/>
      <c r="F196" s="107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>
      <c r="A197" s="107" t="s">
        <v>62</v>
      </c>
      <c r="B197" s="107"/>
      <c r="C197" s="107"/>
      <c r="D197" s="107"/>
      <c r="E197" s="107"/>
      <c r="F197" s="107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>
      <c r="A198" s="107" t="s">
        <v>63</v>
      </c>
      <c r="B198" s="107"/>
      <c r="C198" s="107"/>
      <c r="D198" s="107"/>
      <c r="E198" s="107"/>
      <c r="F198" s="107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>
      <c r="A199" s="107" t="s">
        <v>64</v>
      </c>
      <c r="B199" s="107"/>
      <c r="C199" s="107"/>
      <c r="D199" s="107"/>
      <c r="E199" s="107"/>
      <c r="F199" s="107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>
      <c r="A200" s="107" t="s">
        <v>65</v>
      </c>
      <c r="B200" s="107"/>
      <c r="C200" s="107"/>
      <c r="D200" s="107"/>
      <c r="E200" s="107"/>
      <c r="F200" s="107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>
      <c r="A201" s="107" t="s">
        <v>66</v>
      </c>
      <c r="B201" s="107"/>
      <c r="C201" s="107"/>
      <c r="D201" s="107"/>
      <c r="E201" s="107"/>
      <c r="F201" s="107"/>
      <c r="G201" s="29"/>
      <c r="H201" s="30"/>
      <c r="I201" s="30"/>
      <c r="J201" s="25"/>
      <c r="K201" s="26"/>
      <c r="L201" s="26"/>
    </row>
    <row r="202" spans="1:12">
      <c r="A202" s="109">
        <v>0.25</v>
      </c>
      <c r="B202" s="109"/>
      <c r="C202" s="109"/>
      <c r="D202" s="109"/>
      <c r="E202" s="109"/>
      <c r="F202" s="109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>
      <c r="A203" s="109">
        <v>0.5</v>
      </c>
      <c r="B203" s="109"/>
      <c r="C203" s="109"/>
      <c r="D203" s="109"/>
      <c r="E203" s="109"/>
      <c r="F203" s="109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>
      <c r="A204" s="109">
        <v>1</v>
      </c>
      <c r="B204" s="109"/>
      <c r="C204" s="109"/>
      <c r="D204" s="109"/>
      <c r="E204" s="109"/>
      <c r="F204" s="109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>
      <c r="A205" s="106" t="s">
        <v>67</v>
      </c>
      <c r="B205" s="106"/>
      <c r="C205" s="106"/>
      <c r="D205" s="106"/>
      <c r="E205" s="106"/>
      <c r="F205" s="106"/>
      <c r="G205" s="21"/>
      <c r="H205" s="22"/>
      <c r="I205" s="21">
        <f>SUM(I206:I207)</f>
        <v>0</v>
      </c>
      <c r="J205" s="21"/>
      <c r="K205" s="21"/>
      <c r="L205" s="21"/>
    </row>
    <row r="206" spans="1:12">
      <c r="A206" s="107" t="s">
        <v>68</v>
      </c>
      <c r="B206" s="107"/>
      <c r="C206" s="107"/>
      <c r="D206" s="107"/>
      <c r="E206" s="107"/>
      <c r="F206" s="107"/>
      <c r="G206" s="23">
        <f>(G183-A185)/360</f>
        <v>1.9444444444444444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</v>
      </c>
      <c r="I206" s="23">
        <f>I194*H206</f>
        <v>0</v>
      </c>
      <c r="J206" s="25"/>
      <c r="K206" s="26"/>
      <c r="L206" s="26"/>
    </row>
    <row r="207" spans="1:12">
      <c r="A207" s="107" t="s">
        <v>69</v>
      </c>
      <c r="B207" s="107"/>
      <c r="C207" s="107"/>
      <c r="D207" s="107"/>
      <c r="E207" s="107"/>
      <c r="F207" s="107"/>
      <c r="G207" s="23"/>
      <c r="H207" s="24"/>
      <c r="I207" s="23"/>
      <c r="J207" s="25"/>
      <c r="K207" s="26"/>
      <c r="L207" s="26"/>
    </row>
    <row r="208" spans="1:12">
      <c r="A208" s="106" t="s">
        <v>70</v>
      </c>
      <c r="B208" s="106"/>
      <c r="C208" s="106"/>
      <c r="D208" s="106"/>
      <c r="E208" s="106"/>
      <c r="F208" s="106"/>
      <c r="G208" s="21"/>
      <c r="H208" s="22"/>
      <c r="I208" s="21">
        <f>SUM(I209:I211)</f>
        <v>5000</v>
      </c>
      <c r="J208" s="21"/>
      <c r="K208" s="21"/>
      <c r="L208" s="21"/>
    </row>
    <row r="209" spans="1:12">
      <c r="A209" s="107" t="s">
        <v>71</v>
      </c>
      <c r="B209" s="107"/>
      <c r="C209" s="107"/>
      <c r="D209" s="107"/>
      <c r="E209" s="107"/>
      <c r="F209" s="107"/>
      <c r="G209" s="23"/>
      <c r="H209" s="24"/>
      <c r="I209" s="23">
        <v>2500</v>
      </c>
      <c r="J209" s="25"/>
      <c r="K209" s="26"/>
      <c r="L209" s="26"/>
    </row>
    <row r="210" spans="1:12">
      <c r="A210" s="107" t="s">
        <v>72</v>
      </c>
      <c r="B210" s="107"/>
      <c r="C210" s="107"/>
      <c r="D210" s="107"/>
      <c r="E210" s="107"/>
      <c r="F210" s="107"/>
      <c r="G210" s="23"/>
      <c r="H210" s="31">
        <v>0</v>
      </c>
      <c r="I210" s="23">
        <v>2500</v>
      </c>
      <c r="J210" s="25"/>
      <c r="K210" s="26"/>
      <c r="L210" s="26"/>
    </row>
    <row r="211" spans="1:12">
      <c r="A211" s="107" t="s">
        <v>73</v>
      </c>
      <c r="B211" s="107"/>
      <c r="C211" s="107"/>
      <c r="D211" s="107"/>
      <c r="E211" s="107"/>
      <c r="F211" s="107"/>
      <c r="G211" s="23"/>
      <c r="H211" s="24"/>
      <c r="I211" s="23"/>
      <c r="J211" s="25"/>
      <c r="K211" s="26"/>
      <c r="L211" s="26"/>
    </row>
    <row r="212" spans="1:12">
      <c r="A212" s="111" t="s">
        <v>74</v>
      </c>
      <c r="B212" s="111"/>
      <c r="C212" s="111"/>
      <c r="D212" s="111"/>
      <c r="E212" s="111"/>
      <c r="F212" s="111"/>
      <c r="G212" s="32"/>
      <c r="H212" s="33"/>
      <c r="I212" s="32">
        <f>I194+I205+I208</f>
        <v>17125.57</v>
      </c>
      <c r="J212" s="33"/>
      <c r="K212" s="33"/>
      <c r="L212" s="33"/>
    </row>
    <row r="213" spans="1:12">
      <c r="A213" s="111" t="s">
        <v>75</v>
      </c>
      <c r="B213" s="111"/>
      <c r="C213" s="111"/>
      <c r="D213" s="111"/>
      <c r="E213" s="111"/>
      <c r="F213" s="111"/>
      <c r="G213" s="32"/>
      <c r="H213" s="33"/>
      <c r="I213" s="32">
        <f>I212-I208</f>
        <v>12125.57</v>
      </c>
      <c r="J213" s="33"/>
      <c r="K213" s="33"/>
      <c r="L213" s="33"/>
    </row>
    <row r="214" spans="1:12">
      <c r="A214" s="107" t="s">
        <v>76</v>
      </c>
      <c r="B214" s="107"/>
      <c r="C214" s="107"/>
      <c r="D214" s="107"/>
      <c r="E214" s="107"/>
      <c r="F214" s="107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>
      <c r="A215" s="107" t="s">
        <v>77</v>
      </c>
      <c r="B215" s="107"/>
      <c r="C215" s="107"/>
      <c r="D215" s="107"/>
      <c r="E215" s="107"/>
      <c r="F215" s="107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>
      <c r="A216" s="107" t="s">
        <v>78</v>
      </c>
      <c r="B216" s="107"/>
      <c r="C216" s="107"/>
      <c r="D216" s="107"/>
      <c r="E216" s="107"/>
      <c r="F216" s="107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>
      <c r="A217" s="107" t="s">
        <v>79</v>
      </c>
      <c r="B217" s="107"/>
      <c r="C217" s="107"/>
      <c r="D217" s="107"/>
      <c r="E217" s="107"/>
      <c r="F217" s="107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>
      <c r="A218" s="107" t="s">
        <v>80</v>
      </c>
      <c r="B218" s="107"/>
      <c r="C218" s="107"/>
      <c r="D218" s="107"/>
      <c r="E218" s="107"/>
      <c r="F218" s="107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>
      <c r="A219" s="107" t="s">
        <v>81</v>
      </c>
      <c r="B219" s="107"/>
      <c r="C219" s="107"/>
      <c r="D219" s="107"/>
      <c r="E219" s="107"/>
      <c r="F219" s="107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>
      <c r="A220" s="107" t="s">
        <v>24</v>
      </c>
      <c r="B220" s="107"/>
      <c r="C220" s="107"/>
      <c r="D220" s="107"/>
      <c r="E220" s="107"/>
      <c r="F220" s="107"/>
      <c r="G220" s="23"/>
      <c r="H220" s="34" t="str">
        <f>[1]Taux!D$7</f>
        <v>2,26%</v>
      </c>
      <c r="I220" s="23"/>
      <c r="J220" s="23">
        <f>I213*H220</f>
        <v>274.03788199999997</v>
      </c>
      <c r="K220" s="34" t="str">
        <f>[1]Taux!C$7</f>
        <v>4,11%</v>
      </c>
      <c r="L220" s="23">
        <f>I213*K220</f>
        <v>498.36092699999995</v>
      </c>
    </row>
    <row r="221" spans="1:12">
      <c r="A221" s="110" t="s">
        <v>82</v>
      </c>
      <c r="B221" s="110"/>
      <c r="C221" s="110"/>
      <c r="D221" s="110"/>
      <c r="E221" s="110"/>
      <c r="F221" s="110"/>
      <c r="G221" s="37"/>
      <c r="H221" s="38"/>
      <c r="I221" s="39"/>
      <c r="J221" s="40"/>
      <c r="K221" s="34" t="str">
        <f>[1]Taux!C$4</f>
        <v>6,40%</v>
      </c>
      <c r="L221" s="23">
        <f>I213*K221</f>
        <v>776.03647999999998</v>
      </c>
    </row>
    <row r="222" spans="1:12">
      <c r="A222" s="110" t="s">
        <v>83</v>
      </c>
      <c r="B222" s="110"/>
      <c r="C222" s="110"/>
      <c r="D222" s="110"/>
      <c r="E222" s="110"/>
      <c r="F222" s="110"/>
      <c r="G222" s="41"/>
      <c r="H222" s="42"/>
      <c r="I222" s="43"/>
      <c r="J222" s="44"/>
      <c r="K222" s="34" t="str">
        <f>[1]Taux!C$8</f>
        <v>1,6 %</v>
      </c>
      <c r="L222" s="23">
        <f>I213*K222</f>
        <v>194.00912</v>
      </c>
    </row>
    <row r="223" spans="1:12">
      <c r="A223" s="106" t="s">
        <v>84</v>
      </c>
      <c r="B223" s="106"/>
      <c r="C223" s="106"/>
      <c r="D223" s="106"/>
      <c r="E223" s="106"/>
      <c r="F223" s="106"/>
      <c r="G223" s="21"/>
      <c r="H223" s="22"/>
      <c r="I223" s="22"/>
      <c r="J223" s="21">
        <f>SUM(J214:J220)</f>
        <v>542.83788200000004</v>
      </c>
      <c r="K223" s="21"/>
      <c r="L223" s="21">
        <f>SUM(L214:L222)</f>
        <v>2007.2065269999998</v>
      </c>
    </row>
    <row r="224" spans="1:12">
      <c r="A224" s="107" t="s">
        <v>85</v>
      </c>
      <c r="B224" s="107"/>
      <c r="C224" s="107"/>
      <c r="D224" s="107"/>
      <c r="E224" s="107"/>
      <c r="F224" s="107"/>
      <c r="G224" s="23"/>
      <c r="H224" s="45">
        <v>0.2</v>
      </c>
      <c r="I224" s="23"/>
      <c r="J224" s="23">
        <f>IF(I213*H224&lt;2500,I213*H224,2500)</f>
        <v>2425.114</v>
      </c>
      <c r="K224" s="46"/>
      <c r="L224" s="47"/>
    </row>
    <row r="225" spans="1:12">
      <c r="A225" s="111" t="s">
        <v>86</v>
      </c>
      <c r="B225" s="111"/>
      <c r="C225" s="111"/>
      <c r="D225" s="111"/>
      <c r="E225" s="111"/>
      <c r="F225" s="111"/>
      <c r="G225" s="32"/>
      <c r="H225" s="33"/>
      <c r="I225" s="32">
        <f>I213-J223-J224</f>
        <v>9157.6181180000003</v>
      </c>
      <c r="J225" s="33"/>
      <c r="K225" s="33"/>
      <c r="L225" s="33"/>
    </row>
    <row r="226" spans="1:12">
      <c r="A226" s="107" t="s">
        <v>87</v>
      </c>
      <c r="B226" s="107"/>
      <c r="C226" s="107"/>
      <c r="D226" s="107"/>
      <c r="E226" s="107"/>
      <c r="F226" s="107"/>
      <c r="G226" s="23"/>
      <c r="H226" s="34"/>
      <c r="I226" s="23">
        <f>H226*180/360</f>
        <v>0</v>
      </c>
      <c r="J226" s="23"/>
      <c r="K226" s="46"/>
      <c r="L226" s="47"/>
    </row>
    <row r="227" spans="1:12">
      <c r="A227" s="111" t="s">
        <v>88</v>
      </c>
      <c r="B227" s="111"/>
      <c r="C227" s="111"/>
      <c r="D227" s="111"/>
      <c r="E227" s="111"/>
      <c r="F227" s="111"/>
      <c r="G227" s="32"/>
      <c r="H227" s="33"/>
      <c r="I227" s="32">
        <f>I225-I226</f>
        <v>9157.6181180000003</v>
      </c>
      <c r="J227" s="33"/>
      <c r="K227" s="33"/>
      <c r="L227" s="33"/>
    </row>
    <row r="228" spans="1:12">
      <c r="A228" s="107" t="s">
        <v>89</v>
      </c>
      <c r="B228" s="107"/>
      <c r="C228" s="107"/>
      <c r="D228" s="107"/>
      <c r="E228" s="107"/>
      <c r="F228" s="107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1680.256826786667</v>
      </c>
      <c r="K228" s="46"/>
      <c r="L228" s="47"/>
    </row>
    <row r="229" spans="1:12">
      <c r="A229" s="107" t="s">
        <v>90</v>
      </c>
      <c r="B229" s="107"/>
      <c r="C229" s="107"/>
      <c r="D229" s="107"/>
      <c r="E229" s="107"/>
      <c r="F229" s="107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>
      <c r="A230" s="106" t="s">
        <v>91</v>
      </c>
      <c r="B230" s="106"/>
      <c r="C230" s="106"/>
      <c r="D230" s="106"/>
      <c r="E230" s="106"/>
      <c r="F230" s="106"/>
      <c r="G230" s="21"/>
      <c r="H230" s="22"/>
      <c r="I230" s="21"/>
      <c r="J230" s="21">
        <f>J228-J229</f>
        <v>1590.256826786667</v>
      </c>
      <c r="K230" s="21"/>
      <c r="L230" s="21"/>
    </row>
    <row r="231" spans="1:12">
      <c r="A231" s="112" t="s">
        <v>92</v>
      </c>
      <c r="B231" s="112"/>
      <c r="C231" s="112"/>
      <c r="D231" s="112"/>
      <c r="E231" s="112"/>
      <c r="F231" s="112"/>
      <c r="G231" s="25"/>
      <c r="H231" s="48"/>
      <c r="I231" s="47"/>
      <c r="J231" s="49">
        <v>0</v>
      </c>
      <c r="K231" s="46"/>
      <c r="L231" s="47"/>
    </row>
    <row r="232" spans="1:12">
      <c r="A232" s="107" t="s">
        <v>93</v>
      </c>
      <c r="B232" s="107"/>
      <c r="C232" s="107"/>
      <c r="D232" s="107"/>
      <c r="E232" s="107"/>
      <c r="F232" s="107"/>
      <c r="G232" s="25"/>
      <c r="H232" s="48"/>
      <c r="I232" s="44"/>
      <c r="J232" s="28">
        <v>0</v>
      </c>
      <c r="K232" s="46"/>
      <c r="L232" s="47"/>
    </row>
    <row r="233" spans="1:12">
      <c r="A233" s="113" t="s">
        <v>94</v>
      </c>
      <c r="B233" s="113"/>
      <c r="C233" s="113"/>
      <c r="D233" s="113"/>
      <c r="E233" s="113"/>
      <c r="F233" s="113"/>
      <c r="G233" s="41"/>
      <c r="H233" s="42"/>
      <c r="I233" s="28">
        <f>1-0.98</f>
        <v>2.0000000000000018E-2</v>
      </c>
      <c r="J233" s="41"/>
      <c r="K233" s="43"/>
      <c r="L233" s="44"/>
    </row>
    <row r="234" spans="1:1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>
      <c r="A235" s="14" t="s">
        <v>95</v>
      </c>
      <c r="B235" s="14" t="s">
        <v>96</v>
      </c>
      <c r="C235" s="14" t="s">
        <v>97</v>
      </c>
      <c r="D235" s="104" t="s">
        <v>98</v>
      </c>
      <c r="E235" s="104"/>
      <c r="F235" s="104"/>
      <c r="G235" s="14" t="s">
        <v>99</v>
      </c>
      <c r="H235" s="50"/>
      <c r="I235" s="52">
        <f>I212+I233</f>
        <v>17125.59</v>
      </c>
      <c r="J235" s="52">
        <f>J223+J230+J231+J232</f>
        <v>2133.0947087866671</v>
      </c>
      <c r="K235" s="14" t="s">
        <v>100</v>
      </c>
      <c r="L235" s="52">
        <f>L223</f>
        <v>2007.2065269999998</v>
      </c>
    </row>
    <row r="236" spans="1:12">
      <c r="A236" s="52">
        <f>156555.24+I212</f>
        <v>173680.81</v>
      </c>
      <c r="B236" s="52">
        <f>111555.24+I213</f>
        <v>123680.81</v>
      </c>
      <c r="C236" s="52">
        <f>2419.2+J214</f>
        <v>2688</v>
      </c>
      <c r="D236" s="114">
        <f>15016.37+J230</f>
        <v>16606.626826786669</v>
      </c>
      <c r="E236" s="114"/>
      <c r="F236" s="114"/>
      <c r="G236" s="52">
        <f>136602.47+I235</f>
        <v>153728.06</v>
      </c>
      <c r="H236" s="104" t="s">
        <v>101</v>
      </c>
      <c r="I236" s="104"/>
      <c r="J236" s="52">
        <f>I235-J235</f>
        <v>14992.495291213334</v>
      </c>
      <c r="K236" s="14" t="s">
        <v>102</v>
      </c>
      <c r="L236" s="52">
        <f>20589.65+L235</f>
        <v>22596.856527</v>
      </c>
    </row>
    <row r="237" spans="1:1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16999.701818213332</v>
      </c>
    </row>
    <row r="241" spans="1:12">
      <c r="A241" s="105" t="s">
        <v>26</v>
      </c>
      <c r="B241" s="105"/>
      <c r="C241" s="105" t="s">
        <v>27</v>
      </c>
      <c r="D241" s="105"/>
      <c r="E241" s="105"/>
      <c r="F241" s="105"/>
      <c r="G241" s="105" t="s">
        <v>28</v>
      </c>
      <c r="H241" s="105"/>
      <c r="I241" s="105"/>
      <c r="J241" s="105" t="s">
        <v>29</v>
      </c>
      <c r="K241" s="105"/>
      <c r="L241" s="105"/>
    </row>
    <row r="242" spans="1:12">
      <c r="A242" s="14" t="s">
        <v>30</v>
      </c>
      <c r="B242" s="104" t="s">
        <v>31</v>
      </c>
      <c r="C242" s="104"/>
      <c r="D242" s="104"/>
      <c r="E242" s="104"/>
      <c r="F242" s="104"/>
      <c r="G242" s="104" t="s">
        <v>32</v>
      </c>
      <c r="H242" s="104"/>
      <c r="I242" s="104"/>
      <c r="J242" s="104"/>
      <c r="K242" s="104"/>
      <c r="L242" s="104"/>
    </row>
    <row r="243" spans="1:12">
      <c r="A243" s="16">
        <v>6</v>
      </c>
      <c r="B243" s="102" t="s">
        <v>110</v>
      </c>
      <c r="C243" s="102"/>
      <c r="D243" s="102"/>
      <c r="E243" s="102"/>
      <c r="F243" s="102"/>
      <c r="G243" s="103">
        <v>42491</v>
      </c>
      <c r="H243" s="103"/>
      <c r="I243" s="103"/>
      <c r="J243" s="103">
        <v>42521</v>
      </c>
      <c r="K243" s="103"/>
      <c r="L243" s="103"/>
    </row>
    <row r="244" spans="1:12">
      <c r="A244" s="14" t="s">
        <v>34</v>
      </c>
      <c r="B244" s="14" t="s">
        <v>35</v>
      </c>
      <c r="C244" s="14" t="s">
        <v>36</v>
      </c>
      <c r="D244" s="14" t="s">
        <v>37</v>
      </c>
      <c r="E244" s="14" t="s">
        <v>38</v>
      </c>
      <c r="F244" s="14" t="s">
        <v>39</v>
      </c>
      <c r="G244" s="104" t="s">
        <v>40</v>
      </c>
      <c r="H244" s="104"/>
      <c r="I244" s="104"/>
      <c r="J244" s="104"/>
      <c r="K244" s="104"/>
      <c r="L244" s="104"/>
    </row>
    <row r="245" spans="1:12">
      <c r="A245" s="17">
        <v>41821</v>
      </c>
      <c r="B245" s="16"/>
      <c r="C245" s="17">
        <v>31573</v>
      </c>
      <c r="D245" s="16" t="s">
        <v>111</v>
      </c>
      <c r="E245" s="16">
        <v>0</v>
      </c>
      <c r="F245" s="16">
        <v>0</v>
      </c>
      <c r="G245" s="102"/>
      <c r="H245" s="102"/>
      <c r="I245" s="102"/>
      <c r="J245" s="102"/>
      <c r="K245" s="102"/>
      <c r="L245" s="102"/>
    </row>
    <row r="246" spans="1:12">
      <c r="A246" s="14" t="s">
        <v>42</v>
      </c>
      <c r="B246" s="14" t="s">
        <v>43</v>
      </c>
      <c r="C246" s="14" t="s">
        <v>44</v>
      </c>
      <c r="D246" s="104" t="s">
        <v>45</v>
      </c>
      <c r="E246" s="104"/>
      <c r="F246" s="104"/>
      <c r="G246" s="104" t="s">
        <v>46</v>
      </c>
      <c r="H246" s="104"/>
      <c r="I246" s="104"/>
      <c r="J246" s="104"/>
      <c r="K246" s="104"/>
      <c r="L246" s="104"/>
    </row>
    <row r="247" spans="1:12">
      <c r="A247" s="16">
        <v>195441186</v>
      </c>
      <c r="B247" s="16"/>
      <c r="C247" s="16"/>
      <c r="D247" s="102" t="s">
        <v>47</v>
      </c>
      <c r="E247" s="102"/>
      <c r="F247" s="102"/>
      <c r="G247" s="102" t="s">
        <v>107</v>
      </c>
      <c r="H247" s="102"/>
      <c r="I247" s="102"/>
      <c r="J247" s="102"/>
      <c r="K247" s="102"/>
      <c r="L247" s="102"/>
    </row>
    <row r="248" spans="1:1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>
      <c r="A251" s="108" t="s">
        <v>49</v>
      </c>
      <c r="B251" s="108"/>
      <c r="C251" s="108"/>
      <c r="D251" s="108"/>
      <c r="E251" s="108"/>
      <c r="F251" s="108"/>
      <c r="G251" s="108" t="s">
        <v>50</v>
      </c>
      <c r="H251" s="108" t="s">
        <v>51</v>
      </c>
      <c r="I251" s="108" t="s">
        <v>52</v>
      </c>
      <c r="J251" s="108"/>
      <c r="K251" s="108" t="s">
        <v>53</v>
      </c>
      <c r="L251" s="108"/>
    </row>
    <row r="252" spans="1:12">
      <c r="A252" s="108"/>
      <c r="B252" s="108"/>
      <c r="C252" s="108"/>
      <c r="D252" s="108"/>
      <c r="E252" s="108"/>
      <c r="F252" s="108"/>
      <c r="G252" s="108"/>
      <c r="H252" s="108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>
      <c r="A253" s="106" t="s">
        <v>58</v>
      </c>
      <c r="B253" s="106"/>
      <c r="C253" s="106"/>
      <c r="D253" s="106"/>
      <c r="E253" s="106"/>
      <c r="F253" s="106"/>
      <c r="G253" s="21">
        <v>2895.13</v>
      </c>
      <c r="H253" s="22"/>
      <c r="I253" s="21"/>
      <c r="J253" s="21"/>
      <c r="K253" s="21"/>
      <c r="L253" s="21"/>
    </row>
    <row r="254" spans="1:12">
      <c r="A254" s="106" t="s">
        <v>59</v>
      </c>
      <c r="B254" s="106"/>
      <c r="C254" s="106"/>
      <c r="D254" s="106"/>
      <c r="E254" s="106"/>
      <c r="F254" s="106"/>
      <c r="G254" s="21"/>
      <c r="H254" s="21"/>
      <c r="I254" s="21">
        <f>IF(I255+I256-J257-J258+I259+I262+I263+I264+I260&lt;G253,I255+I256-J257-J258+I259+I262+I263+I264+I260,G253)</f>
        <v>2895.13</v>
      </c>
      <c r="J254" s="21"/>
      <c r="K254" s="21"/>
      <c r="L254" s="21"/>
    </row>
    <row r="255" spans="1:12">
      <c r="A255" s="107" t="s">
        <v>60</v>
      </c>
      <c r="B255" s="107"/>
      <c r="C255" s="107"/>
      <c r="D255" s="107"/>
      <c r="E255" s="107"/>
      <c r="F255" s="107"/>
      <c r="G255" s="23"/>
      <c r="H255" s="24">
        <v>26</v>
      </c>
      <c r="I255" s="23">
        <f>G253/26*H255</f>
        <v>2895.13</v>
      </c>
      <c r="J255" s="25"/>
      <c r="K255" s="26"/>
      <c r="L255" s="26"/>
    </row>
    <row r="256" spans="1:12">
      <c r="A256" s="107" t="s">
        <v>61</v>
      </c>
      <c r="B256" s="107"/>
      <c r="C256" s="107"/>
      <c r="D256" s="107"/>
      <c r="E256" s="107"/>
      <c r="F256" s="107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>
      <c r="A257" s="107" t="s">
        <v>62</v>
      </c>
      <c r="B257" s="107"/>
      <c r="C257" s="107"/>
      <c r="D257" s="107"/>
      <c r="E257" s="107"/>
      <c r="F257" s="107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>
      <c r="A258" s="107" t="s">
        <v>63</v>
      </c>
      <c r="B258" s="107"/>
      <c r="C258" s="107"/>
      <c r="D258" s="107"/>
      <c r="E258" s="107"/>
      <c r="F258" s="107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>
      <c r="A259" s="107" t="s">
        <v>64</v>
      </c>
      <c r="B259" s="107"/>
      <c r="C259" s="107"/>
      <c r="D259" s="107"/>
      <c r="E259" s="107"/>
      <c r="F259" s="107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>
      <c r="A260" s="107" t="s">
        <v>65</v>
      </c>
      <c r="B260" s="107"/>
      <c r="C260" s="107"/>
      <c r="D260" s="107"/>
      <c r="E260" s="107"/>
      <c r="F260" s="107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>
      <c r="A261" s="107" t="s">
        <v>66</v>
      </c>
      <c r="B261" s="107"/>
      <c r="C261" s="107"/>
      <c r="D261" s="107"/>
      <c r="E261" s="107"/>
      <c r="F261" s="107"/>
      <c r="G261" s="29"/>
      <c r="H261" s="30"/>
      <c r="I261" s="30"/>
      <c r="J261" s="25"/>
      <c r="K261" s="26"/>
      <c r="L261" s="26"/>
    </row>
    <row r="262" spans="1:12">
      <c r="A262" s="109">
        <v>0.25</v>
      </c>
      <c r="B262" s="109"/>
      <c r="C262" s="109"/>
      <c r="D262" s="109"/>
      <c r="E262" s="109"/>
      <c r="F262" s="109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>
      <c r="A263" s="109">
        <v>0.5</v>
      </c>
      <c r="B263" s="109"/>
      <c r="C263" s="109"/>
      <c r="D263" s="109"/>
      <c r="E263" s="109"/>
      <c r="F263" s="109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>
      <c r="A264" s="109">
        <v>1</v>
      </c>
      <c r="B264" s="109"/>
      <c r="C264" s="109"/>
      <c r="D264" s="109"/>
      <c r="E264" s="109"/>
      <c r="F264" s="109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>
      <c r="A265" s="106" t="s">
        <v>67</v>
      </c>
      <c r="B265" s="106"/>
      <c r="C265" s="106"/>
      <c r="D265" s="106"/>
      <c r="E265" s="106"/>
      <c r="F265" s="106"/>
      <c r="G265" s="21"/>
      <c r="H265" s="22"/>
      <c r="I265" s="21">
        <f>SUM(I266:I267)</f>
        <v>0</v>
      </c>
      <c r="J265" s="21"/>
      <c r="K265" s="21"/>
      <c r="L265" s="21"/>
    </row>
    <row r="266" spans="1:12">
      <c r="A266" s="107" t="s">
        <v>68</v>
      </c>
      <c r="B266" s="107"/>
      <c r="C266" s="107"/>
      <c r="D266" s="107"/>
      <c r="E266" s="107"/>
      <c r="F266" s="107"/>
      <c r="G266" s="23">
        <f>(G243-A245)/360</f>
        <v>1.8611111111111112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</v>
      </c>
      <c r="I266" s="23">
        <f>I254*H266</f>
        <v>0</v>
      </c>
      <c r="J266" s="25"/>
      <c r="K266" s="26"/>
      <c r="L266" s="26"/>
    </row>
    <row r="267" spans="1:12">
      <c r="A267" s="107" t="s">
        <v>69</v>
      </c>
      <c r="B267" s="107"/>
      <c r="C267" s="107"/>
      <c r="D267" s="107"/>
      <c r="E267" s="107"/>
      <c r="F267" s="107"/>
      <c r="G267" s="23"/>
      <c r="H267" s="24"/>
      <c r="I267" s="23"/>
      <c r="J267" s="25"/>
      <c r="K267" s="26"/>
      <c r="L267" s="26"/>
    </row>
    <row r="268" spans="1:12">
      <c r="A268" s="106" t="s">
        <v>70</v>
      </c>
      <c r="B268" s="106"/>
      <c r="C268" s="106"/>
      <c r="D268" s="106"/>
      <c r="E268" s="106"/>
      <c r="F268" s="106"/>
      <c r="G268" s="21"/>
      <c r="H268" s="22"/>
      <c r="I268" s="21">
        <f>SUM(I269:I271)</f>
        <v>300</v>
      </c>
      <c r="J268" s="21"/>
      <c r="K268" s="21"/>
      <c r="L268" s="21"/>
    </row>
    <row r="269" spans="1:12">
      <c r="A269" s="107" t="s">
        <v>71</v>
      </c>
      <c r="B269" s="107"/>
      <c r="C269" s="107"/>
      <c r="D269" s="107"/>
      <c r="E269" s="107"/>
      <c r="F269" s="107"/>
      <c r="G269" s="23"/>
      <c r="H269" s="24"/>
      <c r="I269" s="23">
        <v>300</v>
      </c>
      <c r="J269" s="25"/>
      <c r="K269" s="26"/>
      <c r="L269" s="26"/>
    </row>
    <row r="270" spans="1:12">
      <c r="A270" s="107" t="s">
        <v>72</v>
      </c>
      <c r="B270" s="107"/>
      <c r="C270" s="107"/>
      <c r="D270" s="107"/>
      <c r="E270" s="107"/>
      <c r="F270" s="107"/>
      <c r="G270" s="23"/>
      <c r="H270" s="31">
        <v>0</v>
      </c>
      <c r="I270" s="23"/>
      <c r="J270" s="25"/>
      <c r="K270" s="26"/>
      <c r="L270" s="26"/>
    </row>
    <row r="271" spans="1:12">
      <c r="A271" s="107" t="s">
        <v>73</v>
      </c>
      <c r="B271" s="107"/>
      <c r="C271" s="107"/>
      <c r="D271" s="107"/>
      <c r="E271" s="107"/>
      <c r="F271" s="107"/>
      <c r="G271" s="23"/>
      <c r="H271" s="24"/>
      <c r="I271" s="23"/>
      <c r="J271" s="25"/>
      <c r="K271" s="26"/>
      <c r="L271" s="26"/>
    </row>
    <row r="272" spans="1:12">
      <c r="A272" s="111" t="s">
        <v>74</v>
      </c>
      <c r="B272" s="111"/>
      <c r="C272" s="111"/>
      <c r="D272" s="111"/>
      <c r="E272" s="111"/>
      <c r="F272" s="111"/>
      <c r="G272" s="32"/>
      <c r="H272" s="33"/>
      <c r="I272" s="32">
        <f>I254+I265+I268</f>
        <v>3195.13</v>
      </c>
      <c r="J272" s="33"/>
      <c r="K272" s="33"/>
      <c r="L272" s="33"/>
    </row>
    <row r="273" spans="1:12">
      <c r="A273" s="111" t="s">
        <v>75</v>
      </c>
      <c r="B273" s="111"/>
      <c r="C273" s="111"/>
      <c r="D273" s="111"/>
      <c r="E273" s="111"/>
      <c r="F273" s="111"/>
      <c r="G273" s="32"/>
      <c r="H273" s="33"/>
      <c r="I273" s="32">
        <f>I272-I268</f>
        <v>2895.13</v>
      </c>
      <c r="J273" s="33"/>
      <c r="K273" s="33"/>
      <c r="L273" s="33"/>
    </row>
    <row r="274" spans="1:12">
      <c r="A274" s="107" t="s">
        <v>76</v>
      </c>
      <c r="B274" s="107"/>
      <c r="C274" s="107"/>
      <c r="D274" s="107"/>
      <c r="E274" s="107"/>
      <c r="F274" s="107"/>
      <c r="G274" s="23"/>
      <c r="H274" s="34">
        <f>[1]Taux!D$5+[1]Taux!D$6</f>
        <v>4.4800000000000006E-2</v>
      </c>
      <c r="I274" s="23"/>
      <c r="J274" s="23">
        <f>IF(I273&lt;6000,I273*H274,6000*H274)</f>
        <v>129.70182400000002</v>
      </c>
      <c r="K274" s="35">
        <f>[1]Taux!C$5+[1]Taux!C$6</f>
        <v>8.9799999999999991E-2</v>
      </c>
      <c r="L274" s="23">
        <f>IF(I273&lt;6000,I273*K274,6000*K274)</f>
        <v>259.98267399999997</v>
      </c>
    </row>
    <row r="275" spans="1:12">
      <c r="A275" s="107" t="s">
        <v>77</v>
      </c>
      <c r="B275" s="107"/>
      <c r="C275" s="107"/>
      <c r="D275" s="107"/>
      <c r="E275" s="107"/>
      <c r="F275" s="107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>
      <c r="A276" s="107" t="s">
        <v>78</v>
      </c>
      <c r="B276" s="107"/>
      <c r="C276" s="107"/>
      <c r="D276" s="107"/>
      <c r="E276" s="107"/>
      <c r="F276" s="107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57.902600000000007</v>
      </c>
    </row>
    <row r="277" spans="1:12">
      <c r="A277" s="107" t="s">
        <v>79</v>
      </c>
      <c r="B277" s="107"/>
      <c r="C277" s="107"/>
      <c r="D277" s="107"/>
      <c r="E277" s="107"/>
      <c r="F277" s="107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>
      <c r="A278" s="107" t="s">
        <v>80</v>
      </c>
      <c r="B278" s="107"/>
      <c r="C278" s="107"/>
      <c r="D278" s="107"/>
      <c r="E278" s="107"/>
      <c r="F278" s="107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>
      <c r="A279" s="107" t="s">
        <v>81</v>
      </c>
      <c r="B279" s="107"/>
      <c r="C279" s="107"/>
      <c r="D279" s="107"/>
      <c r="E279" s="107"/>
      <c r="F279" s="107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>
      <c r="A280" s="107" t="s">
        <v>24</v>
      </c>
      <c r="B280" s="107"/>
      <c r="C280" s="107"/>
      <c r="D280" s="107"/>
      <c r="E280" s="107"/>
      <c r="F280" s="107"/>
      <c r="G280" s="23"/>
      <c r="H280" s="34" t="str">
        <f>[1]Taux!D$7</f>
        <v>2,26%</v>
      </c>
      <c r="I280" s="23"/>
      <c r="J280" s="23">
        <f>I273*H280</f>
        <v>65.429937999999993</v>
      </c>
      <c r="K280" s="34" t="str">
        <f>[1]Taux!C$7</f>
        <v>4,11%</v>
      </c>
      <c r="L280" s="23">
        <f>I273*K280</f>
        <v>118.98984299999999</v>
      </c>
    </row>
    <row r="281" spans="1:12">
      <c r="A281" s="110" t="s">
        <v>82</v>
      </c>
      <c r="B281" s="110"/>
      <c r="C281" s="110"/>
      <c r="D281" s="110"/>
      <c r="E281" s="110"/>
      <c r="F281" s="110"/>
      <c r="G281" s="37"/>
      <c r="H281" s="38"/>
      <c r="I281" s="39"/>
      <c r="J281" s="40"/>
      <c r="K281" s="34" t="str">
        <f>[1]Taux!C$4</f>
        <v>6,40%</v>
      </c>
      <c r="L281" s="23">
        <f>I273*K281</f>
        <v>185.28832</v>
      </c>
    </row>
    <row r="282" spans="1:12">
      <c r="A282" s="110" t="s">
        <v>83</v>
      </c>
      <c r="B282" s="110"/>
      <c r="C282" s="110"/>
      <c r="D282" s="110"/>
      <c r="E282" s="110"/>
      <c r="F282" s="110"/>
      <c r="G282" s="41"/>
      <c r="H282" s="42"/>
      <c r="I282" s="43"/>
      <c r="J282" s="44"/>
      <c r="K282" s="34" t="str">
        <f>[1]Taux!C$8</f>
        <v>1,6 %</v>
      </c>
      <c r="L282" s="23">
        <f>I273*K282</f>
        <v>46.32208</v>
      </c>
    </row>
    <row r="283" spans="1:12">
      <c r="A283" s="106" t="s">
        <v>84</v>
      </c>
      <c r="B283" s="106"/>
      <c r="C283" s="106"/>
      <c r="D283" s="106"/>
      <c r="E283" s="106"/>
      <c r="F283" s="106"/>
      <c r="G283" s="21"/>
      <c r="H283" s="22"/>
      <c r="I283" s="22"/>
      <c r="J283" s="21">
        <f>SUM(J274:J280)</f>
        <v>195.13176200000001</v>
      </c>
      <c r="K283" s="21"/>
      <c r="L283" s="21">
        <f>SUM(L274:L282)</f>
        <v>668.48551699999996</v>
      </c>
    </row>
    <row r="284" spans="1:12">
      <c r="A284" s="107" t="s">
        <v>85</v>
      </c>
      <c r="B284" s="107"/>
      <c r="C284" s="107"/>
      <c r="D284" s="107"/>
      <c r="E284" s="107"/>
      <c r="F284" s="107"/>
      <c r="G284" s="23"/>
      <c r="H284" s="45">
        <v>0.2</v>
      </c>
      <c r="I284" s="23"/>
      <c r="J284" s="23">
        <f>IF(I273*H284&lt;2500,I273*H284,2500)</f>
        <v>579.02600000000007</v>
      </c>
      <c r="K284" s="46"/>
      <c r="L284" s="47"/>
    </row>
    <row r="285" spans="1:12">
      <c r="A285" s="111" t="s">
        <v>86</v>
      </c>
      <c r="B285" s="111"/>
      <c r="C285" s="111"/>
      <c r="D285" s="111"/>
      <c r="E285" s="111"/>
      <c r="F285" s="111"/>
      <c r="G285" s="32"/>
      <c r="H285" s="33"/>
      <c r="I285" s="32">
        <f>I273-J283-J284</f>
        <v>2120.9722380000003</v>
      </c>
      <c r="J285" s="33"/>
      <c r="K285" s="33"/>
      <c r="L285" s="33"/>
    </row>
    <row r="286" spans="1:12">
      <c r="A286" s="107" t="s">
        <v>87</v>
      </c>
      <c r="B286" s="107"/>
      <c r="C286" s="107"/>
      <c r="D286" s="107"/>
      <c r="E286" s="107"/>
      <c r="F286" s="107"/>
      <c r="G286" s="23"/>
      <c r="H286" s="34"/>
      <c r="I286" s="23">
        <f>H286*180/360</f>
        <v>0</v>
      </c>
      <c r="J286" s="23"/>
      <c r="K286" s="46"/>
      <c r="L286" s="47"/>
    </row>
    <row r="287" spans="1:12">
      <c r="A287" s="111" t="s">
        <v>88</v>
      </c>
      <c r="B287" s="111"/>
      <c r="C287" s="111"/>
      <c r="D287" s="111"/>
      <c r="E287" s="111"/>
      <c r="F287" s="111"/>
      <c r="G287" s="32"/>
      <c r="H287" s="33"/>
      <c r="I287" s="32">
        <f>I285-I286</f>
        <v>2120.9722380000003</v>
      </c>
      <c r="J287" s="33"/>
      <c r="K287" s="33"/>
      <c r="L287" s="33"/>
    </row>
    <row r="288" spans="1:12">
      <c r="A288" s="107" t="s">
        <v>89</v>
      </c>
      <c r="B288" s="107"/>
      <c r="C288" s="107"/>
      <c r="D288" s="107"/>
      <c r="E288" s="107"/>
      <c r="F288" s="107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0</v>
      </c>
      <c r="K288" s="46"/>
      <c r="L288" s="47"/>
    </row>
    <row r="289" spans="1:12">
      <c r="A289" s="107" t="s">
        <v>90</v>
      </c>
      <c r="B289" s="107"/>
      <c r="C289" s="107"/>
      <c r="D289" s="107"/>
      <c r="E289" s="107"/>
      <c r="F289" s="107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>
      <c r="A290" s="106" t="s">
        <v>91</v>
      </c>
      <c r="B290" s="106"/>
      <c r="C290" s="106"/>
      <c r="D290" s="106"/>
      <c r="E290" s="106"/>
      <c r="F290" s="106"/>
      <c r="G290" s="21"/>
      <c r="H290" s="22"/>
      <c r="I290" s="21"/>
      <c r="J290" s="21">
        <f>J288-J289</f>
        <v>0</v>
      </c>
      <c r="K290" s="21"/>
      <c r="L290" s="21"/>
    </row>
    <row r="291" spans="1:12">
      <c r="A291" s="112" t="s">
        <v>92</v>
      </c>
      <c r="B291" s="112"/>
      <c r="C291" s="112"/>
      <c r="D291" s="112"/>
      <c r="E291" s="112"/>
      <c r="F291" s="112"/>
      <c r="G291" s="25"/>
      <c r="H291" s="48"/>
      <c r="I291" s="47"/>
      <c r="J291" s="49">
        <v>0</v>
      </c>
      <c r="K291" s="46"/>
      <c r="L291" s="47"/>
    </row>
    <row r="292" spans="1:12">
      <c r="A292" s="107" t="s">
        <v>93</v>
      </c>
      <c r="B292" s="107"/>
      <c r="C292" s="107"/>
      <c r="D292" s="107"/>
      <c r="E292" s="107"/>
      <c r="F292" s="107"/>
      <c r="G292" s="25"/>
      <c r="H292" s="48"/>
      <c r="I292" s="44"/>
      <c r="J292" s="28"/>
      <c r="K292" s="46"/>
      <c r="L292" s="47"/>
    </row>
    <row r="293" spans="1:12">
      <c r="A293" s="113" t="s">
        <v>94</v>
      </c>
      <c r="B293" s="113"/>
      <c r="C293" s="113"/>
      <c r="D293" s="113"/>
      <c r="E293" s="113"/>
      <c r="F293" s="113"/>
      <c r="G293" s="41"/>
      <c r="H293" s="42"/>
      <c r="I293" s="28"/>
      <c r="J293" s="41"/>
      <c r="K293" s="43"/>
      <c r="L293" s="44"/>
    </row>
    <row r="294" spans="1:1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>
      <c r="A295" s="14" t="s">
        <v>95</v>
      </c>
      <c r="B295" s="14" t="s">
        <v>96</v>
      </c>
      <c r="C295" s="14" t="s">
        <v>97</v>
      </c>
      <c r="D295" s="104" t="s">
        <v>98</v>
      </c>
      <c r="E295" s="104"/>
      <c r="F295" s="104"/>
      <c r="G295" s="14" t="s">
        <v>99</v>
      </c>
      <c r="H295" s="50"/>
      <c r="I295" s="52">
        <f>I272+I293</f>
        <v>3195.13</v>
      </c>
      <c r="J295" s="52">
        <f>J283+J290+J291+J292</f>
        <v>195.13176200000001</v>
      </c>
      <c r="K295" s="14" t="s">
        <v>100</v>
      </c>
      <c r="L295" s="52">
        <f>L283</f>
        <v>668.48551699999996</v>
      </c>
    </row>
    <row r="296" spans="1:12">
      <c r="A296" s="52">
        <f>32114.9+I272</f>
        <v>35310.03</v>
      </c>
      <c r="B296" s="52">
        <f>29414.9+I273</f>
        <v>32310.030000000002</v>
      </c>
      <c r="C296" s="52">
        <f>1317.78+J274</f>
        <v>1447.481824</v>
      </c>
      <c r="D296" s="114">
        <f>132.35+J290</f>
        <v>132.35</v>
      </c>
      <c r="E296" s="114"/>
      <c r="F296" s="114"/>
      <c r="G296" s="52">
        <f>30000+I295</f>
        <v>33195.129999999997</v>
      </c>
      <c r="H296" s="104" t="s">
        <v>101</v>
      </c>
      <c r="I296" s="104"/>
      <c r="J296" s="52">
        <f>I295-J295</f>
        <v>2999.9982380000001</v>
      </c>
      <c r="K296" s="14" t="s">
        <v>102</v>
      </c>
      <c r="L296" s="52">
        <f>5864.92+L295</f>
        <v>6533.4055170000001</v>
      </c>
    </row>
    <row r="297" spans="1:1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3668.4837550000002</v>
      </c>
    </row>
    <row r="301" spans="1:12">
      <c r="A301" s="105" t="s">
        <v>26</v>
      </c>
      <c r="B301" s="105"/>
      <c r="C301" s="105" t="s">
        <v>27</v>
      </c>
      <c r="D301" s="105"/>
      <c r="E301" s="105"/>
      <c r="F301" s="105"/>
      <c r="G301" s="105" t="s">
        <v>28</v>
      </c>
      <c r="H301" s="105"/>
      <c r="I301" s="105"/>
      <c r="J301" s="105" t="s">
        <v>29</v>
      </c>
      <c r="K301" s="105"/>
      <c r="L301" s="105"/>
    </row>
    <row r="302" spans="1:12">
      <c r="A302" s="14" t="s">
        <v>30</v>
      </c>
      <c r="B302" s="104" t="s">
        <v>31</v>
      </c>
      <c r="C302" s="104"/>
      <c r="D302" s="104"/>
      <c r="E302" s="104"/>
      <c r="F302" s="104"/>
      <c r="G302" s="104" t="s">
        <v>32</v>
      </c>
      <c r="H302" s="104"/>
      <c r="I302" s="104"/>
      <c r="J302" s="104"/>
      <c r="K302" s="104"/>
      <c r="L302" s="104"/>
    </row>
    <row r="303" spans="1:12">
      <c r="A303" s="16">
        <v>7</v>
      </c>
      <c r="B303" s="102" t="s">
        <v>112</v>
      </c>
      <c r="C303" s="102"/>
      <c r="D303" s="102"/>
      <c r="E303" s="102"/>
      <c r="F303" s="102"/>
      <c r="G303" s="103">
        <v>42491</v>
      </c>
      <c r="H303" s="103"/>
      <c r="I303" s="103"/>
      <c r="J303" s="103">
        <v>42521</v>
      </c>
      <c r="K303" s="103"/>
      <c r="L303" s="103"/>
    </row>
    <row r="304" spans="1:12">
      <c r="A304" s="14" t="s">
        <v>34</v>
      </c>
      <c r="B304" s="14" t="s">
        <v>35</v>
      </c>
      <c r="C304" s="14" t="s">
        <v>36</v>
      </c>
      <c r="D304" s="14" t="s">
        <v>37</v>
      </c>
      <c r="E304" s="14" t="s">
        <v>38</v>
      </c>
      <c r="F304" s="14" t="s">
        <v>39</v>
      </c>
      <c r="G304" s="104" t="s">
        <v>40</v>
      </c>
      <c r="H304" s="104"/>
      <c r="I304" s="104"/>
      <c r="J304" s="104"/>
      <c r="K304" s="104"/>
      <c r="L304" s="104"/>
    </row>
    <row r="305" spans="1:12">
      <c r="A305" s="17">
        <v>42005</v>
      </c>
      <c r="B305" s="16"/>
      <c r="C305" s="17">
        <v>34565</v>
      </c>
      <c r="D305" s="16" t="s">
        <v>111</v>
      </c>
      <c r="E305" s="16">
        <v>0</v>
      </c>
      <c r="F305" s="16">
        <v>0</v>
      </c>
      <c r="G305" s="102"/>
      <c r="H305" s="102"/>
      <c r="I305" s="102"/>
      <c r="J305" s="102"/>
      <c r="K305" s="102"/>
      <c r="L305" s="102"/>
    </row>
    <row r="306" spans="1:12">
      <c r="A306" s="14" t="s">
        <v>42</v>
      </c>
      <c r="B306" s="14" t="s">
        <v>43</v>
      </c>
      <c r="C306" s="14" t="s">
        <v>44</v>
      </c>
      <c r="D306" s="104" t="s">
        <v>45</v>
      </c>
      <c r="E306" s="104"/>
      <c r="F306" s="104"/>
      <c r="G306" s="104" t="s">
        <v>46</v>
      </c>
      <c r="H306" s="104"/>
      <c r="I306" s="104"/>
      <c r="J306" s="104"/>
      <c r="K306" s="104"/>
      <c r="L306" s="104"/>
    </row>
    <row r="307" spans="1:12">
      <c r="A307" s="16">
        <v>168098097</v>
      </c>
      <c r="B307" s="16"/>
      <c r="C307" s="16"/>
      <c r="D307" s="102" t="s">
        <v>47</v>
      </c>
      <c r="E307" s="102"/>
      <c r="F307" s="102"/>
      <c r="G307" s="102" t="s">
        <v>107</v>
      </c>
      <c r="H307" s="102"/>
      <c r="I307" s="102"/>
      <c r="J307" s="102"/>
      <c r="K307" s="102"/>
      <c r="L307" s="102"/>
    </row>
    <row r="308" spans="1:1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>
      <c r="A311" s="108" t="s">
        <v>49</v>
      </c>
      <c r="B311" s="108"/>
      <c r="C311" s="108"/>
      <c r="D311" s="108"/>
      <c r="E311" s="108"/>
      <c r="F311" s="108"/>
      <c r="G311" s="108" t="s">
        <v>50</v>
      </c>
      <c r="H311" s="108" t="s">
        <v>51</v>
      </c>
      <c r="I311" s="108" t="s">
        <v>52</v>
      </c>
      <c r="J311" s="108"/>
      <c r="K311" s="108" t="s">
        <v>53</v>
      </c>
      <c r="L311" s="108"/>
    </row>
    <row r="312" spans="1:12">
      <c r="A312" s="108"/>
      <c r="B312" s="108"/>
      <c r="C312" s="108"/>
      <c r="D312" s="108"/>
      <c r="E312" s="108"/>
      <c r="F312" s="108"/>
      <c r="G312" s="108"/>
      <c r="H312" s="108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>
      <c r="A313" s="106" t="s">
        <v>58</v>
      </c>
      <c r="B313" s="106"/>
      <c r="C313" s="106"/>
      <c r="D313" s="106"/>
      <c r="E313" s="106"/>
      <c r="F313" s="106"/>
      <c r="G313" s="21">
        <v>2807.8</v>
      </c>
      <c r="H313" s="22"/>
      <c r="I313" s="21"/>
      <c r="J313" s="21"/>
      <c r="K313" s="21"/>
      <c r="L313" s="21"/>
    </row>
    <row r="314" spans="1:12">
      <c r="A314" s="106" t="s">
        <v>59</v>
      </c>
      <c r="B314" s="106"/>
      <c r="C314" s="106"/>
      <c r="D314" s="106"/>
      <c r="E314" s="106"/>
      <c r="F314" s="106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>
      <c r="A315" s="107" t="s">
        <v>60</v>
      </c>
      <c r="B315" s="107"/>
      <c r="C315" s="107"/>
      <c r="D315" s="107"/>
      <c r="E315" s="107"/>
      <c r="F315" s="107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>
      <c r="A316" s="107" t="s">
        <v>61</v>
      </c>
      <c r="B316" s="107"/>
      <c r="C316" s="107"/>
      <c r="D316" s="107"/>
      <c r="E316" s="107"/>
      <c r="F316" s="107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>
      <c r="A317" s="107" t="s">
        <v>62</v>
      </c>
      <c r="B317" s="107"/>
      <c r="C317" s="107"/>
      <c r="D317" s="107"/>
      <c r="E317" s="107"/>
      <c r="F317" s="107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>
      <c r="A318" s="107" t="s">
        <v>63</v>
      </c>
      <c r="B318" s="107"/>
      <c r="C318" s="107"/>
      <c r="D318" s="107"/>
      <c r="E318" s="107"/>
      <c r="F318" s="107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>
      <c r="A319" s="107" t="s">
        <v>64</v>
      </c>
      <c r="B319" s="107"/>
      <c r="C319" s="107"/>
      <c r="D319" s="107"/>
      <c r="E319" s="107"/>
      <c r="F319" s="107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>
      <c r="A320" s="107" t="s">
        <v>65</v>
      </c>
      <c r="B320" s="107"/>
      <c r="C320" s="107"/>
      <c r="D320" s="107"/>
      <c r="E320" s="107"/>
      <c r="F320" s="107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>
      <c r="A321" s="107" t="s">
        <v>66</v>
      </c>
      <c r="B321" s="107"/>
      <c r="C321" s="107"/>
      <c r="D321" s="107"/>
      <c r="E321" s="107"/>
      <c r="F321" s="107"/>
      <c r="G321" s="29"/>
      <c r="H321" s="30"/>
      <c r="I321" s="30"/>
      <c r="J321" s="25"/>
      <c r="K321" s="26"/>
      <c r="L321" s="26"/>
    </row>
    <row r="322" spans="1:12">
      <c r="A322" s="109">
        <v>0.25</v>
      </c>
      <c r="B322" s="109"/>
      <c r="C322" s="109"/>
      <c r="D322" s="109"/>
      <c r="E322" s="109"/>
      <c r="F322" s="109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>
      <c r="A323" s="109">
        <v>0.5</v>
      </c>
      <c r="B323" s="109"/>
      <c r="C323" s="109"/>
      <c r="D323" s="109"/>
      <c r="E323" s="109"/>
      <c r="F323" s="109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>
      <c r="A324" s="109">
        <v>1</v>
      </c>
      <c r="B324" s="109"/>
      <c r="C324" s="109"/>
      <c r="D324" s="109"/>
      <c r="E324" s="109"/>
      <c r="F324" s="109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>
      <c r="A325" s="106" t="s">
        <v>67</v>
      </c>
      <c r="B325" s="106"/>
      <c r="C325" s="106"/>
      <c r="D325" s="106"/>
      <c r="E325" s="106"/>
      <c r="F325" s="106"/>
      <c r="G325" s="21"/>
      <c r="H325" s="22"/>
      <c r="I325" s="21">
        <f>SUM(I326:I327)</f>
        <v>0</v>
      </c>
      <c r="J325" s="21"/>
      <c r="K325" s="21"/>
      <c r="L325" s="21"/>
    </row>
    <row r="326" spans="1:12">
      <c r="A326" s="107" t="s">
        <v>68</v>
      </c>
      <c r="B326" s="107"/>
      <c r="C326" s="107"/>
      <c r="D326" s="107"/>
      <c r="E326" s="107"/>
      <c r="F326" s="107"/>
      <c r="G326" s="23">
        <f>(G303-A305)/360</f>
        <v>1.35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>
      <c r="A327" s="107" t="s">
        <v>69</v>
      </c>
      <c r="B327" s="107"/>
      <c r="C327" s="107"/>
      <c r="D327" s="107"/>
      <c r="E327" s="107"/>
      <c r="F327" s="107"/>
      <c r="G327" s="23"/>
      <c r="H327" s="24"/>
      <c r="I327" s="23"/>
      <c r="J327" s="25"/>
      <c r="K327" s="26"/>
      <c r="L327" s="26"/>
    </row>
    <row r="328" spans="1:12">
      <c r="A328" s="106" t="s">
        <v>70</v>
      </c>
      <c r="B328" s="106"/>
      <c r="C328" s="106"/>
      <c r="D328" s="106"/>
      <c r="E328" s="106"/>
      <c r="F328" s="106"/>
      <c r="G328" s="21"/>
      <c r="H328" s="22"/>
      <c r="I328" s="21">
        <f>SUM(I329:I331)</f>
        <v>0</v>
      </c>
      <c r="J328" s="21"/>
      <c r="K328" s="21"/>
      <c r="L328" s="21"/>
    </row>
    <row r="329" spans="1:12">
      <c r="A329" s="107" t="s">
        <v>71</v>
      </c>
      <c r="B329" s="107"/>
      <c r="C329" s="107"/>
      <c r="D329" s="107"/>
      <c r="E329" s="107"/>
      <c r="F329" s="107"/>
      <c r="G329" s="23"/>
      <c r="H329" s="24"/>
      <c r="I329" s="23"/>
      <c r="J329" s="25"/>
      <c r="K329" s="26"/>
      <c r="L329" s="26"/>
    </row>
    <row r="330" spans="1:12">
      <c r="A330" s="107" t="s">
        <v>72</v>
      </c>
      <c r="B330" s="107"/>
      <c r="C330" s="107"/>
      <c r="D330" s="107"/>
      <c r="E330" s="107"/>
      <c r="F330" s="107"/>
      <c r="G330" s="23"/>
      <c r="H330" s="31">
        <v>0</v>
      </c>
      <c r="I330" s="23"/>
      <c r="J330" s="25"/>
      <c r="K330" s="26"/>
      <c r="L330" s="26"/>
    </row>
    <row r="331" spans="1:12">
      <c r="A331" s="107" t="s">
        <v>73</v>
      </c>
      <c r="B331" s="107"/>
      <c r="C331" s="107"/>
      <c r="D331" s="107"/>
      <c r="E331" s="107"/>
      <c r="F331" s="107"/>
      <c r="G331" s="23"/>
      <c r="H331" s="24"/>
      <c r="I331" s="23"/>
      <c r="J331" s="25"/>
      <c r="K331" s="26"/>
      <c r="L331" s="26"/>
    </row>
    <row r="332" spans="1:12">
      <c r="A332" s="111" t="s">
        <v>74</v>
      </c>
      <c r="B332" s="111"/>
      <c r="C332" s="111"/>
      <c r="D332" s="111"/>
      <c r="E332" s="111"/>
      <c r="F332" s="111"/>
      <c r="G332" s="32"/>
      <c r="H332" s="33"/>
      <c r="I332" s="32">
        <f>I314+I325+I328</f>
        <v>2807.8</v>
      </c>
      <c r="J332" s="33"/>
      <c r="K332" s="33"/>
      <c r="L332" s="33"/>
    </row>
    <row r="333" spans="1:12">
      <c r="A333" s="111" t="s">
        <v>75</v>
      </c>
      <c r="B333" s="111"/>
      <c r="C333" s="111"/>
      <c r="D333" s="111"/>
      <c r="E333" s="111"/>
      <c r="F333" s="111"/>
      <c r="G333" s="32"/>
      <c r="H333" s="33"/>
      <c r="I333" s="32">
        <f>I332-I328</f>
        <v>2807.8</v>
      </c>
      <c r="J333" s="33"/>
      <c r="K333" s="33"/>
      <c r="L333" s="33"/>
    </row>
    <row r="334" spans="1:12">
      <c r="A334" s="107" t="s">
        <v>76</v>
      </c>
      <c r="B334" s="107"/>
      <c r="C334" s="107"/>
      <c r="D334" s="107"/>
      <c r="E334" s="107"/>
      <c r="F334" s="107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>
      <c r="A335" s="107" t="s">
        <v>77</v>
      </c>
      <c r="B335" s="107"/>
      <c r="C335" s="107"/>
      <c r="D335" s="107"/>
      <c r="E335" s="107"/>
      <c r="F335" s="107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>
      <c r="A336" s="107" t="s">
        <v>78</v>
      </c>
      <c r="B336" s="107"/>
      <c r="C336" s="107"/>
      <c r="D336" s="107"/>
      <c r="E336" s="107"/>
      <c r="F336" s="107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>
      <c r="A337" s="107" t="s">
        <v>79</v>
      </c>
      <c r="B337" s="107"/>
      <c r="C337" s="107"/>
      <c r="D337" s="107"/>
      <c r="E337" s="107"/>
      <c r="F337" s="107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>
      <c r="A338" s="107" t="s">
        <v>80</v>
      </c>
      <c r="B338" s="107"/>
      <c r="C338" s="107"/>
      <c r="D338" s="107"/>
      <c r="E338" s="107"/>
      <c r="F338" s="107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>
      <c r="A339" s="107" t="s">
        <v>81</v>
      </c>
      <c r="B339" s="107"/>
      <c r="C339" s="107"/>
      <c r="D339" s="107"/>
      <c r="E339" s="107"/>
      <c r="F339" s="107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>
      <c r="A340" s="107" t="s">
        <v>24</v>
      </c>
      <c r="B340" s="107"/>
      <c r="C340" s="107"/>
      <c r="D340" s="107"/>
      <c r="E340" s="107"/>
      <c r="F340" s="107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>
      <c r="A341" s="110" t="s">
        <v>82</v>
      </c>
      <c r="B341" s="110"/>
      <c r="C341" s="110"/>
      <c r="D341" s="110"/>
      <c r="E341" s="110"/>
      <c r="F341" s="110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>
      <c r="A342" s="110" t="s">
        <v>83</v>
      </c>
      <c r="B342" s="110"/>
      <c r="C342" s="110"/>
      <c r="D342" s="110"/>
      <c r="E342" s="110"/>
      <c r="F342" s="110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>
      <c r="A343" s="106" t="s">
        <v>84</v>
      </c>
      <c r="B343" s="106"/>
      <c r="C343" s="106"/>
      <c r="D343" s="106"/>
      <c r="E343" s="106"/>
      <c r="F343" s="106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>
      <c r="A344" s="107" t="s">
        <v>85</v>
      </c>
      <c r="B344" s="107"/>
      <c r="C344" s="107"/>
      <c r="D344" s="107"/>
      <c r="E344" s="107"/>
      <c r="F344" s="107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>
      <c r="A345" s="111" t="s">
        <v>86</v>
      </c>
      <c r="B345" s="111"/>
      <c r="C345" s="111"/>
      <c r="D345" s="111"/>
      <c r="E345" s="111"/>
      <c r="F345" s="111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>
      <c r="A346" s="107" t="s">
        <v>87</v>
      </c>
      <c r="B346" s="107"/>
      <c r="C346" s="107"/>
      <c r="D346" s="107"/>
      <c r="E346" s="107"/>
      <c r="F346" s="107"/>
      <c r="G346" s="23"/>
      <c r="H346" s="34"/>
      <c r="I346" s="23">
        <f>H346*180/360</f>
        <v>0</v>
      </c>
      <c r="J346" s="23"/>
      <c r="K346" s="46"/>
      <c r="L346" s="47"/>
    </row>
    <row r="347" spans="1:12">
      <c r="A347" s="111" t="s">
        <v>88</v>
      </c>
      <c r="B347" s="111"/>
      <c r="C347" s="111"/>
      <c r="D347" s="111"/>
      <c r="E347" s="111"/>
      <c r="F347" s="111"/>
      <c r="G347" s="32"/>
      <c r="H347" s="33"/>
      <c r="I347" s="32">
        <f>I345-I346</f>
        <v>2056.9942800000003</v>
      </c>
      <c r="J347" s="33"/>
      <c r="K347" s="33"/>
      <c r="L347" s="33"/>
    </row>
    <row r="348" spans="1:12">
      <c r="A348" s="107" t="s">
        <v>89</v>
      </c>
      <c r="B348" s="107"/>
      <c r="C348" s="107"/>
      <c r="D348" s="107"/>
      <c r="E348" s="107"/>
      <c r="F348" s="107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>
      <c r="A349" s="107" t="s">
        <v>90</v>
      </c>
      <c r="B349" s="107"/>
      <c r="C349" s="107"/>
      <c r="D349" s="107"/>
      <c r="E349" s="107"/>
      <c r="F349" s="107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>
      <c r="A350" s="106" t="s">
        <v>91</v>
      </c>
      <c r="B350" s="106"/>
      <c r="C350" s="106"/>
      <c r="D350" s="106"/>
      <c r="E350" s="106"/>
      <c r="F350" s="106"/>
      <c r="G350" s="21"/>
      <c r="H350" s="22"/>
      <c r="I350" s="21"/>
      <c r="J350" s="21">
        <f>J348-J349</f>
        <v>0</v>
      </c>
      <c r="K350" s="21"/>
      <c r="L350" s="21"/>
    </row>
    <row r="351" spans="1:12">
      <c r="A351" s="112" t="s">
        <v>92</v>
      </c>
      <c r="B351" s="112"/>
      <c r="C351" s="112"/>
      <c r="D351" s="112"/>
      <c r="E351" s="112"/>
      <c r="F351" s="112"/>
      <c r="G351" s="25"/>
      <c r="H351" s="48"/>
      <c r="I351" s="47"/>
      <c r="J351" s="49">
        <v>0</v>
      </c>
      <c r="K351" s="46"/>
      <c r="L351" s="47"/>
    </row>
    <row r="352" spans="1:12">
      <c r="A352" s="107" t="s">
        <v>93</v>
      </c>
      <c r="B352" s="107"/>
      <c r="C352" s="107"/>
      <c r="D352" s="107"/>
      <c r="E352" s="107"/>
      <c r="F352" s="107"/>
      <c r="G352" s="25"/>
      <c r="H352" s="48"/>
      <c r="I352" s="44"/>
      <c r="J352" s="28">
        <v>0</v>
      </c>
      <c r="K352" s="46"/>
      <c r="L352" s="47"/>
    </row>
    <row r="353" spans="1:12">
      <c r="A353" s="113" t="s">
        <v>94</v>
      </c>
      <c r="B353" s="113"/>
      <c r="C353" s="113"/>
      <c r="D353" s="113"/>
      <c r="E353" s="113"/>
      <c r="F353" s="113"/>
      <c r="G353" s="41"/>
      <c r="H353" s="42"/>
      <c r="I353" s="28">
        <f>1-0.55</f>
        <v>0.44999999999999996</v>
      </c>
      <c r="J353" s="41"/>
      <c r="K353" s="43"/>
      <c r="L353" s="44"/>
    </row>
    <row r="354" spans="1:1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>
      <c r="A355" s="14" t="s">
        <v>95</v>
      </c>
      <c r="B355" s="14" t="s">
        <v>96</v>
      </c>
      <c r="C355" s="14" t="s">
        <v>97</v>
      </c>
      <c r="D355" s="104" t="s">
        <v>98</v>
      </c>
      <c r="E355" s="104"/>
      <c r="F355" s="104"/>
      <c r="G355" s="14" t="s">
        <v>99</v>
      </c>
      <c r="H355" s="50"/>
      <c r="I355" s="52">
        <f>I332+I353</f>
        <v>2808.25</v>
      </c>
      <c r="J355" s="52">
        <f>J343+J350+J351+J352</f>
        <v>189.24572000000003</v>
      </c>
      <c r="K355" s="14" t="s">
        <v>100</v>
      </c>
      <c r="L355" s="52">
        <f>L343</f>
        <v>648.32101999999998</v>
      </c>
    </row>
    <row r="356" spans="1:12">
      <c r="A356" s="52">
        <f>25270.2+I332</f>
        <v>28078</v>
      </c>
      <c r="B356" s="52">
        <f>25270.2+I333</f>
        <v>28078</v>
      </c>
      <c r="C356" s="52">
        <f>1132.11+J334</f>
        <v>1257.8994399999999</v>
      </c>
      <c r="D356" s="114">
        <f>0+J350</f>
        <v>0</v>
      </c>
      <c r="E356" s="114"/>
      <c r="F356" s="114"/>
      <c r="G356" s="52">
        <f>17071.02+I355</f>
        <v>19879.27</v>
      </c>
      <c r="H356" s="104" t="s">
        <v>101</v>
      </c>
      <c r="I356" s="104"/>
      <c r="J356" s="52">
        <f>I355-J355</f>
        <v>2619.0042800000001</v>
      </c>
      <c r="K356" s="14" t="s">
        <v>102</v>
      </c>
      <c r="L356" s="52">
        <f>5834.88+L355</f>
        <v>6483.2010200000004</v>
      </c>
    </row>
    <row r="357" spans="1:1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3267.3253</v>
      </c>
    </row>
    <row r="361" spans="1:12">
      <c r="A361" s="105" t="s">
        <v>26</v>
      </c>
      <c r="B361" s="105"/>
      <c r="C361" s="105" t="s">
        <v>27</v>
      </c>
      <c r="D361" s="105"/>
      <c r="E361" s="105"/>
      <c r="F361" s="105"/>
      <c r="G361" s="105" t="s">
        <v>28</v>
      </c>
      <c r="H361" s="105"/>
      <c r="I361" s="105"/>
      <c r="J361" s="105" t="s">
        <v>29</v>
      </c>
      <c r="K361" s="105"/>
      <c r="L361" s="105"/>
    </row>
    <row r="362" spans="1:12">
      <c r="A362" s="14" t="s">
        <v>30</v>
      </c>
      <c r="B362" s="104" t="s">
        <v>31</v>
      </c>
      <c r="C362" s="104"/>
      <c r="D362" s="104"/>
      <c r="E362" s="104"/>
      <c r="F362" s="104"/>
      <c r="G362" s="104" t="s">
        <v>32</v>
      </c>
      <c r="H362" s="104"/>
      <c r="I362" s="104"/>
      <c r="J362" s="104"/>
      <c r="K362" s="104"/>
      <c r="L362" s="104"/>
    </row>
    <row r="363" spans="1:12">
      <c r="A363" s="16">
        <v>8</v>
      </c>
      <c r="B363" s="102" t="s">
        <v>113</v>
      </c>
      <c r="C363" s="102"/>
      <c r="D363" s="102"/>
      <c r="E363" s="102"/>
      <c r="F363" s="102"/>
      <c r="G363" s="103">
        <v>42491</v>
      </c>
      <c r="H363" s="103"/>
      <c r="I363" s="103"/>
      <c r="J363" s="103">
        <v>42521</v>
      </c>
      <c r="K363" s="103"/>
      <c r="L363" s="103"/>
    </row>
    <row r="364" spans="1:12">
      <c r="A364" s="14" t="s">
        <v>34</v>
      </c>
      <c r="B364" s="14" t="s">
        <v>35</v>
      </c>
      <c r="C364" s="14" t="s">
        <v>36</v>
      </c>
      <c r="D364" s="14" t="s">
        <v>37</v>
      </c>
      <c r="E364" s="14" t="s">
        <v>38</v>
      </c>
      <c r="F364" s="14" t="s">
        <v>39</v>
      </c>
      <c r="G364" s="104" t="s">
        <v>40</v>
      </c>
      <c r="H364" s="104"/>
      <c r="I364" s="104"/>
      <c r="J364" s="104"/>
      <c r="K364" s="104"/>
      <c r="L364" s="104"/>
    </row>
    <row r="365" spans="1:12">
      <c r="A365" s="17">
        <v>42278</v>
      </c>
      <c r="B365" s="16"/>
      <c r="C365" s="17">
        <v>33665</v>
      </c>
      <c r="D365" s="16" t="s">
        <v>111</v>
      </c>
      <c r="E365" s="16">
        <v>0</v>
      </c>
      <c r="F365" s="16">
        <v>0</v>
      </c>
      <c r="G365" s="102"/>
      <c r="H365" s="102"/>
      <c r="I365" s="102"/>
      <c r="J365" s="102"/>
      <c r="K365" s="102"/>
      <c r="L365" s="102"/>
    </row>
    <row r="366" spans="1:12">
      <c r="A366" s="14" t="s">
        <v>42</v>
      </c>
      <c r="B366" s="14" t="s">
        <v>43</v>
      </c>
      <c r="C366" s="14" t="s">
        <v>44</v>
      </c>
      <c r="D366" s="104" t="s">
        <v>45</v>
      </c>
      <c r="E366" s="104"/>
      <c r="F366" s="104"/>
      <c r="G366" s="104" t="s">
        <v>116</v>
      </c>
      <c r="H366" s="104"/>
      <c r="I366" s="104"/>
      <c r="J366" s="104"/>
      <c r="K366" s="104"/>
      <c r="L366" s="104"/>
    </row>
    <row r="367" spans="1:12">
      <c r="A367" s="16">
        <v>164315198</v>
      </c>
      <c r="B367" s="16"/>
      <c r="C367" s="16"/>
      <c r="D367" s="102" t="s">
        <v>47</v>
      </c>
      <c r="E367" s="102"/>
      <c r="F367" s="102"/>
      <c r="G367" s="102" t="s">
        <v>114</v>
      </c>
      <c r="H367" s="102"/>
      <c r="I367" s="102"/>
      <c r="J367" s="102"/>
      <c r="K367" s="102"/>
      <c r="L367" s="102"/>
    </row>
    <row r="368" spans="1:1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>
      <c r="A371" s="108" t="s">
        <v>49</v>
      </c>
      <c r="B371" s="108"/>
      <c r="C371" s="108"/>
      <c r="D371" s="108"/>
      <c r="E371" s="108"/>
      <c r="F371" s="108"/>
      <c r="G371" s="108" t="s">
        <v>50</v>
      </c>
      <c r="H371" s="108" t="s">
        <v>51</v>
      </c>
      <c r="I371" s="108" t="s">
        <v>52</v>
      </c>
      <c r="J371" s="108"/>
      <c r="K371" s="108" t="s">
        <v>53</v>
      </c>
      <c r="L371" s="108"/>
    </row>
    <row r="372" spans="1:12">
      <c r="A372" s="108"/>
      <c r="B372" s="108"/>
      <c r="C372" s="108"/>
      <c r="D372" s="108"/>
      <c r="E372" s="108"/>
      <c r="F372" s="108"/>
      <c r="G372" s="108"/>
      <c r="H372" s="108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>
      <c r="A373" s="106" t="s">
        <v>58</v>
      </c>
      <c r="B373" s="106"/>
      <c r="C373" s="106"/>
      <c r="D373" s="106"/>
      <c r="E373" s="106"/>
      <c r="F373" s="106"/>
      <c r="G373" s="21">
        <v>3665.6</v>
      </c>
      <c r="H373" s="22"/>
      <c r="I373" s="21"/>
      <c r="J373" s="21"/>
      <c r="K373" s="21"/>
      <c r="L373" s="21"/>
    </row>
    <row r="374" spans="1:12">
      <c r="A374" s="106" t="s">
        <v>59</v>
      </c>
      <c r="B374" s="106"/>
      <c r="C374" s="106"/>
      <c r="D374" s="106"/>
      <c r="E374" s="106"/>
      <c r="F374" s="106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>
      <c r="A375" s="107" t="s">
        <v>60</v>
      </c>
      <c r="B375" s="107"/>
      <c r="C375" s="107"/>
      <c r="D375" s="107"/>
      <c r="E375" s="107"/>
      <c r="F375" s="107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>
      <c r="A376" s="107" t="s">
        <v>61</v>
      </c>
      <c r="B376" s="107"/>
      <c r="C376" s="107"/>
      <c r="D376" s="107"/>
      <c r="E376" s="107"/>
      <c r="F376" s="107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>
      <c r="A377" s="107" t="s">
        <v>62</v>
      </c>
      <c r="B377" s="107"/>
      <c r="C377" s="107"/>
      <c r="D377" s="107"/>
      <c r="E377" s="107"/>
      <c r="F377" s="107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>
      <c r="A378" s="107" t="s">
        <v>63</v>
      </c>
      <c r="B378" s="107"/>
      <c r="C378" s="107"/>
      <c r="D378" s="107"/>
      <c r="E378" s="107"/>
      <c r="F378" s="107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>
      <c r="A379" s="107" t="s">
        <v>64</v>
      </c>
      <c r="B379" s="107"/>
      <c r="C379" s="107"/>
      <c r="D379" s="107"/>
      <c r="E379" s="107"/>
      <c r="F379" s="107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>
      <c r="A380" s="107" t="s">
        <v>65</v>
      </c>
      <c r="B380" s="107"/>
      <c r="C380" s="107"/>
      <c r="D380" s="107"/>
      <c r="E380" s="107"/>
      <c r="F380" s="107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>
      <c r="A381" s="107" t="s">
        <v>66</v>
      </c>
      <c r="B381" s="107"/>
      <c r="C381" s="107"/>
      <c r="D381" s="107"/>
      <c r="E381" s="107"/>
      <c r="F381" s="107"/>
      <c r="G381" s="29"/>
      <c r="H381" s="30"/>
      <c r="I381" s="30"/>
      <c r="J381" s="25"/>
      <c r="K381" s="26"/>
      <c r="L381" s="26"/>
    </row>
    <row r="382" spans="1:12">
      <c r="A382" s="109">
        <v>0.25</v>
      </c>
      <c r="B382" s="109"/>
      <c r="C382" s="109"/>
      <c r="D382" s="109"/>
      <c r="E382" s="109"/>
      <c r="F382" s="109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>
      <c r="A383" s="109">
        <v>0.5</v>
      </c>
      <c r="B383" s="109"/>
      <c r="C383" s="109"/>
      <c r="D383" s="109"/>
      <c r="E383" s="109"/>
      <c r="F383" s="109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>
      <c r="A384" s="109">
        <v>1</v>
      </c>
      <c r="B384" s="109"/>
      <c r="C384" s="109"/>
      <c r="D384" s="109"/>
      <c r="E384" s="109"/>
      <c r="F384" s="109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>
      <c r="A385" s="106" t="s">
        <v>67</v>
      </c>
      <c r="B385" s="106"/>
      <c r="C385" s="106"/>
      <c r="D385" s="106"/>
      <c r="E385" s="106"/>
      <c r="F385" s="106"/>
      <c r="G385" s="21"/>
      <c r="H385" s="22"/>
      <c r="I385" s="21">
        <f>SUM(I386:I387)</f>
        <v>0</v>
      </c>
      <c r="J385" s="21"/>
      <c r="K385" s="21"/>
      <c r="L385" s="21"/>
    </row>
    <row r="386" spans="1:12">
      <c r="A386" s="107" t="s">
        <v>68</v>
      </c>
      <c r="B386" s="107"/>
      <c r="C386" s="107"/>
      <c r="D386" s="107"/>
      <c r="E386" s="107"/>
      <c r="F386" s="107"/>
      <c r="G386" s="23">
        <f>(G363-A365)/360</f>
        <v>0.59166666666666667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>
      <c r="A387" s="107" t="s">
        <v>69</v>
      </c>
      <c r="B387" s="107"/>
      <c r="C387" s="107"/>
      <c r="D387" s="107"/>
      <c r="E387" s="107"/>
      <c r="F387" s="107"/>
      <c r="G387" s="23"/>
      <c r="H387" s="24"/>
      <c r="I387" s="23"/>
      <c r="J387" s="25"/>
      <c r="K387" s="26"/>
      <c r="L387" s="26"/>
    </row>
    <row r="388" spans="1:12">
      <c r="A388" s="106" t="s">
        <v>70</v>
      </c>
      <c r="B388" s="106"/>
      <c r="C388" s="106"/>
      <c r="D388" s="106"/>
      <c r="E388" s="106"/>
      <c r="F388" s="106"/>
      <c r="G388" s="21"/>
      <c r="H388" s="22"/>
      <c r="I388" s="21">
        <f>SUM(I389:I391)</f>
        <v>600</v>
      </c>
      <c r="J388" s="21"/>
      <c r="K388" s="21"/>
      <c r="L388" s="21"/>
    </row>
    <row r="389" spans="1:12">
      <c r="A389" s="107" t="s">
        <v>71</v>
      </c>
      <c r="B389" s="107"/>
      <c r="C389" s="107"/>
      <c r="D389" s="107"/>
      <c r="E389" s="107"/>
      <c r="F389" s="107"/>
      <c r="G389" s="23"/>
      <c r="H389" s="24"/>
      <c r="I389" s="23">
        <v>600</v>
      </c>
      <c r="J389" s="25"/>
      <c r="K389" s="26"/>
      <c r="L389" s="26"/>
    </row>
    <row r="390" spans="1:12">
      <c r="A390" s="107" t="s">
        <v>72</v>
      </c>
      <c r="B390" s="107"/>
      <c r="C390" s="107"/>
      <c r="D390" s="107"/>
      <c r="E390" s="107"/>
      <c r="F390" s="107"/>
      <c r="G390" s="23"/>
      <c r="H390" s="31">
        <v>0</v>
      </c>
      <c r="I390" s="23"/>
      <c r="J390" s="25"/>
      <c r="K390" s="26"/>
      <c r="L390" s="26"/>
    </row>
    <row r="391" spans="1:12">
      <c r="A391" s="107" t="s">
        <v>73</v>
      </c>
      <c r="B391" s="107"/>
      <c r="C391" s="107"/>
      <c r="D391" s="107"/>
      <c r="E391" s="107"/>
      <c r="F391" s="107"/>
      <c r="G391" s="23"/>
      <c r="H391" s="24"/>
      <c r="I391" s="23"/>
      <c r="J391" s="25"/>
      <c r="K391" s="26"/>
      <c r="L391" s="26"/>
    </row>
    <row r="392" spans="1:12">
      <c r="A392" s="111" t="s">
        <v>74</v>
      </c>
      <c r="B392" s="111"/>
      <c r="C392" s="111"/>
      <c r="D392" s="111"/>
      <c r="E392" s="111"/>
      <c r="F392" s="111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>
      <c r="A393" s="111" t="s">
        <v>75</v>
      </c>
      <c r="B393" s="111"/>
      <c r="C393" s="111"/>
      <c r="D393" s="111"/>
      <c r="E393" s="111"/>
      <c r="F393" s="111"/>
      <c r="G393" s="32"/>
      <c r="H393" s="33"/>
      <c r="I393" s="32">
        <f>I392-I388</f>
        <v>3665.6000000000004</v>
      </c>
      <c r="J393" s="33"/>
      <c r="K393" s="33"/>
      <c r="L393" s="33"/>
    </row>
    <row r="394" spans="1:12">
      <c r="A394" s="107" t="s">
        <v>76</v>
      </c>
      <c r="B394" s="107"/>
      <c r="C394" s="107"/>
      <c r="D394" s="107"/>
      <c r="E394" s="107"/>
      <c r="F394" s="107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>
      <c r="A395" s="107" t="s">
        <v>77</v>
      </c>
      <c r="B395" s="107"/>
      <c r="C395" s="107"/>
      <c r="D395" s="107"/>
      <c r="E395" s="107"/>
      <c r="F395" s="107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>
      <c r="A396" s="107" t="s">
        <v>78</v>
      </c>
      <c r="B396" s="107"/>
      <c r="C396" s="107"/>
      <c r="D396" s="107"/>
      <c r="E396" s="107"/>
      <c r="F396" s="107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>
      <c r="A397" s="107" t="s">
        <v>79</v>
      </c>
      <c r="B397" s="107"/>
      <c r="C397" s="107"/>
      <c r="D397" s="107"/>
      <c r="E397" s="107"/>
      <c r="F397" s="107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>
      <c r="A398" s="107" t="s">
        <v>80</v>
      </c>
      <c r="B398" s="107"/>
      <c r="C398" s="107"/>
      <c r="D398" s="107"/>
      <c r="E398" s="107"/>
      <c r="F398" s="107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>
      <c r="A399" s="107" t="s">
        <v>81</v>
      </c>
      <c r="B399" s="107"/>
      <c r="C399" s="107"/>
      <c r="D399" s="107"/>
      <c r="E399" s="107"/>
      <c r="F399" s="107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>
      <c r="A400" s="107" t="s">
        <v>24</v>
      </c>
      <c r="B400" s="107"/>
      <c r="C400" s="107"/>
      <c r="D400" s="107"/>
      <c r="E400" s="107"/>
      <c r="F400" s="107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>
      <c r="A401" s="110" t="s">
        <v>82</v>
      </c>
      <c r="B401" s="110"/>
      <c r="C401" s="110"/>
      <c r="D401" s="110"/>
      <c r="E401" s="110"/>
      <c r="F401" s="110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>
      <c r="A402" s="110" t="s">
        <v>83</v>
      </c>
      <c r="B402" s="110"/>
      <c r="C402" s="110"/>
      <c r="D402" s="110"/>
      <c r="E402" s="110"/>
      <c r="F402" s="110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>
      <c r="A403" s="106" t="s">
        <v>84</v>
      </c>
      <c r="B403" s="106"/>
      <c r="C403" s="106"/>
      <c r="D403" s="106"/>
      <c r="E403" s="106"/>
      <c r="F403" s="106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>
      <c r="A404" s="107" t="s">
        <v>85</v>
      </c>
      <c r="B404" s="107"/>
      <c r="C404" s="107"/>
      <c r="D404" s="107"/>
      <c r="E404" s="107"/>
      <c r="F404" s="107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>
      <c r="A405" s="111" t="s">
        <v>86</v>
      </c>
      <c r="B405" s="111"/>
      <c r="C405" s="111"/>
      <c r="D405" s="111"/>
      <c r="E405" s="111"/>
      <c r="F405" s="111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>
      <c r="A406" s="107" t="s">
        <v>87</v>
      </c>
      <c r="B406" s="107"/>
      <c r="C406" s="107"/>
      <c r="D406" s="107"/>
      <c r="E406" s="107"/>
      <c r="F406" s="107"/>
      <c r="G406" s="23"/>
      <c r="H406" s="34"/>
      <c r="I406" s="23">
        <f>H406*180/360</f>
        <v>0</v>
      </c>
      <c r="J406" s="23"/>
      <c r="K406" s="46"/>
      <c r="L406" s="47"/>
    </row>
    <row r="407" spans="1:12">
      <c r="A407" s="111" t="s">
        <v>115</v>
      </c>
      <c r="B407" s="111"/>
      <c r="C407" s="111"/>
      <c r="D407" s="111"/>
      <c r="E407" s="111"/>
      <c r="F407" s="111"/>
      <c r="G407" s="32"/>
      <c r="H407" s="33"/>
      <c r="I407" s="32">
        <f>I405-I406</f>
        <v>2685.4185600000001</v>
      </c>
      <c r="J407" s="33"/>
      <c r="K407" s="33"/>
      <c r="L407" s="33"/>
    </row>
    <row r="408" spans="1:12">
      <c r="A408" s="107" t="s">
        <v>89</v>
      </c>
      <c r="B408" s="107"/>
      <c r="C408" s="107"/>
      <c r="D408" s="107"/>
      <c r="E408" s="107"/>
      <c r="F408" s="107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>
      <c r="A409" s="107" t="s">
        <v>90</v>
      </c>
      <c r="B409" s="107"/>
      <c r="C409" s="107"/>
      <c r="D409" s="107"/>
      <c r="E409" s="107"/>
      <c r="F409" s="107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>
      <c r="A410" s="106" t="s">
        <v>91</v>
      </c>
      <c r="B410" s="106"/>
      <c r="C410" s="106"/>
      <c r="D410" s="106"/>
      <c r="E410" s="106"/>
      <c r="F410" s="106"/>
      <c r="G410" s="21"/>
      <c r="H410" s="22"/>
      <c r="I410" s="21"/>
      <c r="J410" s="21">
        <f>J408-J409</f>
        <v>18.541855999999996</v>
      </c>
      <c r="K410" s="21"/>
      <c r="L410" s="21"/>
    </row>
    <row r="411" spans="1:12">
      <c r="A411" s="112" t="s">
        <v>92</v>
      </c>
      <c r="B411" s="112"/>
      <c r="C411" s="112"/>
      <c r="D411" s="112"/>
      <c r="E411" s="112"/>
      <c r="F411" s="112"/>
      <c r="G411" s="25"/>
      <c r="H411" s="48"/>
      <c r="I411" s="47"/>
      <c r="J411" s="49">
        <v>0</v>
      </c>
      <c r="K411" s="46"/>
      <c r="L411" s="47"/>
    </row>
    <row r="412" spans="1:12">
      <c r="A412" s="107" t="s">
        <v>93</v>
      </c>
      <c r="B412" s="107"/>
      <c r="C412" s="107"/>
      <c r="D412" s="107"/>
      <c r="E412" s="107"/>
      <c r="F412" s="107"/>
      <c r="G412" s="25"/>
      <c r="H412" s="48"/>
      <c r="I412" s="44"/>
      <c r="J412" s="28">
        <v>0</v>
      </c>
      <c r="K412" s="46"/>
      <c r="L412" s="47"/>
    </row>
    <row r="413" spans="1:12">
      <c r="A413" s="113" t="s">
        <v>94</v>
      </c>
      <c r="B413" s="113"/>
      <c r="C413" s="113"/>
      <c r="D413" s="113"/>
      <c r="E413" s="113"/>
      <c r="F413" s="113"/>
      <c r="G413" s="41"/>
      <c r="H413" s="42"/>
      <c r="I413" s="28"/>
      <c r="J413" s="41"/>
      <c r="K413" s="43"/>
      <c r="L413" s="44"/>
    </row>
    <row r="414" spans="1:1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>
      <c r="A415" s="14" t="s">
        <v>95</v>
      </c>
      <c r="B415" s="14" t="s">
        <v>96</v>
      </c>
      <c r="C415" s="14" t="s">
        <v>97</v>
      </c>
      <c r="D415" s="104" t="s">
        <v>98</v>
      </c>
      <c r="E415" s="104"/>
      <c r="F415" s="104"/>
      <c r="G415" s="14" t="s">
        <v>99</v>
      </c>
      <c r="H415" s="50"/>
      <c r="I415" s="52">
        <f>I392+I413</f>
        <v>4265.6000000000004</v>
      </c>
      <c r="J415" s="52">
        <f>J403+J410+J411+J412</f>
        <v>265.60329600000006</v>
      </c>
      <c r="K415" s="14" t="s">
        <v>100</v>
      </c>
      <c r="L415" s="52">
        <f>L403</f>
        <v>846.38704000000007</v>
      </c>
    </row>
    <row r="416" spans="1:12">
      <c r="A416" s="52">
        <f>38390.4+I392</f>
        <v>42656</v>
      </c>
      <c r="B416" s="52">
        <f>32990.4+I393</f>
        <v>36656</v>
      </c>
      <c r="C416" s="52">
        <f>1477.98+J394</f>
        <v>1642.1988800000001</v>
      </c>
      <c r="D416" s="114">
        <f>166.87+J410</f>
        <v>185.411856</v>
      </c>
      <c r="E416" s="114"/>
      <c r="F416" s="114"/>
      <c r="G416" s="52">
        <f>36000+I415</f>
        <v>40265.599999999999</v>
      </c>
      <c r="H416" s="104" t="s">
        <v>101</v>
      </c>
      <c r="I416" s="104"/>
      <c r="J416" s="52">
        <f>I415-J415</f>
        <v>3999.9967040000001</v>
      </c>
      <c r="K416" s="14" t="s">
        <v>102</v>
      </c>
      <c r="L416" s="52">
        <f>8246.37+L415</f>
        <v>9092.7570400000004</v>
      </c>
    </row>
    <row r="417" spans="1:1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17"/>
  <sheetViews>
    <sheetView workbookViewId="0">
      <selection activeCell="J284" sqref="J284"/>
    </sheetView>
  </sheetViews>
  <sheetFormatPr baseColWidth="10" defaultRowHeight="15"/>
  <sheetData>
    <row r="1" spans="1:12">
      <c r="A1" s="105" t="s">
        <v>26</v>
      </c>
      <c r="B1" s="105"/>
      <c r="C1" s="105" t="s">
        <v>27</v>
      </c>
      <c r="D1" s="105"/>
      <c r="E1" s="105"/>
      <c r="F1" s="105"/>
      <c r="G1" s="105" t="s">
        <v>28</v>
      </c>
      <c r="H1" s="105"/>
      <c r="I1" s="105"/>
      <c r="J1" s="105" t="s">
        <v>29</v>
      </c>
      <c r="K1" s="105"/>
      <c r="L1" s="105"/>
    </row>
    <row r="2" spans="1:12">
      <c r="A2" s="14" t="s">
        <v>30</v>
      </c>
      <c r="B2" s="104" t="s">
        <v>31</v>
      </c>
      <c r="C2" s="104"/>
      <c r="D2" s="104"/>
      <c r="E2" s="104"/>
      <c r="F2" s="104"/>
      <c r="G2" s="104" t="s">
        <v>32</v>
      </c>
      <c r="H2" s="104"/>
      <c r="I2" s="104"/>
      <c r="J2" s="104"/>
      <c r="K2" s="104"/>
      <c r="L2" s="104"/>
    </row>
    <row r="3" spans="1:12">
      <c r="A3" s="16">
        <v>1</v>
      </c>
      <c r="B3" s="102" t="s">
        <v>33</v>
      </c>
      <c r="C3" s="102"/>
      <c r="D3" s="102"/>
      <c r="E3" s="102"/>
      <c r="F3" s="102"/>
      <c r="G3" s="103">
        <v>42522</v>
      </c>
      <c r="H3" s="103"/>
      <c r="I3" s="103"/>
      <c r="J3" s="103">
        <v>42551</v>
      </c>
      <c r="K3" s="103"/>
      <c r="L3" s="103"/>
    </row>
    <row r="4" spans="1:12">
      <c r="A4" s="14" t="s">
        <v>34</v>
      </c>
      <c r="B4" s="14" t="s">
        <v>35</v>
      </c>
      <c r="C4" s="14" t="s">
        <v>36</v>
      </c>
      <c r="D4" s="14" t="s">
        <v>37</v>
      </c>
      <c r="E4" s="14" t="s">
        <v>38</v>
      </c>
      <c r="F4" s="14" t="s">
        <v>39</v>
      </c>
      <c r="G4" s="104" t="s">
        <v>40</v>
      </c>
      <c r="H4" s="104"/>
      <c r="I4" s="104"/>
      <c r="J4" s="104"/>
      <c r="K4" s="104"/>
      <c r="L4" s="104"/>
    </row>
    <row r="5" spans="1:12">
      <c r="A5" s="17">
        <v>41501</v>
      </c>
      <c r="B5" s="16"/>
      <c r="C5" s="17">
        <v>24624</v>
      </c>
      <c r="D5" s="16" t="s">
        <v>41</v>
      </c>
      <c r="E5" s="16">
        <v>0</v>
      </c>
      <c r="F5" s="16">
        <v>0</v>
      </c>
      <c r="G5" s="102"/>
      <c r="H5" s="102"/>
      <c r="I5" s="102"/>
      <c r="J5" s="102"/>
      <c r="K5" s="102"/>
      <c r="L5" s="102"/>
    </row>
    <row r="6" spans="1:12">
      <c r="A6" s="14" t="s">
        <v>42</v>
      </c>
      <c r="B6" s="14" t="s">
        <v>43</v>
      </c>
      <c r="C6" s="14" t="s">
        <v>44</v>
      </c>
      <c r="D6" s="104" t="s">
        <v>45</v>
      </c>
      <c r="E6" s="104"/>
      <c r="F6" s="104"/>
      <c r="G6" s="104" t="s">
        <v>46</v>
      </c>
      <c r="H6" s="104"/>
      <c r="I6" s="104"/>
      <c r="J6" s="104"/>
      <c r="K6" s="104"/>
      <c r="L6" s="104"/>
    </row>
    <row r="7" spans="1:12">
      <c r="A7" s="16">
        <v>189838836</v>
      </c>
      <c r="B7" s="16"/>
      <c r="C7" s="16"/>
      <c r="D7" s="102" t="s">
        <v>47</v>
      </c>
      <c r="E7" s="102"/>
      <c r="F7" s="102"/>
      <c r="G7" s="102" t="s">
        <v>48</v>
      </c>
      <c r="H7" s="102"/>
      <c r="I7" s="102"/>
      <c r="J7" s="102"/>
      <c r="K7" s="102"/>
      <c r="L7" s="102"/>
    </row>
    <row r="8" spans="1:1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108" t="s">
        <v>49</v>
      </c>
      <c r="B11" s="108"/>
      <c r="C11" s="108"/>
      <c r="D11" s="108"/>
      <c r="E11" s="108"/>
      <c r="F11" s="108"/>
      <c r="G11" s="108" t="s">
        <v>50</v>
      </c>
      <c r="H11" s="108" t="s">
        <v>51</v>
      </c>
      <c r="I11" s="108" t="s">
        <v>52</v>
      </c>
      <c r="J11" s="108"/>
      <c r="K11" s="108" t="s">
        <v>53</v>
      </c>
      <c r="L11" s="108"/>
    </row>
    <row r="12" spans="1:12">
      <c r="A12" s="108"/>
      <c r="B12" s="108"/>
      <c r="C12" s="108"/>
      <c r="D12" s="108"/>
      <c r="E12" s="108"/>
      <c r="F12" s="108"/>
      <c r="G12" s="108"/>
      <c r="H12" s="108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>
      <c r="A13" s="106" t="s">
        <v>58</v>
      </c>
      <c r="B13" s="106"/>
      <c r="C13" s="106"/>
      <c r="D13" s="106"/>
      <c r="E13" s="106"/>
      <c r="F13" s="106"/>
      <c r="G13" s="21">
        <v>12255.93</v>
      </c>
      <c r="H13" s="22"/>
      <c r="I13" s="21"/>
      <c r="J13" s="21"/>
      <c r="K13" s="21"/>
      <c r="L13" s="21"/>
    </row>
    <row r="14" spans="1:12">
      <c r="A14" s="106" t="s">
        <v>59</v>
      </c>
      <c r="B14" s="106"/>
      <c r="C14" s="106"/>
      <c r="D14" s="106"/>
      <c r="E14" s="106"/>
      <c r="F14" s="106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>
      <c r="A15" s="107" t="s">
        <v>60</v>
      </c>
      <c r="B15" s="107"/>
      <c r="C15" s="107"/>
      <c r="D15" s="107"/>
      <c r="E15" s="107"/>
      <c r="F15" s="107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>
      <c r="A16" s="107" t="s">
        <v>61</v>
      </c>
      <c r="B16" s="107"/>
      <c r="C16" s="107"/>
      <c r="D16" s="107"/>
      <c r="E16" s="107"/>
      <c r="F16" s="107"/>
      <c r="G16" s="23"/>
      <c r="H16" s="24">
        <v>0</v>
      </c>
      <c r="I16" s="23">
        <f>G13/26*H16</f>
        <v>0</v>
      </c>
      <c r="J16" s="25"/>
      <c r="K16" s="26"/>
      <c r="L16" s="26"/>
    </row>
    <row r="17" spans="1:12">
      <c r="A17" s="107" t="s">
        <v>62</v>
      </c>
      <c r="B17" s="107"/>
      <c r="C17" s="107"/>
      <c r="D17" s="107"/>
      <c r="E17" s="107"/>
      <c r="F17" s="107"/>
      <c r="G17" s="23"/>
      <c r="H17" s="24">
        <v>0</v>
      </c>
      <c r="I17" s="23"/>
      <c r="J17" s="27">
        <f>G13/26*H17</f>
        <v>0</v>
      </c>
      <c r="K17" s="26"/>
      <c r="L17" s="26"/>
    </row>
    <row r="18" spans="1:12">
      <c r="A18" s="107" t="s">
        <v>63</v>
      </c>
      <c r="B18" s="107"/>
      <c r="C18" s="107"/>
      <c r="D18" s="107"/>
      <c r="E18" s="107"/>
      <c r="F18" s="107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>
      <c r="A19" s="107" t="s">
        <v>64</v>
      </c>
      <c r="B19" s="107"/>
      <c r="C19" s="107"/>
      <c r="D19" s="107"/>
      <c r="E19" s="107"/>
      <c r="F19" s="107"/>
      <c r="G19" s="23"/>
      <c r="H19" s="24">
        <v>0</v>
      </c>
      <c r="I19" s="23">
        <f>G13/26*H19</f>
        <v>0</v>
      </c>
      <c r="J19" s="25"/>
      <c r="K19" s="26"/>
      <c r="L19" s="26"/>
    </row>
    <row r="20" spans="1:12">
      <c r="A20" s="107" t="s">
        <v>65</v>
      </c>
      <c r="B20" s="107"/>
      <c r="C20" s="107"/>
      <c r="D20" s="107"/>
      <c r="E20" s="107"/>
      <c r="F20" s="107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>
      <c r="A21" s="107" t="s">
        <v>66</v>
      </c>
      <c r="B21" s="107"/>
      <c r="C21" s="107"/>
      <c r="D21" s="107"/>
      <c r="E21" s="107"/>
      <c r="F21" s="107"/>
      <c r="G21" s="29"/>
      <c r="H21" s="30"/>
      <c r="I21" s="30"/>
      <c r="J21" s="25"/>
      <c r="K21" s="26"/>
      <c r="L21" s="26"/>
    </row>
    <row r="22" spans="1:12">
      <c r="A22" s="109">
        <v>0.25</v>
      </c>
      <c r="B22" s="109"/>
      <c r="C22" s="109"/>
      <c r="D22" s="109"/>
      <c r="E22" s="109"/>
      <c r="F22" s="109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>
      <c r="A23" s="109">
        <v>0.5</v>
      </c>
      <c r="B23" s="109"/>
      <c r="C23" s="109"/>
      <c r="D23" s="109"/>
      <c r="E23" s="109"/>
      <c r="F23" s="109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>
      <c r="A24" s="109">
        <v>1</v>
      </c>
      <c r="B24" s="109"/>
      <c r="C24" s="109"/>
      <c r="D24" s="109"/>
      <c r="E24" s="109"/>
      <c r="F24" s="109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>
      <c r="A25" s="106" t="s">
        <v>67</v>
      </c>
      <c r="B25" s="106"/>
      <c r="C25" s="106"/>
      <c r="D25" s="106"/>
      <c r="E25" s="106"/>
      <c r="F25" s="106"/>
      <c r="G25" s="21"/>
      <c r="H25" s="22"/>
      <c r="I25" s="21">
        <f>SUM(I26:I27)</f>
        <v>612.79650000000004</v>
      </c>
      <c r="J25" s="21"/>
      <c r="K25" s="21"/>
      <c r="L25" s="21"/>
    </row>
    <row r="26" spans="1:12">
      <c r="A26" s="107" t="s">
        <v>68</v>
      </c>
      <c r="B26" s="107"/>
      <c r="C26" s="107"/>
      <c r="D26" s="107"/>
      <c r="E26" s="107"/>
      <c r="F26" s="107"/>
      <c r="G26" s="23">
        <f>(G3-A5)/360</f>
        <v>2.8361111111111112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>
      <c r="A27" s="107" t="s">
        <v>69</v>
      </c>
      <c r="B27" s="107"/>
      <c r="C27" s="107"/>
      <c r="D27" s="107"/>
      <c r="E27" s="107"/>
      <c r="F27" s="107"/>
      <c r="G27" s="23"/>
      <c r="H27" s="24"/>
      <c r="I27" s="23"/>
      <c r="J27" s="25"/>
      <c r="K27" s="26"/>
      <c r="L27" s="26"/>
    </row>
    <row r="28" spans="1:12">
      <c r="A28" s="106" t="s">
        <v>70</v>
      </c>
      <c r="B28" s="106"/>
      <c r="C28" s="106"/>
      <c r="D28" s="106"/>
      <c r="E28" s="106"/>
      <c r="F28" s="106"/>
      <c r="G28" s="21"/>
      <c r="H28" s="22"/>
      <c r="I28" s="21">
        <f>SUM(I29:I31)</f>
        <v>5000</v>
      </c>
      <c r="J28" s="21"/>
      <c r="K28" s="21"/>
      <c r="L28" s="21"/>
    </row>
    <row r="29" spans="1:12">
      <c r="A29" s="107" t="s">
        <v>71</v>
      </c>
      <c r="B29" s="107"/>
      <c r="C29" s="107"/>
      <c r="D29" s="107"/>
      <c r="E29" s="107"/>
      <c r="F29" s="107"/>
      <c r="G29" s="23"/>
      <c r="H29" s="24"/>
      <c r="I29" s="23">
        <v>2500</v>
      </c>
      <c r="J29" s="25"/>
      <c r="K29" s="26"/>
      <c r="L29" s="26"/>
    </row>
    <row r="30" spans="1:12">
      <c r="A30" s="107" t="s">
        <v>72</v>
      </c>
      <c r="B30" s="107"/>
      <c r="C30" s="107"/>
      <c r="D30" s="107"/>
      <c r="E30" s="107"/>
      <c r="F30" s="107"/>
      <c r="G30" s="23"/>
      <c r="H30" s="31">
        <v>0</v>
      </c>
      <c r="I30" s="23">
        <v>2500</v>
      </c>
      <c r="J30" s="25"/>
      <c r="K30" s="26"/>
      <c r="L30" s="26"/>
    </row>
    <row r="31" spans="1:12">
      <c r="A31" s="107" t="s">
        <v>73</v>
      </c>
      <c r="B31" s="107"/>
      <c r="C31" s="107"/>
      <c r="D31" s="107"/>
      <c r="E31" s="107"/>
      <c r="F31" s="107"/>
      <c r="G31" s="23"/>
      <c r="H31" s="24"/>
      <c r="I31" s="23"/>
      <c r="J31" s="25"/>
      <c r="K31" s="26"/>
      <c r="L31" s="26"/>
    </row>
    <row r="32" spans="1:12">
      <c r="A32" s="111" t="s">
        <v>74</v>
      </c>
      <c r="B32" s="111"/>
      <c r="C32" s="111"/>
      <c r="D32" s="111"/>
      <c r="E32" s="111"/>
      <c r="F32" s="111"/>
      <c r="G32" s="32"/>
      <c r="H32" s="33"/>
      <c r="I32" s="32">
        <f>I14+I25+I28</f>
        <v>17868.726500000001</v>
      </c>
      <c r="J32" s="33"/>
      <c r="K32" s="33"/>
      <c r="L32" s="33"/>
    </row>
    <row r="33" spans="1:12">
      <c r="A33" s="111" t="s">
        <v>75</v>
      </c>
      <c r="B33" s="111"/>
      <c r="C33" s="111"/>
      <c r="D33" s="111"/>
      <c r="E33" s="111"/>
      <c r="F33" s="111"/>
      <c r="G33" s="32"/>
      <c r="H33" s="33"/>
      <c r="I33" s="32">
        <f>I32-I28</f>
        <v>12868.726500000001</v>
      </c>
      <c r="J33" s="33"/>
      <c r="K33" s="33"/>
      <c r="L33" s="33"/>
    </row>
    <row r="34" spans="1:12">
      <c r="A34" s="107" t="s">
        <v>76</v>
      </c>
      <c r="B34" s="107"/>
      <c r="C34" s="107"/>
      <c r="D34" s="107"/>
      <c r="E34" s="107"/>
      <c r="F34" s="107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>
      <c r="A35" s="107" t="s">
        <v>77</v>
      </c>
      <c r="B35" s="107"/>
      <c r="C35" s="107"/>
      <c r="D35" s="107"/>
      <c r="E35" s="107"/>
      <c r="F35" s="107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>
      <c r="A36" s="107" t="s">
        <v>78</v>
      </c>
      <c r="B36" s="107"/>
      <c r="C36" s="107"/>
      <c r="D36" s="107"/>
      <c r="E36" s="107"/>
      <c r="F36" s="107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>
      <c r="A37" s="107" t="s">
        <v>79</v>
      </c>
      <c r="B37" s="107"/>
      <c r="C37" s="107"/>
      <c r="D37" s="107"/>
      <c r="E37" s="107"/>
      <c r="F37" s="107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>
      <c r="A38" s="107" t="s">
        <v>80</v>
      </c>
      <c r="B38" s="107"/>
      <c r="C38" s="107"/>
      <c r="D38" s="107"/>
      <c r="E38" s="107"/>
      <c r="F38" s="107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>
      <c r="A39" s="107" t="s">
        <v>81</v>
      </c>
      <c r="B39" s="107"/>
      <c r="C39" s="107"/>
      <c r="D39" s="107"/>
      <c r="E39" s="107"/>
      <c r="F39" s="107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>
      <c r="A40" s="107" t="s">
        <v>24</v>
      </c>
      <c r="B40" s="107"/>
      <c r="C40" s="107"/>
      <c r="D40" s="107"/>
      <c r="E40" s="107"/>
      <c r="F40" s="107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>
      <c r="A41" s="110" t="s">
        <v>82</v>
      </c>
      <c r="B41" s="110"/>
      <c r="C41" s="110"/>
      <c r="D41" s="110"/>
      <c r="E41" s="110"/>
      <c r="F41" s="110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>
      <c r="A42" s="110" t="s">
        <v>83</v>
      </c>
      <c r="B42" s="110"/>
      <c r="C42" s="110"/>
      <c r="D42" s="110"/>
      <c r="E42" s="110"/>
      <c r="F42" s="110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>
      <c r="A43" s="106" t="s">
        <v>84</v>
      </c>
      <c r="B43" s="106"/>
      <c r="C43" s="106"/>
      <c r="D43" s="106"/>
      <c r="E43" s="106"/>
      <c r="F43" s="106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>
      <c r="A44" s="107" t="s">
        <v>85</v>
      </c>
      <c r="B44" s="107"/>
      <c r="C44" s="107"/>
      <c r="D44" s="107"/>
      <c r="E44" s="107"/>
      <c r="F44" s="107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>
      <c r="A45" s="111" t="s">
        <v>86</v>
      </c>
      <c r="B45" s="111"/>
      <c r="C45" s="111"/>
      <c r="D45" s="111"/>
      <c r="E45" s="111"/>
      <c r="F45" s="111"/>
      <c r="G45" s="32"/>
      <c r="H45" s="33"/>
      <c r="I45" s="32">
        <f>I33-J43-J44</f>
        <v>9423.0314861000006</v>
      </c>
      <c r="J45" s="33"/>
      <c r="K45" s="33"/>
      <c r="L45" s="33"/>
    </row>
    <row r="46" spans="1:12">
      <c r="A46" s="107" t="s">
        <v>87</v>
      </c>
      <c r="B46" s="107"/>
      <c r="C46" s="107"/>
      <c r="D46" s="107"/>
      <c r="E46" s="107"/>
      <c r="F46" s="107"/>
      <c r="G46" s="23"/>
      <c r="H46" s="34"/>
      <c r="I46" s="23">
        <f>H46*180/360</f>
        <v>0</v>
      </c>
      <c r="J46" s="23"/>
      <c r="K46" s="46"/>
      <c r="L46" s="47"/>
    </row>
    <row r="47" spans="1:12">
      <c r="A47" s="111" t="s">
        <v>88</v>
      </c>
      <c r="B47" s="111"/>
      <c r="C47" s="111"/>
      <c r="D47" s="111"/>
      <c r="E47" s="111"/>
      <c r="F47" s="111"/>
      <c r="G47" s="32"/>
      <c r="H47" s="33"/>
      <c r="I47" s="32">
        <f>I45-I46</f>
        <v>9423.0314861000006</v>
      </c>
      <c r="J47" s="33"/>
      <c r="K47" s="33"/>
      <c r="L47" s="33"/>
    </row>
    <row r="48" spans="1:12">
      <c r="A48" s="107" t="s">
        <v>89</v>
      </c>
      <c r="B48" s="107"/>
      <c r="C48" s="107"/>
      <c r="D48" s="107"/>
      <c r="E48" s="107"/>
      <c r="F48" s="107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>
      <c r="A49" s="107" t="s">
        <v>90</v>
      </c>
      <c r="B49" s="107"/>
      <c r="C49" s="107"/>
      <c r="D49" s="107"/>
      <c r="E49" s="107"/>
      <c r="F49" s="107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>
      <c r="A50" s="106" t="s">
        <v>91</v>
      </c>
      <c r="B50" s="106"/>
      <c r="C50" s="106"/>
      <c r="D50" s="106"/>
      <c r="E50" s="106"/>
      <c r="F50" s="106"/>
      <c r="G50" s="21"/>
      <c r="H50" s="22"/>
      <c r="I50" s="21"/>
      <c r="J50" s="21">
        <f>J48-J49</f>
        <v>1770.4973719406673</v>
      </c>
      <c r="K50" s="21"/>
      <c r="L50" s="21"/>
    </row>
    <row r="51" spans="1:12">
      <c r="A51" s="112" t="s">
        <v>92</v>
      </c>
      <c r="B51" s="112"/>
      <c r="C51" s="112"/>
      <c r="D51" s="112"/>
      <c r="E51" s="112"/>
      <c r="F51" s="112"/>
      <c r="G51" s="25"/>
      <c r="H51" s="48"/>
      <c r="I51" s="47"/>
      <c r="J51" s="49">
        <v>0</v>
      </c>
      <c r="K51" s="46"/>
      <c r="L51" s="47"/>
    </row>
    <row r="52" spans="1:12">
      <c r="A52" s="107" t="s">
        <v>93</v>
      </c>
      <c r="B52" s="107"/>
      <c r="C52" s="107"/>
      <c r="D52" s="107"/>
      <c r="E52" s="107"/>
      <c r="F52" s="107"/>
      <c r="G52" s="25"/>
      <c r="H52" s="48"/>
      <c r="I52" s="44"/>
      <c r="J52" s="28">
        <v>0</v>
      </c>
      <c r="K52" s="46"/>
      <c r="L52" s="47"/>
    </row>
    <row r="53" spans="1:12">
      <c r="A53" s="113" t="s">
        <v>94</v>
      </c>
      <c r="B53" s="113"/>
      <c r="C53" s="113"/>
      <c r="D53" s="113"/>
      <c r="E53" s="113"/>
      <c r="F53" s="113"/>
      <c r="G53" s="41"/>
      <c r="H53" s="42"/>
      <c r="I53" s="28">
        <f>1-0.53</f>
        <v>0.47</v>
      </c>
      <c r="J53" s="41"/>
      <c r="K53" s="43"/>
      <c r="L53" s="44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14" t="s">
        <v>95</v>
      </c>
      <c r="B55" s="14" t="s">
        <v>96</v>
      </c>
      <c r="C55" s="14" t="s">
        <v>97</v>
      </c>
      <c r="D55" s="104" t="s">
        <v>98</v>
      </c>
      <c r="E55" s="104"/>
      <c r="F55" s="104"/>
      <c r="G55" s="14" t="s">
        <v>99</v>
      </c>
      <c r="H55" s="50"/>
      <c r="I55" s="52">
        <f>I32+I53</f>
        <v>17869.196500000002</v>
      </c>
      <c r="J55" s="52">
        <f>J43+J50+J51+J52</f>
        <v>2716.1923858406672</v>
      </c>
      <c r="K55" s="14" t="s">
        <v>100</v>
      </c>
      <c r="L55" s="52">
        <f>L43</f>
        <v>2354.57730915</v>
      </c>
    </row>
    <row r="56" spans="1:12">
      <c r="A56" s="52">
        <f>156411.11+I32</f>
        <v>174279.83649999998</v>
      </c>
      <c r="B56" s="52">
        <f>111411.11+I33</f>
        <v>124279.8365</v>
      </c>
      <c r="C56" s="52">
        <f>2419.2+J34</f>
        <v>2688</v>
      </c>
      <c r="D56" s="114">
        <f>14978.83+J50</f>
        <v>16749.327371940668</v>
      </c>
      <c r="E56" s="114"/>
      <c r="F56" s="114"/>
      <c r="G56" s="52">
        <f>133157+I55</f>
        <v>151026.19649999999</v>
      </c>
      <c r="H56" s="104" t="s">
        <v>101</v>
      </c>
      <c r="I56" s="104"/>
      <c r="J56" s="52">
        <f>I55-J55</f>
        <v>15153.004114159336</v>
      </c>
      <c r="K56" s="14" t="s">
        <v>102</v>
      </c>
      <c r="L56" s="52">
        <f>20499.47+L55</f>
        <v>22854.047309150003</v>
      </c>
    </row>
    <row r="57" spans="1:1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>
      <c r="A61" s="105" t="s">
        <v>26</v>
      </c>
      <c r="B61" s="105"/>
      <c r="C61" s="105" t="s">
        <v>27</v>
      </c>
      <c r="D61" s="105"/>
      <c r="E61" s="105"/>
      <c r="F61" s="105"/>
      <c r="G61" s="105" t="s">
        <v>28</v>
      </c>
      <c r="H61" s="105"/>
      <c r="I61" s="105"/>
      <c r="J61" s="105" t="s">
        <v>29</v>
      </c>
      <c r="K61" s="105"/>
      <c r="L61" s="105"/>
    </row>
    <row r="62" spans="1:12">
      <c r="A62" s="14" t="s">
        <v>30</v>
      </c>
      <c r="B62" s="104" t="s">
        <v>31</v>
      </c>
      <c r="C62" s="104"/>
      <c r="D62" s="104"/>
      <c r="E62" s="104"/>
      <c r="F62" s="104"/>
      <c r="G62" s="104" t="s">
        <v>32</v>
      </c>
      <c r="H62" s="104"/>
      <c r="I62" s="104"/>
      <c r="J62" s="104"/>
      <c r="K62" s="104"/>
      <c r="L62" s="104"/>
    </row>
    <row r="63" spans="1:12">
      <c r="A63" s="16">
        <v>3</v>
      </c>
      <c r="B63" s="102" t="s">
        <v>104</v>
      </c>
      <c r="C63" s="102"/>
      <c r="D63" s="102"/>
      <c r="E63" s="102"/>
      <c r="F63" s="102"/>
      <c r="G63" s="103">
        <v>42522</v>
      </c>
      <c r="H63" s="103"/>
      <c r="I63" s="103"/>
      <c r="J63" s="103">
        <v>42551</v>
      </c>
      <c r="K63" s="103"/>
      <c r="L63" s="103"/>
    </row>
    <row r="64" spans="1:12">
      <c r="A64" s="14" t="s">
        <v>34</v>
      </c>
      <c r="B64" s="14" t="s">
        <v>35</v>
      </c>
      <c r="C64" s="14" t="s">
        <v>36</v>
      </c>
      <c r="D64" s="14" t="s">
        <v>37</v>
      </c>
      <c r="E64" s="14" t="s">
        <v>38</v>
      </c>
      <c r="F64" s="14" t="s">
        <v>39</v>
      </c>
      <c r="G64" s="104" t="s">
        <v>40</v>
      </c>
      <c r="H64" s="104"/>
      <c r="I64" s="104"/>
      <c r="J64" s="104"/>
      <c r="K64" s="104"/>
      <c r="L64" s="104"/>
    </row>
    <row r="65" spans="1:12">
      <c r="A65" s="17">
        <v>41791</v>
      </c>
      <c r="B65" s="16"/>
      <c r="C65" s="17">
        <v>24557</v>
      </c>
      <c r="D65" s="16" t="s">
        <v>41</v>
      </c>
      <c r="E65" s="16">
        <v>0</v>
      </c>
      <c r="F65" s="16">
        <v>0</v>
      </c>
      <c r="G65" s="102"/>
      <c r="H65" s="102"/>
      <c r="I65" s="102"/>
      <c r="J65" s="102"/>
      <c r="K65" s="102"/>
      <c r="L65" s="102"/>
    </row>
    <row r="66" spans="1:12">
      <c r="A66" s="14" t="s">
        <v>42</v>
      </c>
      <c r="B66" s="14" t="s">
        <v>43</v>
      </c>
      <c r="C66" s="14" t="s">
        <v>44</v>
      </c>
      <c r="D66" s="104" t="s">
        <v>45</v>
      </c>
      <c r="E66" s="104"/>
      <c r="F66" s="104"/>
      <c r="G66" s="104" t="s">
        <v>46</v>
      </c>
      <c r="H66" s="104"/>
      <c r="I66" s="104"/>
      <c r="J66" s="104"/>
      <c r="K66" s="104"/>
      <c r="L66" s="104"/>
    </row>
    <row r="67" spans="1:12">
      <c r="A67" s="16">
        <v>141034737</v>
      </c>
      <c r="B67" s="16"/>
      <c r="C67" s="16"/>
      <c r="D67" s="102" t="s">
        <v>47</v>
      </c>
      <c r="E67" s="102"/>
      <c r="F67" s="102"/>
      <c r="G67" s="102" t="s">
        <v>105</v>
      </c>
      <c r="H67" s="102"/>
      <c r="I67" s="102"/>
      <c r="J67" s="102"/>
      <c r="K67" s="102"/>
      <c r="L67" s="102"/>
    </row>
    <row r="68" spans="1:1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>
      <c r="A71" s="108" t="s">
        <v>49</v>
      </c>
      <c r="B71" s="108"/>
      <c r="C71" s="108"/>
      <c r="D71" s="108"/>
      <c r="E71" s="108"/>
      <c r="F71" s="108"/>
      <c r="G71" s="108" t="s">
        <v>50</v>
      </c>
      <c r="H71" s="108" t="s">
        <v>51</v>
      </c>
      <c r="I71" s="108" t="s">
        <v>52</v>
      </c>
      <c r="J71" s="108"/>
      <c r="K71" s="108" t="s">
        <v>53</v>
      </c>
      <c r="L71" s="108"/>
    </row>
    <row r="72" spans="1:12">
      <c r="A72" s="108"/>
      <c r="B72" s="108"/>
      <c r="C72" s="108"/>
      <c r="D72" s="108"/>
      <c r="E72" s="108"/>
      <c r="F72" s="108"/>
      <c r="G72" s="108"/>
      <c r="H72" s="108"/>
      <c r="I72" s="20" t="s">
        <v>54</v>
      </c>
      <c r="J72" s="20" t="s">
        <v>55</v>
      </c>
      <c r="K72" s="20" t="s">
        <v>56</v>
      </c>
      <c r="L72" s="20" t="s">
        <v>57</v>
      </c>
    </row>
    <row r="73" spans="1:12">
      <c r="A73" s="106" t="s">
        <v>58</v>
      </c>
      <c r="B73" s="106"/>
      <c r="C73" s="106"/>
      <c r="D73" s="106"/>
      <c r="E73" s="106"/>
      <c r="F73" s="106"/>
      <c r="G73" s="21">
        <v>100000</v>
      </c>
      <c r="H73" s="22"/>
      <c r="I73" s="21"/>
      <c r="J73" s="21"/>
      <c r="K73" s="21"/>
      <c r="L73" s="21"/>
    </row>
    <row r="74" spans="1:12">
      <c r="A74" s="106" t="s">
        <v>59</v>
      </c>
      <c r="B74" s="106"/>
      <c r="C74" s="106"/>
      <c r="D74" s="106"/>
      <c r="E74" s="106"/>
      <c r="F74" s="106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>
      <c r="A75" s="107" t="s">
        <v>60</v>
      </c>
      <c r="B75" s="107"/>
      <c r="C75" s="107"/>
      <c r="D75" s="107"/>
      <c r="E75" s="107"/>
      <c r="F75" s="107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>
      <c r="A76" s="107" t="s">
        <v>61</v>
      </c>
      <c r="B76" s="107"/>
      <c r="C76" s="107"/>
      <c r="D76" s="107"/>
      <c r="E76" s="107"/>
      <c r="F76" s="107"/>
      <c r="G76" s="23"/>
      <c r="H76" s="24">
        <v>0</v>
      </c>
      <c r="I76" s="23">
        <f>G73/26*H76</f>
        <v>0</v>
      </c>
      <c r="J76" s="25"/>
      <c r="K76" s="26"/>
      <c r="L76" s="26"/>
    </row>
    <row r="77" spans="1:12">
      <c r="A77" s="107" t="s">
        <v>62</v>
      </c>
      <c r="B77" s="107"/>
      <c r="C77" s="107"/>
      <c r="D77" s="107"/>
      <c r="E77" s="107"/>
      <c r="F77" s="107"/>
      <c r="G77" s="23"/>
      <c r="H77" s="24">
        <v>0</v>
      </c>
      <c r="I77" s="23"/>
      <c r="J77" s="27">
        <f>G73/26*H77</f>
        <v>0</v>
      </c>
      <c r="K77" s="26"/>
      <c r="L77" s="26"/>
    </row>
    <row r="78" spans="1:12">
      <c r="A78" s="107" t="s">
        <v>63</v>
      </c>
      <c r="B78" s="107"/>
      <c r="C78" s="107"/>
      <c r="D78" s="107"/>
      <c r="E78" s="107"/>
      <c r="F78" s="107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>
      <c r="A79" s="107" t="s">
        <v>64</v>
      </c>
      <c r="B79" s="107"/>
      <c r="C79" s="107"/>
      <c r="D79" s="107"/>
      <c r="E79" s="107"/>
      <c r="F79" s="107"/>
      <c r="G79" s="23"/>
      <c r="H79" s="24">
        <v>0</v>
      </c>
      <c r="I79" s="23">
        <f>G73/26*H79</f>
        <v>0</v>
      </c>
      <c r="J79" s="25"/>
      <c r="K79" s="26"/>
      <c r="L79" s="26"/>
    </row>
    <row r="80" spans="1:12">
      <c r="A80" s="107" t="s">
        <v>65</v>
      </c>
      <c r="B80" s="107"/>
      <c r="C80" s="107"/>
      <c r="D80" s="107"/>
      <c r="E80" s="107"/>
      <c r="F80" s="107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>
      <c r="A81" s="107" t="s">
        <v>66</v>
      </c>
      <c r="B81" s="107"/>
      <c r="C81" s="107"/>
      <c r="D81" s="107"/>
      <c r="E81" s="107"/>
      <c r="F81" s="107"/>
      <c r="G81" s="29"/>
      <c r="H81" s="30"/>
      <c r="I81" s="30"/>
      <c r="J81" s="25"/>
      <c r="K81" s="26"/>
      <c r="L81" s="26"/>
    </row>
    <row r="82" spans="1:12">
      <c r="A82" s="109">
        <v>0.25</v>
      </c>
      <c r="B82" s="109"/>
      <c r="C82" s="109"/>
      <c r="D82" s="109"/>
      <c r="E82" s="109"/>
      <c r="F82" s="109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>
      <c r="A83" s="109">
        <v>0.5</v>
      </c>
      <c r="B83" s="109"/>
      <c r="C83" s="109"/>
      <c r="D83" s="109"/>
      <c r="E83" s="109"/>
      <c r="F83" s="109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>
      <c r="A84" s="109">
        <v>1</v>
      </c>
      <c r="B84" s="109"/>
      <c r="C84" s="109"/>
      <c r="D84" s="109"/>
      <c r="E84" s="109"/>
      <c r="F84" s="109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>
      <c r="A85" s="106" t="s">
        <v>67</v>
      </c>
      <c r="B85" s="106"/>
      <c r="C85" s="106"/>
      <c r="D85" s="106"/>
      <c r="E85" s="106"/>
      <c r="F85" s="106"/>
      <c r="G85" s="21"/>
      <c r="H85" s="22"/>
      <c r="I85" s="21">
        <f>SUM(I86:I87)</f>
        <v>5000</v>
      </c>
      <c r="J85" s="21"/>
      <c r="K85" s="21"/>
      <c r="L85" s="21"/>
    </row>
    <row r="86" spans="1:12">
      <c r="A86" s="107" t="s">
        <v>68</v>
      </c>
      <c r="B86" s="107"/>
      <c r="C86" s="107"/>
      <c r="D86" s="107"/>
      <c r="E86" s="107"/>
      <c r="F86" s="107"/>
      <c r="G86" s="23">
        <f>(G63-A65)/360</f>
        <v>2.0305555555555554</v>
      </c>
      <c r="H86" s="31">
        <v>0.05</v>
      </c>
      <c r="I86" s="23">
        <f>I74*H86</f>
        <v>5000</v>
      </c>
      <c r="J86" s="25"/>
      <c r="K86" s="26"/>
      <c r="L86" s="26"/>
    </row>
    <row r="87" spans="1:12">
      <c r="A87" s="107" t="s">
        <v>69</v>
      </c>
      <c r="B87" s="107"/>
      <c r="C87" s="107"/>
      <c r="D87" s="107"/>
      <c r="E87" s="107"/>
      <c r="F87" s="107"/>
      <c r="G87" s="23"/>
      <c r="H87" s="24"/>
      <c r="I87" s="23"/>
      <c r="J87" s="25"/>
      <c r="K87" s="26"/>
      <c r="L87" s="26"/>
    </row>
    <row r="88" spans="1:12">
      <c r="A88" s="106" t="s">
        <v>70</v>
      </c>
      <c r="B88" s="106"/>
      <c r="C88" s="106"/>
      <c r="D88" s="106"/>
      <c r="E88" s="106"/>
      <c r="F88" s="106"/>
      <c r="G88" s="21"/>
      <c r="H88" s="22"/>
      <c r="I88" s="21">
        <f>SUM(I89:I91)</f>
        <v>6000</v>
      </c>
      <c r="J88" s="21"/>
      <c r="K88" s="21"/>
      <c r="L88" s="21"/>
    </row>
    <row r="89" spans="1:12">
      <c r="A89" s="107" t="s">
        <v>71</v>
      </c>
      <c r="B89" s="107"/>
      <c r="C89" s="107"/>
      <c r="D89" s="107"/>
      <c r="E89" s="107"/>
      <c r="F89" s="107"/>
      <c r="G89" s="23"/>
      <c r="H89" s="24"/>
      <c r="I89" s="23">
        <v>3000</v>
      </c>
      <c r="J89" s="25"/>
      <c r="K89" s="26"/>
      <c r="L89" s="26"/>
    </row>
    <row r="90" spans="1:12">
      <c r="A90" s="107" t="s">
        <v>72</v>
      </c>
      <c r="B90" s="107"/>
      <c r="C90" s="107"/>
      <c r="D90" s="107"/>
      <c r="E90" s="107"/>
      <c r="F90" s="107"/>
      <c r="G90" s="23"/>
      <c r="H90" s="31"/>
      <c r="I90" s="23">
        <v>3000</v>
      </c>
      <c r="J90" s="25"/>
      <c r="K90" s="26"/>
      <c r="L90" s="26"/>
    </row>
    <row r="91" spans="1:12">
      <c r="A91" s="107" t="s">
        <v>73</v>
      </c>
      <c r="B91" s="107"/>
      <c r="C91" s="107"/>
      <c r="D91" s="107"/>
      <c r="E91" s="107"/>
      <c r="F91" s="107"/>
      <c r="G91" s="23"/>
      <c r="H91" s="24"/>
      <c r="I91" s="23"/>
      <c r="J91" s="25"/>
      <c r="K91" s="26"/>
      <c r="L91" s="26"/>
    </row>
    <row r="92" spans="1:12">
      <c r="A92" s="111" t="s">
        <v>74</v>
      </c>
      <c r="B92" s="111"/>
      <c r="C92" s="111"/>
      <c r="D92" s="111"/>
      <c r="E92" s="111"/>
      <c r="F92" s="111"/>
      <c r="G92" s="32"/>
      <c r="H92" s="33"/>
      <c r="I92" s="32">
        <f>I74+I85+I88</f>
        <v>111000</v>
      </c>
      <c r="J92" s="33"/>
      <c r="K92" s="33"/>
      <c r="L92" s="33"/>
    </row>
    <row r="93" spans="1:12">
      <c r="A93" s="111" t="s">
        <v>75</v>
      </c>
      <c r="B93" s="111"/>
      <c r="C93" s="111"/>
      <c r="D93" s="111"/>
      <c r="E93" s="111"/>
      <c r="F93" s="111"/>
      <c r="G93" s="32"/>
      <c r="H93" s="33"/>
      <c r="I93" s="32">
        <f>I92-I88</f>
        <v>105000</v>
      </c>
      <c r="J93" s="33"/>
      <c r="K93" s="33"/>
      <c r="L93" s="33"/>
    </row>
    <row r="94" spans="1:12">
      <c r="A94" s="107" t="s">
        <v>76</v>
      </c>
      <c r="B94" s="107"/>
      <c r="C94" s="107"/>
      <c r="D94" s="107"/>
      <c r="E94" s="107"/>
      <c r="F94" s="107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>
      <c r="A95" s="107" t="s">
        <v>77</v>
      </c>
      <c r="B95" s="107"/>
      <c r="C95" s="107"/>
      <c r="D95" s="107"/>
      <c r="E95" s="107"/>
      <c r="F95" s="107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>
      <c r="A96" s="107" t="s">
        <v>78</v>
      </c>
      <c r="B96" s="107"/>
      <c r="C96" s="107"/>
      <c r="D96" s="107"/>
      <c r="E96" s="107"/>
      <c r="F96" s="107"/>
      <c r="G96" s="23"/>
      <c r="H96" s="34">
        <v>0.25</v>
      </c>
      <c r="I96" s="23"/>
      <c r="J96" s="23">
        <f>H96*I93</f>
        <v>26250</v>
      </c>
      <c r="K96" s="35">
        <v>0.06</v>
      </c>
      <c r="L96" s="23">
        <f>I93*K96</f>
        <v>6300</v>
      </c>
    </row>
    <row r="97" spans="1:12">
      <c r="A97" s="107" t="s">
        <v>79</v>
      </c>
      <c r="B97" s="107"/>
      <c r="C97" s="107"/>
      <c r="D97" s="107"/>
      <c r="E97" s="107"/>
      <c r="F97" s="107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>
      <c r="A98" s="107" t="s">
        <v>80</v>
      </c>
      <c r="B98" s="107"/>
      <c r="C98" s="107"/>
      <c r="D98" s="107"/>
      <c r="E98" s="107"/>
      <c r="F98" s="107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>
      <c r="A99" s="107" t="s">
        <v>81</v>
      </c>
      <c r="B99" s="107"/>
      <c r="C99" s="107"/>
      <c r="D99" s="107"/>
      <c r="E99" s="107"/>
      <c r="F99" s="107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>
      <c r="A100" s="107" t="s">
        <v>24</v>
      </c>
      <c r="B100" s="107"/>
      <c r="C100" s="107"/>
      <c r="D100" s="107"/>
      <c r="E100" s="107"/>
      <c r="F100" s="107"/>
      <c r="G100" s="23"/>
      <c r="H100" s="34" t="str">
        <f>[1]Taux!D$7</f>
        <v>2,26%</v>
      </c>
      <c r="I100" s="23"/>
      <c r="J100" s="23">
        <f>H100*I93</f>
        <v>2373</v>
      </c>
      <c r="K100" s="34" t="str">
        <f>[1]Taux!C$7</f>
        <v>4,11%</v>
      </c>
      <c r="L100" s="23">
        <f>I93*K100</f>
        <v>4315.5</v>
      </c>
    </row>
    <row r="101" spans="1:12">
      <c r="A101" s="110" t="s">
        <v>82</v>
      </c>
      <c r="B101" s="110"/>
      <c r="C101" s="110"/>
      <c r="D101" s="110"/>
      <c r="E101" s="110"/>
      <c r="F101" s="110"/>
      <c r="G101" s="37"/>
      <c r="H101" s="38"/>
      <c r="I101" s="39"/>
      <c r="J101" s="40"/>
      <c r="K101" s="34" t="str">
        <f>[1]Taux!C$4</f>
        <v>6,40%</v>
      </c>
      <c r="L101" s="23">
        <f>I93*K101</f>
        <v>6720</v>
      </c>
    </row>
    <row r="102" spans="1:12">
      <c r="A102" s="110" t="s">
        <v>83</v>
      </c>
      <c r="B102" s="110"/>
      <c r="C102" s="110"/>
      <c r="D102" s="110"/>
      <c r="E102" s="110"/>
      <c r="F102" s="110"/>
      <c r="G102" s="41"/>
      <c r="H102" s="42"/>
      <c r="I102" s="43"/>
      <c r="J102" s="44"/>
      <c r="K102" s="34" t="str">
        <f>[1]Taux!C$8</f>
        <v>1,6 %</v>
      </c>
      <c r="L102" s="23">
        <f>I93*K102</f>
        <v>1680</v>
      </c>
    </row>
    <row r="103" spans="1:12">
      <c r="A103" s="106" t="s">
        <v>84</v>
      </c>
      <c r="B103" s="106"/>
      <c r="C103" s="106"/>
      <c r="D103" s="106"/>
      <c r="E103" s="106"/>
      <c r="F103" s="106"/>
      <c r="G103" s="21"/>
      <c r="H103" s="22"/>
      <c r="I103" s="22"/>
      <c r="J103" s="21">
        <f>SUM(J94:J100)</f>
        <v>28891.8</v>
      </c>
      <c r="K103" s="21"/>
      <c r="L103" s="21">
        <f>SUM(L94:L102)</f>
        <v>19554.3</v>
      </c>
    </row>
    <row r="104" spans="1:12">
      <c r="A104" s="107" t="s">
        <v>85</v>
      </c>
      <c r="B104" s="107"/>
      <c r="C104" s="107"/>
      <c r="D104" s="107"/>
      <c r="E104" s="107"/>
      <c r="F104" s="107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>
      <c r="A105" s="111" t="s">
        <v>86</v>
      </c>
      <c r="B105" s="111"/>
      <c r="C105" s="111"/>
      <c r="D105" s="111"/>
      <c r="E105" s="111"/>
      <c r="F105" s="111"/>
      <c r="G105" s="32"/>
      <c r="H105" s="33"/>
      <c r="I105" s="32">
        <f>I93-J103-J104</f>
        <v>73608.2</v>
      </c>
      <c r="J105" s="33"/>
      <c r="K105" s="33"/>
      <c r="L105" s="33"/>
    </row>
    <row r="106" spans="1:12">
      <c r="A106" s="107" t="s">
        <v>87</v>
      </c>
      <c r="B106" s="107"/>
      <c r="C106" s="107"/>
      <c r="D106" s="107"/>
      <c r="E106" s="107"/>
      <c r="F106" s="107"/>
      <c r="G106" s="23"/>
      <c r="H106" s="34"/>
      <c r="I106" s="23">
        <f>H106*180/360</f>
        <v>0</v>
      </c>
      <c r="J106" s="23"/>
      <c r="K106" s="46"/>
      <c r="L106" s="47"/>
    </row>
    <row r="107" spans="1:12">
      <c r="A107" s="111" t="s">
        <v>88</v>
      </c>
      <c r="B107" s="111"/>
      <c r="C107" s="111"/>
      <c r="D107" s="111"/>
      <c r="E107" s="111"/>
      <c r="F107" s="111"/>
      <c r="G107" s="32"/>
      <c r="H107" s="33"/>
      <c r="I107" s="32">
        <f>I105-I106</f>
        <v>73608.2</v>
      </c>
      <c r="J107" s="33"/>
      <c r="K107" s="33"/>
      <c r="L107" s="33"/>
    </row>
    <row r="108" spans="1:12">
      <c r="A108" s="107" t="s">
        <v>89</v>
      </c>
      <c r="B108" s="107"/>
      <c r="C108" s="107"/>
      <c r="D108" s="107"/>
      <c r="E108" s="107"/>
      <c r="F108" s="107"/>
      <c r="G108" s="25"/>
      <c r="H108" s="48"/>
      <c r="I108" s="40"/>
      <c r="J108" s="23">
        <v>25937.78</v>
      </c>
      <c r="K108" s="46"/>
      <c r="L108" s="47"/>
    </row>
    <row r="109" spans="1:12">
      <c r="A109" s="107" t="s">
        <v>90</v>
      </c>
      <c r="B109" s="107"/>
      <c r="C109" s="107"/>
      <c r="D109" s="107"/>
      <c r="E109" s="107"/>
      <c r="F109" s="107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>
      <c r="A110" s="106" t="s">
        <v>91</v>
      </c>
      <c r="B110" s="106"/>
      <c r="C110" s="106"/>
      <c r="D110" s="106"/>
      <c r="E110" s="106"/>
      <c r="F110" s="106"/>
      <c r="G110" s="21"/>
      <c r="H110" s="22"/>
      <c r="I110" s="21"/>
      <c r="J110" s="21">
        <f>J108-J109</f>
        <v>25937.78</v>
      </c>
      <c r="K110" s="21"/>
      <c r="L110" s="21"/>
    </row>
    <row r="111" spans="1:12">
      <c r="A111" s="112" t="s">
        <v>92</v>
      </c>
      <c r="B111" s="112"/>
      <c r="C111" s="112"/>
      <c r="D111" s="112"/>
      <c r="E111" s="112"/>
      <c r="F111" s="112"/>
      <c r="G111" s="25"/>
      <c r="H111" s="48"/>
      <c r="I111" s="47"/>
      <c r="J111" s="49">
        <v>0</v>
      </c>
      <c r="K111" s="46"/>
      <c r="L111" s="47"/>
    </row>
    <row r="112" spans="1:12">
      <c r="A112" s="107" t="s">
        <v>93</v>
      </c>
      <c r="B112" s="107"/>
      <c r="C112" s="107"/>
      <c r="D112" s="107"/>
      <c r="E112" s="107"/>
      <c r="F112" s="107"/>
      <c r="G112" s="25"/>
      <c r="H112" s="48"/>
      <c r="I112" s="44"/>
      <c r="J112" s="28">
        <v>0</v>
      </c>
      <c r="K112" s="46"/>
      <c r="L112" s="47"/>
    </row>
    <row r="113" spans="1:13">
      <c r="A113" s="113" t="s">
        <v>94</v>
      </c>
      <c r="B113" s="113"/>
      <c r="C113" s="113"/>
      <c r="D113" s="113"/>
      <c r="E113" s="113"/>
      <c r="F113" s="113"/>
      <c r="G113" s="41"/>
      <c r="H113" s="42"/>
      <c r="I113" s="28">
        <f>1-0.42</f>
        <v>0.58000000000000007</v>
      </c>
      <c r="J113" s="41"/>
      <c r="K113" s="43"/>
      <c r="L113" s="44"/>
    </row>
    <row r="114" spans="1:1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>
      <c r="A115" s="14" t="s">
        <v>95</v>
      </c>
      <c r="B115" s="14" t="s">
        <v>96</v>
      </c>
      <c r="C115" s="14" t="s">
        <v>97</v>
      </c>
      <c r="D115" s="104" t="s">
        <v>98</v>
      </c>
      <c r="E115" s="104"/>
      <c r="F115" s="104"/>
      <c r="G115" s="14" t="s">
        <v>99</v>
      </c>
      <c r="H115" s="50"/>
      <c r="I115" s="52">
        <f>I92+I113</f>
        <v>111000.58</v>
      </c>
      <c r="J115" s="52">
        <f>J103+J110+J111+J112</f>
        <v>54829.58</v>
      </c>
      <c r="K115" s="14" t="s">
        <v>100</v>
      </c>
      <c r="L115" s="52">
        <f>L103</f>
        <v>19554.3</v>
      </c>
    </row>
    <row r="116" spans="1:13">
      <c r="A116" s="52">
        <f>974000+I92</f>
        <v>1085000</v>
      </c>
      <c r="B116" s="52">
        <f>920000+I93</f>
        <v>1025000</v>
      </c>
      <c r="C116" s="52">
        <f>2419.2+J94</f>
        <v>2688</v>
      </c>
      <c r="D116" s="114">
        <f>226529.75+J110</f>
        <v>252467.53</v>
      </c>
      <c r="E116" s="114"/>
      <c r="F116" s="114"/>
      <c r="G116" s="52">
        <f>494263.97+I115</f>
        <v>605264.54999999993</v>
      </c>
      <c r="H116" s="104" t="s">
        <v>101</v>
      </c>
      <c r="I116" s="104"/>
      <c r="J116" s="52">
        <f>I115-J115</f>
        <v>56171</v>
      </c>
      <c r="K116" s="14" t="s">
        <v>102</v>
      </c>
      <c r="L116" s="52">
        <f>171461.2+L115</f>
        <v>191015.5</v>
      </c>
    </row>
    <row r="117" spans="1: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75725.3</v>
      </c>
    </row>
    <row r="118" spans="1: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>
      <c r="A121" s="105" t="s">
        <v>26</v>
      </c>
      <c r="B121" s="105"/>
      <c r="C121" s="105" t="s">
        <v>27</v>
      </c>
      <c r="D121" s="105"/>
      <c r="E121" s="105"/>
      <c r="F121" s="105"/>
      <c r="G121" s="105" t="s">
        <v>28</v>
      </c>
      <c r="H121" s="105"/>
      <c r="I121" s="105"/>
      <c r="J121" s="105" t="s">
        <v>29</v>
      </c>
      <c r="K121" s="105"/>
      <c r="L121" s="105"/>
    </row>
    <row r="122" spans="1:13">
      <c r="A122" s="14" t="s">
        <v>30</v>
      </c>
      <c r="B122" s="104" t="s">
        <v>31</v>
      </c>
      <c r="C122" s="104"/>
      <c r="D122" s="104"/>
      <c r="E122" s="104"/>
      <c r="F122" s="104"/>
      <c r="G122" s="104" t="s">
        <v>32</v>
      </c>
      <c r="H122" s="104"/>
      <c r="I122" s="104"/>
      <c r="J122" s="104"/>
      <c r="K122" s="104"/>
      <c r="L122" s="104"/>
    </row>
    <row r="123" spans="1:13">
      <c r="A123" s="16">
        <v>4</v>
      </c>
      <c r="B123" s="102" t="s">
        <v>106</v>
      </c>
      <c r="C123" s="102"/>
      <c r="D123" s="102"/>
      <c r="E123" s="102"/>
      <c r="F123" s="102"/>
      <c r="G123" s="103">
        <v>42522</v>
      </c>
      <c r="H123" s="103"/>
      <c r="I123" s="103"/>
      <c r="J123" s="103">
        <v>42551</v>
      </c>
      <c r="K123" s="103"/>
      <c r="L123" s="103"/>
    </row>
    <row r="124" spans="1:13">
      <c r="A124" s="14" t="s">
        <v>34</v>
      </c>
      <c r="B124" s="14" t="s">
        <v>35</v>
      </c>
      <c r="C124" s="14" t="s">
        <v>36</v>
      </c>
      <c r="D124" s="14" t="s">
        <v>37</v>
      </c>
      <c r="E124" s="14" t="s">
        <v>38</v>
      </c>
      <c r="F124" s="14" t="s">
        <v>39</v>
      </c>
      <c r="G124" s="104" t="s">
        <v>40</v>
      </c>
      <c r="H124" s="104"/>
      <c r="I124" s="104"/>
      <c r="J124" s="104"/>
      <c r="K124" s="104"/>
      <c r="L124" s="104"/>
    </row>
    <row r="125" spans="1:13">
      <c r="A125" s="17">
        <v>41791</v>
      </c>
      <c r="B125" s="16"/>
      <c r="C125" s="17">
        <v>28152</v>
      </c>
      <c r="D125" s="16" t="s">
        <v>41</v>
      </c>
      <c r="E125" s="16">
        <v>0</v>
      </c>
      <c r="F125" s="16">
        <v>0</v>
      </c>
      <c r="G125" s="102"/>
      <c r="H125" s="102"/>
      <c r="I125" s="102"/>
      <c r="J125" s="102"/>
      <c r="K125" s="102"/>
      <c r="L125" s="102"/>
    </row>
    <row r="126" spans="1:13">
      <c r="A126" s="14" t="s">
        <v>42</v>
      </c>
      <c r="B126" s="14" t="s">
        <v>43</v>
      </c>
      <c r="C126" s="14" t="s">
        <v>44</v>
      </c>
      <c r="D126" s="104" t="s">
        <v>45</v>
      </c>
      <c r="E126" s="104"/>
      <c r="F126" s="104"/>
      <c r="G126" s="104" t="s">
        <v>46</v>
      </c>
      <c r="H126" s="104"/>
      <c r="I126" s="104"/>
      <c r="J126" s="104"/>
      <c r="K126" s="104"/>
      <c r="L126" s="104"/>
    </row>
    <row r="127" spans="1:13">
      <c r="A127" s="16">
        <v>123952551</v>
      </c>
      <c r="B127" s="16"/>
      <c r="C127" s="16"/>
      <c r="D127" s="102" t="s">
        <v>47</v>
      </c>
      <c r="E127" s="102"/>
      <c r="F127" s="102"/>
      <c r="G127" s="102" t="s">
        <v>107</v>
      </c>
      <c r="H127" s="102"/>
      <c r="I127" s="102"/>
      <c r="J127" s="102"/>
      <c r="K127" s="102"/>
      <c r="L127" s="102"/>
    </row>
    <row r="128" spans="1: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>
      <c r="A131" s="108" t="s">
        <v>49</v>
      </c>
      <c r="B131" s="108"/>
      <c r="C131" s="108"/>
      <c r="D131" s="108"/>
      <c r="E131" s="108"/>
      <c r="F131" s="108"/>
      <c r="G131" s="108" t="s">
        <v>50</v>
      </c>
      <c r="H131" s="108" t="s">
        <v>51</v>
      </c>
      <c r="I131" s="108" t="s">
        <v>52</v>
      </c>
      <c r="J131" s="108"/>
      <c r="K131" s="108" t="s">
        <v>53</v>
      </c>
      <c r="L131" s="108"/>
    </row>
    <row r="132" spans="1:12">
      <c r="A132" s="108"/>
      <c r="B132" s="108"/>
      <c r="C132" s="108"/>
      <c r="D132" s="108"/>
      <c r="E132" s="108"/>
      <c r="F132" s="108"/>
      <c r="G132" s="108"/>
      <c r="H132" s="108"/>
      <c r="I132" s="20" t="s">
        <v>54</v>
      </c>
      <c r="J132" s="20" t="s">
        <v>55</v>
      </c>
      <c r="K132" s="20" t="s">
        <v>56</v>
      </c>
      <c r="L132" s="20" t="s">
        <v>57</v>
      </c>
    </row>
    <row r="133" spans="1:12">
      <c r="A133" s="106" t="s">
        <v>58</v>
      </c>
      <c r="B133" s="106"/>
      <c r="C133" s="106"/>
      <c r="D133" s="106"/>
      <c r="E133" s="106"/>
      <c r="F133" s="106"/>
      <c r="G133" s="21">
        <v>90000</v>
      </c>
      <c r="H133" s="22"/>
      <c r="I133" s="21"/>
      <c r="J133" s="21"/>
      <c r="K133" s="21"/>
      <c r="L133" s="21"/>
    </row>
    <row r="134" spans="1:12">
      <c r="A134" s="106" t="s">
        <v>59</v>
      </c>
      <c r="B134" s="106"/>
      <c r="C134" s="106"/>
      <c r="D134" s="106"/>
      <c r="E134" s="106"/>
      <c r="F134" s="106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>
      <c r="A135" s="107" t="s">
        <v>60</v>
      </c>
      <c r="B135" s="107"/>
      <c r="C135" s="107"/>
      <c r="D135" s="107"/>
      <c r="E135" s="107"/>
      <c r="F135" s="107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>
      <c r="A136" s="107" t="s">
        <v>61</v>
      </c>
      <c r="B136" s="107"/>
      <c r="C136" s="107"/>
      <c r="D136" s="107"/>
      <c r="E136" s="107"/>
      <c r="F136" s="107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>
      <c r="A137" s="107" t="s">
        <v>62</v>
      </c>
      <c r="B137" s="107"/>
      <c r="C137" s="107"/>
      <c r="D137" s="107"/>
      <c r="E137" s="107"/>
      <c r="F137" s="107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>
      <c r="A138" s="107" t="s">
        <v>63</v>
      </c>
      <c r="B138" s="107"/>
      <c r="C138" s="107"/>
      <c r="D138" s="107"/>
      <c r="E138" s="107"/>
      <c r="F138" s="107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>
      <c r="A139" s="107" t="s">
        <v>64</v>
      </c>
      <c r="B139" s="107"/>
      <c r="C139" s="107"/>
      <c r="D139" s="107"/>
      <c r="E139" s="107"/>
      <c r="F139" s="107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>
      <c r="A140" s="107" t="s">
        <v>65</v>
      </c>
      <c r="B140" s="107"/>
      <c r="C140" s="107"/>
      <c r="D140" s="107"/>
      <c r="E140" s="107"/>
      <c r="F140" s="107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>
      <c r="A141" s="107" t="s">
        <v>66</v>
      </c>
      <c r="B141" s="107"/>
      <c r="C141" s="107"/>
      <c r="D141" s="107"/>
      <c r="E141" s="107"/>
      <c r="F141" s="107"/>
      <c r="G141" s="29"/>
      <c r="H141" s="30"/>
      <c r="I141" s="30"/>
      <c r="J141" s="25"/>
      <c r="K141" s="26"/>
      <c r="L141" s="26"/>
    </row>
    <row r="142" spans="1:12">
      <c r="A142" s="109">
        <v>0.25</v>
      </c>
      <c r="B142" s="109"/>
      <c r="C142" s="109"/>
      <c r="D142" s="109"/>
      <c r="E142" s="109"/>
      <c r="F142" s="109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>
      <c r="A143" s="109">
        <v>0.5</v>
      </c>
      <c r="B143" s="109"/>
      <c r="C143" s="109"/>
      <c r="D143" s="109"/>
      <c r="E143" s="109"/>
      <c r="F143" s="109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>
      <c r="A144" s="109">
        <v>1</v>
      </c>
      <c r="B144" s="109"/>
      <c r="C144" s="109"/>
      <c r="D144" s="109"/>
      <c r="E144" s="109"/>
      <c r="F144" s="109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>
      <c r="A145" s="106" t="s">
        <v>67</v>
      </c>
      <c r="B145" s="106"/>
      <c r="C145" s="106"/>
      <c r="D145" s="106"/>
      <c r="E145" s="106"/>
      <c r="F145" s="106"/>
      <c r="G145" s="21"/>
      <c r="H145" s="22"/>
      <c r="I145" s="21">
        <f>SUM(I146:I147)</f>
        <v>4500</v>
      </c>
      <c r="J145" s="21"/>
      <c r="K145" s="21"/>
      <c r="L145" s="21"/>
    </row>
    <row r="146" spans="1:12">
      <c r="A146" s="107" t="s">
        <v>68</v>
      </c>
      <c r="B146" s="107"/>
      <c r="C146" s="107"/>
      <c r="D146" s="107"/>
      <c r="E146" s="107"/>
      <c r="F146" s="107"/>
      <c r="G146" s="23">
        <f>(G123-A125)/360</f>
        <v>2.0305555555555554</v>
      </c>
      <c r="H146" s="31">
        <v>0.05</v>
      </c>
      <c r="I146" s="23">
        <f>I134*H146</f>
        <v>4500</v>
      </c>
      <c r="J146" s="25"/>
      <c r="K146" s="26"/>
      <c r="L146" s="26"/>
    </row>
    <row r="147" spans="1:12">
      <c r="A147" s="107" t="s">
        <v>69</v>
      </c>
      <c r="B147" s="107"/>
      <c r="C147" s="107"/>
      <c r="D147" s="107"/>
      <c r="E147" s="107"/>
      <c r="F147" s="107"/>
      <c r="G147" s="23"/>
      <c r="H147" s="24"/>
      <c r="I147" s="23"/>
      <c r="J147" s="25"/>
      <c r="K147" s="26"/>
      <c r="L147" s="26"/>
    </row>
    <row r="148" spans="1:12">
      <c r="A148" s="106" t="s">
        <v>70</v>
      </c>
      <c r="B148" s="106"/>
      <c r="C148" s="106"/>
      <c r="D148" s="106"/>
      <c r="E148" s="106"/>
      <c r="F148" s="106"/>
      <c r="G148" s="21"/>
      <c r="H148" s="22"/>
      <c r="I148" s="21">
        <f>SUM(I149:I151)</f>
        <v>6000</v>
      </c>
      <c r="J148" s="21"/>
      <c r="K148" s="21"/>
      <c r="L148" s="21"/>
    </row>
    <row r="149" spans="1:12">
      <c r="A149" s="107" t="s">
        <v>71</v>
      </c>
      <c r="B149" s="107"/>
      <c r="C149" s="107"/>
      <c r="D149" s="107"/>
      <c r="E149" s="107"/>
      <c r="F149" s="107"/>
      <c r="G149" s="23"/>
      <c r="H149" s="24"/>
      <c r="I149" s="23">
        <v>3000</v>
      </c>
      <c r="J149" s="25"/>
      <c r="K149" s="26"/>
      <c r="L149" s="26"/>
    </row>
    <row r="150" spans="1:12">
      <c r="A150" s="107" t="s">
        <v>72</v>
      </c>
      <c r="B150" s="107"/>
      <c r="C150" s="107"/>
      <c r="D150" s="107"/>
      <c r="E150" s="107"/>
      <c r="F150" s="107"/>
      <c r="G150" s="23"/>
      <c r="H150" s="31"/>
      <c r="I150" s="23">
        <v>3000</v>
      </c>
      <c r="J150" s="25"/>
      <c r="K150" s="26"/>
      <c r="L150" s="26"/>
    </row>
    <row r="151" spans="1:12">
      <c r="A151" s="107" t="s">
        <v>73</v>
      </c>
      <c r="B151" s="107"/>
      <c r="C151" s="107"/>
      <c r="D151" s="107"/>
      <c r="E151" s="107"/>
      <c r="F151" s="107"/>
      <c r="G151" s="23"/>
      <c r="H151" s="24"/>
      <c r="I151" s="23"/>
      <c r="J151" s="25"/>
      <c r="K151" s="26"/>
      <c r="L151" s="26"/>
    </row>
    <row r="152" spans="1:12">
      <c r="A152" s="111" t="s">
        <v>74</v>
      </c>
      <c r="B152" s="111"/>
      <c r="C152" s="111"/>
      <c r="D152" s="111"/>
      <c r="E152" s="111"/>
      <c r="F152" s="111"/>
      <c r="G152" s="32"/>
      <c r="H152" s="33"/>
      <c r="I152" s="32">
        <f>I134+I145+I148</f>
        <v>100500</v>
      </c>
      <c r="J152" s="33"/>
      <c r="K152" s="33"/>
      <c r="L152" s="33"/>
    </row>
    <row r="153" spans="1:12">
      <c r="A153" s="111" t="s">
        <v>75</v>
      </c>
      <c r="B153" s="111"/>
      <c r="C153" s="111"/>
      <c r="D153" s="111"/>
      <c r="E153" s="111"/>
      <c r="F153" s="111"/>
      <c r="G153" s="32"/>
      <c r="H153" s="33"/>
      <c r="I153" s="32">
        <f>I152-I148</f>
        <v>94500</v>
      </c>
      <c r="J153" s="33"/>
      <c r="K153" s="33"/>
      <c r="L153" s="33"/>
    </row>
    <row r="154" spans="1:12">
      <c r="A154" s="107" t="s">
        <v>76</v>
      </c>
      <c r="B154" s="107"/>
      <c r="C154" s="107"/>
      <c r="D154" s="107"/>
      <c r="E154" s="107"/>
      <c r="F154" s="107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>
      <c r="A155" s="107" t="s">
        <v>77</v>
      </c>
      <c r="B155" s="107"/>
      <c r="C155" s="107"/>
      <c r="D155" s="107"/>
      <c r="E155" s="107"/>
      <c r="F155" s="107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>
      <c r="A156" s="107" t="s">
        <v>78</v>
      </c>
      <c r="B156" s="107"/>
      <c r="C156" s="107"/>
      <c r="D156" s="107"/>
      <c r="E156" s="107"/>
      <c r="F156" s="107"/>
      <c r="G156" s="23"/>
      <c r="H156" s="34">
        <v>0.5</v>
      </c>
      <c r="I156" s="23"/>
      <c r="J156" s="23">
        <f>I153*H156</f>
        <v>47250</v>
      </c>
      <c r="K156" s="35">
        <v>0.06</v>
      </c>
      <c r="L156" s="23">
        <f>I153*K156</f>
        <v>5670</v>
      </c>
    </row>
    <row r="157" spans="1:12">
      <c r="A157" s="107" t="s">
        <v>79</v>
      </c>
      <c r="B157" s="107"/>
      <c r="C157" s="107"/>
      <c r="D157" s="107"/>
      <c r="E157" s="107"/>
      <c r="F157" s="107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>
      <c r="A158" s="107" t="s">
        <v>80</v>
      </c>
      <c r="B158" s="107"/>
      <c r="C158" s="107"/>
      <c r="D158" s="107"/>
      <c r="E158" s="107"/>
      <c r="F158" s="107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>
      <c r="A159" s="107" t="s">
        <v>81</v>
      </c>
      <c r="B159" s="107"/>
      <c r="C159" s="107"/>
      <c r="D159" s="107"/>
      <c r="E159" s="107"/>
      <c r="F159" s="107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>
      <c r="A160" s="107" t="s">
        <v>24</v>
      </c>
      <c r="B160" s="107"/>
      <c r="C160" s="107"/>
      <c r="D160" s="107"/>
      <c r="E160" s="107"/>
      <c r="F160" s="107"/>
      <c r="G160" s="23"/>
      <c r="H160" s="34" t="str">
        <f>[1]Taux!D$7</f>
        <v>2,26%</v>
      </c>
      <c r="I160" s="23"/>
      <c r="J160" s="23">
        <f>I153*H160</f>
        <v>2135.6999999999998</v>
      </c>
      <c r="K160" s="34" t="str">
        <f>[1]Taux!C$7</f>
        <v>4,11%</v>
      </c>
      <c r="L160" s="23">
        <f>I153*K160</f>
        <v>3883.95</v>
      </c>
    </row>
    <row r="161" spans="1:12">
      <c r="A161" s="110" t="s">
        <v>82</v>
      </c>
      <c r="B161" s="110"/>
      <c r="C161" s="110"/>
      <c r="D161" s="110"/>
      <c r="E161" s="110"/>
      <c r="F161" s="110"/>
      <c r="G161" s="37"/>
      <c r="H161" s="38"/>
      <c r="I161" s="39"/>
      <c r="J161" s="40"/>
      <c r="K161" s="34" t="str">
        <f>[1]Taux!C$4</f>
        <v>6,40%</v>
      </c>
      <c r="L161" s="23">
        <f>I153*K161</f>
        <v>6048</v>
      </c>
    </row>
    <row r="162" spans="1:12">
      <c r="A162" s="110" t="s">
        <v>83</v>
      </c>
      <c r="B162" s="110"/>
      <c r="C162" s="110"/>
      <c r="D162" s="110"/>
      <c r="E162" s="110"/>
      <c r="F162" s="110"/>
      <c r="G162" s="41"/>
      <c r="H162" s="42"/>
      <c r="I162" s="43"/>
      <c r="J162" s="44"/>
      <c r="K162" s="34" t="str">
        <f>[1]Taux!C$8</f>
        <v>1,6 %</v>
      </c>
      <c r="L162" s="23">
        <f>I153*K162</f>
        <v>1512</v>
      </c>
    </row>
    <row r="163" spans="1:12">
      <c r="A163" s="106" t="s">
        <v>84</v>
      </c>
      <c r="B163" s="106"/>
      <c r="C163" s="106"/>
      <c r="D163" s="106"/>
      <c r="E163" s="106"/>
      <c r="F163" s="106"/>
      <c r="G163" s="21"/>
      <c r="H163" s="22"/>
      <c r="I163" s="22"/>
      <c r="J163" s="21">
        <f>SUM(J154:J160)</f>
        <v>49654.5</v>
      </c>
      <c r="K163" s="21"/>
      <c r="L163" s="21">
        <f>SUM(L154:L162)</f>
        <v>17652.75</v>
      </c>
    </row>
    <row r="164" spans="1:12">
      <c r="A164" s="107" t="s">
        <v>85</v>
      </c>
      <c r="B164" s="107"/>
      <c r="C164" s="107"/>
      <c r="D164" s="107"/>
      <c r="E164" s="107"/>
      <c r="F164" s="107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>
      <c r="A165" s="111" t="s">
        <v>86</v>
      </c>
      <c r="B165" s="111"/>
      <c r="C165" s="111"/>
      <c r="D165" s="111"/>
      <c r="E165" s="111"/>
      <c r="F165" s="111"/>
      <c r="G165" s="32"/>
      <c r="H165" s="33"/>
      <c r="I165" s="32">
        <f>I153-J163-J164</f>
        <v>42345.5</v>
      </c>
      <c r="J165" s="33"/>
      <c r="K165" s="33"/>
      <c r="L165" s="33"/>
    </row>
    <row r="166" spans="1:12">
      <c r="A166" s="107" t="s">
        <v>87</v>
      </c>
      <c r="B166" s="107"/>
      <c r="C166" s="107"/>
      <c r="D166" s="107"/>
      <c r="E166" s="107"/>
      <c r="F166" s="107"/>
      <c r="G166" s="23"/>
      <c r="H166" s="34"/>
      <c r="I166" s="23">
        <f>H166*180/360</f>
        <v>0</v>
      </c>
      <c r="J166" s="23"/>
      <c r="K166" s="46"/>
      <c r="L166" s="47"/>
    </row>
    <row r="167" spans="1:12">
      <c r="A167" s="111" t="s">
        <v>88</v>
      </c>
      <c r="B167" s="111"/>
      <c r="C167" s="111"/>
      <c r="D167" s="111"/>
      <c r="E167" s="111"/>
      <c r="F167" s="111"/>
      <c r="G167" s="32"/>
      <c r="H167" s="33"/>
      <c r="I167" s="32">
        <f>I165-I166</f>
        <v>42345.5</v>
      </c>
      <c r="J167" s="33"/>
      <c r="K167" s="33"/>
      <c r="L167" s="33"/>
    </row>
    <row r="168" spans="1:12">
      <c r="A168" s="107" t="s">
        <v>89</v>
      </c>
      <c r="B168" s="107"/>
      <c r="C168" s="107"/>
      <c r="D168" s="107"/>
      <c r="E168" s="107"/>
      <c r="F168" s="107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14057.956666666667</v>
      </c>
      <c r="K168" s="46"/>
      <c r="L168" s="47"/>
    </row>
    <row r="169" spans="1:12">
      <c r="A169" s="107" t="s">
        <v>90</v>
      </c>
      <c r="B169" s="107"/>
      <c r="C169" s="107"/>
      <c r="D169" s="107"/>
      <c r="E169" s="107"/>
      <c r="F169" s="107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>
      <c r="A170" s="106" t="s">
        <v>91</v>
      </c>
      <c r="B170" s="106"/>
      <c r="C170" s="106"/>
      <c r="D170" s="106"/>
      <c r="E170" s="106"/>
      <c r="F170" s="106"/>
      <c r="G170" s="21"/>
      <c r="H170" s="22"/>
      <c r="I170" s="21"/>
      <c r="J170" s="21">
        <f>J168-J169</f>
        <v>14057.956666666667</v>
      </c>
      <c r="K170" s="21"/>
      <c r="L170" s="21"/>
    </row>
    <row r="171" spans="1:12">
      <c r="A171" s="112" t="s">
        <v>92</v>
      </c>
      <c r="B171" s="112"/>
      <c r="C171" s="112"/>
      <c r="D171" s="112"/>
      <c r="E171" s="112"/>
      <c r="F171" s="112"/>
      <c r="G171" s="25"/>
      <c r="H171" s="48"/>
      <c r="I171" s="47"/>
      <c r="J171" s="49">
        <v>0</v>
      </c>
      <c r="K171" s="46"/>
      <c r="L171" s="47"/>
    </row>
    <row r="172" spans="1:12">
      <c r="A172" s="107" t="s">
        <v>93</v>
      </c>
      <c r="B172" s="107"/>
      <c r="C172" s="107"/>
      <c r="D172" s="107"/>
      <c r="E172" s="107"/>
      <c r="F172" s="107"/>
      <c r="G172" s="25"/>
      <c r="H172" s="48"/>
      <c r="I172" s="44"/>
      <c r="J172" s="28">
        <v>0</v>
      </c>
      <c r="K172" s="46"/>
      <c r="L172" s="47"/>
    </row>
    <row r="173" spans="1:12">
      <c r="A173" s="113" t="s">
        <v>94</v>
      </c>
      <c r="B173" s="113"/>
      <c r="C173" s="113"/>
      <c r="D173" s="113"/>
      <c r="E173" s="113"/>
      <c r="F173" s="113"/>
      <c r="G173" s="41"/>
      <c r="H173" s="42"/>
      <c r="I173" s="28">
        <f>1-0.54</f>
        <v>0.45999999999999996</v>
      </c>
      <c r="J173" s="41"/>
      <c r="K173" s="43"/>
      <c r="L173" s="44"/>
    </row>
    <row r="174" spans="1:1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>
      <c r="A175" s="14" t="s">
        <v>95</v>
      </c>
      <c r="B175" s="14" t="s">
        <v>96</v>
      </c>
      <c r="C175" s="14" t="s">
        <v>97</v>
      </c>
      <c r="D175" s="104" t="s">
        <v>98</v>
      </c>
      <c r="E175" s="104"/>
      <c r="F175" s="104"/>
      <c r="G175" s="14" t="s">
        <v>99</v>
      </c>
      <c r="H175" s="50"/>
      <c r="I175" s="52">
        <f>I152+I173</f>
        <v>100500.46</v>
      </c>
      <c r="J175" s="52">
        <f>J163+J170+J171+J172</f>
        <v>63712.456666666665</v>
      </c>
      <c r="K175" s="14" t="s">
        <v>100</v>
      </c>
      <c r="L175" s="52">
        <f>L163</f>
        <v>17652.75</v>
      </c>
    </row>
    <row r="176" spans="1:12">
      <c r="A176" s="52">
        <f>882000+I152</f>
        <v>982500</v>
      </c>
      <c r="B176" s="52">
        <f>828000+I153</f>
        <v>922500</v>
      </c>
      <c r="C176" s="52">
        <f>2419.2+J154</f>
        <v>2688</v>
      </c>
      <c r="D176" s="114">
        <f>122440.83+J170</f>
        <v>136498.78666666668</v>
      </c>
      <c r="E176" s="114"/>
      <c r="F176" s="114"/>
      <c r="G176" s="52">
        <f>324432+I175</f>
        <v>424932.46</v>
      </c>
      <c r="H176" s="104" t="s">
        <v>101</v>
      </c>
      <c r="I176" s="104"/>
      <c r="J176" s="52">
        <f>I175-J175</f>
        <v>36788.003333333341</v>
      </c>
      <c r="K176" s="14" t="s">
        <v>102</v>
      </c>
      <c r="L176" s="52">
        <f>154800+L175</f>
        <v>172452.75</v>
      </c>
    </row>
    <row r="177" spans="1:1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54440.753333333341</v>
      </c>
    </row>
    <row r="181" spans="1:12">
      <c r="A181" s="105" t="s">
        <v>26</v>
      </c>
      <c r="B181" s="105"/>
      <c r="C181" s="105" t="s">
        <v>27</v>
      </c>
      <c r="D181" s="105"/>
      <c r="E181" s="105"/>
      <c r="F181" s="105"/>
      <c r="G181" s="105" t="s">
        <v>28</v>
      </c>
      <c r="H181" s="105"/>
      <c r="I181" s="105"/>
      <c r="J181" s="105" t="s">
        <v>29</v>
      </c>
      <c r="K181" s="105"/>
      <c r="L181" s="105"/>
    </row>
    <row r="182" spans="1:12">
      <c r="A182" s="14" t="s">
        <v>30</v>
      </c>
      <c r="B182" s="104" t="s">
        <v>31</v>
      </c>
      <c r="C182" s="104"/>
      <c r="D182" s="104"/>
      <c r="E182" s="104"/>
      <c r="F182" s="104"/>
      <c r="G182" s="104" t="s">
        <v>32</v>
      </c>
      <c r="H182" s="104"/>
      <c r="I182" s="104"/>
      <c r="J182" s="104"/>
      <c r="K182" s="104"/>
      <c r="L182" s="104"/>
    </row>
    <row r="183" spans="1:12">
      <c r="A183" s="16">
        <v>5</v>
      </c>
      <c r="B183" s="102" t="s">
        <v>108</v>
      </c>
      <c r="C183" s="102"/>
      <c r="D183" s="102"/>
      <c r="E183" s="102"/>
      <c r="F183" s="102"/>
      <c r="G183" s="103">
        <v>42522</v>
      </c>
      <c r="H183" s="103"/>
      <c r="I183" s="103"/>
      <c r="J183" s="103">
        <v>42551</v>
      </c>
      <c r="K183" s="103"/>
      <c r="L183" s="103"/>
    </row>
    <row r="184" spans="1:12">
      <c r="A184" s="14" t="s">
        <v>34</v>
      </c>
      <c r="B184" s="14" t="s">
        <v>35</v>
      </c>
      <c r="C184" s="14" t="s">
        <v>36</v>
      </c>
      <c r="D184" s="14" t="s">
        <v>37</v>
      </c>
      <c r="E184" s="14" t="s">
        <v>38</v>
      </c>
      <c r="F184" s="14" t="s">
        <v>39</v>
      </c>
      <c r="G184" s="104" t="s">
        <v>40</v>
      </c>
      <c r="H184" s="104"/>
      <c r="I184" s="104"/>
      <c r="J184" s="104"/>
      <c r="K184" s="104"/>
      <c r="L184" s="104"/>
    </row>
    <row r="185" spans="1:12">
      <c r="A185" s="17">
        <v>41791</v>
      </c>
      <c r="B185" s="16"/>
      <c r="C185" s="17">
        <v>21792</v>
      </c>
      <c r="D185" s="16" t="s">
        <v>41</v>
      </c>
      <c r="E185" s="16">
        <v>2</v>
      </c>
      <c r="F185" s="16">
        <v>3</v>
      </c>
      <c r="G185" s="102"/>
      <c r="H185" s="102"/>
      <c r="I185" s="102"/>
      <c r="J185" s="102"/>
      <c r="K185" s="102"/>
      <c r="L185" s="102"/>
    </row>
    <row r="186" spans="1:12">
      <c r="A186" s="14" t="s">
        <v>42</v>
      </c>
      <c r="B186" s="14" t="s">
        <v>43</v>
      </c>
      <c r="C186" s="14" t="s">
        <v>44</v>
      </c>
      <c r="D186" s="104" t="s">
        <v>45</v>
      </c>
      <c r="E186" s="104"/>
      <c r="F186" s="104"/>
      <c r="G186" s="104" t="s">
        <v>46</v>
      </c>
      <c r="H186" s="104"/>
      <c r="I186" s="104"/>
      <c r="J186" s="104"/>
      <c r="K186" s="104"/>
      <c r="L186" s="104"/>
    </row>
    <row r="187" spans="1:12">
      <c r="A187" s="16">
        <v>132944135</v>
      </c>
      <c r="B187" s="16"/>
      <c r="C187" s="16"/>
      <c r="D187" s="102" t="s">
        <v>47</v>
      </c>
      <c r="E187" s="102"/>
      <c r="F187" s="102"/>
      <c r="G187" s="102" t="s">
        <v>109</v>
      </c>
      <c r="H187" s="102"/>
      <c r="I187" s="102"/>
      <c r="J187" s="102"/>
      <c r="K187" s="102"/>
      <c r="L187" s="102"/>
    </row>
    <row r="188" spans="1:1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>
      <c r="A191" s="108" t="s">
        <v>49</v>
      </c>
      <c r="B191" s="108"/>
      <c r="C191" s="108"/>
      <c r="D191" s="108"/>
      <c r="E191" s="108"/>
      <c r="F191" s="108"/>
      <c r="G191" s="108" t="s">
        <v>50</v>
      </c>
      <c r="H191" s="108" t="s">
        <v>51</v>
      </c>
      <c r="I191" s="108" t="s">
        <v>52</v>
      </c>
      <c r="J191" s="108"/>
      <c r="K191" s="108" t="s">
        <v>53</v>
      </c>
      <c r="L191" s="108"/>
    </row>
    <row r="192" spans="1:12">
      <c r="A192" s="108"/>
      <c r="B192" s="108"/>
      <c r="C192" s="108"/>
      <c r="D192" s="108"/>
      <c r="E192" s="108"/>
      <c r="F192" s="108"/>
      <c r="G192" s="108"/>
      <c r="H192" s="108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>
      <c r="A193" s="106" t="s">
        <v>58</v>
      </c>
      <c r="B193" s="106"/>
      <c r="C193" s="106"/>
      <c r="D193" s="106"/>
      <c r="E193" s="106"/>
      <c r="F193" s="106"/>
      <c r="G193" s="21">
        <v>12125.57</v>
      </c>
      <c r="H193" s="22"/>
      <c r="I193" s="21"/>
      <c r="J193" s="21"/>
      <c r="K193" s="21"/>
      <c r="L193" s="21"/>
    </row>
    <row r="194" spans="1:12">
      <c r="A194" s="106" t="s">
        <v>59</v>
      </c>
      <c r="B194" s="106"/>
      <c r="C194" s="106"/>
      <c r="D194" s="106"/>
      <c r="E194" s="106"/>
      <c r="F194" s="106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>
      <c r="A195" s="107" t="s">
        <v>60</v>
      </c>
      <c r="B195" s="107"/>
      <c r="C195" s="107"/>
      <c r="D195" s="107"/>
      <c r="E195" s="107"/>
      <c r="F195" s="107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>
      <c r="A196" s="107" t="s">
        <v>61</v>
      </c>
      <c r="B196" s="107"/>
      <c r="C196" s="107"/>
      <c r="D196" s="107"/>
      <c r="E196" s="107"/>
      <c r="F196" s="107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>
      <c r="A197" s="107" t="s">
        <v>62</v>
      </c>
      <c r="B197" s="107"/>
      <c r="C197" s="107"/>
      <c r="D197" s="107"/>
      <c r="E197" s="107"/>
      <c r="F197" s="107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>
      <c r="A198" s="107" t="s">
        <v>63</v>
      </c>
      <c r="B198" s="107"/>
      <c r="C198" s="107"/>
      <c r="D198" s="107"/>
      <c r="E198" s="107"/>
      <c r="F198" s="107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>
      <c r="A199" s="107" t="s">
        <v>64</v>
      </c>
      <c r="B199" s="107"/>
      <c r="C199" s="107"/>
      <c r="D199" s="107"/>
      <c r="E199" s="107"/>
      <c r="F199" s="107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>
      <c r="A200" s="107" t="s">
        <v>65</v>
      </c>
      <c r="B200" s="107"/>
      <c r="C200" s="107"/>
      <c r="D200" s="107"/>
      <c r="E200" s="107"/>
      <c r="F200" s="107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>
      <c r="A201" s="107" t="s">
        <v>66</v>
      </c>
      <c r="B201" s="107"/>
      <c r="C201" s="107"/>
      <c r="D201" s="107"/>
      <c r="E201" s="107"/>
      <c r="F201" s="107"/>
      <c r="G201" s="29"/>
      <c r="H201" s="30"/>
      <c r="I201" s="30"/>
      <c r="J201" s="25"/>
      <c r="K201" s="26"/>
      <c r="L201" s="26"/>
    </row>
    <row r="202" spans="1:12">
      <c r="A202" s="109">
        <v>0.25</v>
      </c>
      <c r="B202" s="109"/>
      <c r="C202" s="109"/>
      <c r="D202" s="109"/>
      <c r="E202" s="109"/>
      <c r="F202" s="109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>
      <c r="A203" s="109">
        <v>0.5</v>
      </c>
      <c r="B203" s="109"/>
      <c r="C203" s="109"/>
      <c r="D203" s="109"/>
      <c r="E203" s="109"/>
      <c r="F203" s="109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>
      <c r="A204" s="109">
        <v>1</v>
      </c>
      <c r="B204" s="109"/>
      <c r="C204" s="109"/>
      <c r="D204" s="109"/>
      <c r="E204" s="109"/>
      <c r="F204" s="109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>
      <c r="A205" s="106" t="s">
        <v>67</v>
      </c>
      <c r="B205" s="106"/>
      <c r="C205" s="106"/>
      <c r="D205" s="106"/>
      <c r="E205" s="106"/>
      <c r="F205" s="106"/>
      <c r="G205" s="21"/>
      <c r="H205" s="22"/>
      <c r="I205" s="21">
        <f>SUM(I206:I207)</f>
        <v>606.27850000000001</v>
      </c>
      <c r="J205" s="21"/>
      <c r="K205" s="21"/>
      <c r="L205" s="21"/>
    </row>
    <row r="206" spans="1:12">
      <c r="A206" s="107" t="s">
        <v>68</v>
      </c>
      <c r="B206" s="107"/>
      <c r="C206" s="107"/>
      <c r="D206" s="107"/>
      <c r="E206" s="107"/>
      <c r="F206" s="107"/>
      <c r="G206" s="23">
        <f>(G183-A185)/360</f>
        <v>2.0305555555555554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0.05</v>
      </c>
      <c r="I206" s="23">
        <f>I194*H206</f>
        <v>606.27850000000001</v>
      </c>
      <c r="J206" s="25"/>
      <c r="K206" s="26"/>
      <c r="L206" s="26"/>
    </row>
    <row r="207" spans="1:12">
      <c r="A207" s="107" t="s">
        <v>69</v>
      </c>
      <c r="B207" s="107"/>
      <c r="C207" s="107"/>
      <c r="D207" s="107"/>
      <c r="E207" s="107"/>
      <c r="F207" s="107"/>
      <c r="G207" s="23"/>
      <c r="H207" s="24"/>
      <c r="I207" s="23"/>
      <c r="J207" s="25"/>
      <c r="K207" s="26"/>
      <c r="L207" s="26"/>
    </row>
    <row r="208" spans="1:12">
      <c r="A208" s="106" t="s">
        <v>70</v>
      </c>
      <c r="B208" s="106"/>
      <c r="C208" s="106"/>
      <c r="D208" s="106"/>
      <c r="E208" s="106"/>
      <c r="F208" s="106"/>
      <c r="G208" s="21"/>
      <c r="H208" s="22"/>
      <c r="I208" s="21">
        <f>SUM(I209:I211)</f>
        <v>5000</v>
      </c>
      <c r="J208" s="21"/>
      <c r="K208" s="21"/>
      <c r="L208" s="21"/>
    </row>
    <row r="209" spans="1:12">
      <c r="A209" s="107" t="s">
        <v>71</v>
      </c>
      <c r="B209" s="107"/>
      <c r="C209" s="107"/>
      <c r="D209" s="107"/>
      <c r="E209" s="107"/>
      <c r="F209" s="107"/>
      <c r="G209" s="23"/>
      <c r="H209" s="24"/>
      <c r="I209" s="23">
        <v>2500</v>
      </c>
      <c r="J209" s="25"/>
      <c r="K209" s="26"/>
      <c r="L209" s="26"/>
    </row>
    <row r="210" spans="1:12">
      <c r="A210" s="107" t="s">
        <v>72</v>
      </c>
      <c r="B210" s="107"/>
      <c r="C210" s="107"/>
      <c r="D210" s="107"/>
      <c r="E210" s="107"/>
      <c r="F210" s="107"/>
      <c r="G210" s="23"/>
      <c r="H210" s="31">
        <v>0</v>
      </c>
      <c r="I210" s="23">
        <v>2500</v>
      </c>
      <c r="J210" s="25"/>
      <c r="K210" s="26"/>
      <c r="L210" s="26"/>
    </row>
    <row r="211" spans="1:12">
      <c r="A211" s="107" t="s">
        <v>73</v>
      </c>
      <c r="B211" s="107"/>
      <c r="C211" s="107"/>
      <c r="D211" s="107"/>
      <c r="E211" s="107"/>
      <c r="F211" s="107"/>
      <c r="G211" s="23"/>
      <c r="H211" s="24"/>
      <c r="I211" s="23"/>
      <c r="J211" s="25"/>
      <c r="K211" s="26"/>
      <c r="L211" s="26"/>
    </row>
    <row r="212" spans="1:12">
      <c r="A212" s="111" t="s">
        <v>74</v>
      </c>
      <c r="B212" s="111"/>
      <c r="C212" s="111"/>
      <c r="D212" s="111"/>
      <c r="E212" s="111"/>
      <c r="F212" s="111"/>
      <c r="G212" s="32"/>
      <c r="H212" s="33"/>
      <c r="I212" s="32">
        <f>I194+I205+I208</f>
        <v>17731.8485</v>
      </c>
      <c r="J212" s="33"/>
      <c r="K212" s="33"/>
      <c r="L212" s="33"/>
    </row>
    <row r="213" spans="1:12">
      <c r="A213" s="111" t="s">
        <v>75</v>
      </c>
      <c r="B213" s="111"/>
      <c r="C213" s="111"/>
      <c r="D213" s="111"/>
      <c r="E213" s="111"/>
      <c r="F213" s="111"/>
      <c r="G213" s="32"/>
      <c r="H213" s="33"/>
      <c r="I213" s="32">
        <f>I212-I208</f>
        <v>12731.8485</v>
      </c>
      <c r="J213" s="33"/>
      <c r="K213" s="33"/>
      <c r="L213" s="33"/>
    </row>
    <row r="214" spans="1:12">
      <c r="A214" s="107" t="s">
        <v>76</v>
      </c>
      <c r="B214" s="107"/>
      <c r="C214" s="107"/>
      <c r="D214" s="107"/>
      <c r="E214" s="107"/>
      <c r="F214" s="107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>
      <c r="A215" s="107" t="s">
        <v>77</v>
      </c>
      <c r="B215" s="107"/>
      <c r="C215" s="107"/>
      <c r="D215" s="107"/>
      <c r="E215" s="107"/>
      <c r="F215" s="107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>
      <c r="A216" s="107" t="s">
        <v>78</v>
      </c>
      <c r="B216" s="107"/>
      <c r="C216" s="107"/>
      <c r="D216" s="107"/>
      <c r="E216" s="107"/>
      <c r="F216" s="107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>
      <c r="A217" s="107" t="s">
        <v>79</v>
      </c>
      <c r="B217" s="107"/>
      <c r="C217" s="107"/>
      <c r="D217" s="107"/>
      <c r="E217" s="107"/>
      <c r="F217" s="107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>
      <c r="A218" s="107" t="s">
        <v>80</v>
      </c>
      <c r="B218" s="107"/>
      <c r="C218" s="107"/>
      <c r="D218" s="107"/>
      <c r="E218" s="107"/>
      <c r="F218" s="107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>
      <c r="A219" s="107" t="s">
        <v>81</v>
      </c>
      <c r="B219" s="107"/>
      <c r="C219" s="107"/>
      <c r="D219" s="107"/>
      <c r="E219" s="107"/>
      <c r="F219" s="107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>
      <c r="A220" s="107" t="s">
        <v>24</v>
      </c>
      <c r="B220" s="107"/>
      <c r="C220" s="107"/>
      <c r="D220" s="107"/>
      <c r="E220" s="107"/>
      <c r="F220" s="107"/>
      <c r="G220" s="23"/>
      <c r="H220" s="34" t="str">
        <f>[1]Taux!D$7</f>
        <v>2,26%</v>
      </c>
      <c r="I220" s="23"/>
      <c r="J220" s="23">
        <f>I213*H220</f>
        <v>287.73977609999997</v>
      </c>
      <c r="K220" s="34" t="str">
        <f>[1]Taux!C$7</f>
        <v>4,11%</v>
      </c>
      <c r="L220" s="23">
        <f>I213*K220</f>
        <v>523.27897335</v>
      </c>
    </row>
    <row r="221" spans="1:12">
      <c r="A221" s="110" t="s">
        <v>82</v>
      </c>
      <c r="B221" s="110"/>
      <c r="C221" s="110"/>
      <c r="D221" s="110"/>
      <c r="E221" s="110"/>
      <c r="F221" s="110"/>
      <c r="G221" s="37"/>
      <c r="H221" s="38"/>
      <c r="I221" s="39"/>
      <c r="J221" s="40"/>
      <c r="K221" s="34" t="str">
        <f>[1]Taux!C$4</f>
        <v>6,40%</v>
      </c>
      <c r="L221" s="23">
        <f>I213*K221</f>
        <v>814.83830399999999</v>
      </c>
    </row>
    <row r="222" spans="1:12">
      <c r="A222" s="110" t="s">
        <v>83</v>
      </c>
      <c r="B222" s="110"/>
      <c r="C222" s="110"/>
      <c r="D222" s="110"/>
      <c r="E222" s="110"/>
      <c r="F222" s="110"/>
      <c r="G222" s="41"/>
      <c r="H222" s="42"/>
      <c r="I222" s="43"/>
      <c r="J222" s="44"/>
      <c r="K222" s="34" t="str">
        <f>[1]Taux!C$8</f>
        <v>1,6 %</v>
      </c>
      <c r="L222" s="23">
        <f>I213*K222</f>
        <v>203.709576</v>
      </c>
    </row>
    <row r="223" spans="1:12">
      <c r="A223" s="106" t="s">
        <v>84</v>
      </c>
      <c r="B223" s="106"/>
      <c r="C223" s="106"/>
      <c r="D223" s="106"/>
      <c r="E223" s="106"/>
      <c r="F223" s="106"/>
      <c r="G223" s="21"/>
      <c r="H223" s="22"/>
      <c r="I223" s="22"/>
      <c r="J223" s="21">
        <f>SUM(J214:J220)</f>
        <v>556.53977609999993</v>
      </c>
      <c r="K223" s="21"/>
      <c r="L223" s="21">
        <f>SUM(L214:L222)</f>
        <v>2080.6268533500001</v>
      </c>
    </row>
    <row r="224" spans="1:12">
      <c r="A224" s="107" t="s">
        <v>85</v>
      </c>
      <c r="B224" s="107"/>
      <c r="C224" s="107"/>
      <c r="D224" s="107"/>
      <c r="E224" s="107"/>
      <c r="F224" s="107"/>
      <c r="G224" s="23"/>
      <c r="H224" s="45">
        <v>0.2</v>
      </c>
      <c r="I224" s="23"/>
      <c r="J224" s="23">
        <f>IF(I213*H224&lt;2500,I213*H224,2500)</f>
        <v>2500</v>
      </c>
      <c r="K224" s="46"/>
      <c r="L224" s="47"/>
    </row>
    <row r="225" spans="1:12">
      <c r="A225" s="111" t="s">
        <v>86</v>
      </c>
      <c r="B225" s="111"/>
      <c r="C225" s="111"/>
      <c r="D225" s="111"/>
      <c r="E225" s="111"/>
      <c r="F225" s="111"/>
      <c r="G225" s="32"/>
      <c r="H225" s="33"/>
      <c r="I225" s="32">
        <f>I213-J223-J224</f>
        <v>9675.3087238999997</v>
      </c>
      <c r="J225" s="33"/>
      <c r="K225" s="33"/>
      <c r="L225" s="33"/>
    </row>
    <row r="226" spans="1:12">
      <c r="A226" s="107" t="s">
        <v>87</v>
      </c>
      <c r="B226" s="107"/>
      <c r="C226" s="107"/>
      <c r="D226" s="107"/>
      <c r="E226" s="107"/>
      <c r="F226" s="107"/>
      <c r="G226" s="23"/>
      <c r="H226" s="34"/>
      <c r="I226" s="23">
        <f>H226*180/360</f>
        <v>0</v>
      </c>
      <c r="J226" s="23"/>
      <c r="K226" s="46"/>
      <c r="L226" s="47"/>
    </row>
    <row r="227" spans="1:12">
      <c r="A227" s="111" t="s">
        <v>88</v>
      </c>
      <c r="B227" s="111"/>
      <c r="C227" s="111"/>
      <c r="D227" s="111"/>
      <c r="E227" s="111"/>
      <c r="F227" s="111"/>
      <c r="G227" s="32"/>
      <c r="H227" s="33"/>
      <c r="I227" s="32">
        <f>I225-I226</f>
        <v>9675.3087238999997</v>
      </c>
      <c r="J227" s="33"/>
      <c r="K227" s="33"/>
      <c r="L227" s="33"/>
    </row>
    <row r="228" spans="1:12">
      <c r="A228" s="107" t="s">
        <v>89</v>
      </c>
      <c r="B228" s="107"/>
      <c r="C228" s="107"/>
      <c r="D228" s="107"/>
      <c r="E228" s="107"/>
      <c r="F228" s="107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1856.2716327926667</v>
      </c>
      <c r="K228" s="46"/>
      <c r="L228" s="47"/>
    </row>
    <row r="229" spans="1:12">
      <c r="A229" s="107" t="s">
        <v>90</v>
      </c>
      <c r="B229" s="107"/>
      <c r="C229" s="107"/>
      <c r="D229" s="107"/>
      <c r="E229" s="107"/>
      <c r="F229" s="107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>
      <c r="A230" s="106" t="s">
        <v>91</v>
      </c>
      <c r="B230" s="106"/>
      <c r="C230" s="106"/>
      <c r="D230" s="106"/>
      <c r="E230" s="106"/>
      <c r="F230" s="106"/>
      <c r="G230" s="21"/>
      <c r="H230" s="22"/>
      <c r="I230" s="21"/>
      <c r="J230" s="21">
        <f>J228-J229</f>
        <v>1766.2716327926667</v>
      </c>
      <c r="K230" s="21"/>
      <c r="L230" s="21"/>
    </row>
    <row r="231" spans="1:12">
      <c r="A231" s="112" t="s">
        <v>92</v>
      </c>
      <c r="B231" s="112"/>
      <c r="C231" s="112"/>
      <c r="D231" s="112"/>
      <c r="E231" s="112"/>
      <c r="F231" s="112"/>
      <c r="G231" s="25"/>
      <c r="H231" s="48"/>
      <c r="I231" s="47"/>
      <c r="J231" s="49">
        <v>0</v>
      </c>
      <c r="K231" s="46"/>
      <c r="L231" s="47"/>
    </row>
    <row r="232" spans="1:12">
      <c r="A232" s="107" t="s">
        <v>93</v>
      </c>
      <c r="B232" s="107"/>
      <c r="C232" s="107"/>
      <c r="D232" s="107"/>
      <c r="E232" s="107"/>
      <c r="F232" s="107"/>
      <c r="G232" s="25"/>
      <c r="H232" s="48"/>
      <c r="I232" s="44"/>
      <c r="J232" s="28">
        <v>0</v>
      </c>
      <c r="K232" s="46"/>
      <c r="L232" s="47"/>
    </row>
    <row r="233" spans="1:12">
      <c r="A233" s="113" t="s">
        <v>94</v>
      </c>
      <c r="B233" s="113"/>
      <c r="C233" s="113"/>
      <c r="D233" s="113"/>
      <c r="E233" s="113"/>
      <c r="F233" s="113"/>
      <c r="G233" s="41"/>
      <c r="H233" s="42"/>
      <c r="I233" s="28">
        <f>1-0.04</f>
        <v>0.96</v>
      </c>
      <c r="J233" s="41"/>
      <c r="K233" s="43"/>
      <c r="L233" s="44"/>
    </row>
    <row r="234" spans="1:1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>
      <c r="A235" s="14" t="s">
        <v>95</v>
      </c>
      <c r="B235" s="14" t="s">
        <v>96</v>
      </c>
      <c r="C235" s="14" t="s">
        <v>97</v>
      </c>
      <c r="D235" s="104" t="s">
        <v>98</v>
      </c>
      <c r="E235" s="104"/>
      <c r="F235" s="104"/>
      <c r="G235" s="14" t="s">
        <v>99</v>
      </c>
      <c r="H235" s="50"/>
      <c r="I235" s="52">
        <f>I212+I233</f>
        <v>17732.808499999999</v>
      </c>
      <c r="J235" s="52">
        <f>J223+J230+J231+J232</f>
        <v>2322.8114088926668</v>
      </c>
      <c r="K235" s="14" t="s">
        <v>100</v>
      </c>
      <c r="L235" s="52">
        <f>L223</f>
        <v>2080.6268533500001</v>
      </c>
    </row>
    <row r="236" spans="1:12">
      <c r="A236" s="52">
        <f>156555.24+I212</f>
        <v>174287.08849999998</v>
      </c>
      <c r="B236" s="52">
        <f>111555.24+I213</f>
        <v>124287.08850000001</v>
      </c>
      <c r="C236" s="52">
        <f>2419.2+J214</f>
        <v>2688</v>
      </c>
      <c r="D236" s="114">
        <f>15016.37+J230</f>
        <v>16782.641632792667</v>
      </c>
      <c r="E236" s="114"/>
      <c r="F236" s="114"/>
      <c r="G236" s="52">
        <f>136602.47+I235</f>
        <v>154335.27850000001</v>
      </c>
      <c r="H236" s="104" t="s">
        <v>101</v>
      </c>
      <c r="I236" s="104"/>
      <c r="J236" s="52">
        <f>I235-J235</f>
        <v>15409.997091107332</v>
      </c>
      <c r="K236" s="14" t="s">
        <v>102</v>
      </c>
      <c r="L236" s="52">
        <f>20589.65+L235</f>
        <v>22670.276853350002</v>
      </c>
    </row>
    <row r="237" spans="1:1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17490.623944457333</v>
      </c>
    </row>
    <row r="241" spans="1:12">
      <c r="A241" s="105" t="s">
        <v>26</v>
      </c>
      <c r="B241" s="105"/>
      <c r="C241" s="105" t="s">
        <v>27</v>
      </c>
      <c r="D241" s="105"/>
      <c r="E241" s="105"/>
      <c r="F241" s="105"/>
      <c r="G241" s="105" t="s">
        <v>28</v>
      </c>
      <c r="H241" s="105"/>
      <c r="I241" s="105"/>
      <c r="J241" s="105" t="s">
        <v>29</v>
      </c>
      <c r="K241" s="105"/>
      <c r="L241" s="105"/>
    </row>
    <row r="242" spans="1:12">
      <c r="A242" s="14" t="s">
        <v>30</v>
      </c>
      <c r="B242" s="104" t="s">
        <v>31</v>
      </c>
      <c r="C242" s="104"/>
      <c r="D242" s="104"/>
      <c r="E242" s="104"/>
      <c r="F242" s="104"/>
      <c r="G242" s="104" t="s">
        <v>32</v>
      </c>
      <c r="H242" s="104"/>
      <c r="I242" s="104"/>
      <c r="J242" s="104"/>
      <c r="K242" s="104"/>
      <c r="L242" s="104"/>
    </row>
    <row r="243" spans="1:12">
      <c r="A243" s="16">
        <v>6</v>
      </c>
      <c r="B243" s="102" t="s">
        <v>110</v>
      </c>
      <c r="C243" s="102"/>
      <c r="D243" s="102"/>
      <c r="E243" s="102"/>
      <c r="F243" s="102"/>
      <c r="G243" s="103">
        <v>42522</v>
      </c>
      <c r="H243" s="103"/>
      <c r="I243" s="103"/>
      <c r="J243" s="103">
        <v>42551</v>
      </c>
      <c r="K243" s="103"/>
      <c r="L243" s="103"/>
    </row>
    <row r="244" spans="1:12">
      <c r="A244" s="14" t="s">
        <v>34</v>
      </c>
      <c r="B244" s="14" t="s">
        <v>35</v>
      </c>
      <c r="C244" s="14" t="s">
        <v>36</v>
      </c>
      <c r="D244" s="14" t="s">
        <v>37</v>
      </c>
      <c r="E244" s="14" t="s">
        <v>38</v>
      </c>
      <c r="F244" s="14" t="s">
        <v>39</v>
      </c>
      <c r="G244" s="104" t="s">
        <v>40</v>
      </c>
      <c r="H244" s="104"/>
      <c r="I244" s="104"/>
      <c r="J244" s="104"/>
      <c r="K244" s="104"/>
      <c r="L244" s="104"/>
    </row>
    <row r="245" spans="1:12">
      <c r="A245" s="17">
        <v>41821</v>
      </c>
      <c r="B245" s="16"/>
      <c r="C245" s="17">
        <v>31573</v>
      </c>
      <c r="D245" s="16" t="s">
        <v>111</v>
      </c>
      <c r="E245" s="16">
        <v>0</v>
      </c>
      <c r="F245" s="16">
        <v>0</v>
      </c>
      <c r="G245" s="102"/>
      <c r="H245" s="102"/>
      <c r="I245" s="102"/>
      <c r="J245" s="102"/>
      <c r="K245" s="102"/>
      <c r="L245" s="102"/>
    </row>
    <row r="246" spans="1:12">
      <c r="A246" s="14" t="s">
        <v>42</v>
      </c>
      <c r="B246" s="14" t="s">
        <v>43</v>
      </c>
      <c r="C246" s="14" t="s">
        <v>44</v>
      </c>
      <c r="D246" s="104" t="s">
        <v>45</v>
      </c>
      <c r="E246" s="104"/>
      <c r="F246" s="104"/>
      <c r="G246" s="104" t="s">
        <v>46</v>
      </c>
      <c r="H246" s="104"/>
      <c r="I246" s="104"/>
      <c r="J246" s="104"/>
      <c r="K246" s="104"/>
      <c r="L246" s="104"/>
    </row>
    <row r="247" spans="1:12">
      <c r="A247" s="16">
        <v>195441186</v>
      </c>
      <c r="B247" s="16"/>
      <c r="C247" s="16"/>
      <c r="D247" s="102" t="s">
        <v>47</v>
      </c>
      <c r="E247" s="102"/>
      <c r="F247" s="102"/>
      <c r="G247" s="102" t="s">
        <v>107</v>
      </c>
      <c r="H247" s="102"/>
      <c r="I247" s="102"/>
      <c r="J247" s="102"/>
      <c r="K247" s="102"/>
      <c r="L247" s="102"/>
    </row>
    <row r="248" spans="1:1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>
      <c r="A251" s="108" t="s">
        <v>49</v>
      </c>
      <c r="B251" s="108"/>
      <c r="C251" s="108"/>
      <c r="D251" s="108"/>
      <c r="E251" s="108"/>
      <c r="F251" s="108"/>
      <c r="G251" s="108" t="s">
        <v>50</v>
      </c>
      <c r="H251" s="108" t="s">
        <v>51</v>
      </c>
      <c r="I251" s="108" t="s">
        <v>52</v>
      </c>
      <c r="J251" s="108"/>
      <c r="K251" s="108" t="s">
        <v>53</v>
      </c>
      <c r="L251" s="108"/>
    </row>
    <row r="252" spans="1:12">
      <c r="A252" s="108"/>
      <c r="B252" s="108"/>
      <c r="C252" s="108"/>
      <c r="D252" s="108"/>
      <c r="E252" s="108"/>
      <c r="F252" s="108"/>
      <c r="G252" s="108"/>
      <c r="H252" s="108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>
      <c r="A253" s="106" t="s">
        <v>58</v>
      </c>
      <c r="B253" s="106"/>
      <c r="C253" s="106"/>
      <c r="D253" s="106"/>
      <c r="E253" s="106"/>
      <c r="F253" s="106"/>
      <c r="G253" s="21">
        <v>2895.13</v>
      </c>
      <c r="H253" s="22"/>
      <c r="I253" s="21"/>
      <c r="J253" s="21"/>
      <c r="K253" s="21"/>
      <c r="L253" s="21"/>
    </row>
    <row r="254" spans="1:12">
      <c r="A254" s="106" t="s">
        <v>59</v>
      </c>
      <c r="B254" s="106"/>
      <c r="C254" s="106"/>
      <c r="D254" s="106"/>
      <c r="E254" s="106"/>
      <c r="F254" s="106"/>
      <c r="G254" s="21"/>
      <c r="H254" s="21"/>
      <c r="I254" s="21">
        <f>IF(I255+I256-J257-J258+I259+I262+I263+I264+I260&lt;G253,I255+I256-J257-J258+I259+I262+I263+I264+I260,G253)</f>
        <v>2895.13</v>
      </c>
      <c r="J254" s="21"/>
      <c r="K254" s="21"/>
      <c r="L254" s="21"/>
    </row>
    <row r="255" spans="1:12">
      <c r="A255" s="107" t="s">
        <v>60</v>
      </c>
      <c r="B255" s="107"/>
      <c r="C255" s="107"/>
      <c r="D255" s="107"/>
      <c r="E255" s="107"/>
      <c r="F255" s="107"/>
      <c r="G255" s="23"/>
      <c r="H255" s="24">
        <v>26</v>
      </c>
      <c r="I255" s="23">
        <f>G253/26*H255</f>
        <v>2895.13</v>
      </c>
      <c r="J255" s="25"/>
      <c r="K255" s="26"/>
      <c r="L255" s="26"/>
    </row>
    <row r="256" spans="1:12">
      <c r="A256" s="107" t="s">
        <v>61</v>
      </c>
      <c r="B256" s="107"/>
      <c r="C256" s="107"/>
      <c r="D256" s="107"/>
      <c r="E256" s="107"/>
      <c r="F256" s="107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>
      <c r="A257" s="107" t="s">
        <v>62</v>
      </c>
      <c r="B257" s="107"/>
      <c r="C257" s="107"/>
      <c r="D257" s="107"/>
      <c r="E257" s="107"/>
      <c r="F257" s="107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>
      <c r="A258" s="107" t="s">
        <v>63</v>
      </c>
      <c r="B258" s="107"/>
      <c r="C258" s="107"/>
      <c r="D258" s="107"/>
      <c r="E258" s="107"/>
      <c r="F258" s="107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>
      <c r="A259" s="107" t="s">
        <v>64</v>
      </c>
      <c r="B259" s="107"/>
      <c r="C259" s="107"/>
      <c r="D259" s="107"/>
      <c r="E259" s="107"/>
      <c r="F259" s="107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>
      <c r="A260" s="107" t="s">
        <v>65</v>
      </c>
      <c r="B260" s="107"/>
      <c r="C260" s="107"/>
      <c r="D260" s="107"/>
      <c r="E260" s="107"/>
      <c r="F260" s="107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>
      <c r="A261" s="107" t="s">
        <v>66</v>
      </c>
      <c r="B261" s="107"/>
      <c r="C261" s="107"/>
      <c r="D261" s="107"/>
      <c r="E261" s="107"/>
      <c r="F261" s="107"/>
      <c r="G261" s="29"/>
      <c r="H261" s="30"/>
      <c r="I261" s="30"/>
      <c r="J261" s="25"/>
      <c r="K261" s="26"/>
      <c r="L261" s="26"/>
    </row>
    <row r="262" spans="1:12">
      <c r="A262" s="109">
        <v>0.25</v>
      </c>
      <c r="B262" s="109"/>
      <c r="C262" s="109"/>
      <c r="D262" s="109"/>
      <c r="E262" s="109"/>
      <c r="F262" s="109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>
      <c r="A263" s="109">
        <v>0.5</v>
      </c>
      <c r="B263" s="109"/>
      <c r="C263" s="109"/>
      <c r="D263" s="109"/>
      <c r="E263" s="109"/>
      <c r="F263" s="109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>
      <c r="A264" s="109">
        <v>1</v>
      </c>
      <c r="B264" s="109"/>
      <c r="C264" s="109"/>
      <c r="D264" s="109"/>
      <c r="E264" s="109"/>
      <c r="F264" s="109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>
      <c r="A265" s="106" t="s">
        <v>67</v>
      </c>
      <c r="B265" s="106"/>
      <c r="C265" s="106"/>
      <c r="D265" s="106"/>
      <c r="E265" s="106"/>
      <c r="F265" s="106"/>
      <c r="G265" s="21"/>
      <c r="H265" s="22"/>
      <c r="I265" s="21">
        <f>SUM(I266:I267)</f>
        <v>0</v>
      </c>
      <c r="J265" s="21"/>
      <c r="K265" s="21"/>
      <c r="L265" s="21"/>
    </row>
    <row r="266" spans="1:12">
      <c r="A266" s="107" t="s">
        <v>68</v>
      </c>
      <c r="B266" s="107"/>
      <c r="C266" s="107"/>
      <c r="D266" s="107"/>
      <c r="E266" s="107"/>
      <c r="F266" s="107"/>
      <c r="G266" s="23">
        <f>(G243-A245)/360</f>
        <v>1.9472222222222222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</v>
      </c>
      <c r="I266" s="23">
        <f>I254*H266</f>
        <v>0</v>
      </c>
      <c r="J266" s="25"/>
      <c r="K266" s="26"/>
      <c r="L266" s="26"/>
    </row>
    <row r="267" spans="1:12">
      <c r="A267" s="107" t="s">
        <v>69</v>
      </c>
      <c r="B267" s="107"/>
      <c r="C267" s="107"/>
      <c r="D267" s="107"/>
      <c r="E267" s="107"/>
      <c r="F267" s="107"/>
      <c r="G267" s="23"/>
      <c r="H267" s="24"/>
      <c r="I267" s="23"/>
      <c r="J267" s="25"/>
      <c r="K267" s="26"/>
      <c r="L267" s="26"/>
    </row>
    <row r="268" spans="1:12">
      <c r="A268" s="106" t="s">
        <v>70</v>
      </c>
      <c r="B268" s="106"/>
      <c r="C268" s="106"/>
      <c r="D268" s="106"/>
      <c r="E268" s="106"/>
      <c r="F268" s="106"/>
      <c r="G268" s="21"/>
      <c r="H268" s="22"/>
      <c r="I268" s="21">
        <f>SUM(I269:I271)</f>
        <v>300</v>
      </c>
      <c r="J268" s="21"/>
      <c r="K268" s="21"/>
      <c r="L268" s="21"/>
    </row>
    <row r="269" spans="1:12">
      <c r="A269" s="107" t="s">
        <v>71</v>
      </c>
      <c r="B269" s="107"/>
      <c r="C269" s="107"/>
      <c r="D269" s="107"/>
      <c r="E269" s="107"/>
      <c r="F269" s="107"/>
      <c r="G269" s="23"/>
      <c r="H269" s="24"/>
      <c r="I269" s="23">
        <v>300</v>
      </c>
      <c r="J269" s="25"/>
      <c r="K269" s="26"/>
      <c r="L269" s="26"/>
    </row>
    <row r="270" spans="1:12">
      <c r="A270" s="107" t="s">
        <v>72</v>
      </c>
      <c r="B270" s="107"/>
      <c r="C270" s="107"/>
      <c r="D270" s="107"/>
      <c r="E270" s="107"/>
      <c r="F270" s="107"/>
      <c r="G270" s="23"/>
      <c r="H270" s="31">
        <v>0</v>
      </c>
      <c r="I270" s="23"/>
      <c r="J270" s="25"/>
      <c r="K270" s="26"/>
      <c r="L270" s="26"/>
    </row>
    <row r="271" spans="1:12">
      <c r="A271" s="107" t="s">
        <v>73</v>
      </c>
      <c r="B271" s="107"/>
      <c r="C271" s="107"/>
      <c r="D271" s="107"/>
      <c r="E271" s="107"/>
      <c r="F271" s="107"/>
      <c r="G271" s="23"/>
      <c r="H271" s="24"/>
      <c r="I271" s="23"/>
      <c r="J271" s="25"/>
      <c r="K271" s="26"/>
      <c r="L271" s="26"/>
    </row>
    <row r="272" spans="1:12">
      <c r="A272" s="111" t="s">
        <v>74</v>
      </c>
      <c r="B272" s="111"/>
      <c r="C272" s="111"/>
      <c r="D272" s="111"/>
      <c r="E272" s="111"/>
      <c r="F272" s="111"/>
      <c r="G272" s="32"/>
      <c r="H272" s="33"/>
      <c r="I272" s="32">
        <f>I254+I265+I268</f>
        <v>3195.13</v>
      </c>
      <c r="J272" s="33"/>
      <c r="K272" s="33"/>
      <c r="L272" s="33"/>
    </row>
    <row r="273" spans="1:12">
      <c r="A273" s="111" t="s">
        <v>75</v>
      </c>
      <c r="B273" s="111"/>
      <c r="C273" s="111"/>
      <c r="D273" s="111"/>
      <c r="E273" s="111"/>
      <c r="F273" s="111"/>
      <c r="G273" s="32"/>
      <c r="H273" s="33"/>
      <c r="I273" s="32">
        <f>I272-I268</f>
        <v>2895.13</v>
      </c>
      <c r="J273" s="33"/>
      <c r="K273" s="33"/>
      <c r="L273" s="33"/>
    </row>
    <row r="274" spans="1:12">
      <c r="A274" s="107" t="s">
        <v>76</v>
      </c>
      <c r="B274" s="107"/>
      <c r="C274" s="107"/>
      <c r="D274" s="107"/>
      <c r="E274" s="107"/>
      <c r="F274" s="107"/>
      <c r="G274" s="23"/>
      <c r="H274" s="34">
        <f>[1]Taux!D$5+[1]Taux!D$6</f>
        <v>4.4800000000000006E-2</v>
      </c>
      <c r="I274" s="23"/>
      <c r="J274" s="23">
        <f>IF(I273&lt;6000,I273*H274,6000*H274)</f>
        <v>129.70182400000002</v>
      </c>
      <c r="K274" s="35">
        <f>[1]Taux!C$5+[1]Taux!C$6</f>
        <v>8.9799999999999991E-2</v>
      </c>
      <c r="L274" s="23">
        <f>IF(I273&lt;6000,I273*K274,6000*K274)</f>
        <v>259.98267399999997</v>
      </c>
    </row>
    <row r="275" spans="1:12">
      <c r="A275" s="107" t="s">
        <v>77</v>
      </c>
      <c r="B275" s="107"/>
      <c r="C275" s="107"/>
      <c r="D275" s="107"/>
      <c r="E275" s="107"/>
      <c r="F275" s="107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>
      <c r="A276" s="107" t="s">
        <v>78</v>
      </c>
      <c r="B276" s="107"/>
      <c r="C276" s="107"/>
      <c r="D276" s="107"/>
      <c r="E276" s="107"/>
      <c r="F276" s="107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57.902600000000007</v>
      </c>
    </row>
    <row r="277" spans="1:12">
      <c r="A277" s="107" t="s">
        <v>79</v>
      </c>
      <c r="B277" s="107"/>
      <c r="C277" s="107"/>
      <c r="D277" s="107"/>
      <c r="E277" s="107"/>
      <c r="F277" s="107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>
      <c r="A278" s="107" t="s">
        <v>80</v>
      </c>
      <c r="B278" s="107"/>
      <c r="C278" s="107"/>
      <c r="D278" s="107"/>
      <c r="E278" s="107"/>
      <c r="F278" s="107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>
      <c r="A279" s="107" t="s">
        <v>81</v>
      </c>
      <c r="B279" s="107"/>
      <c r="C279" s="107"/>
      <c r="D279" s="107"/>
      <c r="E279" s="107"/>
      <c r="F279" s="107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>
      <c r="A280" s="107" t="s">
        <v>24</v>
      </c>
      <c r="B280" s="107"/>
      <c r="C280" s="107"/>
      <c r="D280" s="107"/>
      <c r="E280" s="107"/>
      <c r="F280" s="107"/>
      <c r="G280" s="23"/>
      <c r="H280" s="34" t="str">
        <f>[1]Taux!D$7</f>
        <v>2,26%</v>
      </c>
      <c r="I280" s="23"/>
      <c r="J280" s="23">
        <f>I273*H280</f>
        <v>65.429937999999993</v>
      </c>
      <c r="K280" s="34" t="str">
        <f>[1]Taux!C$7</f>
        <v>4,11%</v>
      </c>
      <c r="L280" s="23">
        <f>I273*K280</f>
        <v>118.98984299999999</v>
      </c>
    </row>
    <row r="281" spans="1:12">
      <c r="A281" s="110" t="s">
        <v>82</v>
      </c>
      <c r="B281" s="110"/>
      <c r="C281" s="110"/>
      <c r="D281" s="110"/>
      <c r="E281" s="110"/>
      <c r="F281" s="110"/>
      <c r="G281" s="37"/>
      <c r="H281" s="38"/>
      <c r="I281" s="39"/>
      <c r="J281" s="40"/>
      <c r="K281" s="34" t="str">
        <f>[1]Taux!C$4</f>
        <v>6,40%</v>
      </c>
      <c r="L281" s="23">
        <f>I273*K281</f>
        <v>185.28832</v>
      </c>
    </row>
    <row r="282" spans="1:12">
      <c r="A282" s="110" t="s">
        <v>83</v>
      </c>
      <c r="B282" s="110"/>
      <c r="C282" s="110"/>
      <c r="D282" s="110"/>
      <c r="E282" s="110"/>
      <c r="F282" s="110"/>
      <c r="G282" s="41"/>
      <c r="H282" s="42"/>
      <c r="I282" s="43"/>
      <c r="J282" s="44"/>
      <c r="K282" s="34" t="str">
        <f>[1]Taux!C$8</f>
        <v>1,6 %</v>
      </c>
      <c r="L282" s="23">
        <f>I273*K282</f>
        <v>46.32208</v>
      </c>
    </row>
    <row r="283" spans="1:12">
      <c r="A283" s="106" t="s">
        <v>84</v>
      </c>
      <c r="B283" s="106"/>
      <c r="C283" s="106"/>
      <c r="D283" s="106"/>
      <c r="E283" s="106"/>
      <c r="F283" s="106"/>
      <c r="G283" s="21"/>
      <c r="H283" s="22"/>
      <c r="I283" s="22"/>
      <c r="J283" s="21">
        <f>SUM(J274:J280)</f>
        <v>195.13176200000001</v>
      </c>
      <c r="K283" s="21"/>
      <c r="L283" s="21">
        <f>SUM(L274:L282)</f>
        <v>668.48551699999996</v>
      </c>
    </row>
    <row r="284" spans="1:12">
      <c r="A284" s="107" t="s">
        <v>85</v>
      </c>
      <c r="B284" s="107"/>
      <c r="C284" s="107"/>
      <c r="D284" s="107"/>
      <c r="E284" s="107"/>
      <c r="F284" s="107"/>
      <c r="G284" s="23"/>
      <c r="H284" s="45">
        <v>0.2</v>
      </c>
      <c r="I284" s="23"/>
      <c r="J284" s="23">
        <f>IF(I273*H284&lt;2500,I273*H284,2500)</f>
        <v>579.02600000000007</v>
      </c>
      <c r="K284" s="46"/>
      <c r="L284" s="47"/>
    </row>
    <row r="285" spans="1:12">
      <c r="A285" s="111" t="s">
        <v>86</v>
      </c>
      <c r="B285" s="111"/>
      <c r="C285" s="111"/>
      <c r="D285" s="111"/>
      <c r="E285" s="111"/>
      <c r="F285" s="111"/>
      <c r="G285" s="32"/>
      <c r="H285" s="33"/>
      <c r="I285" s="32">
        <f>I273-J283-J284</f>
        <v>2120.9722380000003</v>
      </c>
      <c r="J285" s="33"/>
      <c r="K285" s="33"/>
      <c r="L285" s="33"/>
    </row>
    <row r="286" spans="1:12">
      <c r="A286" s="107" t="s">
        <v>87</v>
      </c>
      <c r="B286" s="107"/>
      <c r="C286" s="107"/>
      <c r="D286" s="107"/>
      <c r="E286" s="107"/>
      <c r="F286" s="107"/>
      <c r="G286" s="23"/>
      <c r="H286" s="34"/>
      <c r="I286" s="23">
        <f>H286*180/360</f>
        <v>0</v>
      </c>
      <c r="J286" s="23"/>
      <c r="K286" s="46"/>
      <c r="L286" s="47"/>
    </row>
    <row r="287" spans="1:12">
      <c r="A287" s="111" t="s">
        <v>88</v>
      </c>
      <c r="B287" s="111"/>
      <c r="C287" s="111"/>
      <c r="D287" s="111"/>
      <c r="E287" s="111"/>
      <c r="F287" s="111"/>
      <c r="G287" s="32"/>
      <c r="H287" s="33"/>
      <c r="I287" s="32">
        <f>I285-I286</f>
        <v>2120.9722380000003</v>
      </c>
      <c r="J287" s="33"/>
      <c r="K287" s="33"/>
      <c r="L287" s="33"/>
    </row>
    <row r="288" spans="1:12">
      <c r="A288" s="107" t="s">
        <v>89</v>
      </c>
      <c r="B288" s="107"/>
      <c r="C288" s="107"/>
      <c r="D288" s="107"/>
      <c r="E288" s="107"/>
      <c r="F288" s="107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0</v>
      </c>
      <c r="K288" s="46"/>
      <c r="L288" s="47"/>
    </row>
    <row r="289" spans="1:12">
      <c r="A289" s="107" t="s">
        <v>90</v>
      </c>
      <c r="B289" s="107"/>
      <c r="C289" s="107"/>
      <c r="D289" s="107"/>
      <c r="E289" s="107"/>
      <c r="F289" s="107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>
      <c r="A290" s="106" t="s">
        <v>91</v>
      </c>
      <c r="B290" s="106"/>
      <c r="C290" s="106"/>
      <c r="D290" s="106"/>
      <c r="E290" s="106"/>
      <c r="F290" s="106"/>
      <c r="G290" s="21"/>
      <c r="H290" s="22"/>
      <c r="I290" s="21"/>
      <c r="J290" s="21">
        <f>J288-J289</f>
        <v>0</v>
      </c>
      <c r="K290" s="21"/>
      <c r="L290" s="21"/>
    </row>
    <row r="291" spans="1:12">
      <c r="A291" s="112" t="s">
        <v>92</v>
      </c>
      <c r="B291" s="112"/>
      <c r="C291" s="112"/>
      <c r="D291" s="112"/>
      <c r="E291" s="112"/>
      <c r="F291" s="112"/>
      <c r="G291" s="25"/>
      <c r="H291" s="48"/>
      <c r="I291" s="47"/>
      <c r="J291" s="49">
        <v>0</v>
      </c>
      <c r="K291" s="46"/>
      <c r="L291" s="47"/>
    </row>
    <row r="292" spans="1:12">
      <c r="A292" s="107" t="s">
        <v>93</v>
      </c>
      <c r="B292" s="107"/>
      <c r="C292" s="107"/>
      <c r="D292" s="107"/>
      <c r="E292" s="107"/>
      <c r="F292" s="107"/>
      <c r="G292" s="25"/>
      <c r="H292" s="48"/>
      <c r="I292" s="44"/>
      <c r="J292" s="28"/>
      <c r="K292" s="46"/>
      <c r="L292" s="47"/>
    </row>
    <row r="293" spans="1:12">
      <c r="A293" s="113" t="s">
        <v>94</v>
      </c>
      <c r="B293" s="113"/>
      <c r="C293" s="113"/>
      <c r="D293" s="113"/>
      <c r="E293" s="113"/>
      <c r="F293" s="113"/>
      <c r="G293" s="41"/>
      <c r="H293" s="42"/>
      <c r="I293" s="28"/>
      <c r="J293" s="41"/>
      <c r="K293" s="43"/>
      <c r="L293" s="44"/>
    </row>
    <row r="294" spans="1:1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>
      <c r="A295" s="14" t="s">
        <v>95</v>
      </c>
      <c r="B295" s="14" t="s">
        <v>96</v>
      </c>
      <c r="C295" s="14" t="s">
        <v>97</v>
      </c>
      <c r="D295" s="104" t="s">
        <v>98</v>
      </c>
      <c r="E295" s="104"/>
      <c r="F295" s="104"/>
      <c r="G295" s="14" t="s">
        <v>99</v>
      </c>
      <c r="H295" s="50"/>
      <c r="I295" s="52">
        <f>I272+I293</f>
        <v>3195.13</v>
      </c>
      <c r="J295" s="52">
        <f>J283+J290+J291+J292</f>
        <v>195.13176200000001</v>
      </c>
      <c r="K295" s="14" t="s">
        <v>100</v>
      </c>
      <c r="L295" s="52">
        <f>L283</f>
        <v>668.48551699999996</v>
      </c>
    </row>
    <row r="296" spans="1:12">
      <c r="A296" s="52">
        <f>32114.9+I272</f>
        <v>35310.03</v>
      </c>
      <c r="B296" s="52">
        <f>29414.9+I273</f>
        <v>32310.030000000002</v>
      </c>
      <c r="C296" s="52">
        <f>1317.78+J274</f>
        <v>1447.481824</v>
      </c>
      <c r="D296" s="114">
        <f>132.35+J290</f>
        <v>132.35</v>
      </c>
      <c r="E296" s="114"/>
      <c r="F296" s="114"/>
      <c r="G296" s="52">
        <f>30000+I295</f>
        <v>33195.129999999997</v>
      </c>
      <c r="H296" s="104" t="s">
        <v>101</v>
      </c>
      <c r="I296" s="104"/>
      <c r="J296" s="52">
        <f>I295-J295</f>
        <v>2999.9982380000001</v>
      </c>
      <c r="K296" s="14" t="s">
        <v>102</v>
      </c>
      <c r="L296" s="52">
        <f>5864.92+L295</f>
        <v>6533.4055170000001</v>
      </c>
    </row>
    <row r="297" spans="1:1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3668.4837550000002</v>
      </c>
    </row>
    <row r="301" spans="1:12">
      <c r="A301" s="105" t="s">
        <v>26</v>
      </c>
      <c r="B301" s="105"/>
      <c r="C301" s="105" t="s">
        <v>27</v>
      </c>
      <c r="D301" s="105"/>
      <c r="E301" s="105"/>
      <c r="F301" s="105"/>
      <c r="G301" s="105" t="s">
        <v>28</v>
      </c>
      <c r="H301" s="105"/>
      <c r="I301" s="105"/>
      <c r="J301" s="105" t="s">
        <v>29</v>
      </c>
      <c r="K301" s="105"/>
      <c r="L301" s="105"/>
    </row>
    <row r="302" spans="1:12">
      <c r="A302" s="14" t="s">
        <v>30</v>
      </c>
      <c r="B302" s="104" t="s">
        <v>31</v>
      </c>
      <c r="C302" s="104"/>
      <c r="D302" s="104"/>
      <c r="E302" s="104"/>
      <c r="F302" s="104"/>
      <c r="G302" s="104" t="s">
        <v>32</v>
      </c>
      <c r="H302" s="104"/>
      <c r="I302" s="104"/>
      <c r="J302" s="104"/>
      <c r="K302" s="104"/>
      <c r="L302" s="104"/>
    </row>
    <row r="303" spans="1:12">
      <c r="A303" s="16">
        <v>7</v>
      </c>
      <c r="B303" s="102" t="s">
        <v>112</v>
      </c>
      <c r="C303" s="102"/>
      <c r="D303" s="102"/>
      <c r="E303" s="102"/>
      <c r="F303" s="102"/>
      <c r="G303" s="103">
        <v>42522</v>
      </c>
      <c r="H303" s="103"/>
      <c r="I303" s="103"/>
      <c r="J303" s="103">
        <v>42551</v>
      </c>
      <c r="K303" s="103"/>
      <c r="L303" s="103"/>
    </row>
    <row r="304" spans="1:12">
      <c r="A304" s="14" t="s">
        <v>34</v>
      </c>
      <c r="B304" s="14" t="s">
        <v>35</v>
      </c>
      <c r="C304" s="14" t="s">
        <v>36</v>
      </c>
      <c r="D304" s="14" t="s">
        <v>37</v>
      </c>
      <c r="E304" s="14" t="s">
        <v>38</v>
      </c>
      <c r="F304" s="14" t="s">
        <v>39</v>
      </c>
      <c r="G304" s="104" t="s">
        <v>40</v>
      </c>
      <c r="H304" s="104"/>
      <c r="I304" s="104"/>
      <c r="J304" s="104"/>
      <c r="K304" s="104"/>
      <c r="L304" s="104"/>
    </row>
    <row r="305" spans="1:12">
      <c r="A305" s="17">
        <v>42005</v>
      </c>
      <c r="B305" s="16"/>
      <c r="C305" s="17">
        <v>34565</v>
      </c>
      <c r="D305" s="16" t="s">
        <v>111</v>
      </c>
      <c r="E305" s="16">
        <v>0</v>
      </c>
      <c r="F305" s="16">
        <v>0</v>
      </c>
      <c r="G305" s="102"/>
      <c r="H305" s="102"/>
      <c r="I305" s="102"/>
      <c r="J305" s="102"/>
      <c r="K305" s="102"/>
      <c r="L305" s="102"/>
    </row>
    <row r="306" spans="1:12">
      <c r="A306" s="14" t="s">
        <v>42</v>
      </c>
      <c r="B306" s="14" t="s">
        <v>43</v>
      </c>
      <c r="C306" s="14" t="s">
        <v>44</v>
      </c>
      <c r="D306" s="104" t="s">
        <v>45</v>
      </c>
      <c r="E306" s="104"/>
      <c r="F306" s="104"/>
      <c r="G306" s="104" t="s">
        <v>46</v>
      </c>
      <c r="H306" s="104"/>
      <c r="I306" s="104"/>
      <c r="J306" s="104"/>
      <c r="K306" s="104"/>
      <c r="L306" s="104"/>
    </row>
    <row r="307" spans="1:12">
      <c r="A307" s="16">
        <v>168098097</v>
      </c>
      <c r="B307" s="16"/>
      <c r="C307" s="16"/>
      <c r="D307" s="102" t="s">
        <v>47</v>
      </c>
      <c r="E307" s="102"/>
      <c r="F307" s="102"/>
      <c r="G307" s="102" t="s">
        <v>107</v>
      </c>
      <c r="H307" s="102"/>
      <c r="I307" s="102"/>
      <c r="J307" s="102"/>
      <c r="K307" s="102"/>
      <c r="L307" s="102"/>
    </row>
    <row r="308" spans="1:1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>
      <c r="A311" s="108" t="s">
        <v>49</v>
      </c>
      <c r="B311" s="108"/>
      <c r="C311" s="108"/>
      <c r="D311" s="108"/>
      <c r="E311" s="108"/>
      <c r="F311" s="108"/>
      <c r="G311" s="108" t="s">
        <v>50</v>
      </c>
      <c r="H311" s="108" t="s">
        <v>51</v>
      </c>
      <c r="I311" s="108" t="s">
        <v>52</v>
      </c>
      <c r="J311" s="108"/>
      <c r="K311" s="108" t="s">
        <v>53</v>
      </c>
      <c r="L311" s="108"/>
    </row>
    <row r="312" spans="1:12">
      <c r="A312" s="108"/>
      <c r="B312" s="108"/>
      <c r="C312" s="108"/>
      <c r="D312" s="108"/>
      <c r="E312" s="108"/>
      <c r="F312" s="108"/>
      <c r="G312" s="108"/>
      <c r="H312" s="108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>
      <c r="A313" s="106" t="s">
        <v>58</v>
      </c>
      <c r="B313" s="106"/>
      <c r="C313" s="106"/>
      <c r="D313" s="106"/>
      <c r="E313" s="106"/>
      <c r="F313" s="106"/>
      <c r="G313" s="21">
        <v>2807.8</v>
      </c>
      <c r="H313" s="22"/>
      <c r="I313" s="21"/>
      <c r="J313" s="21"/>
      <c r="K313" s="21"/>
      <c r="L313" s="21"/>
    </row>
    <row r="314" spans="1:12">
      <c r="A314" s="106" t="s">
        <v>59</v>
      </c>
      <c r="B314" s="106"/>
      <c r="C314" s="106"/>
      <c r="D314" s="106"/>
      <c r="E314" s="106"/>
      <c r="F314" s="106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>
      <c r="A315" s="107" t="s">
        <v>60</v>
      </c>
      <c r="B315" s="107"/>
      <c r="C315" s="107"/>
      <c r="D315" s="107"/>
      <c r="E315" s="107"/>
      <c r="F315" s="107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>
      <c r="A316" s="107" t="s">
        <v>61</v>
      </c>
      <c r="B316" s="107"/>
      <c r="C316" s="107"/>
      <c r="D316" s="107"/>
      <c r="E316" s="107"/>
      <c r="F316" s="107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>
      <c r="A317" s="107" t="s">
        <v>62</v>
      </c>
      <c r="B317" s="107"/>
      <c r="C317" s="107"/>
      <c r="D317" s="107"/>
      <c r="E317" s="107"/>
      <c r="F317" s="107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>
      <c r="A318" s="107" t="s">
        <v>63</v>
      </c>
      <c r="B318" s="107"/>
      <c r="C318" s="107"/>
      <c r="D318" s="107"/>
      <c r="E318" s="107"/>
      <c r="F318" s="107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>
      <c r="A319" s="107" t="s">
        <v>64</v>
      </c>
      <c r="B319" s="107"/>
      <c r="C319" s="107"/>
      <c r="D319" s="107"/>
      <c r="E319" s="107"/>
      <c r="F319" s="107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>
      <c r="A320" s="107" t="s">
        <v>65</v>
      </c>
      <c r="B320" s="107"/>
      <c r="C320" s="107"/>
      <c r="D320" s="107"/>
      <c r="E320" s="107"/>
      <c r="F320" s="107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>
      <c r="A321" s="107" t="s">
        <v>66</v>
      </c>
      <c r="B321" s="107"/>
      <c r="C321" s="107"/>
      <c r="D321" s="107"/>
      <c r="E321" s="107"/>
      <c r="F321" s="107"/>
      <c r="G321" s="29"/>
      <c r="H321" s="30"/>
      <c r="I321" s="30"/>
      <c r="J321" s="25"/>
      <c r="K321" s="26"/>
      <c r="L321" s="26"/>
    </row>
    <row r="322" spans="1:12">
      <c r="A322" s="109">
        <v>0.25</v>
      </c>
      <c r="B322" s="109"/>
      <c r="C322" s="109"/>
      <c r="D322" s="109"/>
      <c r="E322" s="109"/>
      <c r="F322" s="109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>
      <c r="A323" s="109">
        <v>0.5</v>
      </c>
      <c r="B323" s="109"/>
      <c r="C323" s="109"/>
      <c r="D323" s="109"/>
      <c r="E323" s="109"/>
      <c r="F323" s="109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>
      <c r="A324" s="109">
        <v>1</v>
      </c>
      <c r="B324" s="109"/>
      <c r="C324" s="109"/>
      <c r="D324" s="109"/>
      <c r="E324" s="109"/>
      <c r="F324" s="109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>
      <c r="A325" s="106" t="s">
        <v>67</v>
      </c>
      <c r="B325" s="106"/>
      <c r="C325" s="106"/>
      <c r="D325" s="106"/>
      <c r="E325" s="106"/>
      <c r="F325" s="106"/>
      <c r="G325" s="21"/>
      <c r="H325" s="22"/>
      <c r="I325" s="21">
        <f>SUM(I326:I327)</f>
        <v>0</v>
      </c>
      <c r="J325" s="21"/>
      <c r="K325" s="21"/>
      <c r="L325" s="21"/>
    </row>
    <row r="326" spans="1:12">
      <c r="A326" s="107" t="s">
        <v>68</v>
      </c>
      <c r="B326" s="107"/>
      <c r="C326" s="107"/>
      <c r="D326" s="107"/>
      <c r="E326" s="107"/>
      <c r="F326" s="107"/>
      <c r="G326" s="23">
        <f>(G303-A305)/360</f>
        <v>1.4361111111111111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>
      <c r="A327" s="107" t="s">
        <v>69</v>
      </c>
      <c r="B327" s="107"/>
      <c r="C327" s="107"/>
      <c r="D327" s="107"/>
      <c r="E327" s="107"/>
      <c r="F327" s="107"/>
      <c r="G327" s="23"/>
      <c r="H327" s="24"/>
      <c r="I327" s="23"/>
      <c r="J327" s="25"/>
      <c r="K327" s="26"/>
      <c r="L327" s="26"/>
    </row>
    <row r="328" spans="1:12">
      <c r="A328" s="106" t="s">
        <v>70</v>
      </c>
      <c r="B328" s="106"/>
      <c r="C328" s="106"/>
      <c r="D328" s="106"/>
      <c r="E328" s="106"/>
      <c r="F328" s="106"/>
      <c r="G328" s="21"/>
      <c r="H328" s="22"/>
      <c r="I328" s="21">
        <f>SUM(I329:I331)</f>
        <v>0</v>
      </c>
      <c r="J328" s="21"/>
      <c r="K328" s="21"/>
      <c r="L328" s="21"/>
    </row>
    <row r="329" spans="1:12">
      <c r="A329" s="107" t="s">
        <v>71</v>
      </c>
      <c r="B329" s="107"/>
      <c r="C329" s="107"/>
      <c r="D329" s="107"/>
      <c r="E329" s="107"/>
      <c r="F329" s="107"/>
      <c r="G329" s="23"/>
      <c r="H329" s="24"/>
      <c r="I329" s="23"/>
      <c r="J329" s="25"/>
      <c r="K329" s="26"/>
      <c r="L329" s="26"/>
    </row>
    <row r="330" spans="1:12">
      <c r="A330" s="107" t="s">
        <v>72</v>
      </c>
      <c r="B330" s="107"/>
      <c r="C330" s="107"/>
      <c r="D330" s="107"/>
      <c r="E330" s="107"/>
      <c r="F330" s="107"/>
      <c r="G330" s="23"/>
      <c r="H330" s="31">
        <v>0</v>
      </c>
      <c r="I330" s="23"/>
      <c r="J330" s="25"/>
      <c r="K330" s="26"/>
      <c r="L330" s="26"/>
    </row>
    <row r="331" spans="1:12">
      <c r="A331" s="107" t="s">
        <v>73</v>
      </c>
      <c r="B331" s="107"/>
      <c r="C331" s="107"/>
      <c r="D331" s="107"/>
      <c r="E331" s="107"/>
      <c r="F331" s="107"/>
      <c r="G331" s="23"/>
      <c r="H331" s="24"/>
      <c r="I331" s="23"/>
      <c r="J331" s="25"/>
      <c r="K331" s="26"/>
      <c r="L331" s="26"/>
    </row>
    <row r="332" spans="1:12">
      <c r="A332" s="111" t="s">
        <v>74</v>
      </c>
      <c r="B332" s="111"/>
      <c r="C332" s="111"/>
      <c r="D332" s="111"/>
      <c r="E332" s="111"/>
      <c r="F332" s="111"/>
      <c r="G332" s="32"/>
      <c r="H332" s="33"/>
      <c r="I332" s="32">
        <f>I314+I325+I328</f>
        <v>2807.8</v>
      </c>
      <c r="J332" s="33"/>
      <c r="K332" s="33"/>
      <c r="L332" s="33"/>
    </row>
    <row r="333" spans="1:12">
      <c r="A333" s="111" t="s">
        <v>75</v>
      </c>
      <c r="B333" s="111"/>
      <c r="C333" s="111"/>
      <c r="D333" s="111"/>
      <c r="E333" s="111"/>
      <c r="F333" s="111"/>
      <c r="G333" s="32"/>
      <c r="H333" s="33"/>
      <c r="I333" s="32">
        <f>I332-I328</f>
        <v>2807.8</v>
      </c>
      <c r="J333" s="33"/>
      <c r="K333" s="33"/>
      <c r="L333" s="33"/>
    </row>
    <row r="334" spans="1:12">
      <c r="A334" s="107" t="s">
        <v>76</v>
      </c>
      <c r="B334" s="107"/>
      <c r="C334" s="107"/>
      <c r="D334" s="107"/>
      <c r="E334" s="107"/>
      <c r="F334" s="107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>
      <c r="A335" s="107" t="s">
        <v>77</v>
      </c>
      <c r="B335" s="107"/>
      <c r="C335" s="107"/>
      <c r="D335" s="107"/>
      <c r="E335" s="107"/>
      <c r="F335" s="107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>
      <c r="A336" s="107" t="s">
        <v>78</v>
      </c>
      <c r="B336" s="107"/>
      <c r="C336" s="107"/>
      <c r="D336" s="107"/>
      <c r="E336" s="107"/>
      <c r="F336" s="107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>
      <c r="A337" s="107" t="s">
        <v>79</v>
      </c>
      <c r="B337" s="107"/>
      <c r="C337" s="107"/>
      <c r="D337" s="107"/>
      <c r="E337" s="107"/>
      <c r="F337" s="107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>
      <c r="A338" s="107" t="s">
        <v>80</v>
      </c>
      <c r="B338" s="107"/>
      <c r="C338" s="107"/>
      <c r="D338" s="107"/>
      <c r="E338" s="107"/>
      <c r="F338" s="107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>
      <c r="A339" s="107" t="s">
        <v>81</v>
      </c>
      <c r="B339" s="107"/>
      <c r="C339" s="107"/>
      <c r="D339" s="107"/>
      <c r="E339" s="107"/>
      <c r="F339" s="107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>
      <c r="A340" s="107" t="s">
        <v>24</v>
      </c>
      <c r="B340" s="107"/>
      <c r="C340" s="107"/>
      <c r="D340" s="107"/>
      <c r="E340" s="107"/>
      <c r="F340" s="107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>
      <c r="A341" s="110" t="s">
        <v>82</v>
      </c>
      <c r="B341" s="110"/>
      <c r="C341" s="110"/>
      <c r="D341" s="110"/>
      <c r="E341" s="110"/>
      <c r="F341" s="110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>
      <c r="A342" s="110" t="s">
        <v>83</v>
      </c>
      <c r="B342" s="110"/>
      <c r="C342" s="110"/>
      <c r="D342" s="110"/>
      <c r="E342" s="110"/>
      <c r="F342" s="110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>
      <c r="A343" s="106" t="s">
        <v>84</v>
      </c>
      <c r="B343" s="106"/>
      <c r="C343" s="106"/>
      <c r="D343" s="106"/>
      <c r="E343" s="106"/>
      <c r="F343" s="106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>
      <c r="A344" s="107" t="s">
        <v>85</v>
      </c>
      <c r="B344" s="107"/>
      <c r="C344" s="107"/>
      <c r="D344" s="107"/>
      <c r="E344" s="107"/>
      <c r="F344" s="107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>
      <c r="A345" s="111" t="s">
        <v>86</v>
      </c>
      <c r="B345" s="111"/>
      <c r="C345" s="111"/>
      <c r="D345" s="111"/>
      <c r="E345" s="111"/>
      <c r="F345" s="111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>
      <c r="A346" s="107" t="s">
        <v>87</v>
      </c>
      <c r="B346" s="107"/>
      <c r="C346" s="107"/>
      <c r="D346" s="107"/>
      <c r="E346" s="107"/>
      <c r="F346" s="107"/>
      <c r="G346" s="23"/>
      <c r="H346" s="34"/>
      <c r="I346" s="23">
        <f>H346*180/360</f>
        <v>0</v>
      </c>
      <c r="J346" s="23"/>
      <c r="K346" s="46"/>
      <c r="L346" s="47"/>
    </row>
    <row r="347" spans="1:12">
      <c r="A347" s="111" t="s">
        <v>88</v>
      </c>
      <c r="B347" s="111"/>
      <c r="C347" s="111"/>
      <c r="D347" s="111"/>
      <c r="E347" s="111"/>
      <c r="F347" s="111"/>
      <c r="G347" s="32"/>
      <c r="H347" s="33"/>
      <c r="I347" s="32">
        <f>I345-I346</f>
        <v>2056.9942800000003</v>
      </c>
      <c r="J347" s="33"/>
      <c r="K347" s="33"/>
      <c r="L347" s="33"/>
    </row>
    <row r="348" spans="1:12">
      <c r="A348" s="107" t="s">
        <v>89</v>
      </c>
      <c r="B348" s="107"/>
      <c r="C348" s="107"/>
      <c r="D348" s="107"/>
      <c r="E348" s="107"/>
      <c r="F348" s="107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>
      <c r="A349" s="107" t="s">
        <v>90</v>
      </c>
      <c r="B349" s="107"/>
      <c r="C349" s="107"/>
      <c r="D349" s="107"/>
      <c r="E349" s="107"/>
      <c r="F349" s="107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>
      <c r="A350" s="106" t="s">
        <v>91</v>
      </c>
      <c r="B350" s="106"/>
      <c r="C350" s="106"/>
      <c r="D350" s="106"/>
      <c r="E350" s="106"/>
      <c r="F350" s="106"/>
      <c r="G350" s="21"/>
      <c r="H350" s="22"/>
      <c r="I350" s="21"/>
      <c r="J350" s="21">
        <f>J348-J349</f>
        <v>0</v>
      </c>
      <c r="K350" s="21"/>
      <c r="L350" s="21"/>
    </row>
    <row r="351" spans="1:12">
      <c r="A351" s="112" t="s">
        <v>92</v>
      </c>
      <c r="B351" s="112"/>
      <c r="C351" s="112"/>
      <c r="D351" s="112"/>
      <c r="E351" s="112"/>
      <c r="F351" s="112"/>
      <c r="G351" s="25"/>
      <c r="H351" s="48"/>
      <c r="I351" s="47"/>
      <c r="J351" s="49">
        <v>0</v>
      </c>
      <c r="K351" s="46"/>
      <c r="L351" s="47"/>
    </row>
    <row r="352" spans="1:12">
      <c r="A352" s="107" t="s">
        <v>93</v>
      </c>
      <c r="B352" s="107"/>
      <c r="C352" s="107"/>
      <c r="D352" s="107"/>
      <c r="E352" s="107"/>
      <c r="F352" s="107"/>
      <c r="G352" s="25"/>
      <c r="H352" s="48"/>
      <c r="I352" s="44"/>
      <c r="J352" s="28">
        <v>0</v>
      </c>
      <c r="K352" s="46"/>
      <c r="L352" s="47"/>
    </row>
    <row r="353" spans="1:12">
      <c r="A353" s="113" t="s">
        <v>94</v>
      </c>
      <c r="B353" s="113"/>
      <c r="C353" s="113"/>
      <c r="D353" s="113"/>
      <c r="E353" s="113"/>
      <c r="F353" s="113"/>
      <c r="G353" s="41"/>
      <c r="H353" s="42"/>
      <c r="I353" s="28">
        <f>1-0.55</f>
        <v>0.44999999999999996</v>
      </c>
      <c r="J353" s="41"/>
      <c r="K353" s="43"/>
      <c r="L353" s="44"/>
    </row>
    <row r="354" spans="1:1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>
      <c r="A355" s="14" t="s">
        <v>95</v>
      </c>
      <c r="B355" s="14" t="s">
        <v>96</v>
      </c>
      <c r="C355" s="14" t="s">
        <v>97</v>
      </c>
      <c r="D355" s="104" t="s">
        <v>98</v>
      </c>
      <c r="E355" s="104"/>
      <c r="F355" s="104"/>
      <c r="G355" s="14" t="s">
        <v>99</v>
      </c>
      <c r="H355" s="50"/>
      <c r="I355" s="52">
        <f>I332+I353</f>
        <v>2808.25</v>
      </c>
      <c r="J355" s="52">
        <f>J343+J350+J351+J352</f>
        <v>189.24572000000003</v>
      </c>
      <c r="K355" s="14" t="s">
        <v>100</v>
      </c>
      <c r="L355" s="52">
        <f>L343</f>
        <v>648.32101999999998</v>
      </c>
    </row>
    <row r="356" spans="1:12">
      <c r="A356" s="52">
        <f>25270.2+I332</f>
        <v>28078</v>
      </c>
      <c r="B356" s="52">
        <f>25270.2+I333</f>
        <v>28078</v>
      </c>
      <c r="C356" s="52">
        <f>1132.11+J334</f>
        <v>1257.8994399999999</v>
      </c>
      <c r="D356" s="114">
        <f>0+J350</f>
        <v>0</v>
      </c>
      <c r="E356" s="114"/>
      <c r="F356" s="114"/>
      <c r="G356" s="52">
        <f>17071.02+I355</f>
        <v>19879.27</v>
      </c>
      <c r="H356" s="104" t="s">
        <v>101</v>
      </c>
      <c r="I356" s="104"/>
      <c r="J356" s="52">
        <f>I355-J355</f>
        <v>2619.0042800000001</v>
      </c>
      <c r="K356" s="14" t="s">
        <v>102</v>
      </c>
      <c r="L356" s="52">
        <f>5834.88+L355</f>
        <v>6483.2010200000004</v>
      </c>
    </row>
    <row r="357" spans="1:1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3267.3253</v>
      </c>
    </row>
    <row r="361" spans="1:12">
      <c r="A361" s="105" t="s">
        <v>26</v>
      </c>
      <c r="B361" s="105"/>
      <c r="C361" s="105" t="s">
        <v>27</v>
      </c>
      <c r="D361" s="105"/>
      <c r="E361" s="105"/>
      <c r="F361" s="105"/>
      <c r="G361" s="105" t="s">
        <v>28</v>
      </c>
      <c r="H361" s="105"/>
      <c r="I361" s="105"/>
      <c r="J361" s="105" t="s">
        <v>29</v>
      </c>
      <c r="K361" s="105"/>
      <c r="L361" s="105"/>
    </row>
    <row r="362" spans="1:12">
      <c r="A362" s="14" t="s">
        <v>30</v>
      </c>
      <c r="B362" s="104" t="s">
        <v>31</v>
      </c>
      <c r="C362" s="104"/>
      <c r="D362" s="104"/>
      <c r="E362" s="104"/>
      <c r="F362" s="104"/>
      <c r="G362" s="104" t="s">
        <v>32</v>
      </c>
      <c r="H362" s="104"/>
      <c r="I362" s="104"/>
      <c r="J362" s="104"/>
      <c r="K362" s="104"/>
      <c r="L362" s="104"/>
    </row>
    <row r="363" spans="1:12">
      <c r="A363" s="16">
        <v>8</v>
      </c>
      <c r="B363" s="102" t="s">
        <v>113</v>
      </c>
      <c r="C363" s="102"/>
      <c r="D363" s="102"/>
      <c r="E363" s="102"/>
      <c r="F363" s="102"/>
      <c r="G363" s="103">
        <v>42522</v>
      </c>
      <c r="H363" s="103"/>
      <c r="I363" s="103"/>
      <c r="J363" s="103">
        <v>42551</v>
      </c>
      <c r="K363" s="103"/>
      <c r="L363" s="103"/>
    </row>
    <row r="364" spans="1:12">
      <c r="A364" s="14" t="s">
        <v>34</v>
      </c>
      <c r="B364" s="14" t="s">
        <v>35</v>
      </c>
      <c r="C364" s="14" t="s">
        <v>36</v>
      </c>
      <c r="D364" s="14" t="s">
        <v>37</v>
      </c>
      <c r="E364" s="14" t="s">
        <v>38</v>
      </c>
      <c r="F364" s="14" t="s">
        <v>39</v>
      </c>
      <c r="G364" s="104" t="s">
        <v>40</v>
      </c>
      <c r="H364" s="104"/>
      <c r="I364" s="104"/>
      <c r="J364" s="104"/>
      <c r="K364" s="104"/>
      <c r="L364" s="104"/>
    </row>
    <row r="365" spans="1:12">
      <c r="A365" s="17">
        <v>42278</v>
      </c>
      <c r="B365" s="16"/>
      <c r="C365" s="17">
        <v>33665</v>
      </c>
      <c r="D365" s="16" t="s">
        <v>111</v>
      </c>
      <c r="E365" s="16">
        <v>0</v>
      </c>
      <c r="F365" s="16">
        <v>0</v>
      </c>
      <c r="G365" s="102"/>
      <c r="H365" s="102"/>
      <c r="I365" s="102"/>
      <c r="J365" s="102"/>
      <c r="K365" s="102"/>
      <c r="L365" s="102"/>
    </row>
    <row r="366" spans="1:12">
      <c r="A366" s="14" t="s">
        <v>42</v>
      </c>
      <c r="B366" s="14" t="s">
        <v>43</v>
      </c>
      <c r="C366" s="14" t="s">
        <v>44</v>
      </c>
      <c r="D366" s="104" t="s">
        <v>45</v>
      </c>
      <c r="E366" s="104"/>
      <c r="F366" s="104"/>
      <c r="G366" s="104" t="s">
        <v>116</v>
      </c>
      <c r="H366" s="104"/>
      <c r="I366" s="104"/>
      <c r="J366" s="104"/>
      <c r="K366" s="104"/>
      <c r="L366" s="104"/>
    </row>
    <row r="367" spans="1:12">
      <c r="A367" s="16">
        <v>164315198</v>
      </c>
      <c r="B367" s="16"/>
      <c r="C367" s="16"/>
      <c r="D367" s="102" t="s">
        <v>47</v>
      </c>
      <c r="E367" s="102"/>
      <c r="F367" s="102"/>
      <c r="G367" s="102" t="s">
        <v>114</v>
      </c>
      <c r="H367" s="102"/>
      <c r="I367" s="102"/>
      <c r="J367" s="102"/>
      <c r="K367" s="102"/>
      <c r="L367" s="102"/>
    </row>
    <row r="368" spans="1:1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>
      <c r="A371" s="108" t="s">
        <v>49</v>
      </c>
      <c r="B371" s="108"/>
      <c r="C371" s="108"/>
      <c r="D371" s="108"/>
      <c r="E371" s="108"/>
      <c r="F371" s="108"/>
      <c r="G371" s="108" t="s">
        <v>50</v>
      </c>
      <c r="H371" s="108" t="s">
        <v>51</v>
      </c>
      <c r="I371" s="108" t="s">
        <v>52</v>
      </c>
      <c r="J371" s="108"/>
      <c r="K371" s="108" t="s">
        <v>53</v>
      </c>
      <c r="L371" s="108"/>
    </row>
    <row r="372" spans="1:12">
      <c r="A372" s="108"/>
      <c r="B372" s="108"/>
      <c r="C372" s="108"/>
      <c r="D372" s="108"/>
      <c r="E372" s="108"/>
      <c r="F372" s="108"/>
      <c r="G372" s="108"/>
      <c r="H372" s="108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>
      <c r="A373" s="106" t="s">
        <v>58</v>
      </c>
      <c r="B373" s="106"/>
      <c r="C373" s="106"/>
      <c r="D373" s="106"/>
      <c r="E373" s="106"/>
      <c r="F373" s="106"/>
      <c r="G373" s="21">
        <v>3665.6</v>
      </c>
      <c r="H373" s="22"/>
      <c r="I373" s="21"/>
      <c r="J373" s="21"/>
      <c r="K373" s="21"/>
      <c r="L373" s="21"/>
    </row>
    <row r="374" spans="1:12">
      <c r="A374" s="106" t="s">
        <v>59</v>
      </c>
      <c r="B374" s="106"/>
      <c r="C374" s="106"/>
      <c r="D374" s="106"/>
      <c r="E374" s="106"/>
      <c r="F374" s="106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>
      <c r="A375" s="107" t="s">
        <v>60</v>
      </c>
      <c r="B375" s="107"/>
      <c r="C375" s="107"/>
      <c r="D375" s="107"/>
      <c r="E375" s="107"/>
      <c r="F375" s="107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>
      <c r="A376" s="107" t="s">
        <v>61</v>
      </c>
      <c r="B376" s="107"/>
      <c r="C376" s="107"/>
      <c r="D376" s="107"/>
      <c r="E376" s="107"/>
      <c r="F376" s="107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>
      <c r="A377" s="107" t="s">
        <v>62</v>
      </c>
      <c r="B377" s="107"/>
      <c r="C377" s="107"/>
      <c r="D377" s="107"/>
      <c r="E377" s="107"/>
      <c r="F377" s="107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>
      <c r="A378" s="107" t="s">
        <v>63</v>
      </c>
      <c r="B378" s="107"/>
      <c r="C378" s="107"/>
      <c r="D378" s="107"/>
      <c r="E378" s="107"/>
      <c r="F378" s="107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>
      <c r="A379" s="107" t="s">
        <v>64</v>
      </c>
      <c r="B379" s="107"/>
      <c r="C379" s="107"/>
      <c r="D379" s="107"/>
      <c r="E379" s="107"/>
      <c r="F379" s="107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>
      <c r="A380" s="107" t="s">
        <v>65</v>
      </c>
      <c r="B380" s="107"/>
      <c r="C380" s="107"/>
      <c r="D380" s="107"/>
      <c r="E380" s="107"/>
      <c r="F380" s="107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>
      <c r="A381" s="107" t="s">
        <v>66</v>
      </c>
      <c r="B381" s="107"/>
      <c r="C381" s="107"/>
      <c r="D381" s="107"/>
      <c r="E381" s="107"/>
      <c r="F381" s="107"/>
      <c r="G381" s="29"/>
      <c r="H381" s="30"/>
      <c r="I381" s="30"/>
      <c r="J381" s="25"/>
      <c r="K381" s="26"/>
      <c r="L381" s="26"/>
    </row>
    <row r="382" spans="1:12">
      <c r="A382" s="109">
        <v>0.25</v>
      </c>
      <c r="B382" s="109"/>
      <c r="C382" s="109"/>
      <c r="D382" s="109"/>
      <c r="E382" s="109"/>
      <c r="F382" s="109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>
      <c r="A383" s="109">
        <v>0.5</v>
      </c>
      <c r="B383" s="109"/>
      <c r="C383" s="109"/>
      <c r="D383" s="109"/>
      <c r="E383" s="109"/>
      <c r="F383" s="109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>
      <c r="A384" s="109">
        <v>1</v>
      </c>
      <c r="B384" s="109"/>
      <c r="C384" s="109"/>
      <c r="D384" s="109"/>
      <c r="E384" s="109"/>
      <c r="F384" s="109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>
      <c r="A385" s="106" t="s">
        <v>67</v>
      </c>
      <c r="B385" s="106"/>
      <c r="C385" s="106"/>
      <c r="D385" s="106"/>
      <c r="E385" s="106"/>
      <c r="F385" s="106"/>
      <c r="G385" s="21"/>
      <c r="H385" s="22"/>
      <c r="I385" s="21">
        <f>SUM(I386:I387)</f>
        <v>0</v>
      </c>
      <c r="J385" s="21"/>
      <c r="K385" s="21"/>
      <c r="L385" s="21"/>
    </row>
    <row r="386" spans="1:12">
      <c r="A386" s="107" t="s">
        <v>68</v>
      </c>
      <c r="B386" s="107"/>
      <c r="C386" s="107"/>
      <c r="D386" s="107"/>
      <c r="E386" s="107"/>
      <c r="F386" s="107"/>
      <c r="G386" s="23">
        <f>(G363-A365)/360</f>
        <v>0.67777777777777781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>
      <c r="A387" s="107" t="s">
        <v>69</v>
      </c>
      <c r="B387" s="107"/>
      <c r="C387" s="107"/>
      <c r="D387" s="107"/>
      <c r="E387" s="107"/>
      <c r="F387" s="107"/>
      <c r="G387" s="23"/>
      <c r="H387" s="24"/>
      <c r="I387" s="23"/>
      <c r="J387" s="25"/>
      <c r="K387" s="26"/>
      <c r="L387" s="26"/>
    </row>
    <row r="388" spans="1:12">
      <c r="A388" s="106" t="s">
        <v>70</v>
      </c>
      <c r="B388" s="106"/>
      <c r="C388" s="106"/>
      <c r="D388" s="106"/>
      <c r="E388" s="106"/>
      <c r="F388" s="106"/>
      <c r="G388" s="21"/>
      <c r="H388" s="22"/>
      <c r="I388" s="21">
        <f>SUM(I389:I391)</f>
        <v>600</v>
      </c>
      <c r="J388" s="21"/>
      <c r="K388" s="21"/>
      <c r="L388" s="21"/>
    </row>
    <row r="389" spans="1:12">
      <c r="A389" s="107" t="s">
        <v>71</v>
      </c>
      <c r="B389" s="107"/>
      <c r="C389" s="107"/>
      <c r="D389" s="107"/>
      <c r="E389" s="107"/>
      <c r="F389" s="107"/>
      <c r="G389" s="23"/>
      <c r="H389" s="24"/>
      <c r="I389" s="23">
        <v>600</v>
      </c>
      <c r="J389" s="25"/>
      <c r="K389" s="26"/>
      <c r="L389" s="26"/>
    </row>
    <row r="390" spans="1:12">
      <c r="A390" s="107" t="s">
        <v>72</v>
      </c>
      <c r="B390" s="107"/>
      <c r="C390" s="107"/>
      <c r="D390" s="107"/>
      <c r="E390" s="107"/>
      <c r="F390" s="107"/>
      <c r="G390" s="23"/>
      <c r="H390" s="31">
        <v>0</v>
      </c>
      <c r="I390" s="23"/>
      <c r="J390" s="25"/>
      <c r="K390" s="26"/>
      <c r="L390" s="26"/>
    </row>
    <row r="391" spans="1:12">
      <c r="A391" s="107" t="s">
        <v>73</v>
      </c>
      <c r="B391" s="107"/>
      <c r="C391" s="107"/>
      <c r="D391" s="107"/>
      <c r="E391" s="107"/>
      <c r="F391" s="107"/>
      <c r="G391" s="23"/>
      <c r="H391" s="24"/>
      <c r="I391" s="23"/>
      <c r="J391" s="25"/>
      <c r="K391" s="26"/>
      <c r="L391" s="26"/>
    </row>
    <row r="392" spans="1:12">
      <c r="A392" s="111" t="s">
        <v>74</v>
      </c>
      <c r="B392" s="111"/>
      <c r="C392" s="111"/>
      <c r="D392" s="111"/>
      <c r="E392" s="111"/>
      <c r="F392" s="111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>
      <c r="A393" s="111" t="s">
        <v>75</v>
      </c>
      <c r="B393" s="111"/>
      <c r="C393" s="111"/>
      <c r="D393" s="111"/>
      <c r="E393" s="111"/>
      <c r="F393" s="111"/>
      <c r="G393" s="32"/>
      <c r="H393" s="33"/>
      <c r="I393" s="32">
        <f>I392-I388</f>
        <v>3665.6000000000004</v>
      </c>
      <c r="J393" s="33"/>
      <c r="K393" s="33"/>
      <c r="L393" s="33"/>
    </row>
    <row r="394" spans="1:12">
      <c r="A394" s="107" t="s">
        <v>76</v>
      </c>
      <c r="B394" s="107"/>
      <c r="C394" s="107"/>
      <c r="D394" s="107"/>
      <c r="E394" s="107"/>
      <c r="F394" s="107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>
      <c r="A395" s="107" t="s">
        <v>77</v>
      </c>
      <c r="B395" s="107"/>
      <c r="C395" s="107"/>
      <c r="D395" s="107"/>
      <c r="E395" s="107"/>
      <c r="F395" s="107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>
      <c r="A396" s="107" t="s">
        <v>78</v>
      </c>
      <c r="B396" s="107"/>
      <c r="C396" s="107"/>
      <c r="D396" s="107"/>
      <c r="E396" s="107"/>
      <c r="F396" s="107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>
      <c r="A397" s="107" t="s">
        <v>79</v>
      </c>
      <c r="B397" s="107"/>
      <c r="C397" s="107"/>
      <c r="D397" s="107"/>
      <c r="E397" s="107"/>
      <c r="F397" s="107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>
      <c r="A398" s="107" t="s">
        <v>80</v>
      </c>
      <c r="B398" s="107"/>
      <c r="C398" s="107"/>
      <c r="D398" s="107"/>
      <c r="E398" s="107"/>
      <c r="F398" s="107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>
      <c r="A399" s="107" t="s">
        <v>81</v>
      </c>
      <c r="B399" s="107"/>
      <c r="C399" s="107"/>
      <c r="D399" s="107"/>
      <c r="E399" s="107"/>
      <c r="F399" s="107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>
      <c r="A400" s="107" t="s">
        <v>24</v>
      </c>
      <c r="B400" s="107"/>
      <c r="C400" s="107"/>
      <c r="D400" s="107"/>
      <c r="E400" s="107"/>
      <c r="F400" s="107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>
      <c r="A401" s="110" t="s">
        <v>82</v>
      </c>
      <c r="B401" s="110"/>
      <c r="C401" s="110"/>
      <c r="D401" s="110"/>
      <c r="E401" s="110"/>
      <c r="F401" s="110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>
      <c r="A402" s="110" t="s">
        <v>83</v>
      </c>
      <c r="B402" s="110"/>
      <c r="C402" s="110"/>
      <c r="D402" s="110"/>
      <c r="E402" s="110"/>
      <c r="F402" s="110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>
      <c r="A403" s="106" t="s">
        <v>84</v>
      </c>
      <c r="B403" s="106"/>
      <c r="C403" s="106"/>
      <c r="D403" s="106"/>
      <c r="E403" s="106"/>
      <c r="F403" s="106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>
      <c r="A404" s="107" t="s">
        <v>85</v>
      </c>
      <c r="B404" s="107"/>
      <c r="C404" s="107"/>
      <c r="D404" s="107"/>
      <c r="E404" s="107"/>
      <c r="F404" s="107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>
      <c r="A405" s="111" t="s">
        <v>86</v>
      </c>
      <c r="B405" s="111"/>
      <c r="C405" s="111"/>
      <c r="D405" s="111"/>
      <c r="E405" s="111"/>
      <c r="F405" s="111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>
      <c r="A406" s="107" t="s">
        <v>87</v>
      </c>
      <c r="B406" s="107"/>
      <c r="C406" s="107"/>
      <c r="D406" s="107"/>
      <c r="E406" s="107"/>
      <c r="F406" s="107"/>
      <c r="G406" s="23"/>
      <c r="H406" s="34"/>
      <c r="I406" s="23">
        <f>H406*180/360</f>
        <v>0</v>
      </c>
      <c r="J406" s="23"/>
      <c r="K406" s="46"/>
      <c r="L406" s="47"/>
    </row>
    <row r="407" spans="1:12">
      <c r="A407" s="111" t="s">
        <v>115</v>
      </c>
      <c r="B407" s="111"/>
      <c r="C407" s="111"/>
      <c r="D407" s="111"/>
      <c r="E407" s="111"/>
      <c r="F407" s="111"/>
      <c r="G407" s="32"/>
      <c r="H407" s="33"/>
      <c r="I407" s="32">
        <f>I405-I406</f>
        <v>2685.4185600000001</v>
      </c>
      <c r="J407" s="33"/>
      <c r="K407" s="33"/>
      <c r="L407" s="33"/>
    </row>
    <row r="408" spans="1:12">
      <c r="A408" s="107" t="s">
        <v>89</v>
      </c>
      <c r="B408" s="107"/>
      <c r="C408" s="107"/>
      <c r="D408" s="107"/>
      <c r="E408" s="107"/>
      <c r="F408" s="107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>
      <c r="A409" s="107" t="s">
        <v>90</v>
      </c>
      <c r="B409" s="107"/>
      <c r="C409" s="107"/>
      <c r="D409" s="107"/>
      <c r="E409" s="107"/>
      <c r="F409" s="107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>
      <c r="A410" s="106" t="s">
        <v>91</v>
      </c>
      <c r="B410" s="106"/>
      <c r="C410" s="106"/>
      <c r="D410" s="106"/>
      <c r="E410" s="106"/>
      <c r="F410" s="106"/>
      <c r="G410" s="21"/>
      <c r="H410" s="22"/>
      <c r="I410" s="21"/>
      <c r="J410" s="21">
        <f>J408-J409</f>
        <v>18.541855999999996</v>
      </c>
      <c r="K410" s="21"/>
      <c r="L410" s="21"/>
    </row>
    <row r="411" spans="1:12">
      <c r="A411" s="112" t="s">
        <v>92</v>
      </c>
      <c r="B411" s="112"/>
      <c r="C411" s="112"/>
      <c r="D411" s="112"/>
      <c r="E411" s="112"/>
      <c r="F411" s="112"/>
      <c r="G411" s="25"/>
      <c r="H411" s="48"/>
      <c r="I411" s="47"/>
      <c r="J411" s="49">
        <v>0</v>
      </c>
      <c r="K411" s="46"/>
      <c r="L411" s="47"/>
    </row>
    <row r="412" spans="1:12">
      <c r="A412" s="107" t="s">
        <v>93</v>
      </c>
      <c r="B412" s="107"/>
      <c r="C412" s="107"/>
      <c r="D412" s="107"/>
      <c r="E412" s="107"/>
      <c r="F412" s="107"/>
      <c r="G412" s="25"/>
      <c r="H412" s="48"/>
      <c r="I412" s="44"/>
      <c r="J412" s="28">
        <v>0</v>
      </c>
      <c r="K412" s="46"/>
      <c r="L412" s="47"/>
    </row>
    <row r="413" spans="1:12">
      <c r="A413" s="113" t="s">
        <v>94</v>
      </c>
      <c r="B413" s="113"/>
      <c r="C413" s="113"/>
      <c r="D413" s="113"/>
      <c r="E413" s="113"/>
      <c r="F413" s="113"/>
      <c r="G413" s="41"/>
      <c r="H413" s="42"/>
      <c r="I413" s="28"/>
      <c r="J413" s="41"/>
      <c r="K413" s="43"/>
      <c r="L413" s="44"/>
    </row>
    <row r="414" spans="1:1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>
      <c r="A415" s="14" t="s">
        <v>95</v>
      </c>
      <c r="B415" s="14" t="s">
        <v>96</v>
      </c>
      <c r="C415" s="14" t="s">
        <v>97</v>
      </c>
      <c r="D415" s="104" t="s">
        <v>98</v>
      </c>
      <c r="E415" s="104"/>
      <c r="F415" s="104"/>
      <c r="G415" s="14" t="s">
        <v>99</v>
      </c>
      <c r="H415" s="50"/>
      <c r="I415" s="52">
        <f>I392+I413</f>
        <v>4265.6000000000004</v>
      </c>
      <c r="J415" s="52">
        <f>J403+J410+J411+J412</f>
        <v>265.60329600000006</v>
      </c>
      <c r="K415" s="14" t="s">
        <v>100</v>
      </c>
      <c r="L415" s="52">
        <f>L403</f>
        <v>846.38704000000007</v>
      </c>
    </row>
    <row r="416" spans="1:12">
      <c r="A416" s="52">
        <f>38390.4+I392</f>
        <v>42656</v>
      </c>
      <c r="B416" s="52">
        <f>32990.4+I393</f>
        <v>36656</v>
      </c>
      <c r="C416" s="52">
        <f>1477.98+J394</f>
        <v>1642.1988800000001</v>
      </c>
      <c r="D416" s="114">
        <f>166.87+J410</f>
        <v>185.411856</v>
      </c>
      <c r="E416" s="114"/>
      <c r="F416" s="114"/>
      <c r="G416" s="52">
        <f>36000+I415</f>
        <v>40265.599999999999</v>
      </c>
      <c r="H416" s="104" t="s">
        <v>101</v>
      </c>
      <c r="I416" s="104"/>
      <c r="J416" s="52">
        <f>I415-J415</f>
        <v>3999.9967040000001</v>
      </c>
      <c r="K416" s="14" t="s">
        <v>102</v>
      </c>
      <c r="L416" s="52">
        <f>8246.37+L415</f>
        <v>9092.7570400000004</v>
      </c>
    </row>
    <row r="417" spans="1:1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IR CALCULE</vt:lpstr>
      <vt:lpstr>Barème</vt:lpstr>
      <vt:lpstr>IR ANNUEL</vt:lpstr>
      <vt:lpstr>BULLTEIN DE PAIE MOIS 01</vt:lpstr>
      <vt:lpstr>BULLTEIN DE PAIE MOIS 02</vt:lpstr>
      <vt:lpstr>BULLTEIN DE PAIE MOIS 03</vt:lpstr>
      <vt:lpstr>BULLTEIN DE PAIE MOIS 04</vt:lpstr>
      <vt:lpstr>BULLTEIN DE PAIE MOIS 05</vt:lpstr>
      <vt:lpstr>BULLTEIN DE PAIE MOIS 06</vt:lpstr>
      <vt:lpstr>BULLTEIN DE PAIE MOIS 07</vt:lpstr>
      <vt:lpstr>BULLTEIN DE PAIE MOIS 08</vt:lpstr>
      <vt:lpstr>BULLTEIN DE PAIE MOIS 09</vt:lpstr>
      <vt:lpstr>BULLTEIN DE PAIE MOIS 10</vt:lpstr>
      <vt:lpstr>BULLTEIN DE PAIE MOIS 11</vt:lpstr>
      <vt:lpstr>BULLTEIN DE PAIE MOIS 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AKCEA</dc:creator>
  <cp:lastModifiedBy>Amal</cp:lastModifiedBy>
  <dcterms:created xsi:type="dcterms:W3CDTF">2016-12-19T13:34:36Z</dcterms:created>
  <dcterms:modified xsi:type="dcterms:W3CDTF">2016-12-26T00:32:00Z</dcterms:modified>
</cp:coreProperties>
</file>