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.dahar\Desktop\"/>
    </mc:Choice>
  </mc:AlternateContent>
  <bookViews>
    <workbookView xWindow="120" yWindow="90" windowWidth="17655" windowHeight="6150" tabRatio="989" activeTab="2"/>
  </bookViews>
  <sheets>
    <sheet name="IR CALCULE" sheetId="2" r:id="rId1"/>
    <sheet name="Barème" sheetId="22" r:id="rId2"/>
    <sheet name="IR ANNUEL" sheetId="4" r:id="rId3"/>
    <sheet name="BULLTEIN DE PAIE MOIS 01" sheetId="10" r:id="rId4"/>
    <sheet name="BULLTEIN DE PAIE MOIS 02" sheetId="12" r:id="rId5"/>
    <sheet name="BULLTEIN DE PAIE MOIS 03" sheetId="14" r:id="rId6"/>
    <sheet name="BULLTEIN DE PAIE MOIS 04" sheetId="15" r:id="rId7"/>
    <sheet name="BULLTEIN DE PAIE MOIS 05" sheetId="16" r:id="rId8"/>
    <sheet name="BULLTEIN DE PAIE MOIS 06" sheetId="17" r:id="rId9"/>
    <sheet name="BULLTEIN DE PAIE MOIS 07" sheetId="18" r:id="rId10"/>
    <sheet name="BULLTEIN DE PAIE MOIS 08" sheetId="20" r:id="rId11"/>
    <sheet name="BULLTEIN DE PAIE MOIS 09" sheetId="21" r:id="rId12"/>
    <sheet name="BULLTEIN DE PAIE MOIS 10" sheetId="6" r:id="rId13"/>
    <sheet name="BULLTEIN DE PAIE MOIS 11" sheetId="8" r:id="rId14"/>
    <sheet name="BULLTEIN DE PAIE MOIS 12" sheetId="9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5" i="4"/>
  <c r="L5" i="4"/>
  <c r="L6" i="4"/>
  <c r="L7" i="4"/>
  <c r="L8" i="4"/>
  <c r="L9" i="4"/>
  <c r="L10" i="4"/>
  <c r="L11" i="4"/>
  <c r="I19" i="22"/>
  <c r="I18" i="22"/>
  <c r="I17" i="22"/>
  <c r="I16" i="22"/>
  <c r="I15" i="22"/>
  <c r="I14" i="22"/>
  <c r="I53" i="21"/>
  <c r="H409" i="21"/>
  <c r="J409" i="21" s="1"/>
  <c r="I406" i="21"/>
  <c r="K402" i="21"/>
  <c r="K401" i="21"/>
  <c r="K400" i="21"/>
  <c r="H400" i="21"/>
  <c r="K394" i="21"/>
  <c r="H394" i="21"/>
  <c r="I388" i="21"/>
  <c r="G386" i="21"/>
  <c r="H386" i="21" s="1"/>
  <c r="I384" i="21"/>
  <c r="I383" i="21"/>
  <c r="I382" i="21"/>
  <c r="I380" i="21"/>
  <c r="I379" i="21"/>
  <c r="J378" i="21"/>
  <c r="J377" i="21"/>
  <c r="I376" i="21"/>
  <c r="I375" i="21"/>
  <c r="I353" i="21"/>
  <c r="H349" i="21"/>
  <c r="J349" i="21" s="1"/>
  <c r="I346" i="21"/>
  <c r="K342" i="21"/>
  <c r="K341" i="21"/>
  <c r="K340" i="21"/>
  <c r="H340" i="21"/>
  <c r="K334" i="21"/>
  <c r="H334" i="21"/>
  <c r="I328" i="21"/>
  <c r="G326" i="21"/>
  <c r="H326" i="21" s="1"/>
  <c r="I324" i="21"/>
  <c r="I323" i="21"/>
  <c r="I322" i="21"/>
  <c r="I320" i="21"/>
  <c r="I319" i="21"/>
  <c r="J318" i="21"/>
  <c r="J317" i="21"/>
  <c r="I316" i="21"/>
  <c r="I315" i="21"/>
  <c r="H289" i="21"/>
  <c r="J289" i="21" s="1"/>
  <c r="I286" i="21"/>
  <c r="K282" i="21"/>
  <c r="K281" i="21"/>
  <c r="K280" i="21"/>
  <c r="H280" i="21"/>
  <c r="K274" i="21"/>
  <c r="H274" i="21"/>
  <c r="I268" i="21"/>
  <c r="G266" i="21"/>
  <c r="H266" i="21" s="1"/>
  <c r="I264" i="21"/>
  <c r="I263" i="21"/>
  <c r="I262" i="21"/>
  <c r="I260" i="21"/>
  <c r="I259" i="21"/>
  <c r="J258" i="21"/>
  <c r="J257" i="21"/>
  <c r="I256" i="21"/>
  <c r="I255" i="21"/>
  <c r="I233" i="21"/>
  <c r="H229" i="21"/>
  <c r="J229" i="21" s="1"/>
  <c r="I226" i="21"/>
  <c r="K222" i="21"/>
  <c r="K221" i="21"/>
  <c r="K220" i="21"/>
  <c r="H220" i="21"/>
  <c r="K214" i="21"/>
  <c r="H214" i="21"/>
  <c r="I208" i="21"/>
  <c r="G206" i="21"/>
  <c r="H206" i="21" s="1"/>
  <c r="I204" i="21"/>
  <c r="I203" i="21"/>
  <c r="I202" i="21"/>
  <c r="I200" i="21"/>
  <c r="I199" i="21"/>
  <c r="J198" i="21"/>
  <c r="J197" i="21"/>
  <c r="I196" i="21"/>
  <c r="I195" i="21"/>
  <c r="I173" i="21"/>
  <c r="H169" i="21"/>
  <c r="J169" i="21" s="1"/>
  <c r="I166" i="21"/>
  <c r="K162" i="21"/>
  <c r="K161" i="21"/>
  <c r="K160" i="21"/>
  <c r="H160" i="21"/>
  <c r="K154" i="21"/>
  <c r="H154" i="21"/>
  <c r="I148" i="21"/>
  <c r="G146" i="21"/>
  <c r="I144" i="21"/>
  <c r="I143" i="21"/>
  <c r="I142" i="21"/>
  <c r="I140" i="21"/>
  <c r="I139" i="21"/>
  <c r="J138" i="21"/>
  <c r="J137" i="21"/>
  <c r="I136" i="21"/>
  <c r="I135" i="21"/>
  <c r="I113" i="21"/>
  <c r="H109" i="21"/>
  <c r="J109" i="21" s="1"/>
  <c r="J110" i="21" s="1"/>
  <c r="D116" i="21" s="1"/>
  <c r="I106" i="21"/>
  <c r="K102" i="21"/>
  <c r="K101" i="21"/>
  <c r="K100" i="21"/>
  <c r="H100" i="21"/>
  <c r="K94" i="21"/>
  <c r="H94" i="21"/>
  <c r="I88" i="21"/>
  <c r="G86" i="21"/>
  <c r="I84" i="21"/>
  <c r="I83" i="21"/>
  <c r="I82" i="21"/>
  <c r="I80" i="21"/>
  <c r="I79" i="21"/>
  <c r="J78" i="21"/>
  <c r="J77" i="21"/>
  <c r="I76" i="21"/>
  <c r="I75" i="21"/>
  <c r="H49" i="21"/>
  <c r="J49" i="21" s="1"/>
  <c r="I46" i="21"/>
  <c r="K42" i="21"/>
  <c r="K41" i="21"/>
  <c r="K40" i="21"/>
  <c r="H40" i="21"/>
  <c r="K34" i="21"/>
  <c r="H34" i="21"/>
  <c r="I28" i="21"/>
  <c r="G26" i="21"/>
  <c r="H26" i="21" s="1"/>
  <c r="I24" i="21"/>
  <c r="I23" i="21"/>
  <c r="I22" i="21"/>
  <c r="I20" i="21"/>
  <c r="I19" i="21"/>
  <c r="J18" i="21"/>
  <c r="J17" i="21"/>
  <c r="I16" i="21"/>
  <c r="I15" i="21"/>
  <c r="I53" i="20"/>
  <c r="H409" i="20"/>
  <c r="J409" i="20" s="1"/>
  <c r="I406" i="20"/>
  <c r="K402" i="20"/>
  <c r="K401" i="20"/>
  <c r="K400" i="20"/>
  <c r="H400" i="20"/>
  <c r="K394" i="20"/>
  <c r="H394" i="20"/>
  <c r="I388" i="20"/>
  <c r="G386" i="20"/>
  <c r="H386" i="20" s="1"/>
  <c r="I384" i="20"/>
  <c r="I383" i="20"/>
  <c r="I382" i="20"/>
  <c r="I380" i="20"/>
  <c r="I379" i="20"/>
  <c r="J378" i="20"/>
  <c r="J377" i="20"/>
  <c r="I376" i="20"/>
  <c r="I375" i="20"/>
  <c r="I353" i="20"/>
  <c r="H349" i="20"/>
  <c r="J349" i="20" s="1"/>
  <c r="I346" i="20"/>
  <c r="K342" i="20"/>
  <c r="K341" i="20"/>
  <c r="K340" i="20"/>
  <c r="H340" i="20"/>
  <c r="K334" i="20"/>
  <c r="H334" i="20"/>
  <c r="I328" i="20"/>
  <c r="G326" i="20"/>
  <c r="H326" i="20" s="1"/>
  <c r="I324" i="20"/>
  <c r="I323" i="20"/>
  <c r="I322" i="20"/>
  <c r="I320" i="20"/>
  <c r="I319" i="20"/>
  <c r="J318" i="20"/>
  <c r="J317" i="20"/>
  <c r="I316" i="20"/>
  <c r="I315" i="20"/>
  <c r="H289" i="20"/>
  <c r="J289" i="20" s="1"/>
  <c r="I286" i="20"/>
  <c r="K282" i="20"/>
  <c r="K281" i="20"/>
  <c r="K280" i="20"/>
  <c r="H280" i="20"/>
  <c r="K274" i="20"/>
  <c r="H274" i="20"/>
  <c r="I268" i="20"/>
  <c r="G266" i="20"/>
  <c r="H266" i="20" s="1"/>
  <c r="I264" i="20"/>
  <c r="I263" i="20"/>
  <c r="I262" i="20"/>
  <c r="I260" i="20"/>
  <c r="I259" i="20"/>
  <c r="J258" i="20"/>
  <c r="J257" i="20"/>
  <c r="I256" i="20"/>
  <c r="I255" i="20"/>
  <c r="I233" i="20"/>
  <c r="H229" i="20"/>
  <c r="J229" i="20" s="1"/>
  <c r="I226" i="20"/>
  <c r="K222" i="20"/>
  <c r="K221" i="20"/>
  <c r="K220" i="20"/>
  <c r="H220" i="20"/>
  <c r="K214" i="20"/>
  <c r="H214" i="20"/>
  <c r="I208" i="20"/>
  <c r="G206" i="20"/>
  <c r="H206" i="20" s="1"/>
  <c r="I204" i="20"/>
  <c r="I203" i="20"/>
  <c r="I202" i="20"/>
  <c r="I200" i="20"/>
  <c r="I199" i="20"/>
  <c r="J198" i="20"/>
  <c r="J197" i="20"/>
  <c r="I196" i="20"/>
  <c r="I195" i="20"/>
  <c r="I173" i="20"/>
  <c r="H169" i="20"/>
  <c r="J169" i="20" s="1"/>
  <c r="I166" i="20"/>
  <c r="K162" i="20"/>
  <c r="K161" i="20"/>
  <c r="K160" i="20"/>
  <c r="H160" i="20"/>
  <c r="K154" i="20"/>
  <c r="H154" i="20"/>
  <c r="I148" i="20"/>
  <c r="G146" i="20"/>
  <c r="I144" i="20"/>
  <c r="I143" i="20"/>
  <c r="I142" i="20"/>
  <c r="I140" i="20"/>
  <c r="I139" i="20"/>
  <c r="J138" i="20"/>
  <c r="J137" i="20"/>
  <c r="I136" i="20"/>
  <c r="I135" i="20"/>
  <c r="I113" i="20"/>
  <c r="H109" i="20"/>
  <c r="J109" i="20" s="1"/>
  <c r="J110" i="20" s="1"/>
  <c r="D116" i="20" s="1"/>
  <c r="I106" i="20"/>
  <c r="K102" i="20"/>
  <c r="K101" i="20"/>
  <c r="K100" i="20"/>
  <c r="H100" i="20"/>
  <c r="K94" i="20"/>
  <c r="H94" i="20"/>
  <c r="I88" i="20"/>
  <c r="G86" i="20"/>
  <c r="I84" i="20"/>
  <c r="I83" i="20"/>
  <c r="I82" i="20"/>
  <c r="I80" i="20"/>
  <c r="I79" i="20"/>
  <c r="J78" i="20"/>
  <c r="J77" i="20"/>
  <c r="I76" i="20"/>
  <c r="I75" i="20"/>
  <c r="H49" i="20"/>
  <c r="J49" i="20" s="1"/>
  <c r="I46" i="20"/>
  <c r="K42" i="20"/>
  <c r="K41" i="20"/>
  <c r="K40" i="20"/>
  <c r="H40" i="20"/>
  <c r="K34" i="20"/>
  <c r="H34" i="20"/>
  <c r="I28" i="20"/>
  <c r="G26" i="20"/>
  <c r="H26" i="20" s="1"/>
  <c r="I24" i="20"/>
  <c r="I23" i="20"/>
  <c r="I22" i="20"/>
  <c r="I20" i="20"/>
  <c r="I19" i="20"/>
  <c r="J18" i="20"/>
  <c r="J17" i="20"/>
  <c r="I16" i="20"/>
  <c r="I15" i="20"/>
  <c r="I53" i="17"/>
  <c r="J409" i="18"/>
  <c r="H409" i="18"/>
  <c r="I406" i="18"/>
  <c r="K402" i="18"/>
  <c r="K401" i="18"/>
  <c r="K400" i="18"/>
  <c r="H400" i="18"/>
  <c r="K394" i="18"/>
  <c r="H394" i="18"/>
  <c r="I388" i="18"/>
  <c r="G386" i="18"/>
  <c r="H386" i="18" s="1"/>
  <c r="I384" i="18"/>
  <c r="I383" i="18"/>
  <c r="I382" i="18"/>
  <c r="I380" i="18"/>
  <c r="I379" i="18"/>
  <c r="J378" i="18"/>
  <c r="J377" i="18"/>
  <c r="I376" i="18"/>
  <c r="I375" i="18"/>
  <c r="I353" i="18"/>
  <c r="H349" i="18"/>
  <c r="J349" i="18" s="1"/>
  <c r="I346" i="18"/>
  <c r="K342" i="18"/>
  <c r="K341" i="18"/>
  <c r="K340" i="18"/>
  <c r="H340" i="18"/>
  <c r="K334" i="18"/>
  <c r="H334" i="18"/>
  <c r="I328" i="18"/>
  <c r="G326" i="18"/>
  <c r="H326" i="18" s="1"/>
  <c r="I324" i="18"/>
  <c r="I323" i="18"/>
  <c r="I322" i="18"/>
  <c r="I320" i="18"/>
  <c r="I319" i="18"/>
  <c r="J318" i="18"/>
  <c r="J317" i="18"/>
  <c r="I316" i="18"/>
  <c r="I315" i="18"/>
  <c r="H289" i="18"/>
  <c r="J289" i="18" s="1"/>
  <c r="I286" i="18"/>
  <c r="K282" i="18"/>
  <c r="K281" i="18"/>
  <c r="K280" i="18"/>
  <c r="H280" i="18"/>
  <c r="K274" i="18"/>
  <c r="H274" i="18"/>
  <c r="I268" i="18"/>
  <c r="G266" i="18"/>
  <c r="H266" i="18" s="1"/>
  <c r="I264" i="18"/>
  <c r="I263" i="18"/>
  <c r="I262" i="18"/>
  <c r="I260" i="18"/>
  <c r="I259" i="18"/>
  <c r="J258" i="18"/>
  <c r="J257" i="18"/>
  <c r="I256" i="18"/>
  <c r="I255" i="18"/>
  <c r="I233" i="18"/>
  <c r="H229" i="18"/>
  <c r="J229" i="18" s="1"/>
  <c r="I226" i="18"/>
  <c r="K222" i="18"/>
  <c r="K221" i="18"/>
  <c r="K220" i="18"/>
  <c r="H220" i="18"/>
  <c r="K214" i="18"/>
  <c r="H214" i="18"/>
  <c r="I208" i="18"/>
  <c r="H206" i="18"/>
  <c r="G206" i="18"/>
  <c r="I204" i="18"/>
  <c r="I203" i="18"/>
  <c r="I202" i="18"/>
  <c r="I200" i="18"/>
  <c r="I199" i="18"/>
  <c r="J198" i="18"/>
  <c r="J197" i="18"/>
  <c r="I196" i="18"/>
  <c r="I195" i="18"/>
  <c r="I173" i="18"/>
  <c r="H169" i="18"/>
  <c r="J169" i="18" s="1"/>
  <c r="I166" i="18"/>
  <c r="K162" i="18"/>
  <c r="K161" i="18"/>
  <c r="K160" i="18"/>
  <c r="H160" i="18"/>
  <c r="K154" i="18"/>
  <c r="H154" i="18"/>
  <c r="I148" i="18"/>
  <c r="G146" i="18"/>
  <c r="I144" i="18"/>
  <c r="I143" i="18"/>
  <c r="I142" i="18"/>
  <c r="I140" i="18"/>
  <c r="I139" i="18"/>
  <c r="J138" i="18"/>
  <c r="J137" i="18"/>
  <c r="I136" i="18"/>
  <c r="I135" i="18"/>
  <c r="I113" i="18"/>
  <c r="H109" i="18"/>
  <c r="J109" i="18" s="1"/>
  <c r="J110" i="18" s="1"/>
  <c r="D116" i="18" s="1"/>
  <c r="I106" i="18"/>
  <c r="K102" i="18"/>
  <c r="K101" i="18"/>
  <c r="K100" i="18"/>
  <c r="H100" i="18"/>
  <c r="K94" i="18"/>
  <c r="H94" i="18"/>
  <c r="I88" i="18"/>
  <c r="G86" i="18"/>
  <c r="I84" i="18"/>
  <c r="I83" i="18"/>
  <c r="I82" i="18"/>
  <c r="I80" i="18"/>
  <c r="I79" i="18"/>
  <c r="J78" i="18"/>
  <c r="J77" i="18"/>
  <c r="I76" i="18"/>
  <c r="I75" i="18"/>
  <c r="I74" i="18" s="1"/>
  <c r="I53" i="18"/>
  <c r="H49" i="18"/>
  <c r="J49" i="18" s="1"/>
  <c r="I46" i="18"/>
  <c r="K42" i="18"/>
  <c r="K41" i="18"/>
  <c r="K40" i="18"/>
  <c r="H40" i="18"/>
  <c r="K34" i="18"/>
  <c r="H34" i="18"/>
  <c r="I28" i="18"/>
  <c r="G26" i="18"/>
  <c r="H26" i="18" s="1"/>
  <c r="I24" i="18"/>
  <c r="I23" i="18"/>
  <c r="I22" i="18"/>
  <c r="I20" i="18"/>
  <c r="I19" i="18"/>
  <c r="J18" i="18"/>
  <c r="J17" i="18"/>
  <c r="I16" i="18"/>
  <c r="I15" i="18"/>
  <c r="I233" i="17"/>
  <c r="I173" i="17"/>
  <c r="I113" i="17"/>
  <c r="H409" i="17"/>
  <c r="J409" i="17" s="1"/>
  <c r="I406" i="17"/>
  <c r="K402" i="17"/>
  <c r="K401" i="17"/>
  <c r="K400" i="17"/>
  <c r="H400" i="17"/>
  <c r="K394" i="17"/>
  <c r="H394" i="17"/>
  <c r="I388" i="17"/>
  <c r="G386" i="17"/>
  <c r="H386" i="17" s="1"/>
  <c r="I384" i="17"/>
  <c r="I383" i="17"/>
  <c r="I382" i="17"/>
  <c r="I380" i="17"/>
  <c r="I379" i="17"/>
  <c r="J378" i="17"/>
  <c r="J377" i="17"/>
  <c r="I376" i="17"/>
  <c r="I375" i="17"/>
  <c r="I353" i="17"/>
  <c r="H349" i="17"/>
  <c r="J349" i="17" s="1"/>
  <c r="I346" i="17"/>
  <c r="K342" i="17"/>
  <c r="K341" i="17"/>
  <c r="K340" i="17"/>
  <c r="H340" i="17"/>
  <c r="K334" i="17"/>
  <c r="H334" i="17"/>
  <c r="I328" i="17"/>
  <c r="G326" i="17"/>
  <c r="H326" i="17" s="1"/>
  <c r="I324" i="17"/>
  <c r="I323" i="17"/>
  <c r="I322" i="17"/>
  <c r="I320" i="17"/>
  <c r="I319" i="17"/>
  <c r="J318" i="17"/>
  <c r="J317" i="17"/>
  <c r="I316" i="17"/>
  <c r="I315" i="17"/>
  <c r="H289" i="17"/>
  <c r="J289" i="17" s="1"/>
  <c r="I286" i="17"/>
  <c r="K282" i="17"/>
  <c r="K281" i="17"/>
  <c r="K280" i="17"/>
  <c r="H280" i="17"/>
  <c r="K274" i="17"/>
  <c r="H274" i="17"/>
  <c r="I268" i="17"/>
  <c r="G266" i="17"/>
  <c r="H266" i="17" s="1"/>
  <c r="I264" i="17"/>
  <c r="I263" i="17"/>
  <c r="I262" i="17"/>
  <c r="I260" i="17"/>
  <c r="I259" i="17"/>
  <c r="J258" i="17"/>
  <c r="J257" i="17"/>
  <c r="I256" i="17"/>
  <c r="I255" i="17"/>
  <c r="H229" i="17"/>
  <c r="J229" i="17" s="1"/>
  <c r="I226" i="17"/>
  <c r="K222" i="17"/>
  <c r="K221" i="17"/>
  <c r="K220" i="17"/>
  <c r="H220" i="17"/>
  <c r="K214" i="17"/>
  <c r="H214" i="17"/>
  <c r="I208" i="17"/>
  <c r="G206" i="17"/>
  <c r="H206" i="17" s="1"/>
  <c r="I204" i="17"/>
  <c r="I203" i="17"/>
  <c r="I202" i="17"/>
  <c r="I200" i="17"/>
  <c r="I199" i="17"/>
  <c r="J198" i="17"/>
  <c r="J197" i="17"/>
  <c r="I196" i="17"/>
  <c r="I195" i="17"/>
  <c r="H169" i="17"/>
  <c r="J169" i="17" s="1"/>
  <c r="I166" i="17"/>
  <c r="K162" i="17"/>
  <c r="K161" i="17"/>
  <c r="K160" i="17"/>
  <c r="H160" i="17"/>
  <c r="K154" i="17"/>
  <c r="H154" i="17"/>
  <c r="I148" i="17"/>
  <c r="G146" i="17"/>
  <c r="I144" i="17"/>
  <c r="I143" i="17"/>
  <c r="I142" i="17"/>
  <c r="I140" i="17"/>
  <c r="I139" i="17"/>
  <c r="J138" i="17"/>
  <c r="J137" i="17"/>
  <c r="I136" i="17"/>
  <c r="I135" i="17"/>
  <c r="H109" i="17"/>
  <c r="J109" i="17" s="1"/>
  <c r="J110" i="17" s="1"/>
  <c r="D116" i="17" s="1"/>
  <c r="I106" i="17"/>
  <c r="K102" i="17"/>
  <c r="K101" i="17"/>
  <c r="K100" i="17"/>
  <c r="H100" i="17"/>
  <c r="K94" i="17"/>
  <c r="H94" i="17"/>
  <c r="I88" i="17"/>
  <c r="G86" i="17"/>
  <c r="I84" i="17"/>
  <c r="I83" i="17"/>
  <c r="I82" i="17"/>
  <c r="I80" i="17"/>
  <c r="I79" i="17"/>
  <c r="J78" i="17"/>
  <c r="J77" i="17"/>
  <c r="I76" i="17"/>
  <c r="I75" i="17"/>
  <c r="H49" i="17"/>
  <c r="J49" i="17" s="1"/>
  <c r="I46" i="17"/>
  <c r="K42" i="17"/>
  <c r="K41" i="17"/>
  <c r="K40" i="17"/>
  <c r="H40" i="17"/>
  <c r="K34" i="17"/>
  <c r="H34" i="17"/>
  <c r="I28" i="17"/>
  <c r="G26" i="17"/>
  <c r="H26" i="17" s="1"/>
  <c r="I24" i="17"/>
  <c r="I23" i="17"/>
  <c r="I22" i="17"/>
  <c r="I20" i="17"/>
  <c r="I19" i="17"/>
  <c r="J18" i="17"/>
  <c r="J17" i="17"/>
  <c r="I16" i="17"/>
  <c r="I15" i="17"/>
  <c r="I173" i="16"/>
  <c r="I173" i="15"/>
  <c r="I113" i="15"/>
  <c r="I113" i="16"/>
  <c r="I53" i="16"/>
  <c r="H409" i="16"/>
  <c r="J409" i="16" s="1"/>
  <c r="I406" i="16"/>
  <c r="K402" i="16"/>
  <c r="K401" i="16"/>
  <c r="K400" i="16"/>
  <c r="H400" i="16"/>
  <c r="K394" i="16"/>
  <c r="H394" i="16"/>
  <c r="I388" i="16"/>
  <c r="G386" i="16"/>
  <c r="H386" i="16" s="1"/>
  <c r="I384" i="16"/>
  <c r="I383" i="16"/>
  <c r="I382" i="16"/>
  <c r="I380" i="16"/>
  <c r="I379" i="16"/>
  <c r="J378" i="16"/>
  <c r="J377" i="16"/>
  <c r="I376" i="16"/>
  <c r="I375" i="16"/>
  <c r="I353" i="16"/>
  <c r="H349" i="16"/>
  <c r="J349" i="16" s="1"/>
  <c r="I346" i="16"/>
  <c r="K342" i="16"/>
  <c r="K341" i="16"/>
  <c r="K340" i="16"/>
  <c r="H340" i="16"/>
  <c r="K334" i="16"/>
  <c r="H334" i="16"/>
  <c r="I328" i="16"/>
  <c r="G326" i="16"/>
  <c r="H326" i="16" s="1"/>
  <c r="I324" i="16"/>
  <c r="I323" i="16"/>
  <c r="I322" i="16"/>
  <c r="I320" i="16"/>
  <c r="I319" i="16"/>
  <c r="J318" i="16"/>
  <c r="J317" i="16"/>
  <c r="I316" i="16"/>
  <c r="I315" i="16"/>
  <c r="H289" i="16"/>
  <c r="J289" i="16" s="1"/>
  <c r="I286" i="16"/>
  <c r="K282" i="16"/>
  <c r="K281" i="16"/>
  <c r="K280" i="16"/>
  <c r="H280" i="16"/>
  <c r="K274" i="16"/>
  <c r="H274" i="16"/>
  <c r="I268" i="16"/>
  <c r="H266" i="16"/>
  <c r="G266" i="16"/>
  <c r="I264" i="16"/>
  <c r="I263" i="16"/>
  <c r="I262" i="16"/>
  <c r="I260" i="16"/>
  <c r="I259" i="16"/>
  <c r="J258" i="16"/>
  <c r="J257" i="16"/>
  <c r="I256" i="16"/>
  <c r="I255" i="16"/>
  <c r="I233" i="16"/>
  <c r="H229" i="16"/>
  <c r="J229" i="16" s="1"/>
  <c r="I226" i="16"/>
  <c r="K222" i="16"/>
  <c r="K221" i="16"/>
  <c r="K220" i="16"/>
  <c r="H220" i="16"/>
  <c r="K214" i="16"/>
  <c r="H214" i="16"/>
  <c r="I208" i="16"/>
  <c r="G206" i="16"/>
  <c r="H206" i="16" s="1"/>
  <c r="I204" i="16"/>
  <c r="I203" i="16"/>
  <c r="I202" i="16"/>
  <c r="I200" i="16"/>
  <c r="I199" i="16"/>
  <c r="J198" i="16"/>
  <c r="J197" i="16"/>
  <c r="I196" i="16"/>
  <c r="I195" i="16"/>
  <c r="H169" i="16"/>
  <c r="J169" i="16" s="1"/>
  <c r="I166" i="16"/>
  <c r="K162" i="16"/>
  <c r="K161" i="16"/>
  <c r="K160" i="16"/>
  <c r="H160" i="16"/>
  <c r="K154" i="16"/>
  <c r="H154" i="16"/>
  <c r="I148" i="16"/>
  <c r="G146" i="16"/>
  <c r="I144" i="16"/>
  <c r="I143" i="16"/>
  <c r="I142" i="16"/>
  <c r="I140" i="16"/>
  <c r="I139" i="16"/>
  <c r="J138" i="16"/>
  <c r="J137" i="16"/>
  <c r="I136" i="16"/>
  <c r="I135" i="16"/>
  <c r="H109" i="16"/>
  <c r="J109" i="16" s="1"/>
  <c r="I106" i="16"/>
  <c r="K102" i="16"/>
  <c r="K101" i="16"/>
  <c r="K100" i="16"/>
  <c r="H100" i="16"/>
  <c r="K94" i="16"/>
  <c r="H94" i="16"/>
  <c r="I88" i="16"/>
  <c r="G86" i="16"/>
  <c r="I84" i="16"/>
  <c r="I83" i="16"/>
  <c r="I82" i="16"/>
  <c r="I80" i="16"/>
  <c r="I79" i="16"/>
  <c r="J78" i="16"/>
  <c r="J77" i="16"/>
  <c r="I76" i="16"/>
  <c r="I75" i="16"/>
  <c r="H49" i="16"/>
  <c r="J49" i="16" s="1"/>
  <c r="I46" i="16"/>
  <c r="K42" i="16"/>
  <c r="K41" i="16"/>
  <c r="K40" i="16"/>
  <c r="H40" i="16"/>
  <c r="K34" i="16"/>
  <c r="H34" i="16"/>
  <c r="I28" i="16"/>
  <c r="G26" i="16"/>
  <c r="H26" i="16" s="1"/>
  <c r="I24" i="16"/>
  <c r="I23" i="16"/>
  <c r="I22" i="16"/>
  <c r="I20" i="16"/>
  <c r="I19" i="16"/>
  <c r="J18" i="16"/>
  <c r="J17" i="16"/>
  <c r="I16" i="16"/>
  <c r="I15" i="16"/>
  <c r="H409" i="15"/>
  <c r="J409" i="15" s="1"/>
  <c r="I406" i="15"/>
  <c r="K402" i="15"/>
  <c r="K401" i="15"/>
  <c r="K400" i="15"/>
  <c r="H400" i="15"/>
  <c r="K394" i="15"/>
  <c r="H394" i="15"/>
  <c r="I388" i="15"/>
  <c r="G386" i="15"/>
  <c r="H386" i="15" s="1"/>
  <c r="I384" i="15"/>
  <c r="I383" i="15"/>
  <c r="I382" i="15"/>
  <c r="I380" i="15"/>
  <c r="I379" i="15"/>
  <c r="J378" i="15"/>
  <c r="J377" i="15"/>
  <c r="I376" i="15"/>
  <c r="I375" i="15"/>
  <c r="I353" i="15"/>
  <c r="H349" i="15"/>
  <c r="J349" i="15" s="1"/>
  <c r="I346" i="15"/>
  <c r="K342" i="15"/>
  <c r="K341" i="15"/>
  <c r="K340" i="15"/>
  <c r="H340" i="15"/>
  <c r="K334" i="15"/>
  <c r="H334" i="15"/>
  <c r="I328" i="15"/>
  <c r="G326" i="15"/>
  <c r="H326" i="15" s="1"/>
  <c r="I324" i="15"/>
  <c r="I323" i="15"/>
  <c r="I322" i="15"/>
  <c r="I320" i="15"/>
  <c r="I319" i="15"/>
  <c r="J318" i="15"/>
  <c r="J317" i="15"/>
  <c r="I316" i="15"/>
  <c r="I315" i="15"/>
  <c r="H289" i="15"/>
  <c r="J289" i="15" s="1"/>
  <c r="I286" i="15"/>
  <c r="K282" i="15"/>
  <c r="K281" i="15"/>
  <c r="K280" i="15"/>
  <c r="H280" i="15"/>
  <c r="K274" i="15"/>
  <c r="H274" i="15"/>
  <c r="I268" i="15"/>
  <c r="G266" i="15"/>
  <c r="H266" i="15" s="1"/>
  <c r="I264" i="15"/>
  <c r="I263" i="15"/>
  <c r="I262" i="15"/>
  <c r="I260" i="15"/>
  <c r="I259" i="15"/>
  <c r="J258" i="15"/>
  <c r="J257" i="15"/>
  <c r="I256" i="15"/>
  <c r="I255" i="15"/>
  <c r="I233" i="15"/>
  <c r="H229" i="15"/>
  <c r="J229" i="15" s="1"/>
  <c r="I226" i="15"/>
  <c r="K222" i="15"/>
  <c r="K221" i="15"/>
  <c r="K220" i="15"/>
  <c r="H220" i="15"/>
  <c r="K214" i="15"/>
  <c r="H214" i="15"/>
  <c r="I208" i="15"/>
  <c r="G206" i="15"/>
  <c r="H206" i="15" s="1"/>
  <c r="I204" i="15"/>
  <c r="I203" i="15"/>
  <c r="I202" i="15"/>
  <c r="I200" i="15"/>
  <c r="I199" i="15"/>
  <c r="J198" i="15"/>
  <c r="J197" i="15"/>
  <c r="I196" i="15"/>
  <c r="I195" i="15"/>
  <c r="H169" i="15"/>
  <c r="J169" i="15" s="1"/>
  <c r="I166" i="15"/>
  <c r="K162" i="15"/>
  <c r="K161" i="15"/>
  <c r="K160" i="15"/>
  <c r="H160" i="15"/>
  <c r="K154" i="15"/>
  <c r="H154" i="15"/>
  <c r="I148" i="15"/>
  <c r="G146" i="15"/>
  <c r="I144" i="15"/>
  <c r="I143" i="15"/>
  <c r="I142" i="15"/>
  <c r="I140" i="15"/>
  <c r="I139" i="15"/>
  <c r="J138" i="15"/>
  <c r="J137" i="15"/>
  <c r="I136" i="15"/>
  <c r="I135" i="15"/>
  <c r="H109" i="15"/>
  <c r="J109" i="15" s="1"/>
  <c r="I106" i="15"/>
  <c r="K102" i="15"/>
  <c r="K101" i="15"/>
  <c r="K100" i="15"/>
  <c r="H100" i="15"/>
  <c r="K94" i="15"/>
  <c r="H94" i="15"/>
  <c r="I88" i="15"/>
  <c r="G86" i="15"/>
  <c r="I84" i="15"/>
  <c r="I83" i="15"/>
  <c r="I82" i="15"/>
  <c r="I80" i="15"/>
  <c r="I79" i="15"/>
  <c r="J78" i="15"/>
  <c r="J77" i="15"/>
  <c r="I76" i="15"/>
  <c r="I75" i="15"/>
  <c r="I53" i="15"/>
  <c r="H49" i="15"/>
  <c r="J49" i="15" s="1"/>
  <c r="I46" i="15"/>
  <c r="K42" i="15"/>
  <c r="K41" i="15"/>
  <c r="K40" i="15"/>
  <c r="H40" i="15"/>
  <c r="K34" i="15"/>
  <c r="H34" i="15"/>
  <c r="I28" i="15"/>
  <c r="G26" i="15"/>
  <c r="H26" i="15" s="1"/>
  <c r="I24" i="15"/>
  <c r="I23" i="15"/>
  <c r="I22" i="15"/>
  <c r="I20" i="15"/>
  <c r="I19" i="15"/>
  <c r="J18" i="15"/>
  <c r="J17" i="15"/>
  <c r="I16" i="15"/>
  <c r="I15" i="15"/>
  <c r="H409" i="14"/>
  <c r="J409" i="14" s="1"/>
  <c r="I406" i="14"/>
  <c r="K402" i="14"/>
  <c r="K401" i="14"/>
  <c r="K400" i="14"/>
  <c r="H400" i="14"/>
  <c r="K394" i="14"/>
  <c r="H394" i="14"/>
  <c r="I388" i="14"/>
  <c r="G386" i="14"/>
  <c r="H386" i="14" s="1"/>
  <c r="I384" i="14"/>
  <c r="I383" i="14"/>
  <c r="I382" i="14"/>
  <c r="I380" i="14"/>
  <c r="I379" i="14"/>
  <c r="J378" i="14"/>
  <c r="J377" i="14"/>
  <c r="I376" i="14"/>
  <c r="I375" i="14"/>
  <c r="I353" i="14"/>
  <c r="H349" i="14"/>
  <c r="J349" i="14" s="1"/>
  <c r="I346" i="14"/>
  <c r="K342" i="14"/>
  <c r="K341" i="14"/>
  <c r="K340" i="14"/>
  <c r="H340" i="14"/>
  <c r="K334" i="14"/>
  <c r="H334" i="14"/>
  <c r="I328" i="14"/>
  <c r="G326" i="14"/>
  <c r="H326" i="14" s="1"/>
  <c r="I324" i="14"/>
  <c r="I323" i="14"/>
  <c r="I322" i="14"/>
  <c r="I320" i="14"/>
  <c r="I319" i="14"/>
  <c r="J318" i="14"/>
  <c r="J317" i="14"/>
  <c r="I316" i="14"/>
  <c r="I315" i="14"/>
  <c r="H289" i="14"/>
  <c r="J289" i="14" s="1"/>
  <c r="I286" i="14"/>
  <c r="K282" i="14"/>
  <c r="K281" i="14"/>
  <c r="K280" i="14"/>
  <c r="H280" i="14"/>
  <c r="K274" i="14"/>
  <c r="H274" i="14"/>
  <c r="I268" i="14"/>
  <c r="G266" i="14"/>
  <c r="H266" i="14" s="1"/>
  <c r="I264" i="14"/>
  <c r="I263" i="14"/>
  <c r="I262" i="14"/>
  <c r="I260" i="14"/>
  <c r="I259" i="14"/>
  <c r="J258" i="14"/>
  <c r="J257" i="14"/>
  <c r="I256" i="14"/>
  <c r="I255" i="14"/>
  <c r="I233" i="14"/>
  <c r="H229" i="14"/>
  <c r="J229" i="14" s="1"/>
  <c r="I226" i="14"/>
  <c r="K222" i="14"/>
  <c r="K221" i="14"/>
  <c r="K220" i="14"/>
  <c r="H220" i="14"/>
  <c r="K214" i="14"/>
  <c r="H214" i="14"/>
  <c r="I208" i="14"/>
  <c r="G206" i="14"/>
  <c r="H206" i="14" s="1"/>
  <c r="I204" i="14"/>
  <c r="I203" i="14"/>
  <c r="I202" i="14"/>
  <c r="I200" i="14"/>
  <c r="I199" i="14"/>
  <c r="J198" i="14"/>
  <c r="J197" i="14"/>
  <c r="I196" i="14"/>
  <c r="I195" i="14"/>
  <c r="I173" i="14"/>
  <c r="H169" i="14"/>
  <c r="J169" i="14" s="1"/>
  <c r="I166" i="14"/>
  <c r="K162" i="14"/>
  <c r="K161" i="14"/>
  <c r="K160" i="14"/>
  <c r="H160" i="14"/>
  <c r="K154" i="14"/>
  <c r="H154" i="14"/>
  <c r="I148" i="14"/>
  <c r="G146" i="14"/>
  <c r="H146" i="14" s="1"/>
  <c r="I144" i="14"/>
  <c r="I143" i="14"/>
  <c r="I142" i="14"/>
  <c r="I140" i="14"/>
  <c r="I139" i="14"/>
  <c r="J138" i="14"/>
  <c r="J137" i="14"/>
  <c r="I136" i="14"/>
  <c r="I135" i="14"/>
  <c r="I113" i="14"/>
  <c r="H109" i="14"/>
  <c r="J109" i="14" s="1"/>
  <c r="I106" i="14"/>
  <c r="K102" i="14"/>
  <c r="K101" i="14"/>
  <c r="K100" i="14"/>
  <c r="H100" i="14"/>
  <c r="K94" i="14"/>
  <c r="H94" i="14"/>
  <c r="I88" i="14"/>
  <c r="G86" i="14"/>
  <c r="H86" i="14" s="1"/>
  <c r="I84" i="14"/>
  <c r="I83" i="14"/>
  <c r="I82" i="14"/>
  <c r="I80" i="14"/>
  <c r="I79" i="14"/>
  <c r="J78" i="14"/>
  <c r="J77" i="14"/>
  <c r="I76" i="14"/>
  <c r="I75" i="14"/>
  <c r="I53" i="14"/>
  <c r="H49" i="14"/>
  <c r="J49" i="14" s="1"/>
  <c r="I46" i="14"/>
  <c r="K42" i="14"/>
  <c r="K41" i="14"/>
  <c r="K40" i="14"/>
  <c r="H40" i="14"/>
  <c r="K34" i="14"/>
  <c r="H34" i="14"/>
  <c r="I28" i="14"/>
  <c r="G26" i="14"/>
  <c r="H26" i="14" s="1"/>
  <c r="I24" i="14"/>
  <c r="I23" i="14"/>
  <c r="I22" i="14"/>
  <c r="I20" i="14"/>
  <c r="I19" i="14"/>
  <c r="J18" i="14"/>
  <c r="J17" i="14"/>
  <c r="I16" i="14"/>
  <c r="I15" i="14"/>
  <c r="I233" i="12"/>
  <c r="I173" i="12"/>
  <c r="I113" i="12"/>
  <c r="H409" i="12"/>
  <c r="J409" i="12" s="1"/>
  <c r="I406" i="12"/>
  <c r="K402" i="12"/>
  <c r="K401" i="12"/>
  <c r="K400" i="12"/>
  <c r="H400" i="12"/>
  <c r="K394" i="12"/>
  <c r="H394" i="12"/>
  <c r="I388" i="12"/>
  <c r="G386" i="12"/>
  <c r="H386" i="12" s="1"/>
  <c r="I384" i="12"/>
  <c r="I383" i="12"/>
  <c r="I382" i="12"/>
  <c r="I380" i="12"/>
  <c r="I379" i="12"/>
  <c r="J378" i="12"/>
  <c r="J377" i="12"/>
  <c r="I376" i="12"/>
  <c r="I375" i="12"/>
  <c r="I353" i="12"/>
  <c r="J349" i="12"/>
  <c r="H349" i="12"/>
  <c r="I346" i="12"/>
  <c r="K342" i="12"/>
  <c r="K341" i="12"/>
  <c r="K340" i="12"/>
  <c r="H340" i="12"/>
  <c r="K334" i="12"/>
  <c r="H334" i="12"/>
  <c r="I328" i="12"/>
  <c r="G326" i="12"/>
  <c r="H326" i="12" s="1"/>
  <c r="I324" i="12"/>
  <c r="I323" i="12"/>
  <c r="I322" i="12"/>
  <c r="I320" i="12"/>
  <c r="I319" i="12"/>
  <c r="J318" i="12"/>
  <c r="J317" i="12"/>
  <c r="I316" i="12"/>
  <c r="I315" i="12"/>
  <c r="J289" i="12"/>
  <c r="H289" i="12"/>
  <c r="I286" i="12"/>
  <c r="K282" i="12"/>
  <c r="K281" i="12"/>
  <c r="K280" i="12"/>
  <c r="H280" i="12"/>
  <c r="K274" i="12"/>
  <c r="H274" i="12"/>
  <c r="I268" i="12"/>
  <c r="G266" i="12"/>
  <c r="H266" i="12" s="1"/>
  <c r="I264" i="12"/>
  <c r="I263" i="12"/>
  <c r="I262" i="12"/>
  <c r="I260" i="12"/>
  <c r="I259" i="12"/>
  <c r="J258" i="12"/>
  <c r="J257" i="12"/>
  <c r="I256" i="12"/>
  <c r="I255" i="12"/>
  <c r="H229" i="12"/>
  <c r="J229" i="12" s="1"/>
  <c r="I226" i="12"/>
  <c r="K222" i="12"/>
  <c r="K221" i="12"/>
  <c r="K220" i="12"/>
  <c r="H220" i="12"/>
  <c r="K214" i="12"/>
  <c r="H214" i="12"/>
  <c r="I208" i="12"/>
  <c r="G206" i="12"/>
  <c r="H206" i="12" s="1"/>
  <c r="I204" i="12"/>
  <c r="I203" i="12"/>
  <c r="I202" i="12"/>
  <c r="I200" i="12"/>
  <c r="I199" i="12"/>
  <c r="J198" i="12"/>
  <c r="J197" i="12"/>
  <c r="I196" i="12"/>
  <c r="I195" i="12"/>
  <c r="J169" i="12"/>
  <c r="H169" i="12"/>
  <c r="I166" i="12"/>
  <c r="K162" i="12"/>
  <c r="K161" i="12"/>
  <c r="K160" i="12"/>
  <c r="H160" i="12"/>
  <c r="K154" i="12"/>
  <c r="H154" i="12"/>
  <c r="I148" i="12"/>
  <c r="G146" i="12"/>
  <c r="H146" i="12" s="1"/>
  <c r="I144" i="12"/>
  <c r="I143" i="12"/>
  <c r="I142" i="12"/>
  <c r="I140" i="12"/>
  <c r="I139" i="12"/>
  <c r="J138" i="12"/>
  <c r="J137" i="12"/>
  <c r="I136" i="12"/>
  <c r="I135" i="12"/>
  <c r="H109" i="12"/>
  <c r="J109" i="12" s="1"/>
  <c r="I106" i="12"/>
  <c r="K102" i="12"/>
  <c r="K101" i="12"/>
  <c r="K100" i="12"/>
  <c r="H100" i="12"/>
  <c r="K94" i="12"/>
  <c r="H94" i="12"/>
  <c r="I88" i="12"/>
  <c r="G86" i="12"/>
  <c r="H86" i="12" s="1"/>
  <c r="I84" i="12"/>
  <c r="I83" i="12"/>
  <c r="I82" i="12"/>
  <c r="I80" i="12"/>
  <c r="I79" i="12"/>
  <c r="J78" i="12"/>
  <c r="J77" i="12"/>
  <c r="I74" i="12" s="1"/>
  <c r="I76" i="12"/>
  <c r="I75" i="12"/>
  <c r="I53" i="12"/>
  <c r="J49" i="12"/>
  <c r="H49" i="12"/>
  <c r="I46" i="12"/>
  <c r="K42" i="12"/>
  <c r="K41" i="12"/>
  <c r="K40" i="12"/>
  <c r="H40" i="12"/>
  <c r="K34" i="12"/>
  <c r="H34" i="12"/>
  <c r="I28" i="12"/>
  <c r="G26" i="12"/>
  <c r="H26" i="12" s="1"/>
  <c r="I24" i="12"/>
  <c r="I23" i="12"/>
  <c r="I22" i="12"/>
  <c r="I20" i="12"/>
  <c r="I19" i="12"/>
  <c r="J18" i="12"/>
  <c r="J17" i="12"/>
  <c r="I16" i="12"/>
  <c r="I15" i="12"/>
  <c r="H409" i="10"/>
  <c r="J409" i="10" s="1"/>
  <c r="I406" i="10"/>
  <c r="K402" i="10"/>
  <c r="K401" i="10"/>
  <c r="K400" i="10"/>
  <c r="H400" i="10"/>
  <c r="K394" i="10"/>
  <c r="H394" i="10"/>
  <c r="I388" i="10"/>
  <c r="G386" i="10"/>
  <c r="H386" i="10" s="1"/>
  <c r="I384" i="10"/>
  <c r="I383" i="10"/>
  <c r="I382" i="10"/>
  <c r="I380" i="10"/>
  <c r="I379" i="10"/>
  <c r="J378" i="10"/>
  <c r="J377" i="10"/>
  <c r="I376" i="10"/>
  <c r="I375" i="10"/>
  <c r="I353" i="10"/>
  <c r="H349" i="10"/>
  <c r="J349" i="10" s="1"/>
  <c r="I346" i="10"/>
  <c r="K342" i="10"/>
  <c r="K341" i="10"/>
  <c r="K340" i="10"/>
  <c r="H340" i="10"/>
  <c r="K334" i="10"/>
  <c r="H334" i="10"/>
  <c r="I328" i="10"/>
  <c r="G326" i="10"/>
  <c r="H326" i="10" s="1"/>
  <c r="I324" i="10"/>
  <c r="I323" i="10"/>
  <c r="I322" i="10"/>
  <c r="I320" i="10"/>
  <c r="I319" i="10"/>
  <c r="J318" i="10"/>
  <c r="J317" i="10"/>
  <c r="I316" i="10"/>
  <c r="I315" i="10"/>
  <c r="H289" i="10"/>
  <c r="J289" i="10" s="1"/>
  <c r="I286" i="10"/>
  <c r="J9" i="4" s="1"/>
  <c r="K282" i="10"/>
  <c r="K281" i="10"/>
  <c r="K280" i="10"/>
  <c r="H280" i="10"/>
  <c r="K274" i="10"/>
  <c r="H274" i="10"/>
  <c r="I268" i="10"/>
  <c r="G266" i="10"/>
  <c r="H266" i="10" s="1"/>
  <c r="I264" i="10"/>
  <c r="I263" i="10"/>
  <c r="I262" i="10"/>
  <c r="I260" i="10"/>
  <c r="I259" i="10"/>
  <c r="J258" i="10"/>
  <c r="J257" i="10"/>
  <c r="I256" i="10"/>
  <c r="I255" i="10"/>
  <c r="I233" i="10"/>
  <c r="H229" i="10"/>
  <c r="J229" i="10" s="1"/>
  <c r="I226" i="10"/>
  <c r="K222" i="10"/>
  <c r="K221" i="10"/>
  <c r="K220" i="10"/>
  <c r="H220" i="10"/>
  <c r="K214" i="10"/>
  <c r="H214" i="10"/>
  <c r="I208" i="10"/>
  <c r="H206" i="10"/>
  <c r="G206" i="10"/>
  <c r="I204" i="10"/>
  <c r="I203" i="10"/>
  <c r="I202" i="10"/>
  <c r="I194" i="10" s="1"/>
  <c r="I200" i="10"/>
  <c r="I199" i="10"/>
  <c r="J198" i="10"/>
  <c r="J197" i="10"/>
  <c r="I196" i="10"/>
  <c r="I195" i="10"/>
  <c r="I173" i="10"/>
  <c r="H169" i="10"/>
  <c r="J169" i="10" s="1"/>
  <c r="I166" i="10"/>
  <c r="J7" i="4" s="1"/>
  <c r="K162" i="10"/>
  <c r="K161" i="10"/>
  <c r="K160" i="10"/>
  <c r="H160" i="10"/>
  <c r="K154" i="10"/>
  <c r="H154" i="10"/>
  <c r="I148" i="10"/>
  <c r="G146" i="10"/>
  <c r="H146" i="10" s="1"/>
  <c r="I144" i="10"/>
  <c r="I143" i="10"/>
  <c r="I142" i="10"/>
  <c r="I140" i="10"/>
  <c r="I139" i="10"/>
  <c r="J138" i="10"/>
  <c r="J137" i="10"/>
  <c r="I136" i="10"/>
  <c r="I135" i="10"/>
  <c r="I113" i="10"/>
  <c r="H109" i="10"/>
  <c r="J109" i="10" s="1"/>
  <c r="I106" i="10"/>
  <c r="K102" i="10"/>
  <c r="K101" i="10"/>
  <c r="K100" i="10"/>
  <c r="H100" i="10"/>
  <c r="K94" i="10"/>
  <c r="H94" i="10"/>
  <c r="I88" i="10"/>
  <c r="G86" i="10"/>
  <c r="H86" i="10" s="1"/>
  <c r="I84" i="10"/>
  <c r="I83" i="10"/>
  <c r="I82" i="10"/>
  <c r="I80" i="10"/>
  <c r="I79" i="10"/>
  <c r="J78" i="10"/>
  <c r="J77" i="10"/>
  <c r="I76" i="10"/>
  <c r="I75" i="10"/>
  <c r="I53" i="10"/>
  <c r="H49" i="10"/>
  <c r="J49" i="10" s="1"/>
  <c r="I46" i="10"/>
  <c r="K42" i="10"/>
  <c r="K41" i="10"/>
  <c r="K40" i="10"/>
  <c r="H40" i="10"/>
  <c r="K34" i="10"/>
  <c r="H34" i="10"/>
  <c r="I28" i="10"/>
  <c r="G26" i="10"/>
  <c r="H26" i="10" s="1"/>
  <c r="I24" i="10"/>
  <c r="I23" i="10"/>
  <c r="I22" i="10"/>
  <c r="I20" i="10"/>
  <c r="I19" i="10"/>
  <c r="J18" i="10"/>
  <c r="J17" i="10"/>
  <c r="I16" i="10"/>
  <c r="I15" i="10"/>
  <c r="H409" i="9"/>
  <c r="J409" i="9" s="1"/>
  <c r="I406" i="9"/>
  <c r="K402" i="9"/>
  <c r="K401" i="9"/>
  <c r="K400" i="9"/>
  <c r="H400" i="9"/>
  <c r="K394" i="9"/>
  <c r="H394" i="9"/>
  <c r="I388" i="9"/>
  <c r="G386" i="9"/>
  <c r="H386" i="9" s="1"/>
  <c r="I384" i="9"/>
  <c r="I383" i="9"/>
  <c r="I382" i="9"/>
  <c r="I380" i="9"/>
  <c r="I379" i="9"/>
  <c r="J378" i="9"/>
  <c r="J377" i="9"/>
  <c r="I376" i="9"/>
  <c r="I375" i="9"/>
  <c r="I353" i="9"/>
  <c r="H349" i="9"/>
  <c r="J349" i="9" s="1"/>
  <c r="I346" i="9"/>
  <c r="K342" i="9"/>
  <c r="K341" i="9"/>
  <c r="K340" i="9"/>
  <c r="H340" i="9"/>
  <c r="K334" i="9"/>
  <c r="H334" i="9"/>
  <c r="I328" i="9"/>
  <c r="G326" i="9"/>
  <c r="H326" i="9" s="1"/>
  <c r="I324" i="9"/>
  <c r="I323" i="9"/>
  <c r="I322" i="9"/>
  <c r="I320" i="9"/>
  <c r="I319" i="9"/>
  <c r="J318" i="9"/>
  <c r="J317" i="9"/>
  <c r="I316" i="9"/>
  <c r="I314" i="9" s="1"/>
  <c r="I315" i="9"/>
  <c r="H289" i="9"/>
  <c r="J289" i="9" s="1"/>
  <c r="I286" i="9"/>
  <c r="K282" i="9"/>
  <c r="K281" i="9"/>
  <c r="K280" i="9"/>
  <c r="H280" i="9"/>
  <c r="K274" i="9"/>
  <c r="H274" i="9"/>
  <c r="I268" i="9"/>
  <c r="G266" i="9"/>
  <c r="H266" i="9" s="1"/>
  <c r="I264" i="9"/>
  <c r="I263" i="9"/>
  <c r="I262" i="9"/>
  <c r="I260" i="9"/>
  <c r="I259" i="9"/>
  <c r="J258" i="9"/>
  <c r="J257" i="9"/>
  <c r="I256" i="9"/>
  <c r="I255" i="9"/>
  <c r="I233" i="9"/>
  <c r="H229" i="9"/>
  <c r="J229" i="9" s="1"/>
  <c r="I226" i="9"/>
  <c r="K222" i="9"/>
  <c r="K221" i="9"/>
  <c r="K220" i="9"/>
  <c r="H220" i="9"/>
  <c r="K214" i="9"/>
  <c r="H214" i="9"/>
  <c r="I208" i="9"/>
  <c r="G206" i="9"/>
  <c r="H206" i="9" s="1"/>
  <c r="I204" i="9"/>
  <c r="I203" i="9"/>
  <c r="I202" i="9"/>
  <c r="I200" i="9"/>
  <c r="I199" i="9"/>
  <c r="J198" i="9"/>
  <c r="J197" i="9"/>
  <c r="I196" i="9"/>
  <c r="I195" i="9"/>
  <c r="I173" i="9"/>
  <c r="H169" i="9"/>
  <c r="J169" i="9" s="1"/>
  <c r="I166" i="9"/>
  <c r="K162" i="9"/>
  <c r="K161" i="9"/>
  <c r="K160" i="9"/>
  <c r="H160" i="9"/>
  <c r="K154" i="9"/>
  <c r="H154" i="9"/>
  <c r="I148" i="9"/>
  <c r="G146" i="9"/>
  <c r="H146" i="9" s="1"/>
  <c r="I144" i="9"/>
  <c r="I143" i="9"/>
  <c r="I142" i="9"/>
  <c r="I140" i="9"/>
  <c r="I139" i="9"/>
  <c r="J138" i="9"/>
  <c r="J137" i="9"/>
  <c r="I136" i="9"/>
  <c r="I135" i="9"/>
  <c r="I113" i="9"/>
  <c r="J109" i="9"/>
  <c r="H109" i="9"/>
  <c r="I106" i="9"/>
  <c r="K102" i="9"/>
  <c r="K101" i="9"/>
  <c r="K100" i="9"/>
  <c r="H100" i="9"/>
  <c r="K94" i="9"/>
  <c r="H94" i="9"/>
  <c r="I88" i="9"/>
  <c r="G86" i="9"/>
  <c r="H86" i="9" s="1"/>
  <c r="I84" i="9"/>
  <c r="I83" i="9"/>
  <c r="I82" i="9"/>
  <c r="I80" i="9"/>
  <c r="I79" i="9"/>
  <c r="J78" i="9"/>
  <c r="J77" i="9"/>
  <c r="I76" i="9"/>
  <c r="I75" i="9"/>
  <c r="I53" i="9"/>
  <c r="H49" i="9"/>
  <c r="J49" i="9" s="1"/>
  <c r="I46" i="9"/>
  <c r="K42" i="9"/>
  <c r="K41" i="9"/>
  <c r="K40" i="9"/>
  <c r="H40" i="9"/>
  <c r="K34" i="9"/>
  <c r="H34" i="9"/>
  <c r="I28" i="9"/>
  <c r="G26" i="9"/>
  <c r="H26" i="9" s="1"/>
  <c r="I24" i="9"/>
  <c r="I23" i="9"/>
  <c r="I22" i="9"/>
  <c r="I20" i="9"/>
  <c r="I19" i="9"/>
  <c r="J18" i="9"/>
  <c r="J17" i="9"/>
  <c r="I16" i="9"/>
  <c r="I15" i="9"/>
  <c r="H409" i="8"/>
  <c r="J409" i="8" s="1"/>
  <c r="I406" i="8"/>
  <c r="K402" i="8"/>
  <c r="K401" i="8"/>
  <c r="K400" i="8"/>
  <c r="H400" i="8"/>
  <c r="K394" i="8"/>
  <c r="H394" i="8"/>
  <c r="I388" i="8"/>
  <c r="G386" i="8"/>
  <c r="H386" i="8" s="1"/>
  <c r="I384" i="8"/>
  <c r="I383" i="8"/>
  <c r="I382" i="8"/>
  <c r="I380" i="8"/>
  <c r="I379" i="8"/>
  <c r="J378" i="8"/>
  <c r="J377" i="8"/>
  <c r="I376" i="8"/>
  <c r="I375" i="8"/>
  <c r="I353" i="8"/>
  <c r="H349" i="8"/>
  <c r="J349" i="8" s="1"/>
  <c r="I346" i="8"/>
  <c r="K342" i="8"/>
  <c r="K341" i="8"/>
  <c r="K340" i="8"/>
  <c r="H340" i="8"/>
  <c r="K334" i="8"/>
  <c r="H334" i="8"/>
  <c r="I328" i="8"/>
  <c r="G326" i="8"/>
  <c r="H326" i="8" s="1"/>
  <c r="I324" i="8"/>
  <c r="I323" i="8"/>
  <c r="I322" i="8"/>
  <c r="I320" i="8"/>
  <c r="I319" i="8"/>
  <c r="J318" i="8"/>
  <c r="J317" i="8"/>
  <c r="I316" i="8"/>
  <c r="I315" i="8"/>
  <c r="H289" i="8"/>
  <c r="J289" i="8" s="1"/>
  <c r="I286" i="8"/>
  <c r="K282" i="8"/>
  <c r="K281" i="8"/>
  <c r="K280" i="8"/>
  <c r="H280" i="8"/>
  <c r="K274" i="8"/>
  <c r="H274" i="8"/>
  <c r="I268" i="8"/>
  <c r="G266" i="8"/>
  <c r="H266" i="8" s="1"/>
  <c r="I264" i="8"/>
  <c r="I263" i="8"/>
  <c r="I262" i="8"/>
  <c r="I260" i="8"/>
  <c r="I259" i="8"/>
  <c r="J258" i="8"/>
  <c r="J257" i="8"/>
  <c r="I256" i="8"/>
  <c r="I255" i="8"/>
  <c r="I233" i="8"/>
  <c r="H229" i="8"/>
  <c r="J229" i="8" s="1"/>
  <c r="I226" i="8"/>
  <c r="K222" i="8"/>
  <c r="K221" i="8"/>
  <c r="K220" i="8"/>
  <c r="H220" i="8"/>
  <c r="K214" i="8"/>
  <c r="H214" i="8"/>
  <c r="I208" i="8"/>
  <c r="G206" i="8"/>
  <c r="H206" i="8" s="1"/>
  <c r="I204" i="8"/>
  <c r="I203" i="8"/>
  <c r="I202" i="8"/>
  <c r="I200" i="8"/>
  <c r="I199" i="8"/>
  <c r="J198" i="8"/>
  <c r="J197" i="8"/>
  <c r="I196" i="8"/>
  <c r="I195" i="8"/>
  <c r="I173" i="8"/>
  <c r="H169" i="8"/>
  <c r="J169" i="8" s="1"/>
  <c r="I166" i="8"/>
  <c r="K162" i="8"/>
  <c r="K161" i="8"/>
  <c r="K160" i="8"/>
  <c r="H160" i="8"/>
  <c r="K154" i="8"/>
  <c r="H154" i="8"/>
  <c r="I148" i="8"/>
  <c r="G146" i="8"/>
  <c r="H146" i="8" s="1"/>
  <c r="I144" i="8"/>
  <c r="I143" i="8"/>
  <c r="I142" i="8"/>
  <c r="I140" i="8"/>
  <c r="I139" i="8"/>
  <c r="J138" i="8"/>
  <c r="J137" i="8"/>
  <c r="I136" i="8"/>
  <c r="I135" i="8"/>
  <c r="I113" i="8"/>
  <c r="H109" i="8"/>
  <c r="J109" i="8" s="1"/>
  <c r="I106" i="8"/>
  <c r="K102" i="8"/>
  <c r="K101" i="8"/>
  <c r="K100" i="8"/>
  <c r="H100" i="8"/>
  <c r="K94" i="8"/>
  <c r="H94" i="8"/>
  <c r="I88" i="8"/>
  <c r="G86" i="8"/>
  <c r="H86" i="8" s="1"/>
  <c r="I84" i="8"/>
  <c r="I83" i="8"/>
  <c r="I82" i="8"/>
  <c r="I80" i="8"/>
  <c r="I79" i="8"/>
  <c r="J78" i="8"/>
  <c r="J77" i="8"/>
  <c r="I76" i="8"/>
  <c r="I75" i="8"/>
  <c r="I74" i="8" s="1"/>
  <c r="I53" i="8"/>
  <c r="H49" i="8"/>
  <c r="J49" i="8" s="1"/>
  <c r="I46" i="8"/>
  <c r="K42" i="8"/>
  <c r="K41" i="8"/>
  <c r="K40" i="8"/>
  <c r="H40" i="8"/>
  <c r="K34" i="8"/>
  <c r="H34" i="8"/>
  <c r="I28" i="8"/>
  <c r="G26" i="8"/>
  <c r="H26" i="8" s="1"/>
  <c r="I24" i="8"/>
  <c r="I23" i="8"/>
  <c r="I22" i="8"/>
  <c r="I20" i="8"/>
  <c r="I19" i="8"/>
  <c r="J18" i="8"/>
  <c r="J17" i="8"/>
  <c r="I16" i="8"/>
  <c r="I15" i="8"/>
  <c r="J409" i="6"/>
  <c r="H409" i="6"/>
  <c r="I406" i="6"/>
  <c r="K402" i="6"/>
  <c r="K401" i="6"/>
  <c r="K400" i="6"/>
  <c r="H400" i="6"/>
  <c r="K394" i="6"/>
  <c r="H394" i="6"/>
  <c r="I388" i="6"/>
  <c r="G386" i="6"/>
  <c r="H386" i="6" s="1"/>
  <c r="I384" i="6"/>
  <c r="I383" i="6"/>
  <c r="I382" i="6"/>
  <c r="I380" i="6"/>
  <c r="I379" i="6"/>
  <c r="J378" i="6"/>
  <c r="J377" i="6"/>
  <c r="I376" i="6"/>
  <c r="I375" i="6"/>
  <c r="I353" i="6"/>
  <c r="H349" i="6"/>
  <c r="J349" i="6" s="1"/>
  <c r="I346" i="6"/>
  <c r="K342" i="6"/>
  <c r="K341" i="6"/>
  <c r="K340" i="6"/>
  <c r="H340" i="6"/>
  <c r="K334" i="6"/>
  <c r="H334" i="6"/>
  <c r="I328" i="6"/>
  <c r="G326" i="6"/>
  <c r="H326" i="6" s="1"/>
  <c r="I324" i="6"/>
  <c r="I323" i="6"/>
  <c r="I322" i="6"/>
  <c r="I320" i="6"/>
  <c r="I319" i="6"/>
  <c r="J318" i="6"/>
  <c r="J317" i="6"/>
  <c r="I316" i="6"/>
  <c r="I315" i="6"/>
  <c r="H289" i="6"/>
  <c r="J289" i="6" s="1"/>
  <c r="I286" i="6"/>
  <c r="K282" i="6"/>
  <c r="K281" i="6"/>
  <c r="K280" i="6"/>
  <c r="H280" i="6"/>
  <c r="K274" i="6"/>
  <c r="H274" i="6"/>
  <c r="I268" i="6"/>
  <c r="G266" i="6"/>
  <c r="H266" i="6" s="1"/>
  <c r="I264" i="6"/>
  <c r="I263" i="6"/>
  <c r="I262" i="6"/>
  <c r="I260" i="6"/>
  <c r="I259" i="6"/>
  <c r="J258" i="6"/>
  <c r="J257" i="6"/>
  <c r="I256" i="6"/>
  <c r="I255" i="6"/>
  <c r="I233" i="6"/>
  <c r="H229" i="6"/>
  <c r="J229" i="6" s="1"/>
  <c r="I226" i="6"/>
  <c r="K222" i="6"/>
  <c r="K221" i="6"/>
  <c r="K220" i="6"/>
  <c r="H220" i="6"/>
  <c r="K214" i="6"/>
  <c r="H214" i="6"/>
  <c r="I208" i="6"/>
  <c r="G206" i="6"/>
  <c r="H206" i="6" s="1"/>
  <c r="I204" i="6"/>
  <c r="I203" i="6"/>
  <c r="I202" i="6"/>
  <c r="I200" i="6"/>
  <c r="I199" i="6"/>
  <c r="J198" i="6"/>
  <c r="J197" i="6"/>
  <c r="I196" i="6"/>
  <c r="I195" i="6"/>
  <c r="I173" i="6"/>
  <c r="H169" i="6"/>
  <c r="J169" i="6" s="1"/>
  <c r="I166" i="6"/>
  <c r="K162" i="6"/>
  <c r="K161" i="6"/>
  <c r="K160" i="6"/>
  <c r="H160" i="6"/>
  <c r="K154" i="6"/>
  <c r="H154" i="6"/>
  <c r="I148" i="6"/>
  <c r="G146" i="6"/>
  <c r="H146" i="6" s="1"/>
  <c r="I144" i="6"/>
  <c r="I143" i="6"/>
  <c r="I142" i="6"/>
  <c r="I140" i="6"/>
  <c r="I139" i="6"/>
  <c r="J138" i="6"/>
  <c r="J137" i="6"/>
  <c r="I136" i="6"/>
  <c r="I135" i="6"/>
  <c r="I113" i="6"/>
  <c r="H109" i="6"/>
  <c r="J109" i="6" s="1"/>
  <c r="I106" i="6"/>
  <c r="K102" i="6"/>
  <c r="K101" i="6"/>
  <c r="K100" i="6"/>
  <c r="H100" i="6"/>
  <c r="K94" i="6"/>
  <c r="H94" i="6"/>
  <c r="I88" i="6"/>
  <c r="G86" i="6"/>
  <c r="H86" i="6" s="1"/>
  <c r="I84" i="6"/>
  <c r="I83" i="6"/>
  <c r="I82" i="6"/>
  <c r="I80" i="6"/>
  <c r="I79" i="6"/>
  <c r="J78" i="6"/>
  <c r="J77" i="6"/>
  <c r="I76" i="6"/>
  <c r="I75" i="6"/>
  <c r="I53" i="6"/>
  <c r="H49" i="6"/>
  <c r="J49" i="6" s="1"/>
  <c r="I46" i="6"/>
  <c r="K42" i="6"/>
  <c r="K41" i="6"/>
  <c r="K40" i="6"/>
  <c r="H40" i="6"/>
  <c r="K34" i="6"/>
  <c r="H34" i="6"/>
  <c r="I28" i="6"/>
  <c r="G26" i="6"/>
  <c r="H26" i="6" s="1"/>
  <c r="I24" i="6"/>
  <c r="I23" i="6"/>
  <c r="I22" i="6"/>
  <c r="I20" i="6"/>
  <c r="I19" i="6"/>
  <c r="J18" i="6"/>
  <c r="J17" i="6"/>
  <c r="I16" i="6"/>
  <c r="I15" i="6"/>
  <c r="I254" i="9" l="1"/>
  <c r="I254" i="15"/>
  <c r="I134" i="14"/>
  <c r="I74" i="10"/>
  <c r="I86" i="10" s="1"/>
  <c r="I85" i="10" s="1"/>
  <c r="I92" i="10" s="1"/>
  <c r="I374" i="12"/>
  <c r="I14" i="14"/>
  <c r="I26" i="14" s="1"/>
  <c r="I25" i="14" s="1"/>
  <c r="I32" i="14" s="1"/>
  <c r="I14" i="8"/>
  <c r="I26" i="8" s="1"/>
  <c r="I25" i="8" s="1"/>
  <c r="I32" i="8" s="1"/>
  <c r="I74" i="9"/>
  <c r="I86" i="9" s="1"/>
  <c r="I85" i="9" s="1"/>
  <c r="I92" i="9" s="1"/>
  <c r="J6" i="4"/>
  <c r="J10" i="4"/>
  <c r="I254" i="14"/>
  <c r="I14" i="15"/>
  <c r="I134" i="15"/>
  <c r="I74" i="20"/>
  <c r="I314" i="21"/>
  <c r="I326" i="21" s="1"/>
  <c r="I325" i="21" s="1"/>
  <c r="I332" i="21" s="1"/>
  <c r="I14" i="12"/>
  <c r="I26" i="12" s="1"/>
  <c r="I25" i="12" s="1"/>
  <c r="I32" i="12" s="1"/>
  <c r="I194" i="6"/>
  <c r="I254" i="8"/>
  <c r="J8" i="4"/>
  <c r="N10" i="4"/>
  <c r="I194" i="14"/>
  <c r="I314" i="15"/>
  <c r="I254" i="17"/>
  <c r="I266" i="17" s="1"/>
  <c r="I265" i="17" s="1"/>
  <c r="I272" i="17" s="1"/>
  <c r="I314" i="18"/>
  <c r="I326" i="18" s="1"/>
  <c r="I325" i="18" s="1"/>
  <c r="I332" i="18" s="1"/>
  <c r="I374" i="16"/>
  <c r="I74" i="21"/>
  <c r="J5" i="4"/>
  <c r="I374" i="10"/>
  <c r="I386" i="10" s="1"/>
  <c r="I385" i="10" s="1"/>
  <c r="I392" i="10" s="1"/>
  <c r="I314" i="14"/>
  <c r="I254" i="20"/>
  <c r="I314" i="8"/>
  <c r="I332" i="8" s="1"/>
  <c r="I14" i="9"/>
  <c r="I26" i="9" s="1"/>
  <c r="I25" i="9" s="1"/>
  <c r="I32" i="9" s="1"/>
  <c r="N7" i="4"/>
  <c r="J11" i="4"/>
  <c r="I314" i="17"/>
  <c r="I314" i="20"/>
  <c r="I326" i="20" s="1"/>
  <c r="I325" i="20" s="1"/>
  <c r="I332" i="20" s="1"/>
  <c r="I254" i="21"/>
  <c r="I374" i="21"/>
  <c r="I386" i="21" s="1"/>
  <c r="I385" i="21" s="1"/>
  <c r="I392" i="21" s="1"/>
  <c r="N5" i="4"/>
  <c r="I326" i="8"/>
  <c r="I325" i="8" s="1"/>
  <c r="I266" i="9"/>
  <c r="I265" i="9" s="1"/>
  <c r="N8" i="4"/>
  <c r="N9" i="4"/>
  <c r="G6" i="2"/>
  <c r="I134" i="10"/>
  <c r="I74" i="15"/>
  <c r="I86" i="15" s="1"/>
  <c r="I85" i="15" s="1"/>
  <c r="I92" i="15" s="1"/>
  <c r="I74" i="17"/>
  <c r="I86" i="17" s="1"/>
  <c r="I85" i="17" s="1"/>
  <c r="I92" i="17" s="1"/>
  <c r="I14" i="18"/>
  <c r="I14" i="21"/>
  <c r="I134" i="21"/>
  <c r="I194" i="21"/>
  <c r="J6" i="2"/>
  <c r="N6" i="4"/>
  <c r="I314" i="6"/>
  <c r="I326" i="6" s="1"/>
  <c r="I325" i="6" s="1"/>
  <c r="I374" i="8"/>
  <c r="I386" i="8" s="1"/>
  <c r="I385" i="8" s="1"/>
  <c r="I392" i="8" s="1"/>
  <c r="I134" i="9"/>
  <c r="I194" i="9"/>
  <c r="I374" i="9"/>
  <c r="I14" i="10"/>
  <c r="I26" i="10" s="1"/>
  <c r="I25" i="10" s="1"/>
  <c r="I32" i="10" s="1"/>
  <c r="I314" i="10"/>
  <c r="I194" i="12"/>
  <c r="I206" i="12" s="1"/>
  <c r="I205" i="12" s="1"/>
  <c r="I212" i="12" s="1"/>
  <c r="I74" i="14"/>
  <c r="I86" i="14" s="1"/>
  <c r="I85" i="14" s="1"/>
  <c r="I92" i="14" s="1"/>
  <c r="I374" i="14"/>
  <c r="I386" i="14" s="1"/>
  <c r="I385" i="14" s="1"/>
  <c r="I392" i="14" s="1"/>
  <c r="I194" i="15"/>
  <c r="I134" i="17"/>
  <c r="I374" i="17"/>
  <c r="I14" i="20"/>
  <c r="I134" i="20"/>
  <c r="I194" i="20"/>
  <c r="I206" i="20" s="1"/>
  <c r="I205" i="20" s="1"/>
  <c r="I212" i="20" s="1"/>
  <c r="I374" i="20"/>
  <c r="I6" i="2"/>
  <c r="I134" i="6"/>
  <c r="I134" i="8"/>
  <c r="I194" i="8"/>
  <c r="I134" i="12"/>
  <c r="I314" i="12"/>
  <c r="I374" i="15"/>
  <c r="I14" i="16"/>
  <c r="I26" i="16" s="1"/>
  <c r="I25" i="16" s="1"/>
  <c r="I32" i="16" s="1"/>
  <c r="I74" i="16"/>
  <c r="I86" i="16" s="1"/>
  <c r="I85" i="16" s="1"/>
  <c r="I92" i="16" s="1"/>
  <c r="I134" i="16"/>
  <c r="I194" i="16"/>
  <c r="I206" i="16" s="1"/>
  <c r="I205" i="16" s="1"/>
  <c r="I212" i="16" s="1"/>
  <c r="I254" i="16"/>
  <c r="I314" i="16"/>
  <c r="I194" i="17"/>
  <c r="I134" i="18"/>
  <c r="I194" i="18"/>
  <c r="I374" i="18"/>
  <c r="H6" i="2"/>
  <c r="I266" i="21"/>
  <c r="I265" i="21" s="1"/>
  <c r="I272" i="21" s="1"/>
  <c r="I146" i="21"/>
  <c r="I145" i="21" s="1"/>
  <c r="I152" i="21" s="1"/>
  <c r="I206" i="21"/>
  <c r="I205" i="21" s="1"/>
  <c r="I212" i="21" s="1"/>
  <c r="I26" i="21"/>
  <c r="I25" i="21" s="1"/>
  <c r="I32" i="21" s="1"/>
  <c r="I86" i="21"/>
  <c r="I85" i="21" s="1"/>
  <c r="I92" i="21" s="1"/>
  <c r="I146" i="20"/>
  <c r="I145" i="20" s="1"/>
  <c r="I152" i="20" s="1"/>
  <c r="I26" i="20"/>
  <c r="I25" i="20" s="1"/>
  <c r="I32" i="20" s="1"/>
  <c r="I386" i="20"/>
  <c r="I385" i="20" s="1"/>
  <c r="I392" i="20" s="1"/>
  <c r="I86" i="20"/>
  <c r="I85" i="20" s="1"/>
  <c r="I92" i="20" s="1"/>
  <c r="I254" i="18"/>
  <c r="I266" i="18"/>
  <c r="I265" i="18" s="1"/>
  <c r="I272" i="18" s="1"/>
  <c r="I26" i="18"/>
  <c r="I25" i="18" s="1"/>
  <c r="I32" i="18" s="1"/>
  <c r="I146" i="18"/>
  <c r="I145" i="18" s="1"/>
  <c r="I152" i="18" s="1"/>
  <c r="I206" i="18"/>
  <c r="I205" i="18" s="1"/>
  <c r="I212" i="18" s="1"/>
  <c r="I386" i="18"/>
  <c r="I385" i="18" s="1"/>
  <c r="I392" i="18" s="1"/>
  <c r="I86" i="18"/>
  <c r="I85" i="18" s="1"/>
  <c r="I92" i="18" s="1"/>
  <c r="I14" i="17"/>
  <c r="I26" i="17" s="1"/>
  <c r="I25" i="17" s="1"/>
  <c r="I32" i="17" s="1"/>
  <c r="I326" i="17"/>
  <c r="I325" i="17" s="1"/>
  <c r="I332" i="17" s="1"/>
  <c r="I146" i="17"/>
  <c r="I145" i="17" s="1"/>
  <c r="I152" i="17" s="1"/>
  <c r="I206" i="17"/>
  <c r="I205" i="17" s="1"/>
  <c r="I212" i="17" s="1"/>
  <c r="I386" i="17"/>
  <c r="I385" i="17" s="1"/>
  <c r="I392" i="17" s="1"/>
  <c r="I386" i="16"/>
  <c r="I385" i="16" s="1"/>
  <c r="I392" i="16" s="1"/>
  <c r="I266" i="16"/>
  <c r="I265" i="16" s="1"/>
  <c r="I272" i="16" s="1"/>
  <c r="I326" i="16"/>
  <c r="I325" i="16" s="1"/>
  <c r="I332" i="16" s="1"/>
  <c r="I146" i="16"/>
  <c r="I145" i="16" s="1"/>
  <c r="I152" i="16" s="1"/>
  <c r="I326" i="15"/>
  <c r="I325" i="15" s="1"/>
  <c r="I332" i="15" s="1"/>
  <c r="I266" i="15"/>
  <c r="I265" i="15" s="1"/>
  <c r="I272" i="15" s="1"/>
  <c r="I26" i="15"/>
  <c r="I25" i="15" s="1"/>
  <c r="I32" i="15" s="1"/>
  <c r="I146" i="15"/>
  <c r="I145" i="15" s="1"/>
  <c r="I152" i="15" s="1"/>
  <c r="I206" i="15"/>
  <c r="I205" i="15" s="1"/>
  <c r="I212" i="15" s="1"/>
  <c r="I386" i="15"/>
  <c r="I385" i="15" s="1"/>
  <c r="I392" i="15" s="1"/>
  <c r="I326" i="14"/>
  <c r="I325" i="14" s="1"/>
  <c r="I332" i="14" s="1"/>
  <c r="I266" i="14"/>
  <c r="I265" i="14" s="1"/>
  <c r="I272" i="14" s="1"/>
  <c r="I326" i="9"/>
  <c r="I325" i="9" s="1"/>
  <c r="I332" i="9" s="1"/>
  <c r="I266" i="8"/>
  <c r="I265" i="8" s="1"/>
  <c r="I272" i="8" s="1"/>
  <c r="I206" i="6"/>
  <c r="I205" i="6" s="1"/>
  <c r="I212" i="6" s="1"/>
  <c r="I254" i="6"/>
  <c r="I266" i="6" s="1"/>
  <c r="I265" i="6" s="1"/>
  <c r="I272" i="6" s="1"/>
  <c r="I374" i="6"/>
  <c r="I386" i="6" s="1"/>
  <c r="I385" i="6" s="1"/>
  <c r="I392" i="6" s="1"/>
  <c r="I386" i="12"/>
  <c r="I385" i="12" s="1"/>
  <c r="I392" i="12" s="1"/>
  <c r="I86" i="12"/>
  <c r="I85" i="12" s="1"/>
  <c r="I92" i="12" s="1"/>
  <c r="I146" i="14"/>
  <c r="I145" i="14" s="1"/>
  <c r="I152" i="14" s="1"/>
  <c r="I206" i="14"/>
  <c r="I205" i="14" s="1"/>
  <c r="I212" i="14" s="1"/>
  <c r="I254" i="12"/>
  <c r="I266" i="12" s="1"/>
  <c r="I265" i="12" s="1"/>
  <c r="I272" i="12" s="1"/>
  <c r="I254" i="10"/>
  <c r="I266" i="10" s="1"/>
  <c r="I265" i="10" s="1"/>
  <c r="I272" i="10" s="1"/>
  <c r="I326" i="12"/>
  <c r="I325" i="12" s="1"/>
  <c r="I332" i="12" s="1"/>
  <c r="I146" i="12"/>
  <c r="I145" i="12" s="1"/>
  <c r="I152" i="12" s="1"/>
  <c r="I146" i="10"/>
  <c r="I145" i="10" s="1"/>
  <c r="I152" i="10" s="1"/>
  <c r="I326" i="10"/>
  <c r="I325" i="10" s="1"/>
  <c r="I332" i="10" s="1"/>
  <c r="I206" i="10"/>
  <c r="I205" i="10" s="1"/>
  <c r="I212" i="10" s="1"/>
  <c r="I146" i="9"/>
  <c r="I145" i="9" s="1"/>
  <c r="I152" i="9" s="1"/>
  <c r="I206" i="9"/>
  <c r="I205" i="9" s="1"/>
  <c r="I212" i="9" s="1"/>
  <c r="I386" i="9"/>
  <c r="I385" i="9" s="1"/>
  <c r="I392" i="9" s="1"/>
  <c r="I272" i="9"/>
  <c r="I86" i="8"/>
  <c r="I85" i="8" s="1"/>
  <c r="I92" i="8" s="1"/>
  <c r="I146" i="8"/>
  <c r="I145" i="8" s="1"/>
  <c r="I152" i="8" s="1"/>
  <c r="I206" i="8"/>
  <c r="I205" i="8" s="1"/>
  <c r="I212" i="8" s="1"/>
  <c r="I14" i="6"/>
  <c r="I26" i="6" s="1"/>
  <c r="I25" i="6" s="1"/>
  <c r="I32" i="6" s="1"/>
  <c r="I146" i="6"/>
  <c r="I145" i="6" s="1"/>
  <c r="I152" i="6" s="1"/>
  <c r="I74" i="6"/>
  <c r="I86" i="6" s="1"/>
  <c r="I85" i="6" s="1"/>
  <c r="I92" i="6" s="1"/>
  <c r="I332" i="6" l="1"/>
  <c r="I266" i="20"/>
  <c r="I265" i="20" s="1"/>
  <c r="I272" i="20" s="1"/>
  <c r="A416" i="21"/>
  <c r="I393" i="21"/>
  <c r="I415" i="21"/>
  <c r="A116" i="21"/>
  <c r="I93" i="21"/>
  <c r="I115" i="21"/>
  <c r="A176" i="21"/>
  <c r="I175" i="21"/>
  <c r="I153" i="21"/>
  <c r="I55" i="21"/>
  <c r="I33" i="21"/>
  <c r="A56" i="21"/>
  <c r="A356" i="21"/>
  <c r="I333" i="21"/>
  <c r="I355" i="21"/>
  <c r="I295" i="21"/>
  <c r="A296" i="21"/>
  <c r="I273" i="21"/>
  <c r="I235" i="21"/>
  <c r="I213" i="21"/>
  <c r="A236" i="21"/>
  <c r="I55" i="20"/>
  <c r="I33" i="20"/>
  <c r="A56" i="20"/>
  <c r="A416" i="20"/>
  <c r="I393" i="20"/>
  <c r="I415" i="20"/>
  <c r="I93" i="20"/>
  <c r="A116" i="20"/>
  <c r="I115" i="20"/>
  <c r="I175" i="20"/>
  <c r="I153" i="20"/>
  <c r="A176" i="20"/>
  <c r="A356" i="20"/>
  <c r="I333" i="20"/>
  <c r="I355" i="20"/>
  <c r="I235" i="20"/>
  <c r="A236" i="20"/>
  <c r="I213" i="20"/>
  <c r="I115" i="18"/>
  <c r="A116" i="18"/>
  <c r="I93" i="18"/>
  <c r="I153" i="18"/>
  <c r="A176" i="18"/>
  <c r="I175" i="18"/>
  <c r="I235" i="18"/>
  <c r="A236" i="18"/>
  <c r="I213" i="18"/>
  <c r="I55" i="18"/>
  <c r="A56" i="18"/>
  <c r="I33" i="18"/>
  <c r="I295" i="18"/>
  <c r="A296" i="18"/>
  <c r="I273" i="18"/>
  <c r="A356" i="18"/>
  <c r="I355" i="18"/>
  <c r="I333" i="18"/>
  <c r="A416" i="18"/>
  <c r="I393" i="18"/>
  <c r="I415" i="18"/>
  <c r="I235" i="17"/>
  <c r="I213" i="17"/>
  <c r="A236" i="17"/>
  <c r="A416" i="17"/>
  <c r="I393" i="17"/>
  <c r="I415" i="17"/>
  <c r="I295" i="17"/>
  <c r="A296" i="17"/>
  <c r="I273" i="17"/>
  <c r="A116" i="17"/>
  <c r="I115" i="17"/>
  <c r="I93" i="17"/>
  <c r="J96" i="17" s="1"/>
  <c r="A356" i="17"/>
  <c r="I355" i="17"/>
  <c r="I333" i="17"/>
  <c r="A56" i="17"/>
  <c r="I55" i="17"/>
  <c r="I33" i="17"/>
  <c r="I153" i="17"/>
  <c r="A176" i="17"/>
  <c r="I175" i="17"/>
  <c r="A296" i="16"/>
  <c r="I295" i="16"/>
  <c r="I273" i="16"/>
  <c r="A236" i="16"/>
  <c r="I213" i="16"/>
  <c r="I235" i="16"/>
  <c r="I153" i="16"/>
  <c r="A176" i="16"/>
  <c r="I175" i="16"/>
  <c r="I93" i="16"/>
  <c r="A116" i="16"/>
  <c r="I115" i="16"/>
  <c r="I415" i="16"/>
  <c r="I393" i="16"/>
  <c r="A416" i="16"/>
  <c r="I355" i="16"/>
  <c r="I333" i="16"/>
  <c r="A356" i="16"/>
  <c r="I33" i="16"/>
  <c r="A56" i="16"/>
  <c r="I55" i="16"/>
  <c r="I93" i="15"/>
  <c r="A116" i="15"/>
  <c r="I115" i="15"/>
  <c r="A416" i="15"/>
  <c r="I393" i="15"/>
  <c r="I415" i="15"/>
  <c r="A356" i="15"/>
  <c r="I355" i="15"/>
  <c r="I333" i="15"/>
  <c r="J344" i="15" s="1"/>
  <c r="I153" i="15"/>
  <c r="A176" i="15"/>
  <c r="I175" i="15"/>
  <c r="A56" i="15"/>
  <c r="I55" i="15"/>
  <c r="I33" i="15"/>
  <c r="I235" i="15"/>
  <c r="I213" i="15"/>
  <c r="A236" i="15"/>
  <c r="I295" i="15"/>
  <c r="A296" i="15"/>
  <c r="I273" i="15"/>
  <c r="I93" i="14"/>
  <c r="A116" i="14"/>
  <c r="I115" i="14"/>
  <c r="A416" i="14"/>
  <c r="I393" i="14"/>
  <c r="I415" i="14"/>
  <c r="A356" i="14"/>
  <c r="I355" i="14"/>
  <c r="I333" i="14"/>
  <c r="I153" i="14"/>
  <c r="A176" i="14"/>
  <c r="I175" i="14"/>
  <c r="A56" i="14"/>
  <c r="I55" i="14"/>
  <c r="I33" i="14"/>
  <c r="I235" i="14"/>
  <c r="I213" i="14"/>
  <c r="A236" i="14"/>
  <c r="I295" i="14"/>
  <c r="A296" i="14"/>
  <c r="I273" i="14"/>
  <c r="I153" i="12"/>
  <c r="A176" i="12"/>
  <c r="I175" i="12"/>
  <c r="A116" i="12"/>
  <c r="I115" i="12"/>
  <c r="I93" i="12"/>
  <c r="I55" i="12"/>
  <c r="I33" i="12"/>
  <c r="A56" i="12"/>
  <c r="A296" i="12"/>
  <c r="I273" i="12"/>
  <c r="I295" i="12"/>
  <c r="I415" i="12"/>
  <c r="A416" i="12"/>
  <c r="I393" i="12"/>
  <c r="I355" i="12"/>
  <c r="I333" i="12"/>
  <c r="A356" i="12"/>
  <c r="I213" i="12"/>
  <c r="A236" i="12"/>
  <c r="I235" i="12"/>
  <c r="I213" i="10"/>
  <c r="A236" i="10"/>
  <c r="I235" i="10"/>
  <c r="A116" i="10"/>
  <c r="I115" i="10"/>
  <c r="I93" i="10"/>
  <c r="I355" i="10"/>
  <c r="I333" i="10"/>
  <c r="A356" i="10"/>
  <c r="I415" i="10"/>
  <c r="A416" i="10"/>
  <c r="I393" i="10"/>
  <c r="I55" i="10"/>
  <c r="I33" i="10"/>
  <c r="A56" i="10"/>
  <c r="A296" i="10"/>
  <c r="I273" i="10"/>
  <c r="I295" i="10"/>
  <c r="I153" i="10"/>
  <c r="A176" i="10"/>
  <c r="I175" i="10"/>
  <c r="I93" i="9"/>
  <c r="A116" i="9"/>
  <c r="I115" i="9"/>
  <c r="A416" i="9"/>
  <c r="I393" i="9"/>
  <c r="I415" i="9"/>
  <c r="A356" i="9"/>
  <c r="I355" i="9"/>
  <c r="I333" i="9"/>
  <c r="I153" i="9"/>
  <c r="A176" i="9"/>
  <c r="I175" i="9"/>
  <c r="A56" i="9"/>
  <c r="I55" i="9"/>
  <c r="I33" i="9"/>
  <c r="I235" i="9"/>
  <c r="I213" i="9"/>
  <c r="A236" i="9"/>
  <c r="I295" i="9"/>
  <c r="A296" i="9"/>
  <c r="I273" i="9"/>
  <c r="I235" i="8"/>
  <c r="I213" i="8"/>
  <c r="A236" i="8"/>
  <c r="A356" i="8"/>
  <c r="I333" i="8"/>
  <c r="I355" i="8"/>
  <c r="A416" i="8"/>
  <c r="I393" i="8"/>
  <c r="I415" i="8"/>
  <c r="A176" i="8"/>
  <c r="I175" i="8"/>
  <c r="I153" i="8"/>
  <c r="A56" i="8"/>
  <c r="I33" i="8"/>
  <c r="I55" i="8"/>
  <c r="I93" i="8"/>
  <c r="I115" i="8"/>
  <c r="A116" i="8"/>
  <c r="I295" i="8"/>
  <c r="A296" i="8"/>
  <c r="I273" i="8"/>
  <c r="A416" i="6"/>
  <c r="I393" i="6"/>
  <c r="I415" i="6"/>
  <c r="A356" i="6"/>
  <c r="I355" i="6"/>
  <c r="I333" i="6"/>
  <c r="A296" i="6"/>
  <c r="I273" i="6"/>
  <c r="I295" i="6"/>
  <c r="A236" i="6"/>
  <c r="I235" i="6"/>
  <c r="I213" i="6"/>
  <c r="A176" i="6"/>
  <c r="I153" i="6"/>
  <c r="I175" i="6"/>
  <c r="I93" i="6"/>
  <c r="A116" i="6"/>
  <c r="I115" i="6"/>
  <c r="I55" i="6"/>
  <c r="I33" i="6"/>
  <c r="A56" i="6"/>
  <c r="I295" i="20" l="1"/>
  <c r="A296" i="20"/>
  <c r="I273" i="20"/>
  <c r="B11" i="4"/>
  <c r="B10" i="4"/>
  <c r="B9" i="4"/>
  <c r="B8" i="4"/>
  <c r="J100" i="16"/>
  <c r="J96" i="16"/>
  <c r="B6" i="4"/>
  <c r="B7" i="4"/>
  <c r="B5" i="4"/>
  <c r="J158" i="21"/>
  <c r="J156" i="21"/>
  <c r="J164" i="21"/>
  <c r="J159" i="21"/>
  <c r="J157" i="21"/>
  <c r="J155" i="21"/>
  <c r="B176" i="21"/>
  <c r="L162" i="21"/>
  <c r="L159" i="21"/>
  <c r="L155" i="21"/>
  <c r="J154" i="21"/>
  <c r="L161" i="21"/>
  <c r="J160" i="21"/>
  <c r="L158" i="21"/>
  <c r="L156" i="21"/>
  <c r="L154" i="21"/>
  <c r="L160" i="21"/>
  <c r="L157" i="21"/>
  <c r="L102" i="21"/>
  <c r="L100" i="21"/>
  <c r="L99" i="21"/>
  <c r="L97" i="21"/>
  <c r="L95" i="21"/>
  <c r="J94" i="21"/>
  <c r="J100" i="21"/>
  <c r="L98" i="21"/>
  <c r="L96" i="21"/>
  <c r="L94" i="21"/>
  <c r="J99" i="21"/>
  <c r="J97" i="21"/>
  <c r="J98" i="21"/>
  <c r="J96" i="21"/>
  <c r="L101" i="21"/>
  <c r="B116" i="21"/>
  <c r="J104" i="21"/>
  <c r="J95" i="21"/>
  <c r="B296" i="21"/>
  <c r="J284" i="21"/>
  <c r="J279" i="21"/>
  <c r="J277" i="21"/>
  <c r="J275" i="21"/>
  <c r="L281" i="21"/>
  <c r="L278" i="21"/>
  <c r="L274" i="21"/>
  <c r="L282" i="21"/>
  <c r="L280" i="21"/>
  <c r="L279" i="21"/>
  <c r="L277" i="21"/>
  <c r="L275" i="21"/>
  <c r="J274" i="21"/>
  <c r="J278" i="21"/>
  <c r="J276" i="21"/>
  <c r="J280" i="21"/>
  <c r="L276" i="21"/>
  <c r="J344" i="21"/>
  <c r="J339" i="21"/>
  <c r="J337" i="21"/>
  <c r="J335" i="21"/>
  <c r="J338" i="21"/>
  <c r="J336" i="21"/>
  <c r="J340" i="21"/>
  <c r="L336" i="21"/>
  <c r="B356" i="21"/>
  <c r="L342" i="21"/>
  <c r="L340" i="21"/>
  <c r="L339" i="21"/>
  <c r="L337" i="21"/>
  <c r="L335" i="21"/>
  <c r="J334" i="21"/>
  <c r="L341" i="21"/>
  <c r="L338" i="21"/>
  <c r="L334" i="21"/>
  <c r="G56" i="21"/>
  <c r="G116" i="21"/>
  <c r="L401" i="21"/>
  <c r="J400" i="21"/>
  <c r="L398" i="21"/>
  <c r="L396" i="21"/>
  <c r="L394" i="21"/>
  <c r="L395" i="21"/>
  <c r="J398" i="21"/>
  <c r="B416" i="21"/>
  <c r="J404" i="21"/>
  <c r="J399" i="21"/>
  <c r="J397" i="21"/>
  <c r="J395" i="21"/>
  <c r="L402" i="21"/>
  <c r="L400" i="21"/>
  <c r="L399" i="21"/>
  <c r="L397" i="21"/>
  <c r="J394" i="21"/>
  <c r="J396" i="21"/>
  <c r="G236" i="21"/>
  <c r="G356" i="21"/>
  <c r="B56" i="21"/>
  <c r="L42" i="21"/>
  <c r="L40" i="21"/>
  <c r="L39" i="21"/>
  <c r="L37" i="21"/>
  <c r="L35" i="21"/>
  <c r="J34" i="21"/>
  <c r="L38" i="21"/>
  <c r="L34" i="21"/>
  <c r="J37" i="21"/>
  <c r="J38" i="21"/>
  <c r="J36" i="21"/>
  <c r="L41" i="21"/>
  <c r="J40" i="21"/>
  <c r="L36" i="21"/>
  <c r="J44" i="21"/>
  <c r="J39" i="21"/>
  <c r="J35" i="21"/>
  <c r="G416" i="21"/>
  <c r="B236" i="21"/>
  <c r="L222" i="21"/>
  <c r="L220" i="21"/>
  <c r="L219" i="21"/>
  <c r="L217" i="21"/>
  <c r="L215" i="21"/>
  <c r="J214" i="21"/>
  <c r="L221" i="21"/>
  <c r="L218" i="21"/>
  <c r="L216" i="21"/>
  <c r="J215" i="21"/>
  <c r="J218" i="21"/>
  <c r="J216" i="21"/>
  <c r="J220" i="21"/>
  <c r="L214" i="21"/>
  <c r="J224" i="21"/>
  <c r="J219" i="21"/>
  <c r="J217" i="21"/>
  <c r="G296" i="21"/>
  <c r="G176" i="21"/>
  <c r="B236" i="20"/>
  <c r="L222" i="20"/>
  <c r="L220" i="20"/>
  <c r="L219" i="20"/>
  <c r="L217" i="20"/>
  <c r="L215" i="20"/>
  <c r="J214" i="20"/>
  <c r="J220" i="20"/>
  <c r="L216" i="20"/>
  <c r="L214" i="20"/>
  <c r="J215" i="20"/>
  <c r="J218" i="20"/>
  <c r="J216" i="20"/>
  <c r="L221" i="20"/>
  <c r="L218" i="20"/>
  <c r="J224" i="20"/>
  <c r="J219" i="20"/>
  <c r="J217" i="20"/>
  <c r="J344" i="20"/>
  <c r="J339" i="20"/>
  <c r="J337" i="20"/>
  <c r="J335" i="20"/>
  <c r="J340" i="20"/>
  <c r="L336" i="20"/>
  <c r="B356" i="20"/>
  <c r="L342" i="20"/>
  <c r="L340" i="20"/>
  <c r="L339" i="20"/>
  <c r="L337" i="20"/>
  <c r="L335" i="20"/>
  <c r="J334" i="20"/>
  <c r="J338" i="20"/>
  <c r="J336" i="20"/>
  <c r="L341" i="20"/>
  <c r="L338" i="20"/>
  <c r="L334" i="20"/>
  <c r="G296" i="20"/>
  <c r="G116" i="20"/>
  <c r="L401" i="20"/>
  <c r="J400" i="20"/>
  <c r="L398" i="20"/>
  <c r="L396" i="20"/>
  <c r="L394" i="20"/>
  <c r="L400" i="20"/>
  <c r="L397" i="20"/>
  <c r="J394" i="20"/>
  <c r="J396" i="20"/>
  <c r="B416" i="20"/>
  <c r="J404" i="20"/>
  <c r="J399" i="20"/>
  <c r="J397" i="20"/>
  <c r="J395" i="20"/>
  <c r="L402" i="20"/>
  <c r="L399" i="20"/>
  <c r="L395" i="20"/>
  <c r="J398" i="20"/>
  <c r="G56" i="20"/>
  <c r="G356" i="20"/>
  <c r="G176" i="20"/>
  <c r="G416" i="20"/>
  <c r="B56" i="20"/>
  <c r="L42" i="20"/>
  <c r="L40" i="20"/>
  <c r="L39" i="20"/>
  <c r="L37" i="20"/>
  <c r="L35" i="20"/>
  <c r="J34" i="20"/>
  <c r="L41" i="20"/>
  <c r="J40" i="20"/>
  <c r="L36" i="20"/>
  <c r="J44" i="20"/>
  <c r="J39" i="20"/>
  <c r="J35" i="20"/>
  <c r="J38" i="20"/>
  <c r="J36" i="20"/>
  <c r="L38" i="20"/>
  <c r="L34" i="20"/>
  <c r="J37" i="20"/>
  <c r="G236" i="20"/>
  <c r="B296" i="20"/>
  <c r="J284" i="20"/>
  <c r="J279" i="20"/>
  <c r="J277" i="20"/>
  <c r="J275" i="20"/>
  <c r="J278" i="20"/>
  <c r="J276" i="20"/>
  <c r="L281" i="20"/>
  <c r="L278" i="20"/>
  <c r="L274" i="20"/>
  <c r="L282" i="20"/>
  <c r="L280" i="20"/>
  <c r="L279" i="20"/>
  <c r="L277" i="20"/>
  <c r="L275" i="20"/>
  <c r="J274" i="20"/>
  <c r="J280" i="20"/>
  <c r="L276" i="20"/>
  <c r="J158" i="20"/>
  <c r="J156" i="20"/>
  <c r="L160" i="20"/>
  <c r="L157" i="20"/>
  <c r="J154" i="20"/>
  <c r="L161" i="20"/>
  <c r="J160" i="20"/>
  <c r="L158" i="20"/>
  <c r="L156" i="20"/>
  <c r="L154" i="20"/>
  <c r="J164" i="20"/>
  <c r="J159" i="20"/>
  <c r="J157" i="20"/>
  <c r="J155" i="20"/>
  <c r="B176" i="20"/>
  <c r="L162" i="20"/>
  <c r="L159" i="20"/>
  <c r="L155" i="20"/>
  <c r="L102" i="20"/>
  <c r="L100" i="20"/>
  <c r="L99" i="20"/>
  <c r="L97" i="20"/>
  <c r="L95" i="20"/>
  <c r="J94" i="20"/>
  <c r="B116" i="20"/>
  <c r="J99" i="20"/>
  <c r="J97" i="20"/>
  <c r="J98" i="20"/>
  <c r="J96" i="20"/>
  <c r="L101" i="20"/>
  <c r="J100" i="20"/>
  <c r="L98" i="20"/>
  <c r="L96" i="20"/>
  <c r="L94" i="20"/>
  <c r="J104" i="20"/>
  <c r="J95" i="20"/>
  <c r="B296" i="18"/>
  <c r="J284" i="18"/>
  <c r="J279" i="18"/>
  <c r="J277" i="18"/>
  <c r="J275" i="18"/>
  <c r="L281" i="18"/>
  <c r="J280" i="18"/>
  <c r="L278" i="18"/>
  <c r="L276" i="18"/>
  <c r="L274" i="18"/>
  <c r="L282" i="18"/>
  <c r="L280" i="18"/>
  <c r="L279" i="18"/>
  <c r="L277" i="18"/>
  <c r="L275" i="18"/>
  <c r="J274" i="18"/>
  <c r="J278" i="18"/>
  <c r="J276" i="18"/>
  <c r="G236" i="18"/>
  <c r="L102" i="18"/>
  <c r="L100" i="18"/>
  <c r="L99" i="18"/>
  <c r="L97" i="18"/>
  <c r="L95" i="18"/>
  <c r="J94" i="18"/>
  <c r="J104" i="18"/>
  <c r="J99" i="18"/>
  <c r="J95" i="18"/>
  <c r="J98" i="18"/>
  <c r="J96" i="18"/>
  <c r="L101" i="18"/>
  <c r="J100" i="18"/>
  <c r="L98" i="18"/>
  <c r="L96" i="18"/>
  <c r="L94" i="18"/>
  <c r="B116" i="18"/>
  <c r="J97" i="18"/>
  <c r="G416" i="18"/>
  <c r="G356" i="18"/>
  <c r="G296" i="18"/>
  <c r="B236" i="18"/>
  <c r="L222" i="18"/>
  <c r="L220" i="18"/>
  <c r="L219" i="18"/>
  <c r="L217" i="18"/>
  <c r="L215" i="18"/>
  <c r="J214" i="18"/>
  <c r="L218" i="18"/>
  <c r="L214" i="18"/>
  <c r="J224" i="18"/>
  <c r="J219" i="18"/>
  <c r="J215" i="18"/>
  <c r="J218" i="18"/>
  <c r="J216" i="18"/>
  <c r="L221" i="18"/>
  <c r="J220" i="18"/>
  <c r="L216" i="18"/>
  <c r="J217" i="18"/>
  <c r="G116" i="18"/>
  <c r="J344" i="18"/>
  <c r="J339" i="18"/>
  <c r="J337" i="18"/>
  <c r="J335" i="18"/>
  <c r="J338" i="18"/>
  <c r="J336" i="18"/>
  <c r="J340" i="18"/>
  <c r="L334" i="18"/>
  <c r="B356" i="18"/>
  <c r="L342" i="18"/>
  <c r="L340" i="18"/>
  <c r="L339" i="18"/>
  <c r="L337" i="18"/>
  <c r="L335" i="18"/>
  <c r="J334" i="18"/>
  <c r="L341" i="18"/>
  <c r="L338" i="18"/>
  <c r="L336" i="18"/>
  <c r="G56" i="18"/>
  <c r="G176" i="18"/>
  <c r="L401" i="18"/>
  <c r="J400" i="18"/>
  <c r="L398" i="18"/>
  <c r="L396" i="18"/>
  <c r="L394" i="18"/>
  <c r="B416" i="18"/>
  <c r="J404" i="18"/>
  <c r="J399" i="18"/>
  <c r="J397" i="18"/>
  <c r="J395" i="18"/>
  <c r="L402" i="18"/>
  <c r="L400" i="18"/>
  <c r="L399" i="18"/>
  <c r="L397" i="18"/>
  <c r="L395" i="18"/>
  <c r="J394" i="18"/>
  <c r="J398" i="18"/>
  <c r="J396" i="18"/>
  <c r="B56" i="18"/>
  <c r="L42" i="18"/>
  <c r="L40" i="18"/>
  <c r="L39" i="18"/>
  <c r="L37" i="18"/>
  <c r="L35" i="18"/>
  <c r="J34" i="18"/>
  <c r="J44" i="18"/>
  <c r="J39" i="18"/>
  <c r="J35" i="18"/>
  <c r="J38" i="18"/>
  <c r="J36" i="18"/>
  <c r="L41" i="18"/>
  <c r="J40" i="18"/>
  <c r="L38" i="18"/>
  <c r="L36" i="18"/>
  <c r="L34" i="18"/>
  <c r="J37" i="18"/>
  <c r="J158" i="18"/>
  <c r="J156" i="18"/>
  <c r="B176" i="18"/>
  <c r="L162" i="18"/>
  <c r="L160" i="18"/>
  <c r="L157" i="18"/>
  <c r="J154" i="18"/>
  <c r="L161" i="18"/>
  <c r="J160" i="18"/>
  <c r="L158" i="18"/>
  <c r="L156" i="18"/>
  <c r="L154" i="18"/>
  <c r="J164" i="18"/>
  <c r="J159" i="18"/>
  <c r="J157" i="18"/>
  <c r="J155" i="18"/>
  <c r="L159" i="18"/>
  <c r="L155" i="18"/>
  <c r="J158" i="17"/>
  <c r="J156" i="17"/>
  <c r="L161" i="17"/>
  <c r="J160" i="17"/>
  <c r="L158" i="17"/>
  <c r="L156" i="17"/>
  <c r="L154" i="17"/>
  <c r="J164" i="17"/>
  <c r="J159" i="17"/>
  <c r="J157" i="17"/>
  <c r="J155" i="17"/>
  <c r="B176" i="17"/>
  <c r="L162" i="17"/>
  <c r="L160" i="17"/>
  <c r="L159" i="17"/>
  <c r="L157" i="17"/>
  <c r="L155" i="17"/>
  <c r="J154" i="17"/>
  <c r="J344" i="17"/>
  <c r="J339" i="17"/>
  <c r="J337" i="17"/>
  <c r="J335" i="17"/>
  <c r="B356" i="17"/>
  <c r="L342" i="17"/>
  <c r="L340" i="17"/>
  <c r="L339" i="17"/>
  <c r="L337" i="17"/>
  <c r="L335" i="17"/>
  <c r="J334" i="17"/>
  <c r="J338" i="17"/>
  <c r="J336" i="17"/>
  <c r="L341" i="17"/>
  <c r="J340" i="17"/>
  <c r="L338" i="17"/>
  <c r="L336" i="17"/>
  <c r="L334" i="17"/>
  <c r="G116" i="17"/>
  <c r="G296" i="17"/>
  <c r="L102" i="17"/>
  <c r="L100" i="17"/>
  <c r="L99" i="17"/>
  <c r="L97" i="17"/>
  <c r="J95" i="17"/>
  <c r="J98" i="17"/>
  <c r="L95" i="17"/>
  <c r="J94" i="17"/>
  <c r="L101" i="17"/>
  <c r="L98" i="17"/>
  <c r="L96" i="17"/>
  <c r="B116" i="17"/>
  <c r="J104" i="17"/>
  <c r="J99" i="17"/>
  <c r="J97" i="17"/>
  <c r="L94" i="17"/>
  <c r="J100" i="17"/>
  <c r="G176" i="17"/>
  <c r="G56" i="17"/>
  <c r="B296" i="17"/>
  <c r="J284" i="17"/>
  <c r="J279" i="17"/>
  <c r="J277" i="17"/>
  <c r="J275" i="17"/>
  <c r="L282" i="17"/>
  <c r="L280" i="17"/>
  <c r="L279" i="17"/>
  <c r="L277" i="17"/>
  <c r="L275" i="17"/>
  <c r="J274" i="17"/>
  <c r="J278" i="17"/>
  <c r="J276" i="17"/>
  <c r="L281" i="17"/>
  <c r="J280" i="17"/>
  <c r="L278" i="17"/>
  <c r="L276" i="17"/>
  <c r="L274" i="17"/>
  <c r="L401" i="17"/>
  <c r="J400" i="17"/>
  <c r="L398" i="17"/>
  <c r="L396" i="17"/>
  <c r="L394" i="17"/>
  <c r="B416" i="17"/>
  <c r="J404" i="17"/>
  <c r="J399" i="17"/>
  <c r="J397" i="17"/>
  <c r="J395" i="17"/>
  <c r="L402" i="17"/>
  <c r="L400" i="17"/>
  <c r="L399" i="17"/>
  <c r="L397" i="17"/>
  <c r="L395" i="17"/>
  <c r="J394" i="17"/>
  <c r="J398" i="17"/>
  <c r="J396" i="17"/>
  <c r="G236" i="17"/>
  <c r="J44" i="17"/>
  <c r="J39" i="17"/>
  <c r="J37" i="17"/>
  <c r="J35" i="17"/>
  <c r="B56" i="17"/>
  <c r="L42" i="17"/>
  <c r="L40" i="17"/>
  <c r="L39" i="17"/>
  <c r="L37" i="17"/>
  <c r="L35" i="17"/>
  <c r="J34" i="17"/>
  <c r="J38" i="17"/>
  <c r="J36" i="17"/>
  <c r="L41" i="17"/>
  <c r="J40" i="17"/>
  <c r="L38" i="17"/>
  <c r="L36" i="17"/>
  <c r="L34" i="17"/>
  <c r="G356" i="17"/>
  <c r="G416" i="17"/>
  <c r="B236" i="17"/>
  <c r="L222" i="17"/>
  <c r="L220" i="17"/>
  <c r="L219" i="17"/>
  <c r="L217" i="17"/>
  <c r="L215" i="17"/>
  <c r="J214" i="17"/>
  <c r="J218" i="17"/>
  <c r="J216" i="17"/>
  <c r="L221" i="17"/>
  <c r="J220" i="17"/>
  <c r="L218" i="17"/>
  <c r="L216" i="17"/>
  <c r="L214" i="17"/>
  <c r="J224" i="17"/>
  <c r="J219" i="17"/>
  <c r="J217" i="17"/>
  <c r="J215" i="17"/>
  <c r="G56" i="16"/>
  <c r="B356" i="16"/>
  <c r="L342" i="16"/>
  <c r="L340" i="16"/>
  <c r="L339" i="16"/>
  <c r="L337" i="16"/>
  <c r="L335" i="16"/>
  <c r="J334" i="16"/>
  <c r="L341" i="16"/>
  <c r="L338" i="16"/>
  <c r="L334" i="16"/>
  <c r="J339" i="16"/>
  <c r="J338" i="16"/>
  <c r="J336" i="16"/>
  <c r="J340" i="16"/>
  <c r="L336" i="16"/>
  <c r="J344" i="16"/>
  <c r="J337" i="16"/>
  <c r="J335" i="16"/>
  <c r="G416" i="16"/>
  <c r="G176" i="16"/>
  <c r="J218" i="16"/>
  <c r="J216" i="16"/>
  <c r="J224" i="16"/>
  <c r="J219" i="16"/>
  <c r="J215" i="16"/>
  <c r="B236" i="16"/>
  <c r="L220" i="16"/>
  <c r="L217" i="16"/>
  <c r="J214" i="16"/>
  <c r="L221" i="16"/>
  <c r="J220" i="16"/>
  <c r="L218" i="16"/>
  <c r="L216" i="16"/>
  <c r="L214" i="16"/>
  <c r="J217" i="16"/>
  <c r="L222" i="16"/>
  <c r="L219" i="16"/>
  <c r="L215" i="16"/>
  <c r="B416" i="16"/>
  <c r="J404" i="16"/>
  <c r="J399" i="16"/>
  <c r="J397" i="16"/>
  <c r="J395" i="16"/>
  <c r="J398" i="16"/>
  <c r="J396" i="16"/>
  <c r="L401" i="16"/>
  <c r="J400" i="16"/>
  <c r="L396" i="16"/>
  <c r="L402" i="16"/>
  <c r="L400" i="16"/>
  <c r="L399" i="16"/>
  <c r="L397" i="16"/>
  <c r="L395" i="16"/>
  <c r="J394" i="16"/>
  <c r="L398" i="16"/>
  <c r="L394" i="16"/>
  <c r="L101" i="16"/>
  <c r="L98" i="16"/>
  <c r="L96" i="16"/>
  <c r="L94" i="16"/>
  <c r="L100" i="16"/>
  <c r="L95" i="16"/>
  <c r="J98" i="16"/>
  <c r="J104" i="16"/>
  <c r="J99" i="16"/>
  <c r="J97" i="16"/>
  <c r="J95" i="16"/>
  <c r="B116" i="16"/>
  <c r="L102" i="16"/>
  <c r="L99" i="16"/>
  <c r="L97" i="16"/>
  <c r="J94" i="16"/>
  <c r="G236" i="16"/>
  <c r="G296" i="16"/>
  <c r="L41" i="16"/>
  <c r="J40" i="16"/>
  <c r="L38" i="16"/>
  <c r="L36" i="16"/>
  <c r="L34" i="16"/>
  <c r="B56" i="16"/>
  <c r="L40" i="16"/>
  <c r="L37" i="16"/>
  <c r="J34" i="16"/>
  <c r="J36" i="16"/>
  <c r="J44" i="16"/>
  <c r="J39" i="16"/>
  <c r="J37" i="16"/>
  <c r="J35" i="16"/>
  <c r="L42" i="16"/>
  <c r="L39" i="16"/>
  <c r="L35" i="16"/>
  <c r="J38" i="16"/>
  <c r="L161" i="16"/>
  <c r="J160" i="16"/>
  <c r="L158" i="16"/>
  <c r="L156" i="16"/>
  <c r="L154" i="16"/>
  <c r="L162" i="16"/>
  <c r="L159" i="16"/>
  <c r="L155" i="16"/>
  <c r="J158" i="16"/>
  <c r="J156" i="16"/>
  <c r="J164" i="16"/>
  <c r="J159" i="16"/>
  <c r="J157" i="16"/>
  <c r="J155" i="16"/>
  <c r="B176" i="16"/>
  <c r="L160" i="16"/>
  <c r="L157" i="16"/>
  <c r="J154" i="16"/>
  <c r="L282" i="16"/>
  <c r="L280" i="16"/>
  <c r="L279" i="16"/>
  <c r="L277" i="16"/>
  <c r="L275" i="16"/>
  <c r="J274" i="16"/>
  <c r="L281" i="16"/>
  <c r="L278" i="16"/>
  <c r="L274" i="16"/>
  <c r="J284" i="16"/>
  <c r="J275" i="16"/>
  <c r="J278" i="16"/>
  <c r="J276" i="16"/>
  <c r="J280" i="16"/>
  <c r="L276" i="16"/>
  <c r="B296" i="16"/>
  <c r="J279" i="16"/>
  <c r="J277" i="16"/>
  <c r="G356" i="16"/>
  <c r="G116" i="16"/>
  <c r="G296" i="15"/>
  <c r="J44" i="15"/>
  <c r="J39" i="15"/>
  <c r="J37" i="15"/>
  <c r="J35" i="15"/>
  <c r="B56" i="15"/>
  <c r="L42" i="15"/>
  <c r="L40" i="15"/>
  <c r="L39" i="15"/>
  <c r="L37" i="15"/>
  <c r="L35" i="15"/>
  <c r="J34" i="15"/>
  <c r="J38" i="15"/>
  <c r="J36" i="15"/>
  <c r="L41" i="15"/>
  <c r="J40" i="15"/>
  <c r="L38" i="15"/>
  <c r="L36" i="15"/>
  <c r="L34" i="15"/>
  <c r="G116" i="15"/>
  <c r="B296" i="15"/>
  <c r="J284" i="15"/>
  <c r="J279" i="15"/>
  <c r="J277" i="15"/>
  <c r="J275" i="15"/>
  <c r="L282" i="15"/>
  <c r="L280" i="15"/>
  <c r="L279" i="15"/>
  <c r="L277" i="15"/>
  <c r="L275" i="15"/>
  <c r="J274" i="15"/>
  <c r="J278" i="15"/>
  <c r="J276" i="15"/>
  <c r="L281" i="15"/>
  <c r="J280" i="15"/>
  <c r="L278" i="15"/>
  <c r="L276" i="15"/>
  <c r="L274" i="15"/>
  <c r="B236" i="15"/>
  <c r="L222" i="15"/>
  <c r="L220" i="15"/>
  <c r="L219" i="15"/>
  <c r="L217" i="15"/>
  <c r="L215" i="15"/>
  <c r="J214" i="15"/>
  <c r="J218" i="15"/>
  <c r="J216" i="15"/>
  <c r="L221" i="15"/>
  <c r="J220" i="15"/>
  <c r="L218" i="15"/>
  <c r="L216" i="15"/>
  <c r="L214" i="15"/>
  <c r="J224" i="15"/>
  <c r="J219" i="15"/>
  <c r="J217" i="15"/>
  <c r="J215" i="15"/>
  <c r="J339" i="15"/>
  <c r="J337" i="15"/>
  <c r="J335" i="15"/>
  <c r="B356" i="15"/>
  <c r="L342" i="15"/>
  <c r="L340" i="15"/>
  <c r="L339" i="15"/>
  <c r="L337" i="15"/>
  <c r="L335" i="15"/>
  <c r="J334" i="15"/>
  <c r="J338" i="15"/>
  <c r="J336" i="15"/>
  <c r="L341" i="15"/>
  <c r="J340" i="15"/>
  <c r="L338" i="15"/>
  <c r="L336" i="15"/>
  <c r="L334" i="15"/>
  <c r="L401" i="15"/>
  <c r="J400" i="15"/>
  <c r="L398" i="15"/>
  <c r="L396" i="15"/>
  <c r="L394" i="15"/>
  <c r="B416" i="15"/>
  <c r="J404" i="15"/>
  <c r="J399" i="15"/>
  <c r="J397" i="15"/>
  <c r="J395" i="15"/>
  <c r="L402" i="15"/>
  <c r="L400" i="15"/>
  <c r="L399" i="15"/>
  <c r="L397" i="15"/>
  <c r="L395" i="15"/>
  <c r="J394" i="15"/>
  <c r="J398" i="15"/>
  <c r="J396" i="15"/>
  <c r="L101" i="15"/>
  <c r="J100" i="15"/>
  <c r="L98" i="15"/>
  <c r="L96" i="15"/>
  <c r="L94" i="15"/>
  <c r="J104" i="15"/>
  <c r="J99" i="15"/>
  <c r="J97" i="15"/>
  <c r="J95" i="15"/>
  <c r="B116" i="15"/>
  <c r="L102" i="15"/>
  <c r="L100" i="15"/>
  <c r="L99" i="15"/>
  <c r="L97" i="15"/>
  <c r="L95" i="15"/>
  <c r="J94" i="15"/>
  <c r="J98" i="15"/>
  <c r="J96" i="15"/>
  <c r="G56" i="15"/>
  <c r="J158" i="15"/>
  <c r="J156" i="15"/>
  <c r="L161" i="15"/>
  <c r="J160" i="15"/>
  <c r="L158" i="15"/>
  <c r="L156" i="15"/>
  <c r="L154" i="15"/>
  <c r="J164" i="15"/>
  <c r="J159" i="15"/>
  <c r="J157" i="15"/>
  <c r="J155" i="15"/>
  <c r="B176" i="15"/>
  <c r="L162" i="15"/>
  <c r="L160" i="15"/>
  <c r="L159" i="15"/>
  <c r="L157" i="15"/>
  <c r="L155" i="15"/>
  <c r="J154" i="15"/>
  <c r="G416" i="15"/>
  <c r="G236" i="15"/>
  <c r="G176" i="15"/>
  <c r="G356" i="15"/>
  <c r="G296" i="14"/>
  <c r="J44" i="14"/>
  <c r="J39" i="14"/>
  <c r="J37" i="14"/>
  <c r="J35" i="14"/>
  <c r="B56" i="14"/>
  <c r="L42" i="14"/>
  <c r="L40" i="14"/>
  <c r="L39" i="14"/>
  <c r="L37" i="14"/>
  <c r="L35" i="14"/>
  <c r="J34" i="14"/>
  <c r="J38" i="14"/>
  <c r="J36" i="14"/>
  <c r="L41" i="14"/>
  <c r="J40" i="14"/>
  <c r="L38" i="14"/>
  <c r="L36" i="14"/>
  <c r="L34" i="14"/>
  <c r="G116" i="14"/>
  <c r="G236" i="14"/>
  <c r="G356" i="14"/>
  <c r="B296" i="14"/>
  <c r="J284" i="14"/>
  <c r="J279" i="14"/>
  <c r="J277" i="14"/>
  <c r="J275" i="14"/>
  <c r="L282" i="14"/>
  <c r="L280" i="14"/>
  <c r="L279" i="14"/>
  <c r="L277" i="14"/>
  <c r="L275" i="14"/>
  <c r="J274" i="14"/>
  <c r="J278" i="14"/>
  <c r="J276" i="14"/>
  <c r="L281" i="14"/>
  <c r="J280" i="14"/>
  <c r="L278" i="14"/>
  <c r="L276" i="14"/>
  <c r="L274" i="14"/>
  <c r="B236" i="14"/>
  <c r="L222" i="14"/>
  <c r="L220" i="14"/>
  <c r="L219" i="14"/>
  <c r="L217" i="14"/>
  <c r="L215" i="14"/>
  <c r="J214" i="14"/>
  <c r="J218" i="14"/>
  <c r="J216" i="14"/>
  <c r="L221" i="14"/>
  <c r="J220" i="14"/>
  <c r="L218" i="14"/>
  <c r="L216" i="14"/>
  <c r="L214" i="14"/>
  <c r="J224" i="14"/>
  <c r="J219" i="14"/>
  <c r="J217" i="14"/>
  <c r="J215" i="14"/>
  <c r="J344" i="14"/>
  <c r="J339" i="14"/>
  <c r="J337" i="14"/>
  <c r="J335" i="14"/>
  <c r="B356" i="14"/>
  <c r="L342" i="14"/>
  <c r="L340" i="14"/>
  <c r="L339" i="14"/>
  <c r="L337" i="14"/>
  <c r="L335" i="14"/>
  <c r="J334" i="14"/>
  <c r="J338" i="14"/>
  <c r="J336" i="14"/>
  <c r="L341" i="14"/>
  <c r="J340" i="14"/>
  <c r="L338" i="14"/>
  <c r="L336" i="14"/>
  <c r="L334" i="14"/>
  <c r="L401" i="14"/>
  <c r="J400" i="14"/>
  <c r="L398" i="14"/>
  <c r="L396" i="14"/>
  <c r="L394" i="14"/>
  <c r="B416" i="14"/>
  <c r="J404" i="14"/>
  <c r="J399" i="14"/>
  <c r="J397" i="14"/>
  <c r="J395" i="14"/>
  <c r="L402" i="14"/>
  <c r="L400" i="14"/>
  <c r="L399" i="14"/>
  <c r="L397" i="14"/>
  <c r="L395" i="14"/>
  <c r="J394" i="14"/>
  <c r="J398" i="14"/>
  <c r="J396" i="14"/>
  <c r="L101" i="14"/>
  <c r="J100" i="14"/>
  <c r="L98" i="14"/>
  <c r="L96" i="14"/>
  <c r="L94" i="14"/>
  <c r="J104" i="14"/>
  <c r="J99" i="14"/>
  <c r="J97" i="14"/>
  <c r="J95" i="14"/>
  <c r="B116" i="14"/>
  <c r="L102" i="14"/>
  <c r="L100" i="14"/>
  <c r="L99" i="14"/>
  <c r="L97" i="14"/>
  <c r="L95" i="14"/>
  <c r="J94" i="14"/>
  <c r="J98" i="14"/>
  <c r="J96" i="14"/>
  <c r="G56" i="14"/>
  <c r="J158" i="14"/>
  <c r="J156" i="14"/>
  <c r="L161" i="14"/>
  <c r="J160" i="14"/>
  <c r="L158" i="14"/>
  <c r="L156" i="14"/>
  <c r="L154" i="14"/>
  <c r="J164" i="14"/>
  <c r="J159" i="14"/>
  <c r="J157" i="14"/>
  <c r="J155" i="14"/>
  <c r="B176" i="14"/>
  <c r="L162" i="14"/>
  <c r="L160" i="14"/>
  <c r="L159" i="14"/>
  <c r="L157" i="14"/>
  <c r="L155" i="14"/>
  <c r="J154" i="14"/>
  <c r="G416" i="14"/>
  <c r="G176" i="14"/>
  <c r="J218" i="12"/>
  <c r="J216" i="12"/>
  <c r="L221" i="12"/>
  <c r="J220" i="12"/>
  <c r="L218" i="12"/>
  <c r="L216" i="12"/>
  <c r="L214" i="12"/>
  <c r="J224" i="12"/>
  <c r="J219" i="12"/>
  <c r="J217" i="12"/>
  <c r="J215" i="12"/>
  <c r="B236" i="12"/>
  <c r="L222" i="12"/>
  <c r="L220" i="12"/>
  <c r="L219" i="12"/>
  <c r="L217" i="12"/>
  <c r="L215" i="12"/>
  <c r="J214" i="12"/>
  <c r="B416" i="12"/>
  <c r="J404" i="12"/>
  <c r="J399" i="12"/>
  <c r="J397" i="12"/>
  <c r="J395" i="12"/>
  <c r="L402" i="12"/>
  <c r="L400" i="12"/>
  <c r="L399" i="12"/>
  <c r="L397" i="12"/>
  <c r="L395" i="12"/>
  <c r="J394" i="12"/>
  <c r="J398" i="12"/>
  <c r="J396" i="12"/>
  <c r="L401" i="12"/>
  <c r="J400" i="12"/>
  <c r="L398" i="12"/>
  <c r="L396" i="12"/>
  <c r="L394" i="12"/>
  <c r="L282" i="12"/>
  <c r="L280" i="12"/>
  <c r="L279" i="12"/>
  <c r="L277" i="12"/>
  <c r="L275" i="12"/>
  <c r="J274" i="12"/>
  <c r="J278" i="12"/>
  <c r="J276" i="12"/>
  <c r="L281" i="12"/>
  <c r="J280" i="12"/>
  <c r="L278" i="12"/>
  <c r="L276" i="12"/>
  <c r="L274" i="12"/>
  <c r="B296" i="12"/>
  <c r="J284" i="12"/>
  <c r="J279" i="12"/>
  <c r="J277" i="12"/>
  <c r="J275" i="12"/>
  <c r="G56" i="12"/>
  <c r="G176" i="12"/>
  <c r="G356" i="12"/>
  <c r="G296" i="12"/>
  <c r="B56" i="12"/>
  <c r="L42" i="12"/>
  <c r="L40" i="12"/>
  <c r="L39" i="12"/>
  <c r="L37" i="12"/>
  <c r="L35" i="12"/>
  <c r="J34" i="12"/>
  <c r="J38" i="12"/>
  <c r="J36" i="12"/>
  <c r="L41" i="12"/>
  <c r="J40" i="12"/>
  <c r="L38" i="12"/>
  <c r="L36" i="12"/>
  <c r="L34" i="12"/>
  <c r="J44" i="12"/>
  <c r="J39" i="12"/>
  <c r="J37" i="12"/>
  <c r="J35" i="12"/>
  <c r="G236" i="12"/>
  <c r="B356" i="12"/>
  <c r="L342" i="12"/>
  <c r="L340" i="12"/>
  <c r="L339" i="12"/>
  <c r="L337" i="12"/>
  <c r="L335" i="12"/>
  <c r="J334" i="12"/>
  <c r="J338" i="12"/>
  <c r="J336" i="12"/>
  <c r="L341" i="12"/>
  <c r="J340" i="12"/>
  <c r="L338" i="12"/>
  <c r="L336" i="12"/>
  <c r="L334" i="12"/>
  <c r="J344" i="12"/>
  <c r="J339" i="12"/>
  <c r="J337" i="12"/>
  <c r="J335" i="12"/>
  <c r="G416" i="12"/>
  <c r="G116" i="12"/>
  <c r="L161" i="12"/>
  <c r="J160" i="12"/>
  <c r="L158" i="12"/>
  <c r="L156" i="12"/>
  <c r="L154" i="12"/>
  <c r="J164" i="12"/>
  <c r="J159" i="12"/>
  <c r="J157" i="12"/>
  <c r="J155" i="12"/>
  <c r="B176" i="12"/>
  <c r="L162" i="12"/>
  <c r="L160" i="12"/>
  <c r="L159" i="12"/>
  <c r="L157" i="12"/>
  <c r="L155" i="12"/>
  <c r="J154" i="12"/>
  <c r="J158" i="12"/>
  <c r="J156" i="12"/>
  <c r="J104" i="12"/>
  <c r="J99" i="12"/>
  <c r="J97" i="12"/>
  <c r="J95" i="12"/>
  <c r="B116" i="12"/>
  <c r="L102" i="12"/>
  <c r="L100" i="12"/>
  <c r="L99" i="12"/>
  <c r="L97" i="12"/>
  <c r="L95" i="12"/>
  <c r="J94" i="12"/>
  <c r="J98" i="12"/>
  <c r="J96" i="12"/>
  <c r="L101" i="12"/>
  <c r="J100" i="12"/>
  <c r="L98" i="12"/>
  <c r="L96" i="12"/>
  <c r="L94" i="12"/>
  <c r="L161" i="10"/>
  <c r="J160" i="10"/>
  <c r="L158" i="10"/>
  <c r="L156" i="10"/>
  <c r="L154" i="10"/>
  <c r="J164" i="10"/>
  <c r="J159" i="10"/>
  <c r="J157" i="10"/>
  <c r="J155" i="10"/>
  <c r="B176" i="10"/>
  <c r="L162" i="10"/>
  <c r="L160" i="10"/>
  <c r="L159" i="10"/>
  <c r="L157" i="10"/>
  <c r="L155" i="10"/>
  <c r="J154" i="10"/>
  <c r="J158" i="10"/>
  <c r="J156" i="10"/>
  <c r="G356" i="10"/>
  <c r="G236" i="10"/>
  <c r="B416" i="10"/>
  <c r="J404" i="10"/>
  <c r="J399" i="10"/>
  <c r="J397" i="10"/>
  <c r="J395" i="10"/>
  <c r="L402" i="10"/>
  <c r="L400" i="10"/>
  <c r="L399" i="10"/>
  <c r="L397" i="10"/>
  <c r="L395" i="10"/>
  <c r="J394" i="10"/>
  <c r="J398" i="10"/>
  <c r="J396" i="10"/>
  <c r="L401" i="10"/>
  <c r="J400" i="10"/>
  <c r="L398" i="10"/>
  <c r="L396" i="10"/>
  <c r="L394" i="10"/>
  <c r="B356" i="10"/>
  <c r="L342" i="10"/>
  <c r="L340" i="10"/>
  <c r="L339" i="10"/>
  <c r="L337" i="10"/>
  <c r="L335" i="10"/>
  <c r="J334" i="10"/>
  <c r="J338" i="10"/>
  <c r="J336" i="10"/>
  <c r="L341" i="10"/>
  <c r="J340" i="10"/>
  <c r="L338" i="10"/>
  <c r="L336" i="10"/>
  <c r="L334" i="10"/>
  <c r="J344" i="10"/>
  <c r="J339" i="10"/>
  <c r="J337" i="10"/>
  <c r="J335" i="10"/>
  <c r="G176" i="10"/>
  <c r="L282" i="10"/>
  <c r="L280" i="10"/>
  <c r="L279" i="10"/>
  <c r="L277" i="10"/>
  <c r="L275" i="10"/>
  <c r="J274" i="10"/>
  <c r="J278" i="10"/>
  <c r="J276" i="10"/>
  <c r="L281" i="10"/>
  <c r="J280" i="10"/>
  <c r="L278" i="10"/>
  <c r="L276" i="10"/>
  <c r="L274" i="10"/>
  <c r="B296" i="10"/>
  <c r="J284" i="10"/>
  <c r="J279" i="10"/>
  <c r="J277" i="10"/>
  <c r="J275" i="10"/>
  <c r="G56" i="10"/>
  <c r="G116" i="10"/>
  <c r="J218" i="10"/>
  <c r="J216" i="10"/>
  <c r="L221" i="10"/>
  <c r="J220" i="10"/>
  <c r="L218" i="10"/>
  <c r="L216" i="10"/>
  <c r="L214" i="10"/>
  <c r="J224" i="10"/>
  <c r="J219" i="10"/>
  <c r="J217" i="10"/>
  <c r="J215" i="10"/>
  <c r="B236" i="10"/>
  <c r="L222" i="10"/>
  <c r="L220" i="10"/>
  <c r="L219" i="10"/>
  <c r="L217" i="10"/>
  <c r="L215" i="10"/>
  <c r="J214" i="10"/>
  <c r="G296" i="10"/>
  <c r="B56" i="10"/>
  <c r="L42" i="10"/>
  <c r="L40" i="10"/>
  <c r="L39" i="10"/>
  <c r="L37" i="10"/>
  <c r="L35" i="10"/>
  <c r="J34" i="10"/>
  <c r="J38" i="10"/>
  <c r="J36" i="10"/>
  <c r="L41" i="10"/>
  <c r="J40" i="10"/>
  <c r="L38" i="10"/>
  <c r="L36" i="10"/>
  <c r="L34" i="10"/>
  <c r="J44" i="10"/>
  <c r="J39" i="10"/>
  <c r="J37" i="10"/>
  <c r="J35" i="10"/>
  <c r="G416" i="10"/>
  <c r="J104" i="10"/>
  <c r="J99" i="10"/>
  <c r="J97" i="10"/>
  <c r="J95" i="10"/>
  <c r="B116" i="10"/>
  <c r="L102" i="10"/>
  <c r="L100" i="10"/>
  <c r="L99" i="10"/>
  <c r="L97" i="10"/>
  <c r="L95" i="10"/>
  <c r="J94" i="10"/>
  <c r="J98" i="10"/>
  <c r="J96" i="10"/>
  <c r="L101" i="10"/>
  <c r="J100" i="10"/>
  <c r="L98" i="10"/>
  <c r="L96" i="10"/>
  <c r="L94" i="10"/>
  <c r="G296" i="9"/>
  <c r="J44" i="9"/>
  <c r="J39" i="9"/>
  <c r="J37" i="9"/>
  <c r="J35" i="9"/>
  <c r="B56" i="9"/>
  <c r="L42" i="9"/>
  <c r="L40" i="9"/>
  <c r="L39" i="9"/>
  <c r="L37" i="9"/>
  <c r="L35" i="9"/>
  <c r="J34" i="9"/>
  <c r="L38" i="9"/>
  <c r="J38" i="9"/>
  <c r="J36" i="9"/>
  <c r="L41" i="9"/>
  <c r="J40" i="9"/>
  <c r="L36" i="9"/>
  <c r="L34" i="9"/>
  <c r="G116" i="9"/>
  <c r="G236" i="9"/>
  <c r="G176" i="9"/>
  <c r="G356" i="9"/>
  <c r="B296" i="9"/>
  <c r="J284" i="9"/>
  <c r="J279" i="9"/>
  <c r="J277" i="9"/>
  <c r="J275" i="9"/>
  <c r="L282" i="9"/>
  <c r="L280" i="9"/>
  <c r="L279" i="9"/>
  <c r="L277" i="9"/>
  <c r="L275" i="9"/>
  <c r="J274" i="9"/>
  <c r="J278" i="9"/>
  <c r="J276" i="9"/>
  <c r="L281" i="9"/>
  <c r="J280" i="9"/>
  <c r="L278" i="9"/>
  <c r="L276" i="9"/>
  <c r="L274" i="9"/>
  <c r="B236" i="9"/>
  <c r="L222" i="9"/>
  <c r="L220" i="9"/>
  <c r="L219" i="9"/>
  <c r="L217" i="9"/>
  <c r="L215" i="9"/>
  <c r="J214" i="9"/>
  <c r="J218" i="9"/>
  <c r="J216" i="9"/>
  <c r="L221" i="9"/>
  <c r="J220" i="9"/>
  <c r="L218" i="9"/>
  <c r="L216" i="9"/>
  <c r="L214" i="9"/>
  <c r="J224" i="9"/>
  <c r="J219" i="9"/>
  <c r="J217" i="9"/>
  <c r="J215" i="9"/>
  <c r="J344" i="9"/>
  <c r="J339" i="9"/>
  <c r="J337" i="9"/>
  <c r="J335" i="9"/>
  <c r="B356" i="9"/>
  <c r="L342" i="9"/>
  <c r="L340" i="9"/>
  <c r="L339" i="9"/>
  <c r="L337" i="9"/>
  <c r="L335" i="9"/>
  <c r="J334" i="9"/>
  <c r="J338" i="9"/>
  <c r="J336" i="9"/>
  <c r="L341" i="9"/>
  <c r="J340" i="9"/>
  <c r="L338" i="9"/>
  <c r="L336" i="9"/>
  <c r="L334" i="9"/>
  <c r="L401" i="9"/>
  <c r="J400" i="9"/>
  <c r="L398" i="9"/>
  <c r="L396" i="9"/>
  <c r="L394" i="9"/>
  <c r="B416" i="9"/>
  <c r="J404" i="9"/>
  <c r="J399" i="9"/>
  <c r="J397" i="9"/>
  <c r="J395" i="9"/>
  <c r="L402" i="9"/>
  <c r="L400" i="9"/>
  <c r="L399" i="9"/>
  <c r="L397" i="9"/>
  <c r="L395" i="9"/>
  <c r="J394" i="9"/>
  <c r="J398" i="9"/>
  <c r="J396" i="9"/>
  <c r="L101" i="9"/>
  <c r="J100" i="9"/>
  <c r="L98" i="9"/>
  <c r="L96" i="9"/>
  <c r="L94" i="9"/>
  <c r="J104" i="9"/>
  <c r="J99" i="9"/>
  <c r="J97" i="9"/>
  <c r="J95" i="9"/>
  <c r="B116" i="9"/>
  <c r="L102" i="9"/>
  <c r="L100" i="9"/>
  <c r="L99" i="9"/>
  <c r="L97" i="9"/>
  <c r="L95" i="9"/>
  <c r="J94" i="9"/>
  <c r="J98" i="9"/>
  <c r="J96" i="9"/>
  <c r="G56" i="9"/>
  <c r="J158" i="9"/>
  <c r="J156" i="9"/>
  <c r="L161" i="9"/>
  <c r="J160" i="9"/>
  <c r="L158" i="9"/>
  <c r="L156" i="9"/>
  <c r="L154" i="9"/>
  <c r="J164" i="9"/>
  <c r="J159" i="9"/>
  <c r="J157" i="9"/>
  <c r="J155" i="9"/>
  <c r="B176" i="9"/>
  <c r="L162" i="9"/>
  <c r="L160" i="9"/>
  <c r="L159" i="9"/>
  <c r="L157" i="9"/>
  <c r="L155" i="9"/>
  <c r="J154" i="9"/>
  <c r="G416" i="9"/>
  <c r="G296" i="8"/>
  <c r="G56" i="8"/>
  <c r="G176" i="8"/>
  <c r="L101" i="8"/>
  <c r="J100" i="8"/>
  <c r="L98" i="8"/>
  <c r="L96" i="8"/>
  <c r="L94" i="8"/>
  <c r="B116" i="8"/>
  <c r="L102" i="8"/>
  <c r="L100" i="8"/>
  <c r="L99" i="8"/>
  <c r="L97" i="8"/>
  <c r="L95" i="8"/>
  <c r="J94" i="8"/>
  <c r="J98" i="8"/>
  <c r="J96" i="8"/>
  <c r="J104" i="8"/>
  <c r="J99" i="8"/>
  <c r="J97" i="8"/>
  <c r="J95" i="8"/>
  <c r="J158" i="8"/>
  <c r="J156" i="8"/>
  <c r="J164" i="8"/>
  <c r="J159" i="8"/>
  <c r="J157" i="8"/>
  <c r="J155" i="8"/>
  <c r="B176" i="8"/>
  <c r="L162" i="8"/>
  <c r="L160" i="8"/>
  <c r="L159" i="8"/>
  <c r="L157" i="8"/>
  <c r="L155" i="8"/>
  <c r="J154" i="8"/>
  <c r="L161" i="8"/>
  <c r="J160" i="8"/>
  <c r="L158" i="8"/>
  <c r="L156" i="8"/>
  <c r="L154" i="8"/>
  <c r="L401" i="8"/>
  <c r="J400" i="8"/>
  <c r="L398" i="8"/>
  <c r="L396" i="8"/>
  <c r="L394" i="8"/>
  <c r="J398" i="8"/>
  <c r="J396" i="8"/>
  <c r="B416" i="8"/>
  <c r="J404" i="8"/>
  <c r="J399" i="8"/>
  <c r="J397" i="8"/>
  <c r="J395" i="8"/>
  <c r="L402" i="8"/>
  <c r="L400" i="8"/>
  <c r="L399" i="8"/>
  <c r="L397" i="8"/>
  <c r="L395" i="8"/>
  <c r="J394" i="8"/>
  <c r="B296" i="8"/>
  <c r="J284" i="8"/>
  <c r="J279" i="8"/>
  <c r="J277" i="8"/>
  <c r="J275" i="8"/>
  <c r="J278" i="8"/>
  <c r="J276" i="8"/>
  <c r="L281" i="8"/>
  <c r="J280" i="8"/>
  <c r="L278" i="8"/>
  <c r="L276" i="8"/>
  <c r="L274" i="8"/>
  <c r="L282" i="8"/>
  <c r="L280" i="8"/>
  <c r="L279" i="8"/>
  <c r="L277" i="8"/>
  <c r="L275" i="8"/>
  <c r="J274" i="8"/>
  <c r="G116" i="8"/>
  <c r="G416" i="8"/>
  <c r="J344" i="8"/>
  <c r="J339" i="8"/>
  <c r="J337" i="8"/>
  <c r="J335" i="8"/>
  <c r="J338" i="8"/>
  <c r="J336" i="8"/>
  <c r="L341" i="8"/>
  <c r="J340" i="8"/>
  <c r="L338" i="8"/>
  <c r="L336" i="8"/>
  <c r="L334" i="8"/>
  <c r="B356" i="8"/>
  <c r="L342" i="8"/>
  <c r="L340" i="8"/>
  <c r="L339" i="8"/>
  <c r="L337" i="8"/>
  <c r="L335" i="8"/>
  <c r="J334" i="8"/>
  <c r="G236" i="8"/>
  <c r="J44" i="8"/>
  <c r="J39" i="8"/>
  <c r="J37" i="8"/>
  <c r="J35" i="8"/>
  <c r="J38" i="8"/>
  <c r="J36" i="8"/>
  <c r="L41" i="8"/>
  <c r="J40" i="8"/>
  <c r="L38" i="8"/>
  <c r="L36" i="8"/>
  <c r="L34" i="8"/>
  <c r="B56" i="8"/>
  <c r="L42" i="8"/>
  <c r="L40" i="8"/>
  <c r="L39" i="8"/>
  <c r="L37" i="8"/>
  <c r="L35" i="8"/>
  <c r="J34" i="8"/>
  <c r="G356" i="8"/>
  <c r="B236" i="8"/>
  <c r="L222" i="8"/>
  <c r="L220" i="8"/>
  <c r="L219" i="8"/>
  <c r="L217" i="8"/>
  <c r="L215" i="8"/>
  <c r="J214" i="8"/>
  <c r="L221" i="8"/>
  <c r="J220" i="8"/>
  <c r="L218" i="8"/>
  <c r="L216" i="8"/>
  <c r="L214" i="8"/>
  <c r="J224" i="8"/>
  <c r="J219" i="8"/>
  <c r="J217" i="8"/>
  <c r="J215" i="8"/>
  <c r="J218" i="8"/>
  <c r="J216" i="8"/>
  <c r="L401" i="6"/>
  <c r="J400" i="6"/>
  <c r="L398" i="6"/>
  <c r="L396" i="6"/>
  <c r="L394" i="6"/>
  <c r="B416" i="6"/>
  <c r="J404" i="6"/>
  <c r="J399" i="6"/>
  <c r="J397" i="6"/>
  <c r="J395" i="6"/>
  <c r="L402" i="6"/>
  <c r="L400" i="6"/>
  <c r="L399" i="6"/>
  <c r="L397" i="6"/>
  <c r="L395" i="6"/>
  <c r="J394" i="6"/>
  <c r="J398" i="6"/>
  <c r="J396" i="6"/>
  <c r="G416" i="6"/>
  <c r="G356" i="6"/>
  <c r="J344" i="6"/>
  <c r="J339" i="6"/>
  <c r="J337" i="6"/>
  <c r="J335" i="6"/>
  <c r="L341" i="6"/>
  <c r="L338" i="6"/>
  <c r="L334" i="6"/>
  <c r="B356" i="6"/>
  <c r="L342" i="6"/>
  <c r="L340" i="6"/>
  <c r="L339" i="6"/>
  <c r="L337" i="6"/>
  <c r="L335" i="6"/>
  <c r="J334" i="6"/>
  <c r="J338" i="6"/>
  <c r="J336" i="6"/>
  <c r="J340" i="6"/>
  <c r="L336" i="6"/>
  <c r="L281" i="6"/>
  <c r="J280" i="6"/>
  <c r="L278" i="6"/>
  <c r="L276" i="6"/>
  <c r="L274" i="6"/>
  <c r="L280" i="6"/>
  <c r="L275" i="6"/>
  <c r="B296" i="6"/>
  <c r="J284" i="6"/>
  <c r="J279" i="6"/>
  <c r="J277" i="6"/>
  <c r="J275" i="6"/>
  <c r="L282" i="6"/>
  <c r="L279" i="6"/>
  <c r="L277" i="6"/>
  <c r="J274" i="6"/>
  <c r="J278" i="6"/>
  <c r="J276" i="6"/>
  <c r="G296" i="6"/>
  <c r="G236" i="6"/>
  <c r="J224" i="6"/>
  <c r="J219" i="6"/>
  <c r="J217" i="6"/>
  <c r="J215" i="6"/>
  <c r="B236" i="6"/>
  <c r="L222" i="6"/>
  <c r="L220" i="6"/>
  <c r="L219" i="6"/>
  <c r="L217" i="6"/>
  <c r="L215" i="6"/>
  <c r="J214" i="6"/>
  <c r="J218" i="6"/>
  <c r="J216" i="6"/>
  <c r="L221" i="6"/>
  <c r="J220" i="6"/>
  <c r="L218" i="6"/>
  <c r="L216" i="6"/>
  <c r="L214" i="6"/>
  <c r="J164" i="6"/>
  <c r="J159" i="6"/>
  <c r="J157" i="6"/>
  <c r="J155" i="6"/>
  <c r="J160" i="6"/>
  <c r="L158" i="6"/>
  <c r="L156" i="6"/>
  <c r="L154" i="6"/>
  <c r="B176" i="6"/>
  <c r="L162" i="6"/>
  <c r="L160" i="6"/>
  <c r="L159" i="6"/>
  <c r="L157" i="6"/>
  <c r="L155" i="6"/>
  <c r="J154" i="6"/>
  <c r="J158" i="6"/>
  <c r="J156" i="6"/>
  <c r="L161" i="6"/>
  <c r="G176" i="6"/>
  <c r="G116" i="6"/>
  <c r="L101" i="6"/>
  <c r="J100" i="6"/>
  <c r="L98" i="6"/>
  <c r="L96" i="6"/>
  <c r="L94" i="6"/>
  <c r="J104" i="6"/>
  <c r="J99" i="6"/>
  <c r="J97" i="6"/>
  <c r="J95" i="6"/>
  <c r="B116" i="6"/>
  <c r="L102" i="6"/>
  <c r="L100" i="6"/>
  <c r="L99" i="6"/>
  <c r="L97" i="6"/>
  <c r="L95" i="6"/>
  <c r="J94" i="6"/>
  <c r="J98" i="6"/>
  <c r="J96" i="6"/>
  <c r="G56" i="6"/>
  <c r="B56" i="6"/>
  <c r="L42" i="6"/>
  <c r="L40" i="6"/>
  <c r="L39" i="6"/>
  <c r="L37" i="6"/>
  <c r="L35" i="6"/>
  <c r="J34" i="6"/>
  <c r="J38" i="6"/>
  <c r="L38" i="6"/>
  <c r="L34" i="6"/>
  <c r="J36" i="6"/>
  <c r="L41" i="6"/>
  <c r="J40" i="6"/>
  <c r="L36" i="6"/>
  <c r="J44" i="6"/>
  <c r="J39" i="6"/>
  <c r="J37" i="6"/>
  <c r="J35" i="6"/>
  <c r="C6" i="4" l="1"/>
  <c r="C8" i="4"/>
  <c r="E8" i="4"/>
  <c r="D9" i="4"/>
  <c r="F9" i="4"/>
  <c r="C9" i="4"/>
  <c r="E10" i="4"/>
  <c r="F11" i="4"/>
  <c r="C11" i="4"/>
  <c r="E6" i="4"/>
  <c r="H6" i="4"/>
  <c r="D8" i="4"/>
  <c r="H9" i="4"/>
  <c r="D10" i="4"/>
  <c r="C7" i="4"/>
  <c r="H8" i="4"/>
  <c r="F8" i="4"/>
  <c r="E9" i="4"/>
  <c r="H10" i="4"/>
  <c r="F10" i="4"/>
  <c r="C10" i="4"/>
  <c r="E11" i="4"/>
  <c r="D11" i="4"/>
  <c r="D7" i="4"/>
  <c r="F6" i="4"/>
  <c r="D6" i="4"/>
  <c r="H11" i="4"/>
  <c r="E7" i="4"/>
  <c r="H7" i="4"/>
  <c r="F7" i="4"/>
  <c r="E5" i="4"/>
  <c r="D5" i="4"/>
  <c r="H5" i="4"/>
  <c r="F5" i="4"/>
  <c r="C5" i="4"/>
  <c r="L103" i="20"/>
  <c r="L115" i="20" s="1"/>
  <c r="L116" i="20" s="1"/>
  <c r="L163" i="21"/>
  <c r="L175" i="21" s="1"/>
  <c r="L176" i="21" s="1"/>
  <c r="C296" i="21"/>
  <c r="J283" i="21"/>
  <c r="C416" i="21"/>
  <c r="J403" i="21"/>
  <c r="C56" i="21"/>
  <c r="J43" i="21"/>
  <c r="L403" i="21"/>
  <c r="L415" i="21" s="1"/>
  <c r="L416" i="21" s="1"/>
  <c r="L103" i="21"/>
  <c r="L115" i="21" s="1"/>
  <c r="L116" i="21" s="1"/>
  <c r="J343" i="21"/>
  <c r="C356" i="21"/>
  <c r="C116" i="21"/>
  <c r="J103" i="21"/>
  <c r="C236" i="21"/>
  <c r="J223" i="21"/>
  <c r="C176" i="21"/>
  <c r="J163" i="21"/>
  <c r="L43" i="21"/>
  <c r="L55" i="21" s="1"/>
  <c r="L56" i="21" s="1"/>
  <c r="L283" i="21"/>
  <c r="L295" i="21" s="1"/>
  <c r="L296" i="21" s="1"/>
  <c r="L223" i="21"/>
  <c r="L235" i="21" s="1"/>
  <c r="L236" i="21" s="1"/>
  <c r="L343" i="21"/>
  <c r="L355" i="21" s="1"/>
  <c r="L356" i="21" s="1"/>
  <c r="C116" i="20"/>
  <c r="J103" i="20"/>
  <c r="C176" i="20"/>
  <c r="J163" i="20"/>
  <c r="J283" i="20"/>
  <c r="C296" i="20"/>
  <c r="C416" i="20"/>
  <c r="J403" i="20"/>
  <c r="L43" i="20"/>
  <c r="L55" i="20" s="1"/>
  <c r="L56" i="20" s="1"/>
  <c r="L403" i="20"/>
  <c r="L415" i="20" s="1"/>
  <c r="L416" i="20" s="1"/>
  <c r="L223" i="20"/>
  <c r="L235" i="20" s="1"/>
  <c r="L236" i="20" s="1"/>
  <c r="C56" i="20"/>
  <c r="J43" i="20"/>
  <c r="C356" i="20"/>
  <c r="J343" i="20"/>
  <c r="C236" i="20"/>
  <c r="J223" i="20"/>
  <c r="L343" i="20"/>
  <c r="L355" i="20" s="1"/>
  <c r="L356" i="20" s="1"/>
  <c r="L163" i="20"/>
  <c r="L175" i="20" s="1"/>
  <c r="L176" i="20" s="1"/>
  <c r="L283" i="20"/>
  <c r="L295" i="20" s="1"/>
  <c r="L296" i="20" s="1"/>
  <c r="L43" i="18"/>
  <c r="L55" i="18" s="1"/>
  <c r="L56" i="18" s="1"/>
  <c r="C56" i="18"/>
  <c r="J43" i="18"/>
  <c r="J283" i="18"/>
  <c r="C296" i="18"/>
  <c r="C236" i="18"/>
  <c r="J223" i="18"/>
  <c r="L103" i="18"/>
  <c r="L115" i="18" s="1"/>
  <c r="L116" i="18" s="1"/>
  <c r="L283" i="18"/>
  <c r="L295" i="18" s="1"/>
  <c r="L296" i="18" s="1"/>
  <c r="C176" i="18"/>
  <c r="J163" i="18"/>
  <c r="C416" i="18"/>
  <c r="J403" i="18"/>
  <c r="C356" i="18"/>
  <c r="J343" i="18"/>
  <c r="C116" i="18"/>
  <c r="J103" i="18"/>
  <c r="L403" i="18"/>
  <c r="L415" i="18" s="1"/>
  <c r="L416" i="18" s="1"/>
  <c r="L343" i="18"/>
  <c r="L355" i="18" s="1"/>
  <c r="L356" i="18" s="1"/>
  <c r="L163" i="18"/>
  <c r="L175" i="18" s="1"/>
  <c r="L176" i="18" s="1"/>
  <c r="L223" i="18"/>
  <c r="L235" i="18" s="1"/>
  <c r="L236" i="18" s="1"/>
  <c r="L103" i="17"/>
  <c r="L115" i="17" s="1"/>
  <c r="L116" i="17" s="1"/>
  <c r="L43" i="15"/>
  <c r="L55" i="15" s="1"/>
  <c r="L56" i="15" s="1"/>
  <c r="L43" i="14"/>
  <c r="L55" i="14" s="1"/>
  <c r="L56" i="14" s="1"/>
  <c r="L283" i="17"/>
  <c r="L295" i="17" s="1"/>
  <c r="L296" i="17" s="1"/>
  <c r="L43" i="17"/>
  <c r="L55" i="17" s="1"/>
  <c r="L56" i="17" s="1"/>
  <c r="L223" i="17"/>
  <c r="L235" i="17" s="1"/>
  <c r="L236" i="17" s="1"/>
  <c r="L343" i="17"/>
  <c r="L355" i="17" s="1"/>
  <c r="L356" i="17" s="1"/>
  <c r="C236" i="17"/>
  <c r="J223" i="17"/>
  <c r="C116" i="17"/>
  <c r="J103" i="17"/>
  <c r="C356" i="17"/>
  <c r="J343" i="17"/>
  <c r="C176" i="17"/>
  <c r="J163" i="17"/>
  <c r="C56" i="17"/>
  <c r="J43" i="17"/>
  <c r="C416" i="17"/>
  <c r="J403" i="17"/>
  <c r="C296" i="17"/>
  <c r="J283" i="17"/>
  <c r="L163" i="17"/>
  <c r="L175" i="17" s="1"/>
  <c r="L176" i="17" s="1"/>
  <c r="L403" i="17"/>
  <c r="L415" i="17" s="1"/>
  <c r="L416" i="17" s="1"/>
  <c r="L343" i="16"/>
  <c r="L355" i="16" s="1"/>
  <c r="L356" i="16" s="1"/>
  <c r="C416" i="16"/>
  <c r="J403" i="16"/>
  <c r="J103" i="16"/>
  <c r="C116" i="16"/>
  <c r="C236" i="16"/>
  <c r="J223" i="16"/>
  <c r="C356" i="16"/>
  <c r="J343" i="16"/>
  <c r="L283" i="16"/>
  <c r="L295" i="16" s="1"/>
  <c r="L296" i="16" s="1"/>
  <c r="L163" i="16"/>
  <c r="L175" i="16" s="1"/>
  <c r="L176" i="16" s="1"/>
  <c r="C296" i="16"/>
  <c r="J283" i="16"/>
  <c r="J43" i="16"/>
  <c r="C56" i="16"/>
  <c r="C176" i="16"/>
  <c r="J163" i="16"/>
  <c r="L43" i="16"/>
  <c r="L55" i="16" s="1"/>
  <c r="L56" i="16" s="1"/>
  <c r="L403" i="16"/>
  <c r="L415" i="16" s="1"/>
  <c r="L416" i="16" s="1"/>
  <c r="L223" i="16"/>
  <c r="L235" i="16" s="1"/>
  <c r="L236" i="16" s="1"/>
  <c r="L103" i="16"/>
  <c r="L115" i="16" s="1"/>
  <c r="L116" i="16" s="1"/>
  <c r="L223" i="15"/>
  <c r="L235" i="15" s="1"/>
  <c r="L236" i="15" s="1"/>
  <c r="C416" i="15"/>
  <c r="J403" i="15"/>
  <c r="C356" i="15"/>
  <c r="J343" i="15"/>
  <c r="C176" i="15"/>
  <c r="J163" i="15"/>
  <c r="C296" i="15"/>
  <c r="J283" i="15"/>
  <c r="L163" i="15"/>
  <c r="L175" i="15" s="1"/>
  <c r="L176" i="15" s="1"/>
  <c r="C236" i="15"/>
  <c r="J223" i="15"/>
  <c r="C56" i="15"/>
  <c r="J43" i="15"/>
  <c r="C116" i="15"/>
  <c r="J103" i="15"/>
  <c r="L403" i="15"/>
  <c r="L415" i="15" s="1"/>
  <c r="L416" i="15" s="1"/>
  <c r="L283" i="15"/>
  <c r="L295" i="15" s="1"/>
  <c r="L296" i="15" s="1"/>
  <c r="L103" i="15"/>
  <c r="L115" i="15" s="1"/>
  <c r="L116" i="15" s="1"/>
  <c r="L343" i="15"/>
  <c r="L355" i="15" s="1"/>
  <c r="L356" i="15" s="1"/>
  <c r="L223" i="14"/>
  <c r="L235" i="14" s="1"/>
  <c r="L236" i="14" s="1"/>
  <c r="L283" i="8"/>
  <c r="L295" i="8" s="1"/>
  <c r="L296" i="8" s="1"/>
  <c r="L343" i="12"/>
  <c r="L355" i="12" s="1"/>
  <c r="L356" i="12" s="1"/>
  <c r="C356" i="14"/>
  <c r="J343" i="14"/>
  <c r="C236" i="14"/>
  <c r="J223" i="14"/>
  <c r="C176" i="14"/>
  <c r="J163" i="14"/>
  <c r="C296" i="14"/>
  <c r="J283" i="14"/>
  <c r="L283" i="14"/>
  <c r="L295" i="14" s="1"/>
  <c r="L296" i="14" s="1"/>
  <c r="L163" i="14"/>
  <c r="L175" i="14" s="1"/>
  <c r="L176" i="14" s="1"/>
  <c r="C416" i="14"/>
  <c r="J403" i="14"/>
  <c r="C56" i="14"/>
  <c r="J43" i="14"/>
  <c r="C116" i="14"/>
  <c r="J103" i="14"/>
  <c r="L403" i="14"/>
  <c r="L415" i="14" s="1"/>
  <c r="L416" i="14" s="1"/>
  <c r="L103" i="14"/>
  <c r="L115" i="14" s="1"/>
  <c r="L116" i="14" s="1"/>
  <c r="L343" i="14"/>
  <c r="L355" i="14" s="1"/>
  <c r="L356" i="14" s="1"/>
  <c r="C56" i="12"/>
  <c r="J43" i="12"/>
  <c r="C296" i="12"/>
  <c r="J283" i="12"/>
  <c r="C416" i="12"/>
  <c r="J403" i="12"/>
  <c r="C236" i="12"/>
  <c r="J223" i="12"/>
  <c r="L163" i="12"/>
  <c r="L175" i="12" s="1"/>
  <c r="L176" i="12" s="1"/>
  <c r="L403" i="12"/>
  <c r="L415" i="12" s="1"/>
  <c r="L416" i="12" s="1"/>
  <c r="L103" i="12"/>
  <c r="L115" i="12" s="1"/>
  <c r="L116" i="12" s="1"/>
  <c r="L223" i="12"/>
  <c r="L235" i="12" s="1"/>
  <c r="L236" i="12" s="1"/>
  <c r="C176" i="12"/>
  <c r="J163" i="12"/>
  <c r="C356" i="12"/>
  <c r="J343" i="12"/>
  <c r="C116" i="12"/>
  <c r="J103" i="12"/>
  <c r="L43" i="12"/>
  <c r="L55" i="12" s="1"/>
  <c r="L56" i="12" s="1"/>
  <c r="L283" i="12"/>
  <c r="L295" i="12" s="1"/>
  <c r="L296" i="12" s="1"/>
  <c r="L103" i="10"/>
  <c r="L115" i="10" s="1"/>
  <c r="L116" i="10" s="1"/>
  <c r="C236" i="10"/>
  <c r="J223" i="10"/>
  <c r="C176" i="10"/>
  <c r="J163" i="10"/>
  <c r="C296" i="10"/>
  <c r="J283" i="10"/>
  <c r="C356" i="10"/>
  <c r="J343" i="10"/>
  <c r="L223" i="10"/>
  <c r="L235" i="10" s="1"/>
  <c r="L236" i="10" s="1"/>
  <c r="L283" i="10"/>
  <c r="L295" i="10" s="1"/>
  <c r="L296" i="10" s="1"/>
  <c r="L343" i="10"/>
  <c r="L355" i="10" s="1"/>
  <c r="L356" i="10" s="1"/>
  <c r="L163" i="10"/>
  <c r="L175" i="10" s="1"/>
  <c r="L176" i="10" s="1"/>
  <c r="L43" i="10"/>
  <c r="L55" i="10" s="1"/>
  <c r="L56" i="10" s="1"/>
  <c r="L403" i="10"/>
  <c r="L415" i="10" s="1"/>
  <c r="L416" i="10" s="1"/>
  <c r="C56" i="10"/>
  <c r="J43" i="10"/>
  <c r="C416" i="10"/>
  <c r="J403" i="10"/>
  <c r="C116" i="10"/>
  <c r="J103" i="10"/>
  <c r="C176" i="9"/>
  <c r="J163" i="9"/>
  <c r="C296" i="9"/>
  <c r="J283" i="9"/>
  <c r="C116" i="9"/>
  <c r="J103" i="9"/>
  <c r="C56" i="9"/>
  <c r="J43" i="9"/>
  <c r="L403" i="9"/>
  <c r="L415" i="9" s="1"/>
  <c r="L416" i="9" s="1"/>
  <c r="L223" i="9"/>
  <c r="L235" i="9" s="1"/>
  <c r="L236" i="9" s="1"/>
  <c r="L163" i="9"/>
  <c r="L175" i="9" s="1"/>
  <c r="L176" i="9" s="1"/>
  <c r="L43" i="9"/>
  <c r="L55" i="9" s="1"/>
  <c r="L56" i="9" s="1"/>
  <c r="L103" i="9"/>
  <c r="L115" i="9" s="1"/>
  <c r="L116" i="9" s="1"/>
  <c r="L343" i="9"/>
  <c r="L355" i="9" s="1"/>
  <c r="L356" i="9" s="1"/>
  <c r="C416" i="9"/>
  <c r="J403" i="9"/>
  <c r="C356" i="9"/>
  <c r="J343" i="9"/>
  <c r="C236" i="9"/>
  <c r="J223" i="9"/>
  <c r="L283" i="9"/>
  <c r="L295" i="9" s="1"/>
  <c r="L296" i="9" s="1"/>
  <c r="C416" i="8"/>
  <c r="J403" i="8"/>
  <c r="C176" i="8"/>
  <c r="J163" i="8"/>
  <c r="C356" i="8"/>
  <c r="J343" i="8"/>
  <c r="C56" i="8"/>
  <c r="J43" i="8"/>
  <c r="J283" i="8"/>
  <c r="C296" i="8"/>
  <c r="L103" i="8"/>
  <c r="L115" i="8" s="1"/>
  <c r="L116" i="8" s="1"/>
  <c r="L223" i="8"/>
  <c r="L235" i="8" s="1"/>
  <c r="L236" i="8" s="1"/>
  <c r="L343" i="8"/>
  <c r="L355" i="8" s="1"/>
  <c r="L356" i="8" s="1"/>
  <c r="L403" i="8"/>
  <c r="L415" i="8" s="1"/>
  <c r="L416" i="8" s="1"/>
  <c r="L43" i="8"/>
  <c r="L55" i="8" s="1"/>
  <c r="L56" i="8" s="1"/>
  <c r="C116" i="8"/>
  <c r="J103" i="8"/>
  <c r="C236" i="8"/>
  <c r="J223" i="8"/>
  <c r="L163" i="8"/>
  <c r="L175" i="8" s="1"/>
  <c r="L176" i="8" s="1"/>
  <c r="L403" i="6"/>
  <c r="L415" i="6" s="1"/>
  <c r="L416" i="6" s="1"/>
  <c r="C416" i="6"/>
  <c r="J403" i="6"/>
  <c r="C356" i="6"/>
  <c r="J343" i="6"/>
  <c r="L343" i="6"/>
  <c r="L355" i="6" s="1"/>
  <c r="L356" i="6" s="1"/>
  <c r="C296" i="6"/>
  <c r="J283" i="6"/>
  <c r="L283" i="6"/>
  <c r="L295" i="6" s="1"/>
  <c r="L296" i="6" s="1"/>
  <c r="C236" i="6"/>
  <c r="J223" i="6"/>
  <c r="L223" i="6"/>
  <c r="L235" i="6" s="1"/>
  <c r="L236" i="6" s="1"/>
  <c r="C176" i="6"/>
  <c r="J163" i="6"/>
  <c r="L163" i="6"/>
  <c r="L175" i="6" s="1"/>
  <c r="L176" i="6" s="1"/>
  <c r="C116" i="6"/>
  <c r="J103" i="6"/>
  <c r="L103" i="6"/>
  <c r="L115" i="6" s="1"/>
  <c r="L116" i="6" s="1"/>
  <c r="C56" i="6"/>
  <c r="J43" i="6"/>
  <c r="L43" i="6"/>
  <c r="L55" i="6" s="1"/>
  <c r="L56" i="6" s="1"/>
  <c r="I11" i="4" l="1"/>
  <c r="K11" i="4" s="1"/>
  <c r="I9" i="4"/>
  <c r="K9" i="4" s="1"/>
  <c r="I6" i="4"/>
  <c r="K6" i="4" s="1"/>
  <c r="I10" i="4"/>
  <c r="K10" i="4" s="1"/>
  <c r="I7" i="4"/>
  <c r="K7" i="4" s="1"/>
  <c r="I8" i="4"/>
  <c r="K8" i="4" s="1"/>
  <c r="I5" i="4"/>
  <c r="K5" i="4" s="1"/>
  <c r="I345" i="21"/>
  <c r="I347" i="21" s="1"/>
  <c r="J348" i="21" s="1"/>
  <c r="J350" i="21" s="1"/>
  <c r="J355" i="21" s="1"/>
  <c r="J356" i="21" s="1"/>
  <c r="L357" i="21" s="1"/>
  <c r="I45" i="21"/>
  <c r="I47" i="21" s="1"/>
  <c r="J48" i="21" s="1"/>
  <c r="J50" i="21" s="1"/>
  <c r="I225" i="21"/>
  <c r="I227" i="21" s="1"/>
  <c r="J228" i="21" s="1"/>
  <c r="J230" i="21" s="1"/>
  <c r="I285" i="21"/>
  <c r="I287" i="21" s="1"/>
  <c r="J288" i="21" s="1"/>
  <c r="J290" i="21" s="1"/>
  <c r="I165" i="21"/>
  <c r="I167" i="21" s="1"/>
  <c r="J168" i="21" s="1"/>
  <c r="J170" i="21" s="1"/>
  <c r="J175" i="21" s="1"/>
  <c r="J176" i="21" s="1"/>
  <c r="L177" i="21" s="1"/>
  <c r="J115" i="21"/>
  <c r="J116" i="21" s="1"/>
  <c r="L117" i="21" s="1"/>
  <c r="I105" i="21"/>
  <c r="I107" i="21" s="1"/>
  <c r="I405" i="21"/>
  <c r="I407" i="21" s="1"/>
  <c r="J408" i="21" s="1"/>
  <c r="J410" i="21" s="1"/>
  <c r="I225" i="20"/>
  <c r="I227" i="20" s="1"/>
  <c r="J228" i="20" s="1"/>
  <c r="J230" i="20" s="1"/>
  <c r="J235" i="20" s="1"/>
  <c r="J236" i="20" s="1"/>
  <c r="L237" i="20" s="1"/>
  <c r="I45" i="20"/>
  <c r="I47" i="20" s="1"/>
  <c r="J48" i="20" s="1"/>
  <c r="J50" i="20" s="1"/>
  <c r="I285" i="20"/>
  <c r="I287" i="20" s="1"/>
  <c r="J288" i="20" s="1"/>
  <c r="J290" i="20" s="1"/>
  <c r="J115" i="20"/>
  <c r="J116" i="20" s="1"/>
  <c r="L117" i="20" s="1"/>
  <c r="I105" i="20"/>
  <c r="I107" i="20" s="1"/>
  <c r="I345" i="20"/>
  <c r="I347" i="20" s="1"/>
  <c r="J348" i="20" s="1"/>
  <c r="J350" i="20" s="1"/>
  <c r="I405" i="20"/>
  <c r="I407" i="20" s="1"/>
  <c r="J408" i="20" s="1"/>
  <c r="J410" i="20" s="1"/>
  <c r="I165" i="20"/>
  <c r="I167" i="20" s="1"/>
  <c r="J168" i="20" s="1"/>
  <c r="J170" i="20" s="1"/>
  <c r="J175" i="20" s="1"/>
  <c r="J176" i="20" s="1"/>
  <c r="L177" i="20" s="1"/>
  <c r="I285" i="18"/>
  <c r="I287" i="18" s="1"/>
  <c r="J288" i="18" s="1"/>
  <c r="J290" i="18" s="1"/>
  <c r="J295" i="18" s="1"/>
  <c r="J296" i="18" s="1"/>
  <c r="L297" i="18" s="1"/>
  <c r="I345" i="18"/>
  <c r="I347" i="18" s="1"/>
  <c r="J348" i="18" s="1"/>
  <c r="J350" i="18" s="1"/>
  <c r="I165" i="18"/>
  <c r="I167" i="18" s="1"/>
  <c r="J168" i="18" s="1"/>
  <c r="J170" i="18" s="1"/>
  <c r="I225" i="18"/>
  <c r="I227" i="18" s="1"/>
  <c r="J228" i="18" s="1"/>
  <c r="J230" i="18" s="1"/>
  <c r="J235" i="18" s="1"/>
  <c r="J236" i="18" s="1"/>
  <c r="L237" i="18" s="1"/>
  <c r="I45" i="18"/>
  <c r="I47" i="18" s="1"/>
  <c r="J48" i="18" s="1"/>
  <c r="J50" i="18" s="1"/>
  <c r="J115" i="18"/>
  <c r="J116" i="18" s="1"/>
  <c r="L117" i="18" s="1"/>
  <c r="I105" i="18"/>
  <c r="I107" i="18" s="1"/>
  <c r="I405" i="18"/>
  <c r="I407" i="18" s="1"/>
  <c r="J408" i="18" s="1"/>
  <c r="J410" i="18" s="1"/>
  <c r="I405" i="17"/>
  <c r="I407" i="17" s="1"/>
  <c r="J408" i="17" s="1"/>
  <c r="J410" i="17" s="1"/>
  <c r="I165" i="17"/>
  <c r="I167" i="17" s="1"/>
  <c r="J168" i="17" s="1"/>
  <c r="J170" i="17" s="1"/>
  <c r="J115" i="17"/>
  <c r="J116" i="17" s="1"/>
  <c r="L117" i="17" s="1"/>
  <c r="I105" i="17"/>
  <c r="I107" i="17" s="1"/>
  <c r="I285" i="17"/>
  <c r="I287" i="17" s="1"/>
  <c r="J288" i="17" s="1"/>
  <c r="J290" i="17" s="1"/>
  <c r="I45" i="17"/>
  <c r="I47" i="17" s="1"/>
  <c r="J48" i="17" s="1"/>
  <c r="J50" i="17" s="1"/>
  <c r="I345" i="17"/>
  <c r="I347" i="17" s="1"/>
  <c r="J348" i="17" s="1"/>
  <c r="J350" i="17" s="1"/>
  <c r="I225" i="17"/>
  <c r="I227" i="17" s="1"/>
  <c r="J228" i="17" s="1"/>
  <c r="J230" i="17" s="1"/>
  <c r="I105" i="16"/>
  <c r="I107" i="16" s="1"/>
  <c r="J110" i="16" s="1"/>
  <c r="I165" i="16"/>
  <c r="I167" i="16" s="1"/>
  <c r="J168" i="16" s="1"/>
  <c r="J170" i="16" s="1"/>
  <c r="I285" i="16"/>
  <c r="I287" i="16" s="1"/>
  <c r="J288" i="16" s="1"/>
  <c r="J290" i="16" s="1"/>
  <c r="I345" i="16"/>
  <c r="I347" i="16" s="1"/>
  <c r="J348" i="16" s="1"/>
  <c r="J350" i="16" s="1"/>
  <c r="I45" i="16"/>
  <c r="I47" i="16" s="1"/>
  <c r="J48" i="16" s="1"/>
  <c r="J50" i="16" s="1"/>
  <c r="I225" i="16"/>
  <c r="I227" i="16" s="1"/>
  <c r="J228" i="16" s="1"/>
  <c r="J230" i="16" s="1"/>
  <c r="I405" i="16"/>
  <c r="I407" i="16" s="1"/>
  <c r="J408" i="16" s="1"/>
  <c r="J410" i="16" s="1"/>
  <c r="I345" i="15"/>
  <c r="I347" i="15" s="1"/>
  <c r="J348" i="15" s="1"/>
  <c r="J350" i="15" s="1"/>
  <c r="I45" i="15"/>
  <c r="I47" i="15" s="1"/>
  <c r="J48" i="15" s="1"/>
  <c r="J50" i="15" s="1"/>
  <c r="I165" i="15"/>
  <c r="I167" i="15" s="1"/>
  <c r="J168" i="15" s="1"/>
  <c r="J170" i="15" s="1"/>
  <c r="I405" i="15"/>
  <c r="I407" i="15" s="1"/>
  <c r="J408" i="15" s="1"/>
  <c r="J410" i="15" s="1"/>
  <c r="I105" i="15"/>
  <c r="I107" i="15" s="1"/>
  <c r="J108" i="15" s="1"/>
  <c r="J110" i="15" s="1"/>
  <c r="I225" i="15"/>
  <c r="I227" i="15" s="1"/>
  <c r="J228" i="15" s="1"/>
  <c r="J230" i="15" s="1"/>
  <c r="I285" i="15"/>
  <c r="I287" i="15" s="1"/>
  <c r="J288" i="15" s="1"/>
  <c r="J290" i="15" s="1"/>
  <c r="I45" i="14"/>
  <c r="I47" i="14" s="1"/>
  <c r="J48" i="14" s="1"/>
  <c r="J50" i="14" s="1"/>
  <c r="I165" i="14"/>
  <c r="I167" i="14" s="1"/>
  <c r="J168" i="14" s="1"/>
  <c r="J170" i="14" s="1"/>
  <c r="I345" i="14"/>
  <c r="I347" i="14" s="1"/>
  <c r="J348" i="14" s="1"/>
  <c r="J350" i="14" s="1"/>
  <c r="I105" i="14"/>
  <c r="I107" i="14" s="1"/>
  <c r="J108" i="14" s="1"/>
  <c r="J110" i="14" s="1"/>
  <c r="I405" i="14"/>
  <c r="I407" i="14" s="1"/>
  <c r="J408" i="14" s="1"/>
  <c r="J410" i="14" s="1"/>
  <c r="J415" i="14" s="1"/>
  <c r="J416" i="14" s="1"/>
  <c r="L417" i="14" s="1"/>
  <c r="I285" i="14"/>
  <c r="I287" i="14" s="1"/>
  <c r="J288" i="14" s="1"/>
  <c r="J290" i="14" s="1"/>
  <c r="J295" i="14" s="1"/>
  <c r="J296" i="14" s="1"/>
  <c r="L297" i="14" s="1"/>
  <c r="I225" i="14"/>
  <c r="I227" i="14" s="1"/>
  <c r="J228" i="14" s="1"/>
  <c r="J230" i="14" s="1"/>
  <c r="J235" i="14" s="1"/>
  <c r="J236" i="14" s="1"/>
  <c r="L237" i="14" s="1"/>
  <c r="I345" i="12"/>
  <c r="I347" i="12" s="1"/>
  <c r="J348" i="12" s="1"/>
  <c r="J350" i="12" s="1"/>
  <c r="J355" i="12" s="1"/>
  <c r="J356" i="12" s="1"/>
  <c r="L357" i="12" s="1"/>
  <c r="I105" i="12"/>
  <c r="I107" i="12" s="1"/>
  <c r="J108" i="12" s="1"/>
  <c r="I165" i="12"/>
  <c r="I167" i="12" s="1"/>
  <c r="J168" i="12" s="1"/>
  <c r="I405" i="12"/>
  <c r="I407" i="12" s="1"/>
  <c r="J408" i="12" s="1"/>
  <c r="J410" i="12" s="1"/>
  <c r="I45" i="12"/>
  <c r="I47" i="12" s="1"/>
  <c r="J48" i="12" s="1"/>
  <c r="I225" i="12"/>
  <c r="I227" i="12" s="1"/>
  <c r="J228" i="12" s="1"/>
  <c r="J230" i="12" s="1"/>
  <c r="I285" i="12"/>
  <c r="I287" i="12" s="1"/>
  <c r="J288" i="12" s="1"/>
  <c r="J290" i="12" s="1"/>
  <c r="J295" i="12" s="1"/>
  <c r="J296" i="12" s="1"/>
  <c r="L297" i="12" s="1"/>
  <c r="I105" i="10"/>
  <c r="I107" i="10" s="1"/>
  <c r="J108" i="10" s="1"/>
  <c r="J110" i="10" s="1"/>
  <c r="I45" i="10"/>
  <c r="I47" i="10" s="1"/>
  <c r="J48" i="10" s="1"/>
  <c r="J50" i="10" s="1"/>
  <c r="I345" i="10"/>
  <c r="I347" i="10" s="1"/>
  <c r="J348" i="10" s="1"/>
  <c r="I405" i="10"/>
  <c r="I407" i="10" s="1"/>
  <c r="J408" i="10" s="1"/>
  <c r="I285" i="10"/>
  <c r="I287" i="10" s="1"/>
  <c r="J288" i="10" s="1"/>
  <c r="I225" i="10"/>
  <c r="I227" i="10" s="1"/>
  <c r="J228" i="10" s="1"/>
  <c r="J230" i="10" s="1"/>
  <c r="I165" i="10"/>
  <c r="I167" i="10" s="1"/>
  <c r="J168" i="10" s="1"/>
  <c r="J170" i="10" s="1"/>
  <c r="I225" i="9"/>
  <c r="I227" i="9" s="1"/>
  <c r="J228" i="9" s="1"/>
  <c r="J230" i="9" s="1"/>
  <c r="I405" i="9"/>
  <c r="I407" i="9" s="1"/>
  <c r="J408" i="9" s="1"/>
  <c r="J410" i="9" s="1"/>
  <c r="I45" i="9"/>
  <c r="I47" i="9" s="1"/>
  <c r="J48" i="9" s="1"/>
  <c r="J50" i="9" s="1"/>
  <c r="I285" i="9"/>
  <c r="I287" i="9" s="1"/>
  <c r="J288" i="9" s="1"/>
  <c r="J290" i="9" s="1"/>
  <c r="I345" i="9"/>
  <c r="I347" i="9" s="1"/>
  <c r="J348" i="9" s="1"/>
  <c r="J350" i="9" s="1"/>
  <c r="I105" i="9"/>
  <c r="I107" i="9" s="1"/>
  <c r="J108" i="9" s="1"/>
  <c r="J110" i="9" s="1"/>
  <c r="I165" i="9"/>
  <c r="I167" i="9" s="1"/>
  <c r="J168" i="9" s="1"/>
  <c r="J170" i="9" s="1"/>
  <c r="I225" i="8"/>
  <c r="I227" i="8" s="1"/>
  <c r="J228" i="8" s="1"/>
  <c r="J230" i="8" s="1"/>
  <c r="J235" i="8" s="1"/>
  <c r="J236" i="8" s="1"/>
  <c r="L237" i="8" s="1"/>
  <c r="I45" i="8"/>
  <c r="I47" i="8" s="1"/>
  <c r="J48" i="8" s="1"/>
  <c r="J50" i="8" s="1"/>
  <c r="I165" i="8"/>
  <c r="I167" i="8" s="1"/>
  <c r="J168" i="8" s="1"/>
  <c r="J170" i="8" s="1"/>
  <c r="I105" i="8"/>
  <c r="I107" i="8" s="1"/>
  <c r="J108" i="8" s="1"/>
  <c r="J110" i="8" s="1"/>
  <c r="I285" i="8"/>
  <c r="I287" i="8" s="1"/>
  <c r="J288" i="8" s="1"/>
  <c r="J290" i="8" s="1"/>
  <c r="I345" i="8"/>
  <c r="I347" i="8" s="1"/>
  <c r="J348" i="8" s="1"/>
  <c r="J350" i="8" s="1"/>
  <c r="I405" i="8"/>
  <c r="I407" i="8" s="1"/>
  <c r="J408" i="8" s="1"/>
  <c r="J410" i="8" s="1"/>
  <c r="J415" i="8" s="1"/>
  <c r="J416" i="8" s="1"/>
  <c r="L417" i="8" s="1"/>
  <c r="I405" i="6"/>
  <c r="I407" i="6" s="1"/>
  <c r="J408" i="6" s="1"/>
  <c r="I345" i="6"/>
  <c r="I347" i="6" s="1"/>
  <c r="J348" i="6" s="1"/>
  <c r="I285" i="6"/>
  <c r="I287" i="6" s="1"/>
  <c r="J288" i="6" s="1"/>
  <c r="I225" i="6"/>
  <c r="I227" i="6" s="1"/>
  <c r="J228" i="6" s="1"/>
  <c r="I165" i="6"/>
  <c r="I167" i="6" s="1"/>
  <c r="J168" i="6" s="1"/>
  <c r="I105" i="6"/>
  <c r="I107" i="6" s="1"/>
  <c r="J108" i="6" s="1"/>
  <c r="I45" i="6"/>
  <c r="I47" i="6" s="1"/>
  <c r="J48" i="6" s="1"/>
  <c r="O7" i="4" l="1"/>
  <c r="O11" i="4"/>
  <c r="O8" i="4"/>
  <c r="O6" i="4"/>
  <c r="O10" i="4"/>
  <c r="D116" i="16"/>
  <c r="F6" i="2"/>
  <c r="J115" i="16"/>
  <c r="J116" i="16" s="1"/>
  <c r="L117" i="16" s="1"/>
  <c r="O5" i="4"/>
  <c r="D296" i="8"/>
  <c r="L9" i="2"/>
  <c r="D116" i="9"/>
  <c r="M6" i="2"/>
  <c r="D56" i="10"/>
  <c r="B5" i="2"/>
  <c r="J110" i="12"/>
  <c r="D116" i="12" s="1"/>
  <c r="C6" i="2"/>
  <c r="D56" i="14"/>
  <c r="D5" i="2"/>
  <c r="D356" i="16"/>
  <c r="F10" i="2"/>
  <c r="D56" i="18"/>
  <c r="H5" i="2"/>
  <c r="D56" i="20"/>
  <c r="I5" i="2"/>
  <c r="D176" i="8"/>
  <c r="L7" i="2"/>
  <c r="D236" i="10"/>
  <c r="B8" i="2"/>
  <c r="D236" i="14"/>
  <c r="D8" i="2"/>
  <c r="D176" i="14"/>
  <c r="D7" i="2"/>
  <c r="D56" i="15"/>
  <c r="E5" i="2"/>
  <c r="D56" i="17"/>
  <c r="G5" i="2"/>
  <c r="D416" i="20"/>
  <c r="I11" i="2"/>
  <c r="D416" i="21"/>
  <c r="J11" i="2"/>
  <c r="D356" i="21"/>
  <c r="J10" i="2"/>
  <c r="D116" i="8"/>
  <c r="L6" i="2"/>
  <c r="D296" i="9"/>
  <c r="M9" i="2"/>
  <c r="D176" i="10"/>
  <c r="B7" i="2"/>
  <c r="J350" i="10"/>
  <c r="B10" i="2"/>
  <c r="D296" i="12"/>
  <c r="C9" i="2"/>
  <c r="D416" i="12"/>
  <c r="C11" i="2"/>
  <c r="D356" i="14"/>
  <c r="D10" i="2"/>
  <c r="D296" i="15"/>
  <c r="E9" i="2"/>
  <c r="D176" i="15"/>
  <c r="E7" i="2"/>
  <c r="D236" i="16"/>
  <c r="F8" i="2"/>
  <c r="D176" i="16"/>
  <c r="F7" i="2"/>
  <c r="D356" i="17"/>
  <c r="G10" i="2"/>
  <c r="D236" i="18"/>
  <c r="H8" i="2"/>
  <c r="D356" i="18"/>
  <c r="H10" i="2"/>
  <c r="D176" i="21"/>
  <c r="J7" i="2"/>
  <c r="D56" i="21"/>
  <c r="J5" i="2"/>
  <c r="D56" i="8"/>
  <c r="L5" i="2"/>
  <c r="D416" i="9"/>
  <c r="M11" i="2"/>
  <c r="J290" i="10"/>
  <c r="D296" i="10" s="1"/>
  <c r="B9" i="2"/>
  <c r="D236" i="12"/>
  <c r="C8" i="2"/>
  <c r="D116" i="15"/>
  <c r="E6" i="2"/>
  <c r="D356" i="15"/>
  <c r="E10" i="2"/>
  <c r="D296" i="17"/>
  <c r="G9" i="2"/>
  <c r="D416" i="17"/>
  <c r="G11" i="2"/>
  <c r="D176" i="18"/>
  <c r="H7" i="2"/>
  <c r="D356" i="20"/>
  <c r="I10" i="2"/>
  <c r="D296" i="21"/>
  <c r="J9" i="2"/>
  <c r="D356" i="8"/>
  <c r="L10" i="2"/>
  <c r="D176" i="9"/>
  <c r="M7" i="2"/>
  <c r="D56" i="9"/>
  <c r="M5" i="2"/>
  <c r="J170" i="12"/>
  <c r="D176" i="12" s="1"/>
  <c r="C7" i="2"/>
  <c r="D416" i="14"/>
  <c r="D11" i="2"/>
  <c r="D236" i="15"/>
  <c r="E8" i="2"/>
  <c r="D56" i="16"/>
  <c r="F5" i="2"/>
  <c r="D176" i="17"/>
  <c r="G7" i="2"/>
  <c r="D296" i="18"/>
  <c r="H9" i="2"/>
  <c r="D296" i="20"/>
  <c r="I9" i="2"/>
  <c r="D416" i="8"/>
  <c r="L11" i="2"/>
  <c r="D236" i="8"/>
  <c r="L8" i="2"/>
  <c r="D356" i="9"/>
  <c r="M10" i="2"/>
  <c r="D236" i="9"/>
  <c r="M8" i="2"/>
  <c r="J410" i="10"/>
  <c r="D416" i="10" s="1"/>
  <c r="B11" i="2"/>
  <c r="D116" i="10"/>
  <c r="B6" i="2"/>
  <c r="J50" i="12"/>
  <c r="D56" i="12" s="1"/>
  <c r="C5" i="2"/>
  <c r="D356" i="12"/>
  <c r="C10" i="2"/>
  <c r="D296" i="14"/>
  <c r="D9" i="2"/>
  <c r="D116" i="14"/>
  <c r="D6" i="2"/>
  <c r="D416" i="15"/>
  <c r="E11" i="2"/>
  <c r="D416" i="16"/>
  <c r="F11" i="2"/>
  <c r="D296" i="16"/>
  <c r="F9" i="2"/>
  <c r="D236" i="17"/>
  <c r="G8" i="2"/>
  <c r="D416" i="18"/>
  <c r="H11" i="2"/>
  <c r="D176" i="20"/>
  <c r="I7" i="2"/>
  <c r="D236" i="20"/>
  <c r="I8" i="2"/>
  <c r="D236" i="21"/>
  <c r="J8" i="2"/>
  <c r="J295" i="8"/>
  <c r="J296" i="8" s="1"/>
  <c r="L297" i="8" s="1"/>
  <c r="J55" i="14"/>
  <c r="J56" i="14" s="1"/>
  <c r="L57" i="14" s="1"/>
  <c r="J55" i="18"/>
  <c r="J56" i="18" s="1"/>
  <c r="L57" i="18" s="1"/>
  <c r="J175" i="18"/>
  <c r="J176" i="18" s="1"/>
  <c r="L177" i="18" s="1"/>
  <c r="J415" i="21"/>
  <c r="J416" i="21" s="1"/>
  <c r="L417" i="21" s="1"/>
  <c r="J235" i="21"/>
  <c r="J236" i="21" s="1"/>
  <c r="L237" i="21" s="1"/>
  <c r="J295" i="21"/>
  <c r="J296" i="21" s="1"/>
  <c r="L297" i="21" s="1"/>
  <c r="J55" i="21"/>
  <c r="J56" i="21" s="1"/>
  <c r="L57" i="21" s="1"/>
  <c r="J355" i="20"/>
  <c r="J356" i="20" s="1"/>
  <c r="L357" i="20" s="1"/>
  <c r="J295" i="20"/>
  <c r="J296" i="20" s="1"/>
  <c r="L297" i="20" s="1"/>
  <c r="J415" i="20"/>
  <c r="J416" i="20" s="1"/>
  <c r="L417" i="20" s="1"/>
  <c r="J55" i="20"/>
  <c r="J56" i="20" s="1"/>
  <c r="L57" i="20" s="1"/>
  <c r="J415" i="18"/>
  <c r="J416" i="18" s="1"/>
  <c r="L417" i="18" s="1"/>
  <c r="J355" i="18"/>
  <c r="J356" i="18" s="1"/>
  <c r="L357" i="18" s="1"/>
  <c r="J235" i="17"/>
  <c r="J236" i="17" s="1"/>
  <c r="L237" i="17" s="1"/>
  <c r="J175" i="17"/>
  <c r="J176" i="17" s="1"/>
  <c r="L177" i="17" s="1"/>
  <c r="J170" i="6"/>
  <c r="D176" i="6" s="1"/>
  <c r="K7" i="2"/>
  <c r="J110" i="6"/>
  <c r="D116" i="6" s="1"/>
  <c r="K6" i="2"/>
  <c r="J50" i="6"/>
  <c r="D56" i="6" s="1"/>
  <c r="K5" i="2"/>
  <c r="J290" i="6"/>
  <c r="K9" i="2"/>
  <c r="J175" i="9"/>
  <c r="J176" i="9" s="1"/>
  <c r="L177" i="9" s="1"/>
  <c r="J295" i="16"/>
  <c r="J296" i="16" s="1"/>
  <c r="L297" i="16" s="1"/>
  <c r="J55" i="17"/>
  <c r="J56" i="17" s="1"/>
  <c r="L57" i="17" s="1"/>
  <c r="J350" i="6"/>
  <c r="D356" i="6" s="1"/>
  <c r="K10" i="2"/>
  <c r="J230" i="6"/>
  <c r="J235" i="6" s="1"/>
  <c r="J236" i="6" s="1"/>
  <c r="L237" i="6" s="1"/>
  <c r="J410" i="6"/>
  <c r="K11" i="2"/>
  <c r="J295" i="15"/>
  <c r="J296" i="15" s="1"/>
  <c r="L297" i="15" s="1"/>
  <c r="J415" i="16"/>
  <c r="J416" i="16" s="1"/>
  <c r="L417" i="16" s="1"/>
  <c r="J415" i="17"/>
  <c r="J416" i="17" s="1"/>
  <c r="L417" i="17" s="1"/>
  <c r="J355" i="17"/>
  <c r="J356" i="17" s="1"/>
  <c r="L357" i="17" s="1"/>
  <c r="J295" i="17"/>
  <c r="J296" i="17" s="1"/>
  <c r="L297" i="17" s="1"/>
  <c r="J355" i="15"/>
  <c r="J356" i="15" s="1"/>
  <c r="L357" i="15" s="1"/>
  <c r="J175" i="16"/>
  <c r="J176" i="16" s="1"/>
  <c r="L177" i="16" s="1"/>
  <c r="J55" i="16"/>
  <c r="J56" i="16" s="1"/>
  <c r="L57" i="16" s="1"/>
  <c r="J355" i="16"/>
  <c r="J356" i="16" s="1"/>
  <c r="L357" i="16" s="1"/>
  <c r="J235" i="16"/>
  <c r="J236" i="16" s="1"/>
  <c r="L237" i="16" s="1"/>
  <c r="J175" i="15"/>
  <c r="J176" i="15" s="1"/>
  <c r="L177" i="15" s="1"/>
  <c r="J115" i="15"/>
  <c r="J116" i="15" s="1"/>
  <c r="L117" i="15" s="1"/>
  <c r="J235" i="15"/>
  <c r="J236" i="15" s="1"/>
  <c r="L237" i="15" s="1"/>
  <c r="J415" i="15"/>
  <c r="J416" i="15" s="1"/>
  <c r="L417" i="15" s="1"/>
  <c r="J55" i="15"/>
  <c r="J56" i="15" s="1"/>
  <c r="L57" i="15" s="1"/>
  <c r="J355" i="14"/>
  <c r="J356" i="14" s="1"/>
  <c r="L357" i="14" s="1"/>
  <c r="J175" i="14"/>
  <c r="J176" i="14" s="1"/>
  <c r="L177" i="14" s="1"/>
  <c r="J115" i="14"/>
  <c r="J116" i="14" s="1"/>
  <c r="L117" i="14" s="1"/>
  <c r="J415" i="9"/>
  <c r="J416" i="9" s="1"/>
  <c r="L417" i="9" s="1"/>
  <c r="J355" i="9"/>
  <c r="J356" i="9" s="1"/>
  <c r="L357" i="9" s="1"/>
  <c r="J295" i="9"/>
  <c r="J296" i="9" s="1"/>
  <c r="L297" i="9" s="1"/>
  <c r="J235" i="9"/>
  <c r="J236" i="9" s="1"/>
  <c r="L237" i="9" s="1"/>
  <c r="J115" i="9"/>
  <c r="J116" i="9" s="1"/>
  <c r="L117" i="9" s="1"/>
  <c r="J55" i="9"/>
  <c r="J56" i="9" s="1"/>
  <c r="L57" i="9" s="1"/>
  <c r="J175" i="8"/>
  <c r="J176" i="8" s="1"/>
  <c r="L177" i="8" s="1"/>
  <c r="J415" i="12"/>
  <c r="J416" i="12" s="1"/>
  <c r="L417" i="12" s="1"/>
  <c r="J235" i="12"/>
  <c r="J236" i="12" s="1"/>
  <c r="L237" i="12" s="1"/>
  <c r="J175" i="10"/>
  <c r="J176" i="10" s="1"/>
  <c r="L177" i="10" s="1"/>
  <c r="J115" i="10"/>
  <c r="J116" i="10" s="1"/>
  <c r="L117" i="10" s="1"/>
  <c r="J55" i="10"/>
  <c r="J56" i="10" s="1"/>
  <c r="L57" i="10" s="1"/>
  <c r="J235" i="10"/>
  <c r="J236" i="10" s="1"/>
  <c r="L237" i="10" s="1"/>
  <c r="J355" i="8"/>
  <c r="J356" i="8" s="1"/>
  <c r="L357" i="8" s="1"/>
  <c r="J115" i="8"/>
  <c r="J116" i="8" s="1"/>
  <c r="L117" i="8" s="1"/>
  <c r="J55" i="8"/>
  <c r="J56" i="8" s="1"/>
  <c r="L57" i="8" s="1"/>
  <c r="J175" i="6" l="1"/>
  <c r="J176" i="6" s="1"/>
  <c r="L177" i="6" s="1"/>
  <c r="J295" i="10"/>
  <c r="J296" i="10" s="1"/>
  <c r="L297" i="10" s="1"/>
  <c r="J115" i="6"/>
  <c r="J116" i="6" s="1"/>
  <c r="L117" i="6" s="1"/>
  <c r="J115" i="12"/>
  <c r="J116" i="12" s="1"/>
  <c r="L117" i="12" s="1"/>
  <c r="J55" i="12"/>
  <c r="J56" i="12" s="1"/>
  <c r="L57" i="12" s="1"/>
  <c r="J415" i="10"/>
  <c r="J416" i="10" s="1"/>
  <c r="L417" i="10" s="1"/>
  <c r="N5" i="2"/>
  <c r="P5" i="4" s="1"/>
  <c r="Q5" i="4" s="1"/>
  <c r="D236" i="6"/>
  <c r="K8" i="2"/>
  <c r="N8" i="2" s="1"/>
  <c r="P8" i="4" s="1"/>
  <c r="Q8" i="4" s="1"/>
  <c r="J355" i="6"/>
  <c r="J356" i="6" s="1"/>
  <c r="L357" i="6" s="1"/>
  <c r="N9" i="2"/>
  <c r="P9" i="4" s="1"/>
  <c r="N10" i="2"/>
  <c r="P10" i="4" s="1"/>
  <c r="Q10" i="4" s="1"/>
  <c r="N6" i="2"/>
  <c r="P6" i="4" s="1"/>
  <c r="Q6" i="4" s="1"/>
  <c r="D356" i="10"/>
  <c r="J355" i="10"/>
  <c r="J356" i="10" s="1"/>
  <c r="L357" i="10" s="1"/>
  <c r="N11" i="2"/>
  <c r="P11" i="4" s="1"/>
  <c r="Q11" i="4" s="1"/>
  <c r="J175" i="12"/>
  <c r="J176" i="12" s="1"/>
  <c r="L177" i="12" s="1"/>
  <c r="N7" i="2"/>
  <c r="P7" i="4" s="1"/>
  <c r="Q7" i="4" s="1"/>
  <c r="D416" i="6"/>
  <c r="J415" i="6"/>
  <c r="J416" i="6" s="1"/>
  <c r="L417" i="6" s="1"/>
  <c r="D296" i="6"/>
  <c r="J295" i="6"/>
  <c r="J296" i="6" s="1"/>
  <c r="L297" i="6" s="1"/>
  <c r="J55" i="6"/>
  <c r="J56" i="6" s="1"/>
  <c r="L57" i="6" s="1"/>
  <c r="O9" i="4"/>
  <c r="Q9" i="4" s="1"/>
</calcChain>
</file>

<file path=xl/sharedStrings.xml><?xml version="1.0" encoding="utf-8"?>
<sst xmlns="http://schemas.openxmlformats.org/spreadsheetml/2006/main" count="6765" uniqueCount="200">
  <si>
    <t>AMMOR Sabir</t>
  </si>
  <si>
    <t>AALMI Loubna</t>
  </si>
  <si>
    <t>BENCHEKROUN Nabil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</si>
  <si>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</si>
  <si>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</si>
  <si>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</si>
  <si>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</si>
  <si>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</si>
  <si>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</si>
  <si>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</si>
  <si>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</si>
  <si>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</si>
  <si>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</si>
  <si>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</si>
  <si>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</si>
  <si>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IR calculé chaque mois</t>
  </si>
  <si>
    <t>TOTAL</t>
  </si>
  <si>
    <t>Raja AL AISSAOUI</t>
  </si>
  <si>
    <t>HAMRI Hassania</t>
  </si>
  <si>
    <t xml:space="preserve"> BENKHADDA Fatima</t>
  </si>
  <si>
    <t>EZZAIM Abdelaziz</t>
  </si>
  <si>
    <t>SBI</t>
  </si>
  <si>
    <t>CNSS</t>
  </si>
  <si>
    <t xml:space="preserve">CIMR </t>
  </si>
  <si>
    <t>AMO</t>
  </si>
  <si>
    <t>AUTRES</t>
  </si>
  <si>
    <t xml:space="preserve">ZALASSUR 2016 </t>
  </si>
  <si>
    <t>Affiliation CNSS 8531536</t>
  </si>
  <si>
    <t>6, Rue El Kadi Iass 1er étage -Maarif- Casablanca, Maroc</t>
  </si>
  <si>
    <t xml:space="preserve">BULLETIN DE PAIE </t>
  </si>
  <si>
    <t xml:space="preserve">MATRICULE </t>
  </si>
  <si>
    <t>Nom et Prénom</t>
  </si>
  <si>
    <t>Période de paie</t>
  </si>
  <si>
    <t>AMMOR SABIR</t>
  </si>
  <si>
    <t>Date emb.</t>
  </si>
  <si>
    <t>N° CIN</t>
  </si>
  <si>
    <t>Date de naissance</t>
  </si>
  <si>
    <t>SF</t>
  </si>
  <si>
    <t>NE</t>
  </si>
  <si>
    <t>ND</t>
  </si>
  <si>
    <t>Adresse du salarié</t>
  </si>
  <si>
    <t>M</t>
  </si>
  <si>
    <t>N° CNSS</t>
  </si>
  <si>
    <t>N° CIMR</t>
  </si>
  <si>
    <t>Service</t>
  </si>
  <si>
    <t xml:space="preserve">Mode de paiement </t>
  </si>
  <si>
    <t xml:space="preserve">Fonction </t>
  </si>
  <si>
    <t>VIREMENT</t>
  </si>
  <si>
    <t>RESPONSABLE AUTO</t>
  </si>
  <si>
    <t>Rubrique</t>
  </si>
  <si>
    <t>Base</t>
  </si>
  <si>
    <t>Nbr. Ou Taux</t>
  </si>
  <si>
    <t>Part salariale</t>
  </si>
  <si>
    <t>Part patronale</t>
  </si>
  <si>
    <t>Gains</t>
  </si>
  <si>
    <t>Retenus</t>
  </si>
  <si>
    <t xml:space="preserve">Taux </t>
  </si>
  <si>
    <t>Montant</t>
  </si>
  <si>
    <t>Salaire de base</t>
  </si>
  <si>
    <t xml:space="preserve">Salaire de base retraité </t>
  </si>
  <si>
    <t>Jours travaillés</t>
  </si>
  <si>
    <t>Congés consommés</t>
  </si>
  <si>
    <t>Reprises absence ( Jours )</t>
  </si>
  <si>
    <t>Reprise absence ( Heures )</t>
  </si>
  <si>
    <t>Rappel ( Jours )</t>
  </si>
  <si>
    <t>Rappel ( Heures )</t>
  </si>
  <si>
    <t>Heures supplémentaires</t>
  </si>
  <si>
    <t>Primes Imposables</t>
  </si>
  <si>
    <t xml:space="preserve">+ Prime d'ancienneté </t>
  </si>
  <si>
    <t>+Autres primes imposables</t>
  </si>
  <si>
    <t>Primes non imposables</t>
  </si>
  <si>
    <t>Indemnité de déplacement</t>
  </si>
  <si>
    <t>Indemnité de représentation</t>
  </si>
  <si>
    <t>+ Autres indemnités exonérées</t>
  </si>
  <si>
    <t>Salaire brut</t>
  </si>
  <si>
    <t>Brut soumis à la CNSS</t>
  </si>
  <si>
    <t>Cotisations à la CNSS</t>
  </si>
  <si>
    <t>CIMR</t>
  </si>
  <si>
    <t>Retraite spéciale épargne</t>
  </si>
  <si>
    <t>Retraite complémentaire</t>
  </si>
  <si>
    <t>Mutuelle</t>
  </si>
  <si>
    <t>Mutuelle complémentaire</t>
  </si>
  <si>
    <t xml:space="preserve">Prestations d'allocations familiales </t>
  </si>
  <si>
    <t xml:space="preserve">Taxe formation professionnelle </t>
  </si>
  <si>
    <t>Total Cotisations</t>
  </si>
  <si>
    <t>Frais professionnels</t>
  </si>
  <si>
    <t xml:space="preserve">Salaire brut Imposable </t>
  </si>
  <si>
    <t xml:space="preserve">Déduction personnes à charge </t>
  </si>
  <si>
    <t xml:space="preserve">Salaire Net Imposable </t>
  </si>
  <si>
    <t>IRB</t>
  </si>
  <si>
    <t>Déductions</t>
  </si>
  <si>
    <t>IR Net</t>
  </si>
  <si>
    <t>Retenue Ticket repas</t>
  </si>
  <si>
    <t>Retenue prêt</t>
  </si>
  <si>
    <t>Arrondi</t>
  </si>
  <si>
    <t>Cumul Brut</t>
  </si>
  <si>
    <t>Cumul imposable</t>
  </si>
  <si>
    <t>Cumul CNSS</t>
  </si>
  <si>
    <t>Cumul IR</t>
  </si>
  <si>
    <t>Cumul Net</t>
  </si>
  <si>
    <t>TOTAL PP</t>
  </si>
  <si>
    <t xml:space="preserve">Net à payer </t>
  </si>
  <si>
    <t>Cumul PP</t>
  </si>
  <si>
    <t>Coût salarié</t>
  </si>
  <si>
    <t>EL AISSAOUI RAJA</t>
  </si>
  <si>
    <t>GERANTE</t>
  </si>
  <si>
    <t>ALAMI LOUBNA</t>
  </si>
  <si>
    <t>-</t>
  </si>
  <si>
    <t>EZZAIM ABDELAZIZ</t>
  </si>
  <si>
    <t>RESPONSABLE</t>
  </si>
  <si>
    <t>BENKHADDA FATIMA</t>
  </si>
  <si>
    <t>C</t>
  </si>
  <si>
    <t>HAMRI HASSANIA</t>
  </si>
  <si>
    <t>BENCHEKROUN NABIL</t>
  </si>
  <si>
    <t>TECHNICIEN</t>
  </si>
  <si>
    <t>Salaire net imposable</t>
  </si>
  <si>
    <t xml:space="preserve">  </t>
  </si>
  <si>
    <t>Cotisations</t>
  </si>
  <si>
    <t>SB soumis à la CNSS</t>
  </si>
  <si>
    <t>FP</t>
  </si>
  <si>
    <t>SNI</t>
  </si>
  <si>
    <t>Brarème IR</t>
  </si>
  <si>
    <t>IR Brut</t>
  </si>
  <si>
    <t>Ret,Spéc,Ep</t>
  </si>
  <si>
    <t>Taux de cotisations CNSS</t>
  </si>
  <si>
    <t>Catégorie de prestation</t>
  </si>
  <si>
    <t>Base de calcul</t>
  </si>
  <si>
    <t>Taux Charge patronale</t>
  </si>
  <si>
    <t>Taux Charge Salariale</t>
  </si>
  <si>
    <t>Taux Global</t>
  </si>
  <si>
    <t>1- Prestations Familiales</t>
  </si>
  <si>
    <t>Le total des salaires réels de la période (mois/trimestre)</t>
  </si>
  <si>
    <t>6,40%</t>
  </si>
  <si>
    <t>--</t>
  </si>
  <si>
    <t>2- Prestations sociales à court terme*</t>
  </si>
  <si>
    <t>Le total des salaires plafonnés (chacun plafonné à 6000 dhs)</t>
  </si>
  <si>
    <t>1,05%</t>
  </si>
  <si>
    <t>0,52%</t>
  </si>
  <si>
    <t>1,57%</t>
  </si>
  <si>
    <t>3- Prestations sociales à long terme</t>
  </si>
  <si>
    <t>7,93%</t>
  </si>
  <si>
    <t>3,96%</t>
  </si>
  <si>
    <t>11,89%</t>
  </si>
  <si>
    <t>4- Assurance Maladie Obligatoire</t>
  </si>
  <si>
    <t>4,11%</t>
  </si>
  <si>
    <t>2,26%</t>
  </si>
  <si>
    <t>6,37%</t>
  </si>
  <si>
    <t>5- Taxe de formation professionnelle</t>
  </si>
  <si>
    <t>1,6 %</t>
  </si>
  <si>
    <t>* Dont 0,57% relatif à l'Indemnité pour perte d'emploi réparti comme suit : la charge patronale est de 0,38% et la charge salariale est de 0,19%.</t>
  </si>
  <si>
    <t>Calcul de IR</t>
  </si>
  <si>
    <t>Barème IR</t>
  </si>
  <si>
    <t>Tranche annuelle</t>
  </si>
  <si>
    <t>Taux</t>
  </si>
  <si>
    <t>Tranche revenu mensuel</t>
  </si>
  <si>
    <t>Déductions/An</t>
  </si>
  <si>
    <t>Déductions/Mois</t>
  </si>
  <si>
    <t>[0 ;30 000[</t>
  </si>
  <si>
    <t>[0 ;2 500[</t>
  </si>
  <si>
    <t>[30 000 ;50 000[</t>
  </si>
  <si>
    <t>[2 500 ;4 166,67[</t>
  </si>
  <si>
    <t>[50 000 ;60 000[</t>
  </si>
  <si>
    <t>[4 166,67;5 000[</t>
  </si>
  <si>
    <t>[60 000 ;80 000[</t>
  </si>
  <si>
    <t>[5 000;6 666,67[</t>
  </si>
  <si>
    <t>[80 000 ;180 000[</t>
  </si>
  <si>
    <t>[6 666,67;15 000[</t>
  </si>
  <si>
    <t>&gt;180 000</t>
  </si>
  <si>
    <t>&gt;15 000</t>
  </si>
  <si>
    <t>Taux Cotisations CIMR ( Facultatifs )</t>
  </si>
  <si>
    <t>3%</t>
  </si>
  <si>
    <t>3.90%</t>
  </si>
  <si>
    <t>3.75%</t>
  </si>
  <si>
    <t>4.88%</t>
  </si>
  <si>
    <t>4.50%</t>
  </si>
  <si>
    <t>5.85%</t>
  </si>
  <si>
    <t>5.25%</t>
  </si>
  <si>
    <t>6.83%</t>
  </si>
  <si>
    <t>6%</t>
  </si>
  <si>
    <t>7.80%</t>
  </si>
  <si>
    <t>Taux de prime d'ancienneté</t>
  </si>
  <si>
    <t>Durée</t>
  </si>
  <si>
    <t>Après 2 ans de travail</t>
  </si>
  <si>
    <t>Après 5 ans de travail</t>
  </si>
  <si>
    <t>Après 12 ans de travail</t>
  </si>
  <si>
    <t>Après 20 ans de travail</t>
  </si>
  <si>
    <t>Après 25 ans de travail</t>
  </si>
  <si>
    <t>Selon Article 350 du Code de Travail</t>
  </si>
  <si>
    <t>Indémnité de représentation</t>
  </si>
  <si>
    <t>Plafond</t>
  </si>
  <si>
    <t>Conditions</t>
  </si>
  <si>
    <t>10% du Salaire de base</t>
  </si>
  <si>
    <t>Président Directeur Général, Directeur Général</t>
  </si>
  <si>
    <t xml:space="preserve">Directeur d’un département (Directeur Commercial, Directeur Financier, Directeur Administratif, Directeur Technique, Directeur des Ressources Humaines, Directeur d’une succursale) </t>
  </si>
  <si>
    <t>et Agent commercial</t>
  </si>
  <si>
    <t>Agent commercial</t>
  </si>
  <si>
    <t>Il est entendu par Directeur, le premier responsable des structures susmentionnées.</t>
  </si>
  <si>
    <t>NOTE CIRCULAIRE RELATIVE A L’ASSIETTE DE COTISATIONS A LA CNSS VERSION DE JANVIER 2005</t>
  </si>
  <si>
    <t>Total IR mensuel</t>
  </si>
  <si>
    <t>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</si>
</sst>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u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color indexed="53"/>
      <name val="Arial"/>
      <family val="2"/>
    </font>
    <font>
      <sz val="8"/>
      <color indexed="8"/>
      <name val="Arial"/>
      <family val="2"/>
    </font>
    <font>
      <b/>
      <u/>
      <sz val="10"/>
      <color indexed="3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16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0" fillId="2" borderId="11" xfId="0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vertical="center"/>
    </xf>
    <xf numFmtId="4" fontId="11" fillId="3" borderId="11" xfId="0" applyNumberFormat="1" applyFont="1" applyFill="1" applyBorder="1" applyAlignment="1">
      <alignment horizontal="right" vertical="center"/>
    </xf>
    <xf numFmtId="4" fontId="11" fillId="0" borderId="12" xfId="0" applyNumberFormat="1" applyFont="1" applyBorder="1" applyAlignment="1">
      <alignment vertical="center"/>
    </xf>
    <xf numFmtId="0" fontId="11" fillId="0" borderId="12" xfId="0" applyNumberFormat="1" applyFont="1" applyBorder="1" applyAlignment="1">
      <alignment horizontal="right" vertical="center"/>
    </xf>
    <xf numFmtId="4" fontId="11" fillId="2" borderId="13" xfId="0" applyNumberFormat="1" applyFont="1" applyFill="1" applyBorder="1" applyAlignment="1">
      <alignment vertical="center"/>
    </xf>
    <xf numFmtId="4" fontId="11" fillId="2" borderId="12" xfId="0" applyNumberFormat="1" applyFont="1" applyFill="1" applyBorder="1" applyAlignment="1">
      <alignment vertical="center"/>
    </xf>
    <xf numFmtId="4" fontId="11" fillId="0" borderId="14" xfId="0" applyNumberFormat="1" applyFont="1" applyBorder="1" applyAlignment="1">
      <alignment vertical="center"/>
    </xf>
    <xf numFmtId="4" fontId="11" fillId="0" borderId="15" xfId="0" applyNumberFormat="1" applyFont="1" applyBorder="1" applyAlignment="1">
      <alignment vertical="center"/>
    </xf>
    <xf numFmtId="4" fontId="11" fillId="2" borderId="16" xfId="0" applyNumberFormat="1" applyFont="1" applyFill="1" applyBorder="1" applyAlignment="1">
      <alignment vertical="center"/>
    </xf>
    <xf numFmtId="4" fontId="11" fillId="2" borderId="17" xfId="0" applyNumberFormat="1" applyFont="1" applyFill="1" applyBorder="1" applyAlignment="1">
      <alignment vertical="center"/>
    </xf>
    <xf numFmtId="9" fontId="11" fillId="0" borderId="12" xfId="0" applyNumberFormat="1" applyFont="1" applyBorder="1" applyAlignment="1">
      <alignment horizontal="right" vertical="center"/>
    </xf>
    <xf numFmtId="4" fontId="9" fillId="4" borderId="11" xfId="0" applyNumberFormat="1" applyFont="1" applyFill="1" applyBorder="1" applyAlignment="1">
      <alignment vertical="center"/>
    </xf>
    <xf numFmtId="4" fontId="9" fillId="4" borderId="11" xfId="0" applyNumberFormat="1" applyFont="1" applyFill="1" applyBorder="1" applyAlignment="1">
      <alignment horizontal="right" vertical="center"/>
    </xf>
    <xf numFmtId="10" fontId="11" fillId="0" borderId="12" xfId="0" applyNumberFormat="1" applyFont="1" applyBorder="1" applyAlignment="1">
      <alignment horizontal="right" vertical="center"/>
    </xf>
    <xf numFmtId="10" fontId="11" fillId="0" borderId="12" xfId="0" applyNumberFormat="1" applyFont="1" applyBorder="1" applyAlignment="1">
      <alignment vertical="center"/>
    </xf>
    <xf numFmtId="10" fontId="13" fillId="0" borderId="12" xfId="0" applyNumberFormat="1" applyFont="1" applyBorder="1" applyAlignment="1">
      <alignment vertical="center"/>
    </xf>
    <xf numFmtId="4" fontId="11" fillId="2" borderId="18" xfId="0" applyNumberFormat="1" applyFont="1" applyFill="1" applyBorder="1" applyAlignment="1">
      <alignment vertical="center"/>
    </xf>
    <xf numFmtId="4" fontId="11" fillId="2" borderId="19" xfId="0" applyNumberFormat="1" applyFont="1" applyFill="1" applyBorder="1" applyAlignment="1">
      <alignment horizontal="right" vertical="center"/>
    </xf>
    <xf numFmtId="4" fontId="11" fillId="2" borderId="19" xfId="0" applyNumberFormat="1" applyFont="1" applyFill="1" applyBorder="1" applyAlignment="1">
      <alignment vertical="center"/>
    </xf>
    <xf numFmtId="4" fontId="11" fillId="2" borderId="20" xfId="0" applyNumberFormat="1" applyFont="1" applyFill="1" applyBorder="1" applyAlignment="1">
      <alignment vertical="center"/>
    </xf>
    <xf numFmtId="4" fontId="11" fillId="2" borderId="21" xfId="0" applyNumberFormat="1" applyFont="1" applyFill="1" applyBorder="1" applyAlignment="1">
      <alignment vertical="center"/>
    </xf>
    <xf numFmtId="4" fontId="11" fillId="2" borderId="22" xfId="0" applyNumberFormat="1" applyFont="1" applyFill="1" applyBorder="1" applyAlignment="1">
      <alignment horizontal="right" vertical="center"/>
    </xf>
    <xf numFmtId="4" fontId="11" fillId="2" borderId="22" xfId="0" applyNumberFormat="1" applyFont="1" applyFill="1" applyBorder="1" applyAlignment="1">
      <alignment vertical="center"/>
    </xf>
    <xf numFmtId="4" fontId="11" fillId="2" borderId="23" xfId="0" applyNumberFormat="1" applyFont="1" applyFill="1" applyBorder="1" applyAlignment="1">
      <alignment vertical="center"/>
    </xf>
    <xf numFmtId="10" fontId="14" fillId="0" borderId="12" xfId="0" applyNumberFormat="1" applyFont="1" applyBorder="1" applyAlignment="1">
      <alignment horizontal="right" vertical="center"/>
    </xf>
    <xf numFmtId="4" fontId="11" fillId="2" borderId="0" xfId="0" applyNumberFormat="1" applyFont="1" applyFill="1" applyBorder="1" applyAlignment="1">
      <alignment vertical="center"/>
    </xf>
    <xf numFmtId="4" fontId="11" fillId="2" borderId="24" xfId="0" applyNumberFormat="1" applyFont="1" applyFill="1" applyBorder="1" applyAlignment="1">
      <alignment vertical="center"/>
    </xf>
    <xf numFmtId="4" fontId="11" fillId="2" borderId="0" xfId="0" applyNumberFormat="1" applyFont="1" applyFill="1" applyBorder="1" applyAlignment="1">
      <alignment horizontal="right" vertical="center"/>
    </xf>
    <xf numFmtId="4" fontId="11" fillId="0" borderId="14" xfId="0" applyNumberFormat="1" applyFont="1" applyBorder="1" applyAlignment="1">
      <alignment horizontal="right" vertical="center"/>
    </xf>
    <xf numFmtId="4" fontId="11" fillId="2" borderId="11" xfId="0" applyNumberFormat="1" applyFont="1" applyFill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4" fontId="11" fillId="5" borderId="1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2" fontId="0" fillId="0" borderId="0" xfId="0" applyNumberFormat="1"/>
    <xf numFmtId="4" fontId="3" fillId="0" borderId="9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2" borderId="11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9" fontId="7" fillId="0" borderId="11" xfId="0" applyNumberFormat="1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4" fontId="3" fillId="0" borderId="8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" fontId="3" fillId="7" borderId="10" xfId="0" applyNumberFormat="1" applyFont="1" applyFill="1" applyBorder="1" applyAlignment="1">
      <alignment horizontal="center" vertical="center"/>
    </xf>
    <xf numFmtId="4" fontId="3" fillId="7" borderId="2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6" borderId="0" xfId="0" applyFill="1"/>
    <xf numFmtId="2" fontId="3" fillId="6" borderId="3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3" xfId="0" applyNumberFormat="1" applyFont="1" applyBorder="1"/>
    <xf numFmtId="2" fontId="1" fillId="0" borderId="5" xfId="0" applyNumberFormat="1" applyFont="1" applyBorder="1"/>
    <xf numFmtId="0" fontId="4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" fontId="7" fillId="8" borderId="14" xfId="0" applyNumberFormat="1" applyFont="1" applyFill="1" applyBorder="1" applyAlignment="1">
      <alignment horizontal="left" vertical="center"/>
    </xf>
    <xf numFmtId="4" fontId="7" fillId="8" borderId="12" xfId="0" applyNumberFormat="1" applyFont="1" applyFill="1" applyBorder="1" applyAlignment="1">
      <alignment horizontal="left" vertical="center"/>
    </xf>
    <xf numFmtId="4" fontId="7" fillId="8" borderId="15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9" fillId="4" borderId="16" xfId="0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9" fontId="11" fillId="0" borderId="12" xfId="0" applyNumberFormat="1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4" fontId="11" fillId="0" borderId="16" xfId="0" applyNumberFormat="1" applyFont="1" applyBorder="1" applyAlignment="1">
      <alignment horizontal="center" vertical="center"/>
    </xf>
    <xf numFmtId="4" fontId="11" fillId="0" borderId="17" xfId="0" applyNumberFormat="1" applyFont="1" applyBorder="1" applyAlignment="1">
      <alignment horizontal="center" vertical="center"/>
    </xf>
    <xf numFmtId="4" fontId="11" fillId="0" borderId="2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9" fontId="11" fillId="0" borderId="13" xfId="0" applyNumberFormat="1" applyFont="1" applyBorder="1" applyAlignment="1">
      <alignment vertical="center"/>
    </xf>
    <xf numFmtId="9" fontId="11" fillId="0" borderId="0" xfId="0" applyNumberFormat="1" applyFont="1" applyBorder="1" applyAlignment="1">
      <alignment vertical="center"/>
    </xf>
    <xf numFmtId="9" fontId="11" fillId="0" borderId="24" xfId="0" applyNumberFormat="1" applyFont="1" applyBorder="1" applyAlignment="1">
      <alignment vertical="center"/>
    </xf>
    <xf numFmtId="9" fontId="11" fillId="0" borderId="21" xfId="0" applyNumberFormat="1" applyFont="1" applyBorder="1" applyAlignment="1">
      <alignment vertical="center"/>
    </xf>
    <xf numFmtId="9" fontId="11" fillId="0" borderId="22" xfId="0" applyNumberFormat="1" applyFont="1" applyBorder="1" applyAlignment="1">
      <alignment vertical="center"/>
    </xf>
    <xf numFmtId="9" fontId="11" fillId="0" borderId="23" xfId="0" applyNumberFormat="1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mal\Downloads\2Paie%20Octobre%202016\ZALASSUR_PAIE_Octobre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ux"/>
      <sheetName val="Bulletin de paie vierge"/>
      <sheetName val="AMMOR SABIR"/>
      <sheetName val="EL AISSAOUI RAJA"/>
      <sheetName val="ALAMI LOUBNA"/>
      <sheetName val="EZZAIM ABDELAZIZ"/>
      <sheetName val="BENKHADDA FATIMA"/>
      <sheetName val="HAMRI HASSANIA"/>
      <sheetName val="BENCHEKROUN NABIL"/>
      <sheetName val="Journal de paie "/>
      <sheetName val="CNSS et AMO"/>
      <sheetName val="IR à verser"/>
      <sheetName val="Recap Net"/>
    </sheetNames>
    <sheetDataSet>
      <sheetData sheetId="0">
        <row r="4">
          <cell r="C4" t="str">
            <v>6,40%</v>
          </cell>
        </row>
        <row r="5">
          <cell r="C5" t="str">
            <v>1,05%</v>
          </cell>
          <cell r="D5" t="str">
            <v>0,52%</v>
          </cell>
        </row>
        <row r="6">
          <cell r="C6" t="str">
            <v>7,93%</v>
          </cell>
          <cell r="D6" t="str">
            <v>3,96%</v>
          </cell>
        </row>
        <row r="7">
          <cell r="C7" t="str">
            <v>4,11%</v>
          </cell>
          <cell r="D7" t="str">
            <v>2,26%</v>
          </cell>
        </row>
        <row r="8">
          <cell r="C8" t="str">
            <v>1,6 %</v>
          </cell>
        </row>
        <row r="15">
          <cell r="C15">
            <v>0</v>
          </cell>
          <cell r="I15">
            <v>0</v>
          </cell>
        </row>
        <row r="16">
          <cell r="C16">
            <v>0.1</v>
          </cell>
          <cell r="I16">
            <v>250</v>
          </cell>
        </row>
        <row r="17">
          <cell r="C17">
            <v>0.2</v>
          </cell>
          <cell r="I17">
            <v>666.66666666666663</v>
          </cell>
        </row>
        <row r="18">
          <cell r="C18">
            <v>0.30000000000000004</v>
          </cell>
          <cell r="I18">
            <v>1166.6666666666667</v>
          </cell>
        </row>
        <row r="19">
          <cell r="C19">
            <v>0.34</v>
          </cell>
          <cell r="I19">
            <v>1433.3333333333333</v>
          </cell>
        </row>
        <row r="20">
          <cell r="C20">
            <v>0.38</v>
          </cell>
          <cell r="I20">
            <v>2033.3333333333333</v>
          </cell>
        </row>
        <row r="33">
          <cell r="A33">
            <v>0.05</v>
          </cell>
        </row>
        <row r="34">
          <cell r="A34">
            <v>0.1</v>
          </cell>
        </row>
        <row r="35">
          <cell r="A35">
            <v>0.15</v>
          </cell>
        </row>
        <row r="36">
          <cell r="A36">
            <v>0.2</v>
          </cell>
        </row>
        <row r="37">
          <cell r="A37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12" sqref="B12"/>
    </sheetView>
  </sheetViews>
  <sheetFormatPr baseColWidth="10" defaultRowHeight="15" x14ac:dyDescent="0.25"/>
  <cols>
    <col min="1" max="1" width="24.140625" bestFit="1" customWidth="1"/>
    <col min="2" max="2" width="13.140625" bestFit="1" customWidth="1"/>
    <col min="4" max="4" width="13.5703125" bestFit="1" customWidth="1"/>
    <col min="8" max="8" width="13.7109375" customWidth="1"/>
    <col min="14" max="14" width="11.42578125" customWidth="1"/>
  </cols>
  <sheetData>
    <row r="1" spans="1:14" ht="20.25" x14ac:dyDescent="0.3">
      <c r="D1" s="91" t="s">
        <v>15</v>
      </c>
      <c r="E1" s="91"/>
      <c r="F1" s="91"/>
    </row>
    <row r="3" spans="1:14" ht="15.75" thickBot="1" x14ac:dyDescent="0.3"/>
    <row r="4" spans="1:14" ht="22.5" customHeight="1" thickBot="1" x14ac:dyDescent="0.3">
      <c r="A4" s="1"/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3" t="s">
        <v>14</v>
      </c>
      <c r="N4" s="84" t="s">
        <v>16</v>
      </c>
    </row>
    <row r="5" spans="1:14" ht="15.75" thickBot="1" x14ac:dyDescent="0.3">
      <c r="A5" s="2" t="s">
        <v>0</v>
      </c>
      <c r="B5" s="4">
        <f>+'BULLTEIN DE PAIE MOIS 01'!J50</f>
        <v>1770.4973719406673</v>
      </c>
      <c r="C5" s="5">
        <f>+'BULLTEIN DE PAIE MOIS 02'!J48</f>
        <v>1770.4973719406673</v>
      </c>
      <c r="D5" s="5">
        <f>+'BULLTEIN DE PAIE MOIS 03'!J50</f>
        <v>1770.4973719406673</v>
      </c>
      <c r="E5" s="5">
        <f>+'BULLTEIN DE PAIE MOIS 04'!J50</f>
        <v>1770.4973719406673</v>
      </c>
      <c r="F5" s="86">
        <f>+'BULLTEIN DE PAIE MOIS 05'!J50</f>
        <v>1493.8740235349749</v>
      </c>
      <c r="G5" s="86">
        <f>+'BULLTEIN DE PAIE MOIS 06'!J50</f>
        <v>1770.4973719406673</v>
      </c>
      <c r="H5" s="86">
        <f>+'BULLTEIN DE PAIE MOIS 07'!J50</f>
        <v>1770.4973719406673</v>
      </c>
      <c r="I5" s="86">
        <f>+'BULLTEIN DE PAIE MOIS 08'!J50</f>
        <v>1493.8740235349749</v>
      </c>
      <c r="J5" s="86">
        <f>+'BULLTEIN DE PAIE MOIS 09'!J50</f>
        <v>1368.0990503321284</v>
      </c>
      <c r="K5" s="86">
        <f>'BULLTEIN DE PAIE MOIS 10'!J48</f>
        <v>1770.4973719406673</v>
      </c>
      <c r="L5" s="6">
        <f>+'BULLTEIN DE PAIE MOIS 11'!J50</f>
        <v>1770.4973719406673</v>
      </c>
      <c r="M5" s="6">
        <f>'BULLTEIN DE PAIE MOIS 12'!J50</f>
        <v>1770.4973719406673</v>
      </c>
      <c r="N5" s="88">
        <f t="shared" ref="N5:N11" si="0">SUM(B5:M5)</f>
        <v>20290.323444868081</v>
      </c>
    </row>
    <row r="6" spans="1:14" ht="15.75" thickBot="1" x14ac:dyDescent="0.3">
      <c r="A6" s="2" t="s">
        <v>17</v>
      </c>
      <c r="B6" s="7">
        <f>+'BULLTEIN DE PAIE MOIS 01'!J110</f>
        <v>24555.722666666668</v>
      </c>
      <c r="C6" s="5">
        <f>+'BULLTEIN DE PAIE MOIS 02'!J108</f>
        <v>24555.722666666668</v>
      </c>
      <c r="D6" s="5">
        <f>+'BULLTEIN DE PAIE MOIS 03'!J110</f>
        <v>24555.722666666668</v>
      </c>
      <c r="E6" s="5">
        <f>+'BULLTEIN DE PAIE MOIS 04'!J110</f>
        <v>24555.722666666668</v>
      </c>
      <c r="F6" s="87">
        <f>+'BULLTEIN DE PAIE MOIS 05'!J110</f>
        <v>24555.72</v>
      </c>
      <c r="G6" s="87">
        <f>+'BULLTEIN DE PAIE MOIS 06'!J110</f>
        <v>25937.78</v>
      </c>
      <c r="H6" s="87">
        <f>+'BULLTEIN DE PAIE MOIS 07'!J110</f>
        <v>25937.78</v>
      </c>
      <c r="I6" s="87">
        <f>+'BULLTEIN DE PAIE MOIS 08'!J110</f>
        <v>25937.78</v>
      </c>
      <c r="J6" s="87">
        <f>+'BULLTEIN DE PAIE MOIS 09'!J110</f>
        <v>25937.78</v>
      </c>
      <c r="K6" s="87">
        <f>'BULLTEIN DE PAIE MOIS 10'!J108</f>
        <v>25937.782666666666</v>
      </c>
      <c r="L6" s="5">
        <f>+'BULLTEIN DE PAIE MOIS 11'!J110</f>
        <v>25937.782666666666</v>
      </c>
      <c r="M6" s="5">
        <f>'BULLTEIN DE PAIE MOIS 12'!J110</f>
        <v>25937.782666666666</v>
      </c>
      <c r="N6" s="89">
        <f t="shared" si="0"/>
        <v>304343.07866666664</v>
      </c>
    </row>
    <row r="7" spans="1:14" ht="15.75" thickBot="1" x14ac:dyDescent="0.3">
      <c r="A7" s="2" t="s">
        <v>1</v>
      </c>
      <c r="B7" s="4">
        <f>+'BULLTEIN DE PAIE MOIS 01'!J170</f>
        <v>13241.602666666666</v>
      </c>
      <c r="C7" s="5">
        <f>+'BULLTEIN DE PAIE MOIS 02'!J168</f>
        <v>13241.602666666666</v>
      </c>
      <c r="D7" s="5">
        <f>+'BULLTEIN DE PAIE MOIS 03'!J170</f>
        <v>13241.602666666666</v>
      </c>
      <c r="E7" s="5">
        <f>+'BULLTEIN DE PAIE MOIS 04'!J170</f>
        <v>13241.602666666666</v>
      </c>
      <c r="F7" s="86">
        <f>+'BULLTEIN DE PAIE MOIS 05'!J170</f>
        <v>13241.602666666666</v>
      </c>
      <c r="G7" s="86">
        <f>+'BULLTEIN DE PAIE MOIS 06'!J170</f>
        <v>14057.956666666667</v>
      </c>
      <c r="H7" s="86">
        <f>+'BULLTEIN DE PAIE MOIS 07'!J170</f>
        <v>14057.956666666667</v>
      </c>
      <c r="I7" s="86">
        <f>+'BULLTEIN DE PAIE MOIS 08'!J170</f>
        <v>14057.956666666667</v>
      </c>
      <c r="J7" s="86">
        <f>+'BULLTEIN DE PAIE MOIS 09'!J170</f>
        <v>14057.956666666667</v>
      </c>
      <c r="K7" s="86">
        <f>'BULLTEIN DE PAIE MOIS 10'!J168</f>
        <v>14057.956666666667</v>
      </c>
      <c r="L7" s="6">
        <f>+'BULLTEIN DE PAIE MOIS 11'!J170</f>
        <v>14057.956666666667</v>
      </c>
      <c r="M7" s="6">
        <f>'BULLTEIN DE PAIE MOIS 12'!J170</f>
        <v>14057.956666666667</v>
      </c>
      <c r="N7" s="88">
        <f t="shared" si="0"/>
        <v>164613.71</v>
      </c>
    </row>
    <row r="8" spans="1:14" ht="15.75" thickBot="1" x14ac:dyDescent="0.3">
      <c r="A8" s="2" t="s">
        <v>20</v>
      </c>
      <c r="B8" s="7">
        <f>+'BULLTEIN DE PAIE MOIS 01'!J230</f>
        <v>1590.256826786667</v>
      </c>
      <c r="C8" s="6">
        <f>+'BULLTEIN DE PAIE MOIS 02'!J230</f>
        <v>1590.256826786667</v>
      </c>
      <c r="D8" s="6">
        <f>+'BULLTEIN DE PAIE MOIS 03'!J230</f>
        <v>1590.256826786667</v>
      </c>
      <c r="E8" s="6">
        <f>+'BULLTEIN DE PAIE MOIS 04'!J230</f>
        <v>1590.256826786667</v>
      </c>
      <c r="F8" s="87">
        <f>+'BULLTEIN DE PAIE MOIS 05'!J230</f>
        <v>1590.256826786667</v>
      </c>
      <c r="G8" s="87">
        <f>+'BULLTEIN DE PAIE MOIS 06'!J230</f>
        <v>1766.2716327926667</v>
      </c>
      <c r="H8" s="87">
        <f>+'BULLTEIN DE PAIE MOIS 07'!J230</f>
        <v>1766.2716327926667</v>
      </c>
      <c r="I8" s="87">
        <f>+'BULLTEIN DE PAIE MOIS 08'!J230</f>
        <v>1766.2716327926667</v>
      </c>
      <c r="J8" s="87">
        <f>+'BULLTEIN DE PAIE MOIS 09'!J230</f>
        <v>1766.2716327926667</v>
      </c>
      <c r="K8" s="87">
        <f>'BULLTEIN DE PAIE MOIS 10'!J230</f>
        <v>1766.2716327926667</v>
      </c>
      <c r="L8" s="5">
        <f>+'BULLTEIN DE PAIE MOIS 11'!J230</f>
        <v>1766.2716327926667</v>
      </c>
      <c r="M8" s="5">
        <f>'BULLTEIN DE PAIE MOIS 12'!J230</f>
        <v>1766.2716327926667</v>
      </c>
      <c r="N8" s="89">
        <f t="shared" si="0"/>
        <v>20315.185563482006</v>
      </c>
    </row>
    <row r="9" spans="1:14" ht="15.75" thickBot="1" x14ac:dyDescent="0.3">
      <c r="A9" s="2" t="s">
        <v>19</v>
      </c>
      <c r="B9" s="4">
        <f>+'BULLTEIN DE PAIE MOIS 01'!J288</f>
        <v>0</v>
      </c>
      <c r="C9" s="5">
        <f>+'BULLTEIN DE PAIE MOIS 02'!J290</f>
        <v>0</v>
      </c>
      <c r="D9" s="5">
        <f>+'BULLTEIN DE PAIE MOIS 03'!J290</f>
        <v>0</v>
      </c>
      <c r="E9" s="5">
        <f>+'BULLTEIN DE PAIE MOIS 04'!J290</f>
        <v>0</v>
      </c>
      <c r="F9" s="87">
        <f>+'BULLTEIN DE PAIE MOIS 05'!J290</f>
        <v>0</v>
      </c>
      <c r="G9" s="87">
        <f>+'BULLTEIN DE PAIE MOIS 06'!J290</f>
        <v>0</v>
      </c>
      <c r="H9" s="87">
        <f>+'BULLTEIN DE PAIE MOIS 07'!J290</f>
        <v>44.117398190000074</v>
      </c>
      <c r="I9" s="87">
        <f>+'BULLTEIN DE PAIE MOIS 08'!J290</f>
        <v>44.117398190000074</v>
      </c>
      <c r="J9" s="87">
        <f>+'BULLTEIN DE PAIE MOIS 09'!J290</f>
        <v>44.117398190000074</v>
      </c>
      <c r="K9" s="87">
        <f>'BULLTEIN DE PAIE MOIS 10'!J288</f>
        <v>44.117398190000074</v>
      </c>
      <c r="L9" s="5">
        <f>+'BULLTEIN DE PAIE MOIS 11'!J290</f>
        <v>44.117398190000074</v>
      </c>
      <c r="M9" s="5">
        <f>'BULLTEIN DE PAIE MOIS 12'!J290</f>
        <v>44.117398190000074</v>
      </c>
      <c r="N9" s="88">
        <f t="shared" si="0"/>
        <v>264.70438914000044</v>
      </c>
    </row>
    <row r="10" spans="1:14" ht="15.75" thickBot="1" x14ac:dyDescent="0.3">
      <c r="A10" s="2" t="s">
        <v>18</v>
      </c>
      <c r="B10" s="7">
        <f>+'BULLTEIN DE PAIE MOIS 01'!J348</f>
        <v>0</v>
      </c>
      <c r="C10" s="6">
        <f>+'BULLTEIN DE PAIE MOIS 02'!J350</f>
        <v>0</v>
      </c>
      <c r="D10" s="6">
        <f>+'BULLTEIN DE PAIE MOIS 03'!J350</f>
        <v>0</v>
      </c>
      <c r="E10" s="6">
        <f>+'BULLTEIN DE PAIE MOIS 04'!J350</f>
        <v>0</v>
      </c>
      <c r="F10" s="86">
        <f>+'BULLTEIN DE PAIE MOIS 05'!J350</f>
        <v>0</v>
      </c>
      <c r="G10" s="86">
        <f>+'BULLTEIN DE PAIE MOIS 06'!J350</f>
        <v>0</v>
      </c>
      <c r="H10" s="86">
        <f>+'BULLTEIN DE PAIE MOIS 07'!J350</f>
        <v>0</v>
      </c>
      <c r="I10" s="86">
        <f>+'BULLTEIN DE PAIE MOIS 08'!J350</f>
        <v>0</v>
      </c>
      <c r="J10" s="86">
        <f>+'BULLTEIN DE PAIE MOIS 09'!J350</f>
        <v>0</v>
      </c>
      <c r="K10" s="86">
        <f>'BULLTEIN DE PAIE MOIS 10'!J348</f>
        <v>0</v>
      </c>
      <c r="L10" s="6">
        <f>+'BULLTEIN DE PAIE MOIS 11'!J350</f>
        <v>0</v>
      </c>
      <c r="M10" s="6">
        <f>'BULLTEIN DE PAIE MOIS 12'!J350</f>
        <v>0</v>
      </c>
      <c r="N10" s="88">
        <f t="shared" si="0"/>
        <v>0</v>
      </c>
    </row>
    <row r="11" spans="1:14" ht="15.75" thickBot="1" x14ac:dyDescent="0.3">
      <c r="A11" s="2" t="s">
        <v>2</v>
      </c>
      <c r="B11" s="4">
        <f>+'BULLTEIN DE PAIE MOIS 01'!J408</f>
        <v>18.541855999999996</v>
      </c>
      <c r="C11" s="5">
        <f>+'BULLTEIN DE PAIE MOIS 02'!J410</f>
        <v>18.541855999999996</v>
      </c>
      <c r="D11" s="5">
        <f>+'BULLTEIN DE PAIE MOIS 03'!J410</f>
        <v>18.541855999999996</v>
      </c>
      <c r="E11" s="5">
        <f>+'BULLTEIN DE PAIE MOIS 04'!J410</f>
        <v>18.541855999999996</v>
      </c>
      <c r="F11" s="87">
        <f>+'BULLTEIN DE PAIE MOIS 05'!J410</f>
        <v>18.541855999999996</v>
      </c>
      <c r="G11" s="87">
        <f>+'BULLTEIN DE PAIE MOIS 06'!J410</f>
        <v>18.541855999999996</v>
      </c>
      <c r="H11" s="87">
        <f>+'BULLTEIN DE PAIE MOIS 07'!J410</f>
        <v>18.541855999999996</v>
      </c>
      <c r="I11" s="87">
        <f>+'BULLTEIN DE PAIE MOIS 08'!J410</f>
        <v>18.541855999999996</v>
      </c>
      <c r="J11" s="87">
        <f>+'BULLTEIN DE PAIE MOIS 09'!J410</f>
        <v>18.541855999999996</v>
      </c>
      <c r="K11" s="87">
        <f>'BULLTEIN DE PAIE MOIS 10'!J408</f>
        <v>18.541855999999996</v>
      </c>
      <c r="L11" s="5">
        <f>'BULLTEIN DE PAIE MOIS 11'!J410</f>
        <v>18.541855999999996</v>
      </c>
      <c r="M11" s="5">
        <f>'BULLTEIN DE PAIE MOIS 12'!J410</f>
        <v>18.541855999999996</v>
      </c>
      <c r="N11" s="90">
        <f t="shared" si="0"/>
        <v>222.50227199999995</v>
      </c>
    </row>
    <row r="14" spans="1:14" x14ac:dyDescent="0.25">
      <c r="B14" s="63"/>
      <c r="F14" s="85"/>
      <c r="G14" s="85"/>
      <c r="H14" s="85"/>
    </row>
    <row r="15" spans="1:14" x14ac:dyDescent="0.25">
      <c r="F15" s="85"/>
      <c r="G15" s="85"/>
      <c r="H15" s="85"/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zoomScale="98" zoomScaleNormal="98" workbookViewId="0">
      <selection activeCell="J290" sqref="J290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58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59">
        <v>1</v>
      </c>
      <c r="B3" s="111" t="s">
        <v>33</v>
      </c>
      <c r="C3" s="111"/>
      <c r="D3" s="111"/>
      <c r="E3" s="111"/>
      <c r="F3" s="111"/>
      <c r="G3" s="113">
        <v>42552</v>
      </c>
      <c r="H3" s="113"/>
      <c r="I3" s="113"/>
      <c r="J3" s="113">
        <v>42582</v>
      </c>
      <c r="K3" s="113"/>
      <c r="L3" s="113"/>
    </row>
    <row r="4" spans="1:12" x14ac:dyDescent="0.25">
      <c r="A4" s="58" t="s">
        <v>34</v>
      </c>
      <c r="B4" s="58" t="s">
        <v>35</v>
      </c>
      <c r="C4" s="58" t="s">
        <v>36</v>
      </c>
      <c r="D4" s="58" t="s">
        <v>37</v>
      </c>
      <c r="E4" s="58" t="s">
        <v>38</v>
      </c>
      <c r="F4" s="58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59"/>
      <c r="C5" s="17">
        <v>24624</v>
      </c>
      <c r="D5" s="59" t="s">
        <v>41</v>
      </c>
      <c r="E5" s="59">
        <v>0</v>
      </c>
      <c r="F5" s="59">
        <v>0</v>
      </c>
      <c r="G5" s="111"/>
      <c r="H5" s="111"/>
      <c r="I5" s="111"/>
      <c r="J5" s="111"/>
      <c r="K5" s="111"/>
      <c r="L5" s="111"/>
    </row>
    <row r="6" spans="1:12" x14ac:dyDescent="0.25">
      <c r="A6" s="58" t="s">
        <v>42</v>
      </c>
      <c r="B6" s="58" t="s">
        <v>43</v>
      </c>
      <c r="C6" s="58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59">
        <v>189838836</v>
      </c>
      <c r="B7" s="59"/>
      <c r="C7" s="59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60" t="s">
        <v>54</v>
      </c>
      <c r="J12" s="60" t="s">
        <v>55</v>
      </c>
      <c r="K12" s="60" t="s">
        <v>56</v>
      </c>
      <c r="L12" s="6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612.79650000000004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2.9194444444444443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17868.726500000001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12868.726500000001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9423.0314861000006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9423.0314861000006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1770.4973719406673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1-0.53</f>
        <v>0.47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58" t="s">
        <v>95</v>
      </c>
      <c r="B55" s="58" t="s">
        <v>96</v>
      </c>
      <c r="C55" s="58" t="s">
        <v>97</v>
      </c>
      <c r="D55" s="103" t="s">
        <v>98</v>
      </c>
      <c r="E55" s="103"/>
      <c r="F55" s="103"/>
      <c r="G55" s="58" t="s">
        <v>99</v>
      </c>
      <c r="H55" s="50"/>
      <c r="I55" s="57">
        <f>I32+I53</f>
        <v>17869.196500000002</v>
      </c>
      <c r="J55" s="57">
        <f>J43+J50+J51+J52</f>
        <v>2716.1923858406672</v>
      </c>
      <c r="K55" s="58" t="s">
        <v>100</v>
      </c>
      <c r="L55" s="57">
        <f>L43</f>
        <v>2354.57730915</v>
      </c>
    </row>
    <row r="56" spans="1:12" x14ac:dyDescent="0.25">
      <c r="A56" s="57">
        <f>156411.11+I32</f>
        <v>174279.83649999998</v>
      </c>
      <c r="B56" s="57">
        <f>111411.11+I33</f>
        <v>124279.8365</v>
      </c>
      <c r="C56" s="57">
        <f>2419.2+J34</f>
        <v>2688</v>
      </c>
      <c r="D56" s="102">
        <f>14978.83+J50</f>
        <v>16749.327371940668</v>
      </c>
      <c r="E56" s="102"/>
      <c r="F56" s="102"/>
      <c r="G56" s="57">
        <f>133157+I55</f>
        <v>151026.19649999999</v>
      </c>
      <c r="H56" s="103" t="s">
        <v>101</v>
      </c>
      <c r="I56" s="103"/>
      <c r="J56" s="57">
        <f>I55-J55</f>
        <v>15153.004114159336</v>
      </c>
      <c r="K56" s="58" t="s">
        <v>102</v>
      </c>
      <c r="L56" s="57">
        <f>20499.47+L55</f>
        <v>22854.047309150003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58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59">
        <v>3</v>
      </c>
      <c r="B63" s="111" t="s">
        <v>104</v>
      </c>
      <c r="C63" s="111"/>
      <c r="D63" s="111"/>
      <c r="E63" s="111"/>
      <c r="F63" s="111"/>
      <c r="G63" s="113">
        <v>42552</v>
      </c>
      <c r="H63" s="113"/>
      <c r="I63" s="113"/>
      <c r="J63" s="113">
        <v>42582</v>
      </c>
      <c r="K63" s="113"/>
      <c r="L63" s="113"/>
    </row>
    <row r="64" spans="1:12" x14ac:dyDescent="0.25">
      <c r="A64" s="58" t="s">
        <v>34</v>
      </c>
      <c r="B64" s="58" t="s">
        <v>35</v>
      </c>
      <c r="C64" s="58" t="s">
        <v>36</v>
      </c>
      <c r="D64" s="58" t="s">
        <v>37</v>
      </c>
      <c r="E64" s="58" t="s">
        <v>38</v>
      </c>
      <c r="F64" s="58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59"/>
      <c r="C65" s="17">
        <v>24557</v>
      </c>
      <c r="D65" s="59" t="s">
        <v>41</v>
      </c>
      <c r="E65" s="59">
        <v>0</v>
      </c>
      <c r="F65" s="59">
        <v>0</v>
      </c>
      <c r="G65" s="111"/>
      <c r="H65" s="111"/>
      <c r="I65" s="111"/>
      <c r="J65" s="111"/>
      <c r="K65" s="111"/>
      <c r="L65" s="111"/>
    </row>
    <row r="66" spans="1:12" x14ac:dyDescent="0.25">
      <c r="A66" s="58" t="s">
        <v>42</v>
      </c>
      <c r="B66" s="58" t="s">
        <v>43</v>
      </c>
      <c r="C66" s="58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59">
        <v>141034737</v>
      </c>
      <c r="B67" s="59"/>
      <c r="C67" s="59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60" t="s">
        <v>54</v>
      </c>
      <c r="J72" s="60" t="s">
        <v>55</v>
      </c>
      <c r="K72" s="60" t="s">
        <v>56</v>
      </c>
      <c r="L72" s="6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5000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2.1138888888888889</v>
      </c>
      <c r="H86" s="31">
        <v>0.05</v>
      </c>
      <c r="I86" s="23">
        <f>I74*H86</f>
        <v>5000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111000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105000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H96*I93</f>
        <v>26250</v>
      </c>
      <c r="K96" s="35">
        <v>0.06</v>
      </c>
      <c r="L96" s="23">
        <f>I93*K96</f>
        <v>6300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H100*I93</f>
        <v>2373</v>
      </c>
      <c r="K100" s="34" t="str">
        <f>[1]Taux!C$7</f>
        <v>4,11%</v>
      </c>
      <c r="L100" s="23">
        <f>I93*K100</f>
        <v>4315.5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73608.2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73608.2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v>25937.78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25937.78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1-0.42</f>
        <v>0.58000000000000007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58" t="s">
        <v>95</v>
      </c>
      <c r="B115" s="58" t="s">
        <v>96</v>
      </c>
      <c r="C115" s="58" t="s">
        <v>97</v>
      </c>
      <c r="D115" s="103" t="s">
        <v>98</v>
      </c>
      <c r="E115" s="103"/>
      <c r="F115" s="103"/>
      <c r="G115" s="58" t="s">
        <v>99</v>
      </c>
      <c r="H115" s="50"/>
      <c r="I115" s="57">
        <f>I92+I113</f>
        <v>111000.58</v>
      </c>
      <c r="J115" s="57">
        <f>J103+J110+J111+J112</f>
        <v>54829.58</v>
      </c>
      <c r="K115" s="58" t="s">
        <v>100</v>
      </c>
      <c r="L115" s="57">
        <f>L103</f>
        <v>19554.3</v>
      </c>
    </row>
    <row r="116" spans="1:13" x14ac:dyDescent="0.25">
      <c r="A116" s="57">
        <f>974000+I92</f>
        <v>1085000</v>
      </c>
      <c r="B116" s="57">
        <f>920000+I93</f>
        <v>1025000</v>
      </c>
      <c r="C116" s="57">
        <f>2419.2+J94</f>
        <v>2688</v>
      </c>
      <c r="D116" s="102">
        <f>226529.75+J110</f>
        <v>252467.53</v>
      </c>
      <c r="E116" s="102"/>
      <c r="F116" s="102"/>
      <c r="G116" s="57">
        <f>494263.97+I115</f>
        <v>605264.54999999993</v>
      </c>
      <c r="H116" s="103" t="s">
        <v>101</v>
      </c>
      <c r="I116" s="103"/>
      <c r="J116" s="57">
        <f>I115-J115</f>
        <v>56171</v>
      </c>
      <c r="K116" s="58" t="s">
        <v>102</v>
      </c>
      <c r="L116" s="57">
        <f>171461.2+L115</f>
        <v>191015.5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75725.3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58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59">
        <v>4</v>
      </c>
      <c r="B123" s="111" t="s">
        <v>106</v>
      </c>
      <c r="C123" s="111"/>
      <c r="D123" s="111"/>
      <c r="E123" s="111"/>
      <c r="F123" s="111"/>
      <c r="G123" s="113">
        <v>42552</v>
      </c>
      <c r="H123" s="113"/>
      <c r="I123" s="113"/>
      <c r="J123" s="113">
        <v>42582</v>
      </c>
      <c r="K123" s="113"/>
      <c r="L123" s="113"/>
    </row>
    <row r="124" spans="1:13" x14ac:dyDescent="0.25">
      <c r="A124" s="58" t="s">
        <v>34</v>
      </c>
      <c r="B124" s="58" t="s">
        <v>35</v>
      </c>
      <c r="C124" s="58" t="s">
        <v>36</v>
      </c>
      <c r="D124" s="58" t="s">
        <v>37</v>
      </c>
      <c r="E124" s="58" t="s">
        <v>38</v>
      </c>
      <c r="F124" s="58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59"/>
      <c r="C125" s="17">
        <v>28152</v>
      </c>
      <c r="D125" s="59" t="s">
        <v>41</v>
      </c>
      <c r="E125" s="59">
        <v>0</v>
      </c>
      <c r="F125" s="59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58" t="s">
        <v>42</v>
      </c>
      <c r="B126" s="58" t="s">
        <v>43</v>
      </c>
      <c r="C126" s="58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59">
        <v>123952551</v>
      </c>
      <c r="B127" s="59"/>
      <c r="C127" s="59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60" t="s">
        <v>54</v>
      </c>
      <c r="J132" s="60" t="s">
        <v>55</v>
      </c>
      <c r="K132" s="60" t="s">
        <v>56</v>
      </c>
      <c r="L132" s="6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4500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2.1138888888888889</v>
      </c>
      <c r="H146" s="31">
        <v>0.05</v>
      </c>
      <c r="I146" s="23">
        <f>I134*H146</f>
        <v>4500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100500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94500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42345.5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42345.5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14057.956666666667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1-0.54</f>
        <v>0.45999999999999996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58" t="s">
        <v>95</v>
      </c>
      <c r="B175" s="58" t="s">
        <v>96</v>
      </c>
      <c r="C175" s="58" t="s">
        <v>97</v>
      </c>
      <c r="D175" s="103" t="s">
        <v>98</v>
      </c>
      <c r="E175" s="103"/>
      <c r="F175" s="103"/>
      <c r="G175" s="58" t="s">
        <v>99</v>
      </c>
      <c r="H175" s="50"/>
      <c r="I175" s="57">
        <f>I152+I173</f>
        <v>100500.46</v>
      </c>
      <c r="J175" s="57">
        <f>J163+J170+J171+J172</f>
        <v>63712.456666666665</v>
      </c>
      <c r="K175" s="58" t="s">
        <v>100</v>
      </c>
      <c r="L175" s="57">
        <f>L163</f>
        <v>17652.75</v>
      </c>
    </row>
    <row r="176" spans="1:12" x14ac:dyDescent="0.25">
      <c r="A176" s="57">
        <f>882000+I152</f>
        <v>982500</v>
      </c>
      <c r="B176" s="57">
        <f>828000+I153</f>
        <v>922500</v>
      </c>
      <c r="C176" s="57">
        <f>2419.2+J154</f>
        <v>2688</v>
      </c>
      <c r="D176" s="102">
        <f>122440.83+J170</f>
        <v>136498.78666666668</v>
      </c>
      <c r="E176" s="102"/>
      <c r="F176" s="102"/>
      <c r="G176" s="57">
        <f>324432+I175</f>
        <v>424932.46</v>
      </c>
      <c r="H176" s="103" t="s">
        <v>101</v>
      </c>
      <c r="I176" s="103"/>
      <c r="J176" s="57">
        <f>I175-J175</f>
        <v>36788.003333333341</v>
      </c>
      <c r="K176" s="58" t="s">
        <v>102</v>
      </c>
      <c r="L176" s="57">
        <f>154800+L175</f>
        <v>172452.75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58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59">
        <v>5</v>
      </c>
      <c r="B183" s="111" t="s">
        <v>108</v>
      </c>
      <c r="C183" s="111"/>
      <c r="D183" s="111"/>
      <c r="E183" s="111"/>
      <c r="F183" s="111"/>
      <c r="G183" s="113">
        <v>42552</v>
      </c>
      <c r="H183" s="113"/>
      <c r="I183" s="113"/>
      <c r="J183" s="113">
        <v>42582</v>
      </c>
      <c r="K183" s="113"/>
      <c r="L183" s="113"/>
    </row>
    <row r="184" spans="1:12" x14ac:dyDescent="0.25">
      <c r="A184" s="58" t="s">
        <v>34</v>
      </c>
      <c r="B184" s="58" t="s">
        <v>35</v>
      </c>
      <c r="C184" s="58" t="s">
        <v>36</v>
      </c>
      <c r="D184" s="58" t="s">
        <v>37</v>
      </c>
      <c r="E184" s="58" t="s">
        <v>38</v>
      </c>
      <c r="F184" s="58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59"/>
      <c r="C185" s="17">
        <v>21792</v>
      </c>
      <c r="D185" s="59" t="s">
        <v>41</v>
      </c>
      <c r="E185" s="59">
        <v>2</v>
      </c>
      <c r="F185" s="59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58" t="s">
        <v>42</v>
      </c>
      <c r="B186" s="58" t="s">
        <v>43</v>
      </c>
      <c r="C186" s="58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59">
        <v>132944135</v>
      </c>
      <c r="B187" s="59"/>
      <c r="C187" s="59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60" t="s">
        <v>54</v>
      </c>
      <c r="J192" s="60" t="s">
        <v>55</v>
      </c>
      <c r="K192" s="60" t="s">
        <v>56</v>
      </c>
      <c r="L192" s="6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2.1138888888888889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17731.8485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12731.8485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9675.3087238999997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1766.2716327926667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1-0.04</f>
        <v>0.96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58" t="s">
        <v>95</v>
      </c>
      <c r="B235" s="58" t="s">
        <v>96</v>
      </c>
      <c r="C235" s="58" t="s">
        <v>97</v>
      </c>
      <c r="D235" s="103" t="s">
        <v>98</v>
      </c>
      <c r="E235" s="103"/>
      <c r="F235" s="103"/>
      <c r="G235" s="58" t="s">
        <v>99</v>
      </c>
      <c r="H235" s="50"/>
      <c r="I235" s="57">
        <f>I212+I233</f>
        <v>17732.808499999999</v>
      </c>
      <c r="J235" s="57">
        <f>J223+J230+J231+J232</f>
        <v>2322.8114088926668</v>
      </c>
      <c r="K235" s="58" t="s">
        <v>100</v>
      </c>
      <c r="L235" s="57">
        <f>L223</f>
        <v>2080.6268533500001</v>
      </c>
    </row>
    <row r="236" spans="1:12" x14ac:dyDescent="0.25">
      <c r="A236" s="57">
        <f>156555.24+I212</f>
        <v>174287.08849999998</v>
      </c>
      <c r="B236" s="57">
        <f>111555.24+I213</f>
        <v>124287.08850000001</v>
      </c>
      <c r="C236" s="57">
        <f>2419.2+J214</f>
        <v>2688</v>
      </c>
      <c r="D236" s="102">
        <f>15016.37+J230</f>
        <v>16782.641632792667</v>
      </c>
      <c r="E236" s="102"/>
      <c r="F236" s="102"/>
      <c r="G236" s="57">
        <f>136602.47+I235</f>
        <v>154335.27850000001</v>
      </c>
      <c r="H236" s="103" t="s">
        <v>101</v>
      </c>
      <c r="I236" s="103"/>
      <c r="J236" s="57">
        <f>I235-J235</f>
        <v>15409.997091107332</v>
      </c>
      <c r="K236" s="58" t="s">
        <v>102</v>
      </c>
      <c r="L236" s="57">
        <f>20589.65+L235</f>
        <v>22670.276853350002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58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59">
        <v>6</v>
      </c>
      <c r="B243" s="111" t="s">
        <v>110</v>
      </c>
      <c r="C243" s="111"/>
      <c r="D243" s="111"/>
      <c r="E243" s="111"/>
      <c r="F243" s="111"/>
      <c r="G243" s="113">
        <v>42552</v>
      </c>
      <c r="H243" s="113"/>
      <c r="I243" s="113"/>
      <c r="J243" s="113">
        <v>42582</v>
      </c>
      <c r="K243" s="113"/>
      <c r="L243" s="113"/>
    </row>
    <row r="244" spans="1:12" x14ac:dyDescent="0.25">
      <c r="A244" s="58" t="s">
        <v>34</v>
      </c>
      <c r="B244" s="58" t="s">
        <v>35</v>
      </c>
      <c r="C244" s="58" t="s">
        <v>36</v>
      </c>
      <c r="D244" s="58" t="s">
        <v>37</v>
      </c>
      <c r="E244" s="58" t="s">
        <v>38</v>
      </c>
      <c r="F244" s="58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59"/>
      <c r="C245" s="17">
        <v>31573</v>
      </c>
      <c r="D245" s="59" t="s">
        <v>111</v>
      </c>
      <c r="E245" s="59">
        <v>0</v>
      </c>
      <c r="F245" s="59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58" t="s">
        <v>42</v>
      </c>
      <c r="B246" s="58" t="s">
        <v>43</v>
      </c>
      <c r="C246" s="58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59">
        <v>195441186</v>
      </c>
      <c r="B247" s="59"/>
      <c r="C247" s="59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60" t="s">
        <v>54</v>
      </c>
      <c r="J252" s="60" t="s">
        <v>55</v>
      </c>
      <c r="K252" s="60" t="s">
        <v>56</v>
      </c>
      <c r="L252" s="6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3823.53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2.0305555555555554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4014.7065000000002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2941.1739819000004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44.117398190000074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58" t="s">
        <v>95</v>
      </c>
      <c r="B295" s="58" t="s">
        <v>96</v>
      </c>
      <c r="C295" s="58" t="s">
        <v>97</v>
      </c>
      <c r="D295" s="103" t="s">
        <v>98</v>
      </c>
      <c r="E295" s="103"/>
      <c r="F295" s="103"/>
      <c r="G295" s="58" t="s">
        <v>99</v>
      </c>
      <c r="H295" s="50"/>
      <c r="I295" s="57">
        <f>I272+I293</f>
        <v>4314.7065000000002</v>
      </c>
      <c r="J295" s="57">
        <f>J283+J290+J291+J292</f>
        <v>314.70861629000012</v>
      </c>
      <c r="K295" s="58" t="s">
        <v>100</v>
      </c>
      <c r="L295" s="57">
        <f>L283</f>
        <v>926.99573084999997</v>
      </c>
    </row>
    <row r="296" spans="1:12" x14ac:dyDescent="0.25">
      <c r="A296" s="57">
        <f>32114.9+I272</f>
        <v>36429.606500000002</v>
      </c>
      <c r="B296" s="57">
        <f>29414.9+I273</f>
        <v>33429.606500000002</v>
      </c>
      <c r="C296" s="57">
        <f>1317.78+J274</f>
        <v>1497.6388512000001</v>
      </c>
      <c r="D296" s="102">
        <f>132.35+J290</f>
        <v>176.46739819000007</v>
      </c>
      <c r="E296" s="102"/>
      <c r="F296" s="102"/>
      <c r="G296" s="57">
        <f>30000+I295</f>
        <v>34314.7065</v>
      </c>
      <c r="H296" s="103" t="s">
        <v>101</v>
      </c>
      <c r="I296" s="103"/>
      <c r="J296" s="57">
        <f>I295-J295</f>
        <v>3999.9978837100002</v>
      </c>
      <c r="K296" s="58" t="s">
        <v>102</v>
      </c>
      <c r="L296" s="57">
        <f>5864.92+L295</f>
        <v>6791.9157308499998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58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59">
        <v>7</v>
      </c>
      <c r="B303" s="111" t="s">
        <v>112</v>
      </c>
      <c r="C303" s="111"/>
      <c r="D303" s="111"/>
      <c r="E303" s="111"/>
      <c r="F303" s="111"/>
      <c r="G303" s="113">
        <v>42552</v>
      </c>
      <c r="H303" s="113"/>
      <c r="I303" s="113"/>
      <c r="J303" s="113">
        <v>42582</v>
      </c>
      <c r="K303" s="113"/>
      <c r="L303" s="113"/>
    </row>
    <row r="304" spans="1:12" x14ac:dyDescent="0.25">
      <c r="A304" s="58" t="s">
        <v>34</v>
      </c>
      <c r="B304" s="58" t="s">
        <v>35</v>
      </c>
      <c r="C304" s="58" t="s">
        <v>36</v>
      </c>
      <c r="D304" s="58" t="s">
        <v>37</v>
      </c>
      <c r="E304" s="58" t="s">
        <v>38</v>
      </c>
      <c r="F304" s="58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59"/>
      <c r="C305" s="17">
        <v>34565</v>
      </c>
      <c r="D305" s="59" t="s">
        <v>111</v>
      </c>
      <c r="E305" s="59">
        <v>0</v>
      </c>
      <c r="F305" s="59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58" t="s">
        <v>42</v>
      </c>
      <c r="B306" s="58" t="s">
        <v>43</v>
      </c>
      <c r="C306" s="58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59">
        <v>168098097</v>
      </c>
      <c r="B307" s="59"/>
      <c r="C307" s="59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60" t="s">
        <v>54</v>
      </c>
      <c r="J312" s="60" t="s">
        <v>55</v>
      </c>
      <c r="K312" s="60" t="s">
        <v>56</v>
      </c>
      <c r="L312" s="6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1.5194444444444444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500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58" t="s">
        <v>95</v>
      </c>
      <c r="B355" s="58" t="s">
        <v>96</v>
      </c>
      <c r="C355" s="58" t="s">
        <v>97</v>
      </c>
      <c r="D355" s="103" t="s">
        <v>98</v>
      </c>
      <c r="E355" s="103"/>
      <c r="F355" s="103"/>
      <c r="G355" s="58" t="s">
        <v>99</v>
      </c>
      <c r="H355" s="50"/>
      <c r="I355" s="57">
        <f>I332+I353</f>
        <v>2808.25</v>
      </c>
      <c r="J355" s="57">
        <f>J343+J350+J351+J352</f>
        <v>689.24572000000001</v>
      </c>
      <c r="K355" s="58" t="s">
        <v>100</v>
      </c>
      <c r="L355" s="57">
        <f>L343</f>
        <v>648.32101999999998</v>
      </c>
    </row>
    <row r="356" spans="1:12" x14ac:dyDescent="0.25">
      <c r="A356" s="57">
        <f>25270.2+I332</f>
        <v>28078</v>
      </c>
      <c r="B356" s="57">
        <f>25270.2+I333</f>
        <v>28078</v>
      </c>
      <c r="C356" s="57">
        <f>1132.11+J334</f>
        <v>1257.8994399999999</v>
      </c>
      <c r="D356" s="102">
        <f>0+J350</f>
        <v>0</v>
      </c>
      <c r="E356" s="102"/>
      <c r="F356" s="102"/>
      <c r="G356" s="57">
        <f>17071.02+I355</f>
        <v>19879.27</v>
      </c>
      <c r="H356" s="103" t="s">
        <v>101</v>
      </c>
      <c r="I356" s="103"/>
      <c r="J356" s="57">
        <f>I355-J355</f>
        <v>2119.0042800000001</v>
      </c>
      <c r="K356" s="58" t="s">
        <v>102</v>
      </c>
      <c r="L356" s="57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2767.3253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58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59">
        <v>8</v>
      </c>
      <c r="B363" s="111" t="s">
        <v>113</v>
      </c>
      <c r="C363" s="111"/>
      <c r="D363" s="111"/>
      <c r="E363" s="111"/>
      <c r="F363" s="111"/>
      <c r="G363" s="113">
        <v>42552</v>
      </c>
      <c r="H363" s="113"/>
      <c r="I363" s="113"/>
      <c r="J363" s="113">
        <v>42582</v>
      </c>
      <c r="K363" s="113"/>
      <c r="L363" s="113"/>
    </row>
    <row r="364" spans="1:12" x14ac:dyDescent="0.25">
      <c r="A364" s="58" t="s">
        <v>34</v>
      </c>
      <c r="B364" s="58" t="s">
        <v>35</v>
      </c>
      <c r="C364" s="58" t="s">
        <v>36</v>
      </c>
      <c r="D364" s="58" t="s">
        <v>37</v>
      </c>
      <c r="E364" s="58" t="s">
        <v>38</v>
      </c>
      <c r="F364" s="58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59"/>
      <c r="C365" s="17">
        <v>33665</v>
      </c>
      <c r="D365" s="59" t="s">
        <v>111</v>
      </c>
      <c r="E365" s="59">
        <v>0</v>
      </c>
      <c r="F365" s="59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58" t="s">
        <v>42</v>
      </c>
      <c r="B366" s="58" t="s">
        <v>43</v>
      </c>
      <c r="C366" s="58" t="s">
        <v>44</v>
      </c>
      <c r="D366" s="103" t="s">
        <v>45</v>
      </c>
      <c r="E366" s="103"/>
      <c r="F366" s="103"/>
      <c r="G366" s="103" t="s">
        <v>116</v>
      </c>
      <c r="H366" s="103"/>
      <c r="I366" s="103"/>
      <c r="J366" s="103"/>
      <c r="K366" s="103"/>
      <c r="L366" s="103"/>
    </row>
    <row r="367" spans="1:12" x14ac:dyDescent="0.25">
      <c r="A367" s="59">
        <v>164315198</v>
      </c>
      <c r="B367" s="59"/>
      <c r="C367" s="59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60" t="s">
        <v>54</v>
      </c>
      <c r="J372" s="60" t="s">
        <v>55</v>
      </c>
      <c r="K372" s="60" t="s">
        <v>56</v>
      </c>
      <c r="L372" s="6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0.76111111111111107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58" t="s">
        <v>95</v>
      </c>
      <c r="B415" s="58" t="s">
        <v>96</v>
      </c>
      <c r="C415" s="58" t="s">
        <v>97</v>
      </c>
      <c r="D415" s="103" t="s">
        <v>98</v>
      </c>
      <c r="E415" s="103"/>
      <c r="F415" s="103"/>
      <c r="G415" s="58" t="s">
        <v>99</v>
      </c>
      <c r="H415" s="50"/>
      <c r="I415" s="57">
        <f>I392+I413</f>
        <v>4265.6000000000004</v>
      </c>
      <c r="J415" s="57">
        <f>J403+J410+J411+J412</f>
        <v>265.60329600000006</v>
      </c>
      <c r="K415" s="58" t="s">
        <v>100</v>
      </c>
      <c r="L415" s="57">
        <f>L403</f>
        <v>846.38704000000007</v>
      </c>
    </row>
    <row r="416" spans="1:12" x14ac:dyDescent="0.25">
      <c r="A416" s="57">
        <f>38390.4+I392</f>
        <v>42656</v>
      </c>
      <c r="B416" s="57">
        <f>32990.4+I393</f>
        <v>36656</v>
      </c>
      <c r="C416" s="57">
        <f>1477.98+J394</f>
        <v>1642.1988800000001</v>
      </c>
      <c r="D416" s="102">
        <f>166.87+J410</f>
        <v>185.411856</v>
      </c>
      <c r="E416" s="102"/>
      <c r="F416" s="102"/>
      <c r="G416" s="57">
        <f>36000+I415</f>
        <v>40265.599999999999</v>
      </c>
      <c r="H416" s="103" t="s">
        <v>101</v>
      </c>
      <c r="I416" s="103"/>
      <c r="J416" s="57">
        <f>I415-J415</f>
        <v>3999.9967040000001</v>
      </c>
      <c r="K416" s="58" t="s">
        <v>102</v>
      </c>
      <c r="L416" s="57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topLeftCell="B1" workbookViewId="0">
      <selection activeCell="J274" sqref="J274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58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59">
        <v>1</v>
      </c>
      <c r="B3" s="111" t="s">
        <v>33</v>
      </c>
      <c r="C3" s="111"/>
      <c r="D3" s="111"/>
      <c r="E3" s="111"/>
      <c r="F3" s="111"/>
      <c r="G3" s="113">
        <v>42583</v>
      </c>
      <c r="H3" s="113"/>
      <c r="I3" s="113"/>
      <c r="J3" s="113">
        <v>42613</v>
      </c>
      <c r="K3" s="113"/>
      <c r="L3" s="113"/>
    </row>
    <row r="4" spans="1:12" x14ac:dyDescent="0.25">
      <c r="A4" s="58" t="s">
        <v>34</v>
      </c>
      <c r="B4" s="58" t="s">
        <v>35</v>
      </c>
      <c r="C4" s="58" t="s">
        <v>36</v>
      </c>
      <c r="D4" s="58" t="s">
        <v>37</v>
      </c>
      <c r="E4" s="58" t="s">
        <v>38</v>
      </c>
      <c r="F4" s="58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59"/>
      <c r="C5" s="17">
        <v>24624</v>
      </c>
      <c r="D5" s="59" t="s">
        <v>41</v>
      </c>
      <c r="E5" s="59">
        <v>0</v>
      </c>
      <c r="F5" s="59">
        <v>0</v>
      </c>
      <c r="G5" s="111"/>
      <c r="H5" s="111"/>
      <c r="I5" s="111"/>
      <c r="J5" s="111"/>
      <c r="K5" s="111"/>
      <c r="L5" s="111"/>
    </row>
    <row r="6" spans="1:12" x14ac:dyDescent="0.25">
      <c r="A6" s="58" t="s">
        <v>42</v>
      </c>
      <c r="B6" s="58" t="s">
        <v>43</v>
      </c>
      <c r="C6" s="58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59">
        <v>189838836</v>
      </c>
      <c r="B7" s="59"/>
      <c r="C7" s="59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60" t="s">
        <v>54</v>
      </c>
      <c r="J12" s="60" t="s">
        <v>55</v>
      </c>
      <c r="K12" s="60" t="s">
        <v>56</v>
      </c>
      <c r="L12" s="6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11313.166153846154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12</v>
      </c>
      <c r="I15" s="23">
        <f>G13/26*H15</f>
        <v>5656.583076923077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12</v>
      </c>
      <c r="I16" s="23">
        <f>G13/26*H16</f>
        <v>5656.583076923077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565.65830769230774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3.0055555555555555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565.65830769230774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16878.824461538461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11878.824461538461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356.3647338461538</v>
      </c>
      <c r="K36" s="35">
        <v>0.02</v>
      </c>
      <c r="L36" s="23">
        <f>I33*K36</f>
        <v>237.57648923076923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268.46143283076918</v>
      </c>
      <c r="K40" s="34" t="str">
        <f>[1]Taux!C$7</f>
        <v>4,11%</v>
      </c>
      <c r="L40" s="23">
        <f>I33*K40</f>
        <v>488.21968536923072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760.24476553846148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190.06119138461537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893.62616667692305</v>
      </c>
      <c r="K43" s="21"/>
      <c r="L43" s="21">
        <f>SUM(L34:L42)</f>
        <v>2214.9021315230766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2375.7648923076922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8609.4334025538465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8609.4334025538465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1493.8740235349749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1493.8740235349749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1-0.32</f>
        <v>0.67999999999999994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58" t="s">
        <v>95</v>
      </c>
      <c r="B55" s="58" t="s">
        <v>96</v>
      </c>
      <c r="C55" s="58" t="s">
        <v>97</v>
      </c>
      <c r="D55" s="103" t="s">
        <v>98</v>
      </c>
      <c r="E55" s="103"/>
      <c r="F55" s="103"/>
      <c r="G55" s="58" t="s">
        <v>99</v>
      </c>
      <c r="H55" s="50"/>
      <c r="I55" s="57">
        <f>I32+I53</f>
        <v>16879.504461538461</v>
      </c>
      <c r="J55" s="57">
        <f>J43+J50+J51+J52</f>
        <v>2387.5001902118979</v>
      </c>
      <c r="K55" s="58" t="s">
        <v>100</v>
      </c>
      <c r="L55" s="57">
        <f>L43</f>
        <v>2214.9021315230766</v>
      </c>
    </row>
    <row r="56" spans="1:12" x14ac:dyDescent="0.25">
      <c r="A56" s="57">
        <f>156411.11+I32</f>
        <v>173289.93446153845</v>
      </c>
      <c r="B56" s="57">
        <f>111411.11+I33</f>
        <v>123289.93446153846</v>
      </c>
      <c r="C56" s="57">
        <f>2419.2+J34</f>
        <v>2688</v>
      </c>
      <c r="D56" s="102">
        <f>14978.83+J50</f>
        <v>16472.704023534974</v>
      </c>
      <c r="E56" s="102"/>
      <c r="F56" s="102"/>
      <c r="G56" s="57">
        <f>133157+I55</f>
        <v>150036.50446153845</v>
      </c>
      <c r="H56" s="103" t="s">
        <v>101</v>
      </c>
      <c r="I56" s="103"/>
      <c r="J56" s="57">
        <f>I55-J55</f>
        <v>14492.004271326563</v>
      </c>
      <c r="K56" s="58" t="s">
        <v>102</v>
      </c>
      <c r="L56" s="57">
        <f>20499.47+L55</f>
        <v>22714.37213152308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16706.90640284964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58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59">
        <v>3</v>
      </c>
      <c r="B63" s="111" t="s">
        <v>104</v>
      </c>
      <c r="C63" s="111"/>
      <c r="D63" s="111"/>
      <c r="E63" s="111"/>
      <c r="F63" s="111"/>
      <c r="G63" s="113">
        <v>42583</v>
      </c>
      <c r="H63" s="113"/>
      <c r="I63" s="113"/>
      <c r="J63" s="113">
        <v>42613</v>
      </c>
      <c r="K63" s="113"/>
      <c r="L63" s="113"/>
    </row>
    <row r="64" spans="1:12" x14ac:dyDescent="0.25">
      <c r="A64" s="58" t="s">
        <v>34</v>
      </c>
      <c r="B64" s="58" t="s">
        <v>35</v>
      </c>
      <c r="C64" s="58" t="s">
        <v>36</v>
      </c>
      <c r="D64" s="58" t="s">
        <v>37</v>
      </c>
      <c r="E64" s="58" t="s">
        <v>38</v>
      </c>
      <c r="F64" s="58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59"/>
      <c r="C65" s="17">
        <v>24557</v>
      </c>
      <c r="D65" s="59" t="s">
        <v>41</v>
      </c>
      <c r="E65" s="59">
        <v>0</v>
      </c>
      <c r="F65" s="59">
        <v>0</v>
      </c>
      <c r="G65" s="111"/>
      <c r="H65" s="111"/>
      <c r="I65" s="111"/>
      <c r="J65" s="111"/>
      <c r="K65" s="111"/>
      <c r="L65" s="111"/>
    </row>
    <row r="66" spans="1:12" x14ac:dyDescent="0.25">
      <c r="A66" s="58" t="s">
        <v>42</v>
      </c>
      <c r="B66" s="58" t="s">
        <v>43</v>
      </c>
      <c r="C66" s="58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59">
        <v>141034737</v>
      </c>
      <c r="B67" s="59"/>
      <c r="C67" s="59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60" t="s">
        <v>54</v>
      </c>
      <c r="J72" s="60" t="s">
        <v>55</v>
      </c>
      <c r="K72" s="60" t="s">
        <v>56</v>
      </c>
      <c r="L72" s="6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5000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2.2000000000000002</v>
      </c>
      <c r="H86" s="31">
        <v>0.05</v>
      </c>
      <c r="I86" s="23">
        <f>I74*H86</f>
        <v>5000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111000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105000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H96*I93</f>
        <v>26250</v>
      </c>
      <c r="K96" s="35">
        <v>0.06</v>
      </c>
      <c r="L96" s="23">
        <f>I93*K96</f>
        <v>6300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H100*I93</f>
        <v>2373</v>
      </c>
      <c r="K100" s="34" t="str">
        <f>[1]Taux!C$7</f>
        <v>4,11%</v>
      </c>
      <c r="L100" s="23">
        <f>I93*K100</f>
        <v>4315.5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73608.2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73608.2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v>25937.78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25937.78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1-0.42</f>
        <v>0.58000000000000007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58" t="s">
        <v>95</v>
      </c>
      <c r="B115" s="58" t="s">
        <v>96</v>
      </c>
      <c r="C115" s="58" t="s">
        <v>97</v>
      </c>
      <c r="D115" s="103" t="s">
        <v>98</v>
      </c>
      <c r="E115" s="103"/>
      <c r="F115" s="103"/>
      <c r="G115" s="58" t="s">
        <v>99</v>
      </c>
      <c r="H115" s="50"/>
      <c r="I115" s="57">
        <f>I92+I113</f>
        <v>111000.58</v>
      </c>
      <c r="J115" s="57">
        <f>J103+J110+J111+J112</f>
        <v>54829.58</v>
      </c>
      <c r="K115" s="58" t="s">
        <v>100</v>
      </c>
      <c r="L115" s="57">
        <f>L103</f>
        <v>19554.3</v>
      </c>
    </row>
    <row r="116" spans="1:13" x14ac:dyDescent="0.25">
      <c r="A116" s="57">
        <f>974000+I92</f>
        <v>1085000</v>
      </c>
      <c r="B116" s="57">
        <f>920000+I93</f>
        <v>1025000</v>
      </c>
      <c r="C116" s="57">
        <f>2419.2+J94</f>
        <v>2688</v>
      </c>
      <c r="D116" s="102">
        <f>226529.75+J110</f>
        <v>252467.53</v>
      </c>
      <c r="E116" s="102"/>
      <c r="F116" s="102"/>
      <c r="G116" s="57">
        <f>494263.97+I115</f>
        <v>605264.54999999993</v>
      </c>
      <c r="H116" s="103" t="s">
        <v>101</v>
      </c>
      <c r="I116" s="103"/>
      <c r="J116" s="57">
        <f>I115-J115</f>
        <v>56171</v>
      </c>
      <c r="K116" s="58" t="s">
        <v>102</v>
      </c>
      <c r="L116" s="57">
        <f>171461.2+L115</f>
        <v>191015.5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75725.3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58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59">
        <v>4</v>
      </c>
      <c r="B123" s="111" t="s">
        <v>106</v>
      </c>
      <c r="C123" s="111"/>
      <c r="D123" s="111"/>
      <c r="E123" s="111"/>
      <c r="F123" s="111"/>
      <c r="G123" s="113">
        <v>42583</v>
      </c>
      <c r="H123" s="113"/>
      <c r="I123" s="113"/>
      <c r="J123" s="113">
        <v>42613</v>
      </c>
      <c r="K123" s="113"/>
      <c r="L123" s="113"/>
    </row>
    <row r="124" spans="1:13" x14ac:dyDescent="0.25">
      <c r="A124" s="58" t="s">
        <v>34</v>
      </c>
      <c r="B124" s="58" t="s">
        <v>35</v>
      </c>
      <c r="C124" s="58" t="s">
        <v>36</v>
      </c>
      <c r="D124" s="58" t="s">
        <v>37</v>
      </c>
      <c r="E124" s="58" t="s">
        <v>38</v>
      </c>
      <c r="F124" s="58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59"/>
      <c r="C125" s="17">
        <v>28152</v>
      </c>
      <c r="D125" s="59" t="s">
        <v>41</v>
      </c>
      <c r="E125" s="59">
        <v>0</v>
      </c>
      <c r="F125" s="59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58" t="s">
        <v>42</v>
      </c>
      <c r="B126" s="58" t="s">
        <v>43</v>
      </c>
      <c r="C126" s="58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59">
        <v>123952551</v>
      </c>
      <c r="B127" s="59"/>
      <c r="C127" s="59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60" t="s">
        <v>54</v>
      </c>
      <c r="J132" s="60" t="s">
        <v>55</v>
      </c>
      <c r="K132" s="60" t="s">
        <v>56</v>
      </c>
      <c r="L132" s="6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4500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2.2000000000000002</v>
      </c>
      <c r="H146" s="31">
        <v>0.05</v>
      </c>
      <c r="I146" s="23">
        <f>I134*H146</f>
        <v>4500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100500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94500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42345.5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42345.5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14057.956666666667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1-0.54</f>
        <v>0.45999999999999996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58" t="s">
        <v>95</v>
      </c>
      <c r="B175" s="58" t="s">
        <v>96</v>
      </c>
      <c r="C175" s="58" t="s">
        <v>97</v>
      </c>
      <c r="D175" s="103" t="s">
        <v>98</v>
      </c>
      <c r="E175" s="103"/>
      <c r="F175" s="103"/>
      <c r="G175" s="58" t="s">
        <v>99</v>
      </c>
      <c r="H175" s="50"/>
      <c r="I175" s="57">
        <f>I152+I173</f>
        <v>100500.46</v>
      </c>
      <c r="J175" s="57">
        <f>J163+J170+J171+J172</f>
        <v>63712.456666666665</v>
      </c>
      <c r="K175" s="58" t="s">
        <v>100</v>
      </c>
      <c r="L175" s="57">
        <f>L163</f>
        <v>17652.75</v>
      </c>
    </row>
    <row r="176" spans="1:12" x14ac:dyDescent="0.25">
      <c r="A176" s="57">
        <f>882000+I152</f>
        <v>982500</v>
      </c>
      <c r="B176" s="57">
        <f>828000+I153</f>
        <v>922500</v>
      </c>
      <c r="C176" s="57">
        <f>2419.2+J154</f>
        <v>2688</v>
      </c>
      <c r="D176" s="102">
        <f>122440.83+J170</f>
        <v>136498.78666666668</v>
      </c>
      <c r="E176" s="102"/>
      <c r="F176" s="102"/>
      <c r="G176" s="57">
        <f>324432+I175</f>
        <v>424932.46</v>
      </c>
      <c r="H176" s="103" t="s">
        <v>101</v>
      </c>
      <c r="I176" s="103"/>
      <c r="J176" s="57">
        <f>I175-J175</f>
        <v>36788.003333333341</v>
      </c>
      <c r="K176" s="58" t="s">
        <v>102</v>
      </c>
      <c r="L176" s="57">
        <f>154800+L175</f>
        <v>172452.75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58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59">
        <v>5</v>
      </c>
      <c r="B183" s="111" t="s">
        <v>108</v>
      </c>
      <c r="C183" s="111"/>
      <c r="D183" s="111"/>
      <c r="E183" s="111"/>
      <c r="F183" s="111"/>
      <c r="G183" s="113">
        <v>42583</v>
      </c>
      <c r="H183" s="113"/>
      <c r="I183" s="113"/>
      <c r="J183" s="113">
        <v>42613</v>
      </c>
      <c r="K183" s="113"/>
      <c r="L183" s="113"/>
    </row>
    <row r="184" spans="1:12" x14ac:dyDescent="0.25">
      <c r="A184" s="58" t="s">
        <v>34</v>
      </c>
      <c r="B184" s="58" t="s">
        <v>35</v>
      </c>
      <c r="C184" s="58" t="s">
        <v>36</v>
      </c>
      <c r="D184" s="58" t="s">
        <v>37</v>
      </c>
      <c r="E184" s="58" t="s">
        <v>38</v>
      </c>
      <c r="F184" s="58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59"/>
      <c r="C185" s="17">
        <v>21792</v>
      </c>
      <c r="D185" s="59" t="s">
        <v>41</v>
      </c>
      <c r="E185" s="59">
        <v>2</v>
      </c>
      <c r="F185" s="59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58" t="s">
        <v>42</v>
      </c>
      <c r="B186" s="58" t="s">
        <v>43</v>
      </c>
      <c r="C186" s="58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59">
        <v>132944135</v>
      </c>
      <c r="B187" s="59"/>
      <c r="C187" s="59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60" t="s">
        <v>54</v>
      </c>
      <c r="J192" s="60" t="s">
        <v>55</v>
      </c>
      <c r="K192" s="60" t="s">
        <v>56</v>
      </c>
      <c r="L192" s="6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2.2000000000000002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17731.8485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12731.8485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9675.3087238999997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1766.2716327926667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1-0.04</f>
        <v>0.96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58" t="s">
        <v>95</v>
      </c>
      <c r="B235" s="58" t="s">
        <v>96</v>
      </c>
      <c r="C235" s="58" t="s">
        <v>97</v>
      </c>
      <c r="D235" s="103" t="s">
        <v>98</v>
      </c>
      <c r="E235" s="103"/>
      <c r="F235" s="103"/>
      <c r="G235" s="58" t="s">
        <v>99</v>
      </c>
      <c r="H235" s="50"/>
      <c r="I235" s="57">
        <f>I212+I233</f>
        <v>17732.808499999999</v>
      </c>
      <c r="J235" s="57">
        <f>J223+J230+J231+J232</f>
        <v>2322.8114088926668</v>
      </c>
      <c r="K235" s="58" t="s">
        <v>100</v>
      </c>
      <c r="L235" s="57">
        <f>L223</f>
        <v>2080.6268533500001</v>
      </c>
    </row>
    <row r="236" spans="1:12" x14ac:dyDescent="0.25">
      <c r="A236" s="57">
        <f>156555.24+I212</f>
        <v>174287.08849999998</v>
      </c>
      <c r="B236" s="57">
        <f>111555.24+I213</f>
        <v>124287.08850000001</v>
      </c>
      <c r="C236" s="57">
        <f>2419.2+J214</f>
        <v>2688</v>
      </c>
      <c r="D236" s="102">
        <f>15016.37+J230</f>
        <v>16782.641632792667</v>
      </c>
      <c r="E236" s="102"/>
      <c r="F236" s="102"/>
      <c r="G236" s="57">
        <f>136602.47+I235</f>
        <v>154335.27850000001</v>
      </c>
      <c r="H236" s="103" t="s">
        <v>101</v>
      </c>
      <c r="I236" s="103"/>
      <c r="J236" s="57">
        <f>I235-J235</f>
        <v>15409.997091107332</v>
      </c>
      <c r="K236" s="58" t="s">
        <v>102</v>
      </c>
      <c r="L236" s="57">
        <f>20589.65+L235</f>
        <v>22670.276853350002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58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59">
        <v>6</v>
      </c>
      <c r="B243" s="111" t="s">
        <v>110</v>
      </c>
      <c r="C243" s="111"/>
      <c r="D243" s="111"/>
      <c r="E243" s="111"/>
      <c r="F243" s="111"/>
      <c r="G243" s="113">
        <v>42583</v>
      </c>
      <c r="H243" s="113"/>
      <c r="I243" s="113"/>
      <c r="J243" s="113">
        <v>42613</v>
      </c>
      <c r="K243" s="113"/>
      <c r="L243" s="113"/>
    </row>
    <row r="244" spans="1:12" x14ac:dyDescent="0.25">
      <c r="A244" s="58" t="s">
        <v>34</v>
      </c>
      <c r="B244" s="58" t="s">
        <v>35</v>
      </c>
      <c r="C244" s="58" t="s">
        <v>36</v>
      </c>
      <c r="D244" s="58" t="s">
        <v>37</v>
      </c>
      <c r="E244" s="58" t="s">
        <v>38</v>
      </c>
      <c r="F244" s="58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59"/>
      <c r="C245" s="17">
        <v>31573</v>
      </c>
      <c r="D245" s="59" t="s">
        <v>111</v>
      </c>
      <c r="E245" s="59">
        <v>0</v>
      </c>
      <c r="F245" s="59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58" t="s">
        <v>42</v>
      </c>
      <c r="B246" s="58" t="s">
        <v>43</v>
      </c>
      <c r="C246" s="58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59">
        <v>195441186</v>
      </c>
      <c r="B247" s="59"/>
      <c r="C247" s="59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60" t="s">
        <v>54</v>
      </c>
      <c r="J252" s="60" t="s">
        <v>55</v>
      </c>
      <c r="K252" s="60" t="s">
        <v>56</v>
      </c>
      <c r="L252" s="6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3823.53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2.1166666666666667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4014.7065000000002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2941.1739819000004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44.117398190000074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58" t="s">
        <v>95</v>
      </c>
      <c r="B295" s="58" t="s">
        <v>96</v>
      </c>
      <c r="C295" s="58" t="s">
        <v>97</v>
      </c>
      <c r="D295" s="103" t="s">
        <v>98</v>
      </c>
      <c r="E295" s="103"/>
      <c r="F295" s="103"/>
      <c r="G295" s="58" t="s">
        <v>99</v>
      </c>
      <c r="H295" s="50"/>
      <c r="I295" s="57">
        <f>I272+I293</f>
        <v>4314.7065000000002</v>
      </c>
      <c r="J295" s="57">
        <f>J283+J290+J291+J292</f>
        <v>314.70861629000012</v>
      </c>
      <c r="K295" s="58" t="s">
        <v>100</v>
      </c>
      <c r="L295" s="57">
        <f>L283</f>
        <v>926.99573084999997</v>
      </c>
    </row>
    <row r="296" spans="1:12" x14ac:dyDescent="0.25">
      <c r="A296" s="57">
        <f>32114.9+I272</f>
        <v>36429.606500000002</v>
      </c>
      <c r="B296" s="57">
        <f>29414.9+I273</f>
        <v>33429.606500000002</v>
      </c>
      <c r="C296" s="57">
        <f>1317.78+J274</f>
        <v>1497.6388512000001</v>
      </c>
      <c r="D296" s="102">
        <f>132.35+J290</f>
        <v>176.46739819000007</v>
      </c>
      <c r="E296" s="102"/>
      <c r="F296" s="102"/>
      <c r="G296" s="57">
        <f>30000+I295</f>
        <v>34314.7065</v>
      </c>
      <c r="H296" s="103" t="s">
        <v>101</v>
      </c>
      <c r="I296" s="103"/>
      <c r="J296" s="57">
        <f>I295-J295</f>
        <v>3999.9978837100002</v>
      </c>
      <c r="K296" s="58" t="s">
        <v>102</v>
      </c>
      <c r="L296" s="57">
        <f>5864.92+L295</f>
        <v>6791.9157308499998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58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59">
        <v>7</v>
      </c>
      <c r="B303" s="111" t="s">
        <v>112</v>
      </c>
      <c r="C303" s="111"/>
      <c r="D303" s="111"/>
      <c r="E303" s="111"/>
      <c r="F303" s="111"/>
      <c r="G303" s="113">
        <v>42583</v>
      </c>
      <c r="H303" s="113"/>
      <c r="I303" s="113"/>
      <c r="J303" s="113">
        <v>42613</v>
      </c>
      <c r="K303" s="113"/>
      <c r="L303" s="113"/>
    </row>
    <row r="304" spans="1:12" x14ac:dyDescent="0.25">
      <c r="A304" s="58" t="s">
        <v>34</v>
      </c>
      <c r="B304" s="58" t="s">
        <v>35</v>
      </c>
      <c r="C304" s="58" t="s">
        <v>36</v>
      </c>
      <c r="D304" s="58" t="s">
        <v>37</v>
      </c>
      <c r="E304" s="58" t="s">
        <v>38</v>
      </c>
      <c r="F304" s="58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59"/>
      <c r="C305" s="17">
        <v>34565</v>
      </c>
      <c r="D305" s="59" t="s">
        <v>111</v>
      </c>
      <c r="E305" s="59">
        <v>0</v>
      </c>
      <c r="F305" s="59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58" t="s">
        <v>42</v>
      </c>
      <c r="B306" s="58" t="s">
        <v>43</v>
      </c>
      <c r="C306" s="58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59">
        <v>168098097</v>
      </c>
      <c r="B307" s="59"/>
      <c r="C307" s="59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60" t="s">
        <v>54</v>
      </c>
      <c r="J312" s="60" t="s">
        <v>55</v>
      </c>
      <c r="K312" s="60" t="s">
        <v>56</v>
      </c>
      <c r="L312" s="6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1.6055555555555556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1000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58" t="s">
        <v>95</v>
      </c>
      <c r="B355" s="58" t="s">
        <v>96</v>
      </c>
      <c r="C355" s="58" t="s">
        <v>97</v>
      </c>
      <c r="D355" s="103" t="s">
        <v>98</v>
      </c>
      <c r="E355" s="103"/>
      <c r="F355" s="103"/>
      <c r="G355" s="58" t="s">
        <v>99</v>
      </c>
      <c r="H355" s="50"/>
      <c r="I355" s="57">
        <f>I332+I353</f>
        <v>2808.25</v>
      </c>
      <c r="J355" s="57">
        <f>J343+J350+J351+J352</f>
        <v>1189.2457200000001</v>
      </c>
      <c r="K355" s="58" t="s">
        <v>100</v>
      </c>
      <c r="L355" s="57">
        <f>L343</f>
        <v>648.32101999999998</v>
      </c>
    </row>
    <row r="356" spans="1:12" x14ac:dyDescent="0.25">
      <c r="A356" s="57">
        <f>25270.2+I332</f>
        <v>28078</v>
      </c>
      <c r="B356" s="57">
        <f>25270.2+I333</f>
        <v>28078</v>
      </c>
      <c r="C356" s="57">
        <f>1132.11+J334</f>
        <v>1257.8994399999999</v>
      </c>
      <c r="D356" s="102">
        <f>0+J350</f>
        <v>0</v>
      </c>
      <c r="E356" s="102"/>
      <c r="F356" s="102"/>
      <c r="G356" s="57">
        <f>17071.02+I355</f>
        <v>19879.27</v>
      </c>
      <c r="H356" s="103" t="s">
        <v>101</v>
      </c>
      <c r="I356" s="103"/>
      <c r="J356" s="57">
        <f>I355-J355</f>
        <v>1619.0042799999999</v>
      </c>
      <c r="K356" s="58" t="s">
        <v>102</v>
      </c>
      <c r="L356" s="57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58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59">
        <v>8</v>
      </c>
      <c r="B363" s="111" t="s">
        <v>113</v>
      </c>
      <c r="C363" s="111"/>
      <c r="D363" s="111"/>
      <c r="E363" s="111"/>
      <c r="F363" s="111"/>
      <c r="G363" s="113">
        <v>42583</v>
      </c>
      <c r="H363" s="113"/>
      <c r="I363" s="113"/>
      <c r="J363" s="113">
        <v>42613</v>
      </c>
      <c r="K363" s="113"/>
      <c r="L363" s="113"/>
    </row>
    <row r="364" spans="1:12" x14ac:dyDescent="0.25">
      <c r="A364" s="58" t="s">
        <v>34</v>
      </c>
      <c r="B364" s="58" t="s">
        <v>35</v>
      </c>
      <c r="C364" s="58" t="s">
        <v>36</v>
      </c>
      <c r="D364" s="58" t="s">
        <v>37</v>
      </c>
      <c r="E364" s="58" t="s">
        <v>38</v>
      </c>
      <c r="F364" s="58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59"/>
      <c r="C365" s="17">
        <v>33665</v>
      </c>
      <c r="D365" s="59" t="s">
        <v>111</v>
      </c>
      <c r="E365" s="59">
        <v>0</v>
      </c>
      <c r="F365" s="59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58" t="s">
        <v>42</v>
      </c>
      <c r="B366" s="58" t="s">
        <v>43</v>
      </c>
      <c r="C366" s="58" t="s">
        <v>44</v>
      </c>
      <c r="D366" s="103" t="s">
        <v>45</v>
      </c>
      <c r="E366" s="103"/>
      <c r="F366" s="103"/>
      <c r="G366" s="103" t="s">
        <v>116</v>
      </c>
      <c r="H366" s="103"/>
      <c r="I366" s="103"/>
      <c r="J366" s="103"/>
      <c r="K366" s="103"/>
      <c r="L366" s="103"/>
    </row>
    <row r="367" spans="1:12" x14ac:dyDescent="0.25">
      <c r="A367" s="59">
        <v>164315198</v>
      </c>
      <c r="B367" s="59"/>
      <c r="C367" s="59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60" t="s">
        <v>54</v>
      </c>
      <c r="J372" s="60" t="s">
        <v>55</v>
      </c>
      <c r="K372" s="60" t="s">
        <v>56</v>
      </c>
      <c r="L372" s="6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0.84722222222222221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58" t="s">
        <v>95</v>
      </c>
      <c r="B415" s="58" t="s">
        <v>96</v>
      </c>
      <c r="C415" s="58" t="s">
        <v>97</v>
      </c>
      <c r="D415" s="103" t="s">
        <v>98</v>
      </c>
      <c r="E415" s="103"/>
      <c r="F415" s="103"/>
      <c r="G415" s="58" t="s">
        <v>99</v>
      </c>
      <c r="H415" s="50"/>
      <c r="I415" s="57">
        <f>I392+I413</f>
        <v>4265.6000000000004</v>
      </c>
      <c r="J415" s="57">
        <f>J403+J410+J411+J412</f>
        <v>265.60329600000006</v>
      </c>
      <c r="K415" s="58" t="s">
        <v>100</v>
      </c>
      <c r="L415" s="57">
        <f>L403</f>
        <v>846.38704000000007</v>
      </c>
    </row>
    <row r="416" spans="1:12" x14ac:dyDescent="0.25">
      <c r="A416" s="57">
        <f>38390.4+I392</f>
        <v>42656</v>
      </c>
      <c r="B416" s="57">
        <f>32990.4+I393</f>
        <v>36656</v>
      </c>
      <c r="C416" s="57">
        <f>1477.98+J394</f>
        <v>1642.1988800000001</v>
      </c>
      <c r="D416" s="102">
        <f>166.87+J410</f>
        <v>185.411856</v>
      </c>
      <c r="E416" s="102"/>
      <c r="F416" s="102"/>
      <c r="G416" s="57">
        <f>36000+I415</f>
        <v>40265.599999999999</v>
      </c>
      <c r="H416" s="103" t="s">
        <v>101</v>
      </c>
      <c r="I416" s="103"/>
      <c r="J416" s="57">
        <f>I415-J415</f>
        <v>3999.9967040000001</v>
      </c>
      <c r="K416" s="58" t="s">
        <v>102</v>
      </c>
      <c r="L416" s="57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topLeftCell="C1" workbookViewId="0">
      <selection activeCell="I54" sqref="I54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58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59">
        <v>1</v>
      </c>
      <c r="B3" s="111" t="s">
        <v>33</v>
      </c>
      <c r="C3" s="111"/>
      <c r="D3" s="111"/>
      <c r="E3" s="111"/>
      <c r="F3" s="111"/>
      <c r="G3" s="113">
        <v>42614</v>
      </c>
      <c r="H3" s="113"/>
      <c r="I3" s="113"/>
      <c r="J3" s="113">
        <v>42643</v>
      </c>
      <c r="K3" s="113"/>
      <c r="L3" s="113"/>
    </row>
    <row r="4" spans="1:12" x14ac:dyDescent="0.25">
      <c r="A4" s="58" t="s">
        <v>34</v>
      </c>
      <c r="B4" s="58" t="s">
        <v>35</v>
      </c>
      <c r="C4" s="58" t="s">
        <v>36</v>
      </c>
      <c r="D4" s="58" t="s">
        <v>37</v>
      </c>
      <c r="E4" s="58" t="s">
        <v>38</v>
      </c>
      <c r="F4" s="58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59"/>
      <c r="C5" s="17">
        <v>24624</v>
      </c>
      <c r="D5" s="59" t="s">
        <v>41</v>
      </c>
      <c r="E5" s="59">
        <v>0</v>
      </c>
      <c r="F5" s="59">
        <v>0</v>
      </c>
      <c r="G5" s="111"/>
      <c r="H5" s="111"/>
      <c r="I5" s="111"/>
      <c r="J5" s="111"/>
      <c r="K5" s="111"/>
      <c r="L5" s="111"/>
    </row>
    <row r="6" spans="1:12" x14ac:dyDescent="0.25">
      <c r="A6" s="58" t="s">
        <v>42</v>
      </c>
      <c r="B6" s="58" t="s">
        <v>43</v>
      </c>
      <c r="C6" s="58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59">
        <v>189838836</v>
      </c>
      <c r="B7" s="59"/>
      <c r="C7" s="59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60" t="s">
        <v>54</v>
      </c>
      <c r="J12" s="60" t="s">
        <v>55</v>
      </c>
      <c r="K12" s="60" t="s">
        <v>56</v>
      </c>
      <c r="L12" s="6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10841.784230769232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23</v>
      </c>
      <c r="I15" s="23">
        <f>G13/26*H15</f>
        <v>10841.784230769232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542.08921153846165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3.0916666666666668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542.08921153846165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16383.873442307693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11383.873442307693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341.5162032692308</v>
      </c>
      <c r="K36" s="35">
        <v>0.02</v>
      </c>
      <c r="L36" s="23">
        <f>I33*K36</f>
        <v>227.67746884615386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257.27553979615385</v>
      </c>
      <c r="K40" s="34" t="str">
        <f>[1]Taux!C$7</f>
        <v>4,11%</v>
      </c>
      <c r="L40" s="23">
        <f>I33*K40</f>
        <v>467.87719847884614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728.56790030769241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182.1419750769231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867.59174306538466</v>
      </c>
      <c r="K43" s="21"/>
      <c r="L43" s="21">
        <f>SUM(L34:L42)</f>
        <v>2145.0645427096156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2276.7746884615385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8239.5070107807696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8239.5070107807696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1368.0990503321284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1368.0990503321284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1-0.68</f>
        <v>0.31999999999999995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58" t="s">
        <v>95</v>
      </c>
      <c r="B55" s="58" t="s">
        <v>96</v>
      </c>
      <c r="C55" s="58" t="s">
        <v>97</v>
      </c>
      <c r="D55" s="103" t="s">
        <v>98</v>
      </c>
      <c r="E55" s="103"/>
      <c r="F55" s="103"/>
      <c r="G55" s="58" t="s">
        <v>99</v>
      </c>
      <c r="H55" s="50"/>
      <c r="I55" s="57">
        <f>I32+I53</f>
        <v>16384.193442307693</v>
      </c>
      <c r="J55" s="57">
        <f>J43+J50+J51+J52</f>
        <v>2235.6907933975131</v>
      </c>
      <c r="K55" s="58" t="s">
        <v>100</v>
      </c>
      <c r="L55" s="57">
        <f>L43</f>
        <v>2145.0645427096156</v>
      </c>
    </row>
    <row r="56" spans="1:12" x14ac:dyDescent="0.25">
      <c r="A56" s="57">
        <f>156411.11+I32</f>
        <v>172794.98344230768</v>
      </c>
      <c r="B56" s="57">
        <f>111411.11+I33</f>
        <v>122794.9834423077</v>
      </c>
      <c r="C56" s="57">
        <f>2419.2+J34</f>
        <v>2688</v>
      </c>
      <c r="D56" s="102">
        <f>14978.83+J50</f>
        <v>16346.929050332128</v>
      </c>
      <c r="E56" s="102"/>
      <c r="F56" s="102"/>
      <c r="G56" s="57">
        <f>133157+I55</f>
        <v>149541.1934423077</v>
      </c>
      <c r="H56" s="103" t="s">
        <v>101</v>
      </c>
      <c r="I56" s="103"/>
      <c r="J56" s="57">
        <f>I55-J55</f>
        <v>14148.50264891018</v>
      </c>
      <c r="K56" s="58" t="s">
        <v>102</v>
      </c>
      <c r="L56" s="57">
        <f>20499.47+L55</f>
        <v>22644.534542709618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16293.567191619795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58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59">
        <v>3</v>
      </c>
      <c r="B63" s="111" t="s">
        <v>104</v>
      </c>
      <c r="C63" s="111"/>
      <c r="D63" s="111"/>
      <c r="E63" s="111"/>
      <c r="F63" s="111"/>
      <c r="G63" s="113">
        <v>42614</v>
      </c>
      <c r="H63" s="113"/>
      <c r="I63" s="113"/>
      <c r="J63" s="113">
        <v>42643</v>
      </c>
      <c r="K63" s="113"/>
      <c r="L63" s="113"/>
    </row>
    <row r="64" spans="1:12" x14ac:dyDescent="0.25">
      <c r="A64" s="58" t="s">
        <v>34</v>
      </c>
      <c r="B64" s="58" t="s">
        <v>35</v>
      </c>
      <c r="C64" s="58" t="s">
        <v>36</v>
      </c>
      <c r="D64" s="58" t="s">
        <v>37</v>
      </c>
      <c r="E64" s="58" t="s">
        <v>38</v>
      </c>
      <c r="F64" s="58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59"/>
      <c r="C65" s="17">
        <v>24557</v>
      </c>
      <c r="D65" s="59" t="s">
        <v>41</v>
      </c>
      <c r="E65" s="59">
        <v>0</v>
      </c>
      <c r="F65" s="59">
        <v>0</v>
      </c>
      <c r="G65" s="111"/>
      <c r="H65" s="111"/>
      <c r="I65" s="111"/>
      <c r="J65" s="111"/>
      <c r="K65" s="111"/>
      <c r="L65" s="111"/>
    </row>
    <row r="66" spans="1:12" x14ac:dyDescent="0.25">
      <c r="A66" s="58" t="s">
        <v>42</v>
      </c>
      <c r="B66" s="58" t="s">
        <v>43</v>
      </c>
      <c r="C66" s="58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59">
        <v>141034737</v>
      </c>
      <c r="B67" s="59"/>
      <c r="C67" s="59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60" t="s">
        <v>54</v>
      </c>
      <c r="J72" s="60" t="s">
        <v>55</v>
      </c>
      <c r="K72" s="60" t="s">
        <v>56</v>
      </c>
      <c r="L72" s="6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5000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2.286111111111111</v>
      </c>
      <c r="H86" s="31">
        <v>0.05</v>
      </c>
      <c r="I86" s="23">
        <f>I74*H86</f>
        <v>5000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111000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105000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H96*I93</f>
        <v>26250</v>
      </c>
      <c r="K96" s="35">
        <v>0.06</v>
      </c>
      <c r="L96" s="23">
        <f>I93*K96</f>
        <v>6300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H100*I93</f>
        <v>2373</v>
      </c>
      <c r="K100" s="34" t="str">
        <f>[1]Taux!C$7</f>
        <v>4,11%</v>
      </c>
      <c r="L100" s="23">
        <f>I93*K100</f>
        <v>4315.5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73608.2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73608.2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v>25937.78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25937.78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1-0.42</f>
        <v>0.58000000000000007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58" t="s">
        <v>95</v>
      </c>
      <c r="B115" s="58" t="s">
        <v>96</v>
      </c>
      <c r="C115" s="58" t="s">
        <v>97</v>
      </c>
      <c r="D115" s="103" t="s">
        <v>98</v>
      </c>
      <c r="E115" s="103"/>
      <c r="F115" s="103"/>
      <c r="G115" s="58" t="s">
        <v>99</v>
      </c>
      <c r="H115" s="50"/>
      <c r="I115" s="57">
        <f>I92+I113</f>
        <v>111000.58</v>
      </c>
      <c r="J115" s="57">
        <f>J103+J110+J111+J112</f>
        <v>54829.58</v>
      </c>
      <c r="K115" s="58" t="s">
        <v>100</v>
      </c>
      <c r="L115" s="57">
        <f>L103</f>
        <v>19554.3</v>
      </c>
    </row>
    <row r="116" spans="1:13" x14ac:dyDescent="0.25">
      <c r="A116" s="57">
        <f>974000+I92</f>
        <v>1085000</v>
      </c>
      <c r="B116" s="57">
        <f>920000+I93</f>
        <v>1025000</v>
      </c>
      <c r="C116" s="57">
        <f>2419.2+J94</f>
        <v>2688</v>
      </c>
      <c r="D116" s="102">
        <f>226529.75+J110</f>
        <v>252467.53</v>
      </c>
      <c r="E116" s="102"/>
      <c r="F116" s="102"/>
      <c r="G116" s="57">
        <f>494263.97+I115</f>
        <v>605264.54999999993</v>
      </c>
      <c r="H116" s="103" t="s">
        <v>101</v>
      </c>
      <c r="I116" s="103"/>
      <c r="J116" s="57">
        <f>I115-J115</f>
        <v>56171</v>
      </c>
      <c r="K116" s="58" t="s">
        <v>102</v>
      </c>
      <c r="L116" s="57">
        <f>171461.2+L115</f>
        <v>191015.5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75725.3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58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59">
        <v>4</v>
      </c>
      <c r="B123" s="111" t="s">
        <v>106</v>
      </c>
      <c r="C123" s="111"/>
      <c r="D123" s="111"/>
      <c r="E123" s="111"/>
      <c r="F123" s="111"/>
      <c r="G123" s="113">
        <v>42614</v>
      </c>
      <c r="H123" s="113"/>
      <c r="I123" s="113"/>
      <c r="J123" s="113">
        <v>42643</v>
      </c>
      <c r="K123" s="113"/>
      <c r="L123" s="113"/>
    </row>
    <row r="124" spans="1:13" x14ac:dyDescent="0.25">
      <c r="A124" s="58" t="s">
        <v>34</v>
      </c>
      <c r="B124" s="58" t="s">
        <v>35</v>
      </c>
      <c r="C124" s="58" t="s">
        <v>36</v>
      </c>
      <c r="D124" s="58" t="s">
        <v>37</v>
      </c>
      <c r="E124" s="58" t="s">
        <v>38</v>
      </c>
      <c r="F124" s="58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59"/>
      <c r="C125" s="17">
        <v>28152</v>
      </c>
      <c r="D125" s="59" t="s">
        <v>41</v>
      </c>
      <c r="E125" s="59">
        <v>0</v>
      </c>
      <c r="F125" s="59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58" t="s">
        <v>42</v>
      </c>
      <c r="B126" s="58" t="s">
        <v>43</v>
      </c>
      <c r="C126" s="58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59">
        <v>123952551</v>
      </c>
      <c r="B127" s="59"/>
      <c r="C127" s="59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60" t="s">
        <v>54</v>
      </c>
      <c r="J132" s="60" t="s">
        <v>55</v>
      </c>
      <c r="K132" s="60" t="s">
        <v>56</v>
      </c>
      <c r="L132" s="6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4500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2.286111111111111</v>
      </c>
      <c r="H146" s="31">
        <v>0.05</v>
      </c>
      <c r="I146" s="23">
        <f>I134*H146</f>
        <v>4500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100500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94500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42345.5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42345.5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14057.956666666667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1-0.54</f>
        <v>0.45999999999999996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58" t="s">
        <v>95</v>
      </c>
      <c r="B175" s="58" t="s">
        <v>96</v>
      </c>
      <c r="C175" s="58" t="s">
        <v>97</v>
      </c>
      <c r="D175" s="103" t="s">
        <v>98</v>
      </c>
      <c r="E175" s="103"/>
      <c r="F175" s="103"/>
      <c r="G175" s="58" t="s">
        <v>99</v>
      </c>
      <c r="H175" s="50"/>
      <c r="I175" s="57">
        <f>I152+I173</f>
        <v>100500.46</v>
      </c>
      <c r="J175" s="57">
        <f>J163+J170+J171+J172</f>
        <v>63712.456666666665</v>
      </c>
      <c r="K175" s="58" t="s">
        <v>100</v>
      </c>
      <c r="L175" s="57">
        <f>L163</f>
        <v>17652.75</v>
      </c>
    </row>
    <row r="176" spans="1:12" x14ac:dyDescent="0.25">
      <c r="A176" s="57">
        <f>882000+I152</f>
        <v>982500</v>
      </c>
      <c r="B176" s="57">
        <f>828000+I153</f>
        <v>922500</v>
      </c>
      <c r="C176" s="57">
        <f>2419.2+J154</f>
        <v>2688</v>
      </c>
      <c r="D176" s="102">
        <f>122440.83+J170</f>
        <v>136498.78666666668</v>
      </c>
      <c r="E176" s="102"/>
      <c r="F176" s="102"/>
      <c r="G176" s="57">
        <f>324432+I175</f>
        <v>424932.46</v>
      </c>
      <c r="H176" s="103" t="s">
        <v>101</v>
      </c>
      <c r="I176" s="103"/>
      <c r="J176" s="57">
        <f>I175-J175</f>
        <v>36788.003333333341</v>
      </c>
      <c r="K176" s="58" t="s">
        <v>102</v>
      </c>
      <c r="L176" s="57">
        <f>154800+L175</f>
        <v>172452.75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58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59">
        <v>5</v>
      </c>
      <c r="B183" s="111" t="s">
        <v>108</v>
      </c>
      <c r="C183" s="111"/>
      <c r="D183" s="111"/>
      <c r="E183" s="111"/>
      <c r="F183" s="111"/>
      <c r="G183" s="113">
        <v>42614</v>
      </c>
      <c r="H183" s="113"/>
      <c r="I183" s="113"/>
      <c r="J183" s="113">
        <v>42643</v>
      </c>
      <c r="K183" s="113"/>
      <c r="L183" s="113"/>
    </row>
    <row r="184" spans="1:12" x14ac:dyDescent="0.25">
      <c r="A184" s="58" t="s">
        <v>34</v>
      </c>
      <c r="B184" s="58" t="s">
        <v>35</v>
      </c>
      <c r="C184" s="58" t="s">
        <v>36</v>
      </c>
      <c r="D184" s="58" t="s">
        <v>37</v>
      </c>
      <c r="E184" s="58" t="s">
        <v>38</v>
      </c>
      <c r="F184" s="58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59"/>
      <c r="C185" s="17">
        <v>21792</v>
      </c>
      <c r="D185" s="59" t="s">
        <v>41</v>
      </c>
      <c r="E185" s="59">
        <v>2</v>
      </c>
      <c r="F185" s="59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58" t="s">
        <v>42</v>
      </c>
      <c r="B186" s="58" t="s">
        <v>43</v>
      </c>
      <c r="C186" s="58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59">
        <v>132944135</v>
      </c>
      <c r="B187" s="59"/>
      <c r="C187" s="59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60" t="s">
        <v>54</v>
      </c>
      <c r="J192" s="60" t="s">
        <v>55</v>
      </c>
      <c r="K192" s="60" t="s">
        <v>56</v>
      </c>
      <c r="L192" s="6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2.286111111111111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17731.8485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12731.8485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9675.3087238999997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1766.2716327926667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1-0.04</f>
        <v>0.96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58" t="s">
        <v>95</v>
      </c>
      <c r="B235" s="58" t="s">
        <v>96</v>
      </c>
      <c r="C235" s="58" t="s">
        <v>97</v>
      </c>
      <c r="D235" s="103" t="s">
        <v>98</v>
      </c>
      <c r="E235" s="103"/>
      <c r="F235" s="103"/>
      <c r="G235" s="58" t="s">
        <v>99</v>
      </c>
      <c r="H235" s="50"/>
      <c r="I235" s="57">
        <f>I212+I233</f>
        <v>17732.808499999999</v>
      </c>
      <c r="J235" s="57">
        <f>J223+J230+J231+J232</f>
        <v>2322.8114088926668</v>
      </c>
      <c r="K235" s="58" t="s">
        <v>100</v>
      </c>
      <c r="L235" s="57">
        <f>L223</f>
        <v>2080.6268533500001</v>
      </c>
    </row>
    <row r="236" spans="1:12" x14ac:dyDescent="0.25">
      <c r="A236" s="57">
        <f>156555.24+I212</f>
        <v>174287.08849999998</v>
      </c>
      <c r="B236" s="57">
        <f>111555.24+I213</f>
        <v>124287.08850000001</v>
      </c>
      <c r="C236" s="57">
        <f>2419.2+J214</f>
        <v>2688</v>
      </c>
      <c r="D236" s="102">
        <f>15016.37+J230</f>
        <v>16782.641632792667</v>
      </c>
      <c r="E236" s="102"/>
      <c r="F236" s="102"/>
      <c r="G236" s="57">
        <f>136602.47+I235</f>
        <v>154335.27850000001</v>
      </c>
      <c r="H236" s="103" t="s">
        <v>101</v>
      </c>
      <c r="I236" s="103"/>
      <c r="J236" s="57">
        <f>I235-J235</f>
        <v>15409.997091107332</v>
      </c>
      <c r="K236" s="58" t="s">
        <v>102</v>
      </c>
      <c r="L236" s="57">
        <f>20589.65+L235</f>
        <v>22670.276853350002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58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59">
        <v>6</v>
      </c>
      <c r="B243" s="111" t="s">
        <v>110</v>
      </c>
      <c r="C243" s="111"/>
      <c r="D243" s="111"/>
      <c r="E243" s="111"/>
      <c r="F243" s="111"/>
      <c r="G243" s="113">
        <v>42614</v>
      </c>
      <c r="H243" s="113"/>
      <c r="I243" s="113"/>
      <c r="J243" s="113">
        <v>42643</v>
      </c>
      <c r="K243" s="113"/>
      <c r="L243" s="113"/>
    </row>
    <row r="244" spans="1:12" x14ac:dyDescent="0.25">
      <c r="A244" s="58" t="s">
        <v>34</v>
      </c>
      <c r="B244" s="58" t="s">
        <v>35</v>
      </c>
      <c r="C244" s="58" t="s">
        <v>36</v>
      </c>
      <c r="D244" s="58" t="s">
        <v>37</v>
      </c>
      <c r="E244" s="58" t="s">
        <v>38</v>
      </c>
      <c r="F244" s="58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59"/>
      <c r="C245" s="17">
        <v>31573</v>
      </c>
      <c r="D245" s="59" t="s">
        <v>111</v>
      </c>
      <c r="E245" s="59">
        <v>0</v>
      </c>
      <c r="F245" s="59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58" t="s">
        <v>42</v>
      </c>
      <c r="B246" s="58" t="s">
        <v>43</v>
      </c>
      <c r="C246" s="58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59">
        <v>195441186</v>
      </c>
      <c r="B247" s="59"/>
      <c r="C247" s="59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60" t="s">
        <v>54</v>
      </c>
      <c r="J252" s="60" t="s">
        <v>55</v>
      </c>
      <c r="K252" s="60" t="s">
        <v>56</v>
      </c>
      <c r="L252" s="6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3823.53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2.2027777777777779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4014.7065000000002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2941.1739819000004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44.117398190000074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58" t="s">
        <v>95</v>
      </c>
      <c r="B295" s="58" t="s">
        <v>96</v>
      </c>
      <c r="C295" s="58" t="s">
        <v>97</v>
      </c>
      <c r="D295" s="103" t="s">
        <v>98</v>
      </c>
      <c r="E295" s="103"/>
      <c r="F295" s="103"/>
      <c r="G295" s="58" t="s">
        <v>99</v>
      </c>
      <c r="H295" s="50"/>
      <c r="I295" s="57">
        <f>I272+I293</f>
        <v>4314.7065000000002</v>
      </c>
      <c r="J295" s="57">
        <f>J283+J290+J291+J292</f>
        <v>314.70861629000012</v>
      </c>
      <c r="K295" s="58" t="s">
        <v>100</v>
      </c>
      <c r="L295" s="57">
        <f>L283</f>
        <v>926.99573084999997</v>
      </c>
    </row>
    <row r="296" spans="1:12" x14ac:dyDescent="0.25">
      <c r="A296" s="57">
        <f>32114.9+I272</f>
        <v>36429.606500000002</v>
      </c>
      <c r="B296" s="57">
        <f>29414.9+I273</f>
        <v>33429.606500000002</v>
      </c>
      <c r="C296" s="57">
        <f>1317.78+J274</f>
        <v>1497.6388512000001</v>
      </c>
      <c r="D296" s="102">
        <f>132.35+J290</f>
        <v>176.46739819000007</v>
      </c>
      <c r="E296" s="102"/>
      <c r="F296" s="102"/>
      <c r="G296" s="57">
        <f>30000+I295</f>
        <v>34314.7065</v>
      </c>
      <c r="H296" s="103" t="s">
        <v>101</v>
      </c>
      <c r="I296" s="103"/>
      <c r="J296" s="57">
        <f>I295-J295</f>
        <v>3999.9978837100002</v>
      </c>
      <c r="K296" s="58" t="s">
        <v>102</v>
      </c>
      <c r="L296" s="57">
        <f>5864.92+L295</f>
        <v>6791.9157308499998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58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59">
        <v>7</v>
      </c>
      <c r="B303" s="111" t="s">
        <v>112</v>
      </c>
      <c r="C303" s="111"/>
      <c r="D303" s="111"/>
      <c r="E303" s="111"/>
      <c r="F303" s="111"/>
      <c r="G303" s="113">
        <v>42614</v>
      </c>
      <c r="H303" s="113"/>
      <c r="I303" s="113"/>
      <c r="J303" s="113">
        <v>42643</v>
      </c>
      <c r="K303" s="113"/>
      <c r="L303" s="113"/>
    </row>
    <row r="304" spans="1:12" x14ac:dyDescent="0.25">
      <c r="A304" s="58" t="s">
        <v>34</v>
      </c>
      <c r="B304" s="58" t="s">
        <v>35</v>
      </c>
      <c r="C304" s="58" t="s">
        <v>36</v>
      </c>
      <c r="D304" s="58" t="s">
        <v>37</v>
      </c>
      <c r="E304" s="58" t="s">
        <v>38</v>
      </c>
      <c r="F304" s="58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59"/>
      <c r="C305" s="17">
        <v>34565</v>
      </c>
      <c r="D305" s="59" t="s">
        <v>111</v>
      </c>
      <c r="E305" s="59">
        <v>0</v>
      </c>
      <c r="F305" s="59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58" t="s">
        <v>42</v>
      </c>
      <c r="B306" s="58" t="s">
        <v>43</v>
      </c>
      <c r="C306" s="58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59">
        <v>168098097</v>
      </c>
      <c r="B307" s="59"/>
      <c r="C307" s="59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60" t="s">
        <v>54</v>
      </c>
      <c r="J312" s="60" t="s">
        <v>55</v>
      </c>
      <c r="K312" s="60" t="s">
        <v>56</v>
      </c>
      <c r="L312" s="6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1.6916666666666667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1000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58" t="s">
        <v>95</v>
      </c>
      <c r="B355" s="58" t="s">
        <v>96</v>
      </c>
      <c r="C355" s="58" t="s">
        <v>97</v>
      </c>
      <c r="D355" s="103" t="s">
        <v>98</v>
      </c>
      <c r="E355" s="103"/>
      <c r="F355" s="103"/>
      <c r="G355" s="58" t="s">
        <v>99</v>
      </c>
      <c r="H355" s="50"/>
      <c r="I355" s="57">
        <f>I332+I353</f>
        <v>2808.25</v>
      </c>
      <c r="J355" s="57">
        <f>J343+J350+J351+J352</f>
        <v>1189.2457200000001</v>
      </c>
      <c r="K355" s="58" t="s">
        <v>100</v>
      </c>
      <c r="L355" s="57">
        <f>L343</f>
        <v>648.32101999999998</v>
      </c>
    </row>
    <row r="356" spans="1:12" x14ac:dyDescent="0.25">
      <c r="A356" s="57">
        <f>25270.2+I332</f>
        <v>28078</v>
      </c>
      <c r="B356" s="57">
        <f>25270.2+I333</f>
        <v>28078</v>
      </c>
      <c r="C356" s="57">
        <f>1132.11+J334</f>
        <v>1257.8994399999999</v>
      </c>
      <c r="D356" s="102">
        <f>0+J350</f>
        <v>0</v>
      </c>
      <c r="E356" s="102"/>
      <c r="F356" s="102"/>
      <c r="G356" s="57">
        <f>17071.02+I355</f>
        <v>19879.27</v>
      </c>
      <c r="H356" s="103" t="s">
        <v>101</v>
      </c>
      <c r="I356" s="103"/>
      <c r="J356" s="57">
        <f>I355-J355</f>
        <v>1619.0042799999999</v>
      </c>
      <c r="K356" s="58" t="s">
        <v>102</v>
      </c>
      <c r="L356" s="57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58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59">
        <v>8</v>
      </c>
      <c r="B363" s="111" t="s">
        <v>113</v>
      </c>
      <c r="C363" s="111"/>
      <c r="D363" s="111"/>
      <c r="E363" s="111"/>
      <c r="F363" s="111"/>
      <c r="G363" s="113">
        <v>42614</v>
      </c>
      <c r="H363" s="113"/>
      <c r="I363" s="113"/>
      <c r="J363" s="113">
        <v>42643</v>
      </c>
      <c r="K363" s="113"/>
      <c r="L363" s="113"/>
    </row>
    <row r="364" spans="1:12" x14ac:dyDescent="0.25">
      <c r="A364" s="58" t="s">
        <v>34</v>
      </c>
      <c r="B364" s="58" t="s">
        <v>35</v>
      </c>
      <c r="C364" s="58" t="s">
        <v>36</v>
      </c>
      <c r="D364" s="58" t="s">
        <v>37</v>
      </c>
      <c r="E364" s="58" t="s">
        <v>38</v>
      </c>
      <c r="F364" s="58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59"/>
      <c r="C365" s="17">
        <v>33665</v>
      </c>
      <c r="D365" s="59" t="s">
        <v>111</v>
      </c>
      <c r="E365" s="59">
        <v>0</v>
      </c>
      <c r="F365" s="59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58" t="s">
        <v>42</v>
      </c>
      <c r="B366" s="58" t="s">
        <v>43</v>
      </c>
      <c r="C366" s="58" t="s">
        <v>44</v>
      </c>
      <c r="D366" s="103" t="s">
        <v>45</v>
      </c>
      <c r="E366" s="103"/>
      <c r="F366" s="103"/>
      <c r="G366" s="103" t="s">
        <v>116</v>
      </c>
      <c r="H366" s="103"/>
      <c r="I366" s="103"/>
      <c r="J366" s="103"/>
      <c r="K366" s="103"/>
      <c r="L366" s="103"/>
    </row>
    <row r="367" spans="1:12" x14ac:dyDescent="0.25">
      <c r="A367" s="59">
        <v>164315198</v>
      </c>
      <c r="B367" s="59"/>
      <c r="C367" s="59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60" t="s">
        <v>54</v>
      </c>
      <c r="J372" s="60" t="s">
        <v>55</v>
      </c>
      <c r="K372" s="60" t="s">
        <v>56</v>
      </c>
      <c r="L372" s="6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0.93333333333333335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58" t="s">
        <v>95</v>
      </c>
      <c r="B415" s="58" t="s">
        <v>96</v>
      </c>
      <c r="C415" s="58" t="s">
        <v>97</v>
      </c>
      <c r="D415" s="103" t="s">
        <v>98</v>
      </c>
      <c r="E415" s="103"/>
      <c r="F415" s="103"/>
      <c r="G415" s="58" t="s">
        <v>99</v>
      </c>
      <c r="H415" s="50"/>
      <c r="I415" s="57">
        <f>I392+I413</f>
        <v>4265.6000000000004</v>
      </c>
      <c r="J415" s="57">
        <f>J403+J410+J411+J412</f>
        <v>265.60329600000006</v>
      </c>
      <c r="K415" s="58" t="s">
        <v>100</v>
      </c>
      <c r="L415" s="57">
        <f>L403</f>
        <v>846.38704000000007</v>
      </c>
    </row>
    <row r="416" spans="1:12" x14ac:dyDescent="0.25">
      <c r="A416" s="57">
        <f>38390.4+I392</f>
        <v>42656</v>
      </c>
      <c r="B416" s="57">
        <f>32990.4+I393</f>
        <v>36656</v>
      </c>
      <c r="C416" s="57">
        <f>1477.98+J394</f>
        <v>1642.1988800000001</v>
      </c>
      <c r="D416" s="102">
        <f>166.87+J410</f>
        <v>185.411856</v>
      </c>
      <c r="E416" s="102"/>
      <c r="F416" s="102"/>
      <c r="G416" s="57">
        <f>36000+I415</f>
        <v>40265.599999999999</v>
      </c>
      <c r="H416" s="103" t="s">
        <v>101</v>
      </c>
      <c r="I416" s="103"/>
      <c r="J416" s="57">
        <f>I415-J415</f>
        <v>3999.9967040000001</v>
      </c>
      <c r="K416" s="58" t="s">
        <v>102</v>
      </c>
      <c r="L416" s="57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workbookViewId="0">
      <selection activeCell="L299" sqref="L299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13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15">
        <v>1</v>
      </c>
      <c r="B3" s="111" t="s">
        <v>33</v>
      </c>
      <c r="C3" s="111"/>
      <c r="D3" s="111"/>
      <c r="E3" s="111"/>
      <c r="F3" s="111"/>
      <c r="G3" s="113">
        <v>42644</v>
      </c>
      <c r="H3" s="113"/>
      <c r="I3" s="113"/>
      <c r="J3" s="113">
        <v>42674</v>
      </c>
      <c r="K3" s="113"/>
      <c r="L3" s="113"/>
    </row>
    <row r="4" spans="1:12" x14ac:dyDescent="0.25">
      <c r="A4" s="13" t="s">
        <v>34</v>
      </c>
      <c r="B4" s="13" t="s">
        <v>35</v>
      </c>
      <c r="C4" s="13" t="s">
        <v>36</v>
      </c>
      <c r="D4" s="13" t="s">
        <v>37</v>
      </c>
      <c r="E4" s="13" t="s">
        <v>38</v>
      </c>
      <c r="F4" s="13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15"/>
      <c r="C5" s="17">
        <v>24624</v>
      </c>
      <c r="D5" s="15" t="s">
        <v>41</v>
      </c>
      <c r="E5" s="15">
        <v>0</v>
      </c>
      <c r="F5" s="15">
        <v>0</v>
      </c>
      <c r="G5" s="111"/>
      <c r="H5" s="111"/>
      <c r="I5" s="111"/>
      <c r="J5" s="111"/>
      <c r="K5" s="111"/>
      <c r="L5" s="111"/>
    </row>
    <row r="6" spans="1:12" x14ac:dyDescent="0.25">
      <c r="A6" s="13" t="s">
        <v>42</v>
      </c>
      <c r="B6" s="13" t="s">
        <v>43</v>
      </c>
      <c r="C6" s="13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15">
        <v>189838836</v>
      </c>
      <c r="B7" s="15"/>
      <c r="C7" s="15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612.79650000000004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3.1749999999999998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17868.726500000001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12868.726500000001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9423.0314861000006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9423.0314861000006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1770.4973719406673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1-0.53</f>
        <v>0.47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13" t="s">
        <v>95</v>
      </c>
      <c r="B55" s="13" t="s">
        <v>96</v>
      </c>
      <c r="C55" s="13" t="s">
        <v>97</v>
      </c>
      <c r="D55" s="103" t="s">
        <v>98</v>
      </c>
      <c r="E55" s="103"/>
      <c r="F55" s="103"/>
      <c r="G55" s="13" t="s">
        <v>99</v>
      </c>
      <c r="H55" s="50"/>
      <c r="I55" s="51">
        <f>I32+I53</f>
        <v>17869.196500000002</v>
      </c>
      <c r="J55" s="51">
        <f>J43+J50+J51+J52</f>
        <v>2716.1923858406672</v>
      </c>
      <c r="K55" s="13" t="s">
        <v>100</v>
      </c>
      <c r="L55" s="51">
        <f>L43</f>
        <v>2354.57730915</v>
      </c>
    </row>
    <row r="56" spans="1:12" x14ac:dyDescent="0.25">
      <c r="A56" s="51">
        <f>156411.11+I32</f>
        <v>174279.83649999998</v>
      </c>
      <c r="B56" s="51">
        <f>111411.11+I33</f>
        <v>124279.8365</v>
      </c>
      <c r="C56" s="51">
        <f>2419.2+J34</f>
        <v>2688</v>
      </c>
      <c r="D56" s="102">
        <f>14978.83+J50</f>
        <v>16749.327371940668</v>
      </c>
      <c r="E56" s="102"/>
      <c r="F56" s="102"/>
      <c r="G56" s="51">
        <f>133157+I55</f>
        <v>151026.19649999999</v>
      </c>
      <c r="H56" s="103" t="s">
        <v>101</v>
      </c>
      <c r="I56" s="103"/>
      <c r="J56" s="51">
        <f>I55-J55</f>
        <v>15153.004114159336</v>
      </c>
      <c r="K56" s="13" t="s">
        <v>102</v>
      </c>
      <c r="L56" s="51">
        <f>20499.47+L55</f>
        <v>22854.047309150003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59" t="s">
        <v>26</v>
      </c>
      <c r="B61" s="160"/>
      <c r="C61" s="159" t="s">
        <v>27</v>
      </c>
      <c r="D61" s="161"/>
      <c r="E61" s="161"/>
      <c r="F61" s="160"/>
      <c r="G61" s="159" t="s">
        <v>28</v>
      </c>
      <c r="H61" s="161"/>
      <c r="I61" s="160"/>
      <c r="J61" s="159" t="s">
        <v>29</v>
      </c>
      <c r="K61" s="161"/>
      <c r="L61" s="160"/>
    </row>
    <row r="62" spans="1:12" x14ac:dyDescent="0.25">
      <c r="A62" s="58" t="s">
        <v>30</v>
      </c>
      <c r="B62" s="118" t="s">
        <v>31</v>
      </c>
      <c r="C62" s="131"/>
      <c r="D62" s="131"/>
      <c r="E62" s="131"/>
      <c r="F62" s="119"/>
      <c r="G62" s="118" t="s">
        <v>32</v>
      </c>
      <c r="H62" s="131"/>
      <c r="I62" s="131"/>
      <c r="J62" s="131"/>
      <c r="K62" s="131"/>
      <c r="L62" s="119"/>
    </row>
    <row r="63" spans="1:12" x14ac:dyDescent="0.25">
      <c r="A63" s="59">
        <v>3</v>
      </c>
      <c r="B63" s="143" t="s">
        <v>104</v>
      </c>
      <c r="C63" s="144"/>
      <c r="D63" s="144"/>
      <c r="E63" s="144"/>
      <c r="F63" s="145"/>
      <c r="G63" s="156">
        <v>42644</v>
      </c>
      <c r="H63" s="157"/>
      <c r="I63" s="158"/>
      <c r="J63" s="156">
        <v>42674</v>
      </c>
      <c r="K63" s="157"/>
      <c r="L63" s="158"/>
    </row>
    <row r="64" spans="1:12" x14ac:dyDescent="0.25">
      <c r="A64" s="58" t="s">
        <v>34</v>
      </c>
      <c r="B64" s="58" t="s">
        <v>35</v>
      </c>
      <c r="C64" s="58" t="s">
        <v>36</v>
      </c>
      <c r="D64" s="58" t="s">
        <v>37</v>
      </c>
      <c r="E64" s="58" t="s">
        <v>38</v>
      </c>
      <c r="F64" s="58" t="s">
        <v>39</v>
      </c>
      <c r="G64" s="118" t="s">
        <v>40</v>
      </c>
      <c r="H64" s="131"/>
      <c r="I64" s="131"/>
      <c r="J64" s="131"/>
      <c r="K64" s="131"/>
      <c r="L64" s="119"/>
    </row>
    <row r="65" spans="1:12" x14ac:dyDescent="0.25">
      <c r="A65" s="17">
        <v>41791</v>
      </c>
      <c r="B65" s="59"/>
      <c r="C65" s="17">
        <v>24557</v>
      </c>
      <c r="D65" s="59" t="s">
        <v>41</v>
      </c>
      <c r="E65" s="59">
        <v>0</v>
      </c>
      <c r="F65" s="59">
        <v>0</v>
      </c>
      <c r="G65" s="143"/>
      <c r="H65" s="144"/>
      <c r="I65" s="144"/>
      <c r="J65" s="144"/>
      <c r="K65" s="144"/>
      <c r="L65" s="145"/>
    </row>
    <row r="66" spans="1:12" x14ac:dyDescent="0.25">
      <c r="A66" s="58" t="s">
        <v>42</v>
      </c>
      <c r="B66" s="58" t="s">
        <v>43</v>
      </c>
      <c r="C66" s="58" t="s">
        <v>44</v>
      </c>
      <c r="D66" s="118" t="s">
        <v>45</v>
      </c>
      <c r="E66" s="131"/>
      <c r="F66" s="119"/>
      <c r="G66" s="118" t="s">
        <v>46</v>
      </c>
      <c r="H66" s="131"/>
      <c r="I66" s="131"/>
      <c r="J66" s="131"/>
      <c r="K66" s="131"/>
      <c r="L66" s="119"/>
    </row>
    <row r="67" spans="1:12" x14ac:dyDescent="0.25">
      <c r="A67" s="59">
        <v>141034737</v>
      </c>
      <c r="B67" s="59"/>
      <c r="C67" s="59"/>
      <c r="D67" s="143" t="s">
        <v>47</v>
      </c>
      <c r="E67" s="144"/>
      <c r="F67" s="145"/>
      <c r="G67" s="143" t="s">
        <v>105</v>
      </c>
      <c r="H67" s="144"/>
      <c r="I67" s="144"/>
      <c r="J67" s="144"/>
      <c r="K67" s="144"/>
      <c r="L67" s="145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46" t="s">
        <v>49</v>
      </c>
      <c r="B71" s="147"/>
      <c r="C71" s="147"/>
      <c r="D71" s="147"/>
      <c r="E71" s="147"/>
      <c r="F71" s="148"/>
      <c r="G71" s="152" t="s">
        <v>50</v>
      </c>
      <c r="H71" s="152" t="s">
        <v>51</v>
      </c>
      <c r="I71" s="154" t="s">
        <v>52</v>
      </c>
      <c r="J71" s="155"/>
      <c r="K71" s="154" t="s">
        <v>53</v>
      </c>
      <c r="L71" s="155"/>
    </row>
    <row r="72" spans="1:12" x14ac:dyDescent="0.25">
      <c r="A72" s="149"/>
      <c r="B72" s="150"/>
      <c r="C72" s="150"/>
      <c r="D72" s="150"/>
      <c r="E72" s="150"/>
      <c r="F72" s="151"/>
      <c r="G72" s="153"/>
      <c r="H72" s="153"/>
      <c r="I72" s="60" t="s">
        <v>54</v>
      </c>
      <c r="J72" s="60" t="s">
        <v>55</v>
      </c>
      <c r="K72" s="60" t="s">
        <v>56</v>
      </c>
      <c r="L72" s="60" t="s">
        <v>57</v>
      </c>
    </row>
    <row r="73" spans="1:12" x14ac:dyDescent="0.25">
      <c r="A73" s="123" t="s">
        <v>58</v>
      </c>
      <c r="B73" s="124"/>
      <c r="C73" s="124"/>
      <c r="D73" s="124"/>
      <c r="E73" s="124"/>
      <c r="F73" s="125"/>
      <c r="G73" s="21">
        <v>100000</v>
      </c>
      <c r="H73" s="22"/>
      <c r="I73" s="21"/>
      <c r="J73" s="21"/>
      <c r="K73" s="21"/>
      <c r="L73" s="21"/>
    </row>
    <row r="74" spans="1:12" x14ac:dyDescent="0.25">
      <c r="A74" s="123" t="s">
        <v>59</v>
      </c>
      <c r="B74" s="124"/>
      <c r="C74" s="124"/>
      <c r="D74" s="124"/>
      <c r="E74" s="124"/>
      <c r="F74" s="12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26" t="s">
        <v>60</v>
      </c>
      <c r="B75" s="127"/>
      <c r="C75" s="127"/>
      <c r="D75" s="127"/>
      <c r="E75" s="127"/>
      <c r="F75" s="128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9" t="s">
        <v>61</v>
      </c>
      <c r="B76" s="129"/>
      <c r="C76" s="129"/>
      <c r="D76" s="129"/>
      <c r="E76" s="129"/>
      <c r="F76" s="130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9" t="s">
        <v>62</v>
      </c>
      <c r="B77" s="129"/>
      <c r="C77" s="129"/>
      <c r="D77" s="129"/>
      <c r="E77" s="129"/>
      <c r="F77" s="130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9" t="s">
        <v>63</v>
      </c>
      <c r="B78" s="129"/>
      <c r="C78" s="129"/>
      <c r="D78" s="129"/>
      <c r="E78" s="129"/>
      <c r="F78" s="130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9" t="s">
        <v>64</v>
      </c>
      <c r="B79" s="129"/>
      <c r="C79" s="129"/>
      <c r="D79" s="129"/>
      <c r="E79" s="129"/>
      <c r="F79" s="130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9" t="s">
        <v>65</v>
      </c>
      <c r="B80" s="129"/>
      <c r="C80" s="129"/>
      <c r="D80" s="129"/>
      <c r="E80" s="129"/>
      <c r="F80" s="130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9" t="s">
        <v>66</v>
      </c>
      <c r="B81" s="129"/>
      <c r="C81" s="129"/>
      <c r="D81" s="129"/>
      <c r="E81" s="129"/>
      <c r="F81" s="130"/>
      <c r="G81" s="29"/>
      <c r="H81" s="30"/>
      <c r="I81" s="30"/>
      <c r="J81" s="25"/>
      <c r="K81" s="26"/>
      <c r="L81" s="26"/>
    </row>
    <row r="82" spans="1:12" x14ac:dyDescent="0.25">
      <c r="A82" s="137">
        <v>0.25</v>
      </c>
      <c r="B82" s="138"/>
      <c r="C82" s="138"/>
      <c r="D82" s="138"/>
      <c r="E82" s="138"/>
      <c r="F82" s="139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37">
        <v>0.5</v>
      </c>
      <c r="B83" s="138"/>
      <c r="C83" s="138"/>
      <c r="D83" s="138"/>
      <c r="E83" s="138"/>
      <c r="F83" s="139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40">
        <v>1</v>
      </c>
      <c r="B84" s="141"/>
      <c r="C84" s="141"/>
      <c r="D84" s="141"/>
      <c r="E84" s="141"/>
      <c r="F84" s="142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23" t="s">
        <v>67</v>
      </c>
      <c r="B85" s="124"/>
      <c r="C85" s="124"/>
      <c r="D85" s="124"/>
      <c r="E85" s="124"/>
      <c r="F85" s="125"/>
      <c r="G85" s="21"/>
      <c r="H85" s="22"/>
      <c r="I85" s="21">
        <f>SUM(I86:I87)</f>
        <v>5000</v>
      </c>
      <c r="J85" s="21"/>
      <c r="K85" s="21"/>
      <c r="L85" s="21"/>
    </row>
    <row r="86" spans="1:12" x14ac:dyDescent="0.25">
      <c r="A86" s="126" t="s">
        <v>68</v>
      </c>
      <c r="B86" s="127"/>
      <c r="C86" s="127"/>
      <c r="D86" s="127"/>
      <c r="E86" s="127"/>
      <c r="F86" s="128"/>
      <c r="G86" s="23">
        <f>(G63-A65)/360</f>
        <v>2.3694444444444445</v>
      </c>
      <c r="H86" s="31">
        <f>IF(G86&lt;2,0,IF(AND(G86&gt;2,G86&lt;5),[1]Taux!A$33,IF(AND(G86&lt;12,G86&gt;5),[1]Taux!A$34,IF(AND(G86&gt;12,G86&lt;20),[1]Taux!A$35,IF(AND(G86&lt;25,G86&gt;20),[1]Taux!A$36,IF(G86&gt;25,[1]Taux!A$37))))))</f>
        <v>0.05</v>
      </c>
      <c r="I86" s="23">
        <f>I74*H86</f>
        <v>5000</v>
      </c>
      <c r="J86" s="25"/>
      <c r="K86" s="26"/>
      <c r="L86" s="26"/>
    </row>
    <row r="87" spans="1:12" x14ac:dyDescent="0.25">
      <c r="A87" s="120" t="s">
        <v>69</v>
      </c>
      <c r="B87" s="121"/>
      <c r="C87" s="121"/>
      <c r="D87" s="121"/>
      <c r="E87" s="121"/>
      <c r="F87" s="122"/>
      <c r="G87" s="23"/>
      <c r="H87" s="24"/>
      <c r="I87" s="23"/>
      <c r="J87" s="25"/>
      <c r="K87" s="26"/>
      <c r="L87" s="26"/>
    </row>
    <row r="88" spans="1:12" x14ac:dyDescent="0.25">
      <c r="A88" s="123" t="s">
        <v>70</v>
      </c>
      <c r="B88" s="124"/>
      <c r="C88" s="124"/>
      <c r="D88" s="124"/>
      <c r="E88" s="124"/>
      <c r="F88" s="12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26" t="s">
        <v>71</v>
      </c>
      <c r="B89" s="127"/>
      <c r="C89" s="127"/>
      <c r="D89" s="127"/>
      <c r="E89" s="127"/>
      <c r="F89" s="128"/>
      <c r="G89" s="23"/>
      <c r="H89" s="24"/>
      <c r="I89" s="23">
        <v>3000</v>
      </c>
      <c r="J89" s="25"/>
      <c r="K89" s="26"/>
      <c r="L89" s="26"/>
    </row>
    <row r="90" spans="1:12" x14ac:dyDescent="0.25">
      <c r="A90" s="109" t="s">
        <v>72</v>
      </c>
      <c r="B90" s="129"/>
      <c r="C90" s="129"/>
      <c r="D90" s="129"/>
      <c r="E90" s="129"/>
      <c r="F90" s="130"/>
      <c r="G90" s="23"/>
      <c r="H90" s="31"/>
      <c r="I90" s="23">
        <v>3000</v>
      </c>
      <c r="J90" s="25"/>
      <c r="K90" s="26"/>
      <c r="L90" s="26"/>
    </row>
    <row r="91" spans="1:12" x14ac:dyDescent="0.25">
      <c r="A91" s="120" t="s">
        <v>73</v>
      </c>
      <c r="B91" s="121"/>
      <c r="C91" s="121"/>
      <c r="D91" s="121"/>
      <c r="E91" s="121"/>
      <c r="F91" s="122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35"/>
      <c r="C92" s="135"/>
      <c r="D92" s="135"/>
      <c r="E92" s="135"/>
      <c r="F92" s="136"/>
      <c r="G92" s="32"/>
      <c r="H92" s="33"/>
      <c r="I92" s="32">
        <f>I74+I85+I88</f>
        <v>111000</v>
      </c>
      <c r="J92" s="33"/>
      <c r="K92" s="33"/>
      <c r="L92" s="33"/>
    </row>
    <row r="93" spans="1:12" x14ac:dyDescent="0.25">
      <c r="A93" s="108" t="s">
        <v>75</v>
      </c>
      <c r="B93" s="135"/>
      <c r="C93" s="135"/>
      <c r="D93" s="135"/>
      <c r="E93" s="135"/>
      <c r="F93" s="136"/>
      <c r="G93" s="32"/>
      <c r="H93" s="33"/>
      <c r="I93" s="32">
        <f>I92-I88</f>
        <v>105000</v>
      </c>
      <c r="J93" s="33"/>
      <c r="K93" s="33"/>
      <c r="L93" s="33"/>
    </row>
    <row r="94" spans="1:12" x14ac:dyDescent="0.25">
      <c r="A94" s="126" t="s">
        <v>76</v>
      </c>
      <c r="B94" s="127"/>
      <c r="C94" s="127"/>
      <c r="D94" s="127"/>
      <c r="E94" s="127"/>
      <c r="F94" s="128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9" t="s">
        <v>77</v>
      </c>
      <c r="B95" s="129"/>
      <c r="C95" s="129"/>
      <c r="D95" s="129"/>
      <c r="E95" s="129"/>
      <c r="F95" s="130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9" t="s">
        <v>78</v>
      </c>
      <c r="B96" s="129"/>
      <c r="C96" s="129"/>
      <c r="D96" s="129"/>
      <c r="E96" s="129"/>
      <c r="F96" s="130"/>
      <c r="G96" s="23"/>
      <c r="H96" s="34">
        <v>0.25</v>
      </c>
      <c r="I96" s="23"/>
      <c r="J96" s="23">
        <f>I93*H96</f>
        <v>26250</v>
      </c>
      <c r="K96" s="35">
        <v>0.06</v>
      </c>
      <c r="L96" s="23">
        <f>I93*K96</f>
        <v>6300</v>
      </c>
    </row>
    <row r="97" spans="1:12" x14ac:dyDescent="0.25">
      <c r="A97" s="109" t="s">
        <v>79</v>
      </c>
      <c r="B97" s="129"/>
      <c r="C97" s="129"/>
      <c r="D97" s="129"/>
      <c r="E97" s="129"/>
      <c r="F97" s="130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9" t="s">
        <v>80</v>
      </c>
      <c r="B98" s="129"/>
      <c r="C98" s="129"/>
      <c r="D98" s="129"/>
      <c r="E98" s="129"/>
      <c r="F98" s="130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9" t="s">
        <v>81</v>
      </c>
      <c r="B99" s="129"/>
      <c r="C99" s="129"/>
      <c r="D99" s="129"/>
      <c r="E99" s="129"/>
      <c r="F99" s="130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9" t="s">
        <v>24</v>
      </c>
      <c r="B100" s="129"/>
      <c r="C100" s="129"/>
      <c r="D100" s="129"/>
      <c r="E100" s="129"/>
      <c r="F100" s="130"/>
      <c r="G100" s="23"/>
      <c r="H100" s="34" t="str">
        <f>[1]Taux!D$7</f>
        <v>2,26%</v>
      </c>
      <c r="I100" s="23"/>
      <c r="J100" s="23">
        <f>I93*H100</f>
        <v>2373</v>
      </c>
      <c r="K100" s="34" t="str">
        <f>[1]Taux!C$7</f>
        <v>4,11%</v>
      </c>
      <c r="L100" s="23">
        <f>I93*K100</f>
        <v>4315.5</v>
      </c>
    </row>
    <row r="101" spans="1:12" x14ac:dyDescent="0.25">
      <c r="A101" s="109" t="s">
        <v>82</v>
      </c>
      <c r="B101" s="129"/>
      <c r="C101" s="129"/>
      <c r="D101" s="129"/>
      <c r="E101" s="129"/>
      <c r="F101" s="130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 x14ac:dyDescent="0.25">
      <c r="A102" s="120" t="s">
        <v>83</v>
      </c>
      <c r="B102" s="121"/>
      <c r="C102" s="121"/>
      <c r="D102" s="121"/>
      <c r="E102" s="121"/>
      <c r="F102" s="122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 x14ac:dyDescent="0.25">
      <c r="A103" s="123" t="s">
        <v>84</v>
      </c>
      <c r="B103" s="124"/>
      <c r="C103" s="124"/>
      <c r="D103" s="124"/>
      <c r="E103" s="124"/>
      <c r="F103" s="125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 x14ac:dyDescent="0.25">
      <c r="A104" s="132" t="s">
        <v>85</v>
      </c>
      <c r="B104" s="133"/>
      <c r="C104" s="133"/>
      <c r="D104" s="133"/>
      <c r="E104" s="133"/>
      <c r="F104" s="13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35"/>
      <c r="C105" s="135"/>
      <c r="D105" s="135"/>
      <c r="E105" s="135"/>
      <c r="F105" s="136"/>
      <c r="G105" s="32"/>
      <c r="H105" s="33"/>
      <c r="I105" s="32">
        <f>I93-J103-J104</f>
        <v>73608.2</v>
      </c>
      <c r="J105" s="33"/>
      <c r="K105" s="33"/>
      <c r="L105" s="33"/>
    </row>
    <row r="106" spans="1:12" x14ac:dyDescent="0.25">
      <c r="A106" s="132" t="s">
        <v>87</v>
      </c>
      <c r="B106" s="133"/>
      <c r="C106" s="133"/>
      <c r="D106" s="133"/>
      <c r="E106" s="133"/>
      <c r="F106" s="13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35"/>
      <c r="C107" s="135"/>
      <c r="D107" s="135"/>
      <c r="E107" s="135"/>
      <c r="F107" s="136"/>
      <c r="G107" s="32"/>
      <c r="H107" s="33"/>
      <c r="I107" s="32">
        <f>I105-I106</f>
        <v>73608.2</v>
      </c>
      <c r="J107" s="33"/>
      <c r="K107" s="33"/>
      <c r="L107" s="33"/>
    </row>
    <row r="108" spans="1:12" x14ac:dyDescent="0.25">
      <c r="A108" s="126" t="s">
        <v>89</v>
      </c>
      <c r="B108" s="127"/>
      <c r="C108" s="127"/>
      <c r="D108" s="127"/>
      <c r="E108" s="127"/>
      <c r="F108" s="128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25937.782666666666</v>
      </c>
      <c r="K108" s="46"/>
      <c r="L108" s="47"/>
    </row>
    <row r="109" spans="1:12" x14ac:dyDescent="0.25">
      <c r="A109" s="120" t="s">
        <v>90</v>
      </c>
      <c r="B109" s="121"/>
      <c r="C109" s="121"/>
      <c r="D109" s="121"/>
      <c r="E109" s="121"/>
      <c r="F109" s="122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23" t="s">
        <v>91</v>
      </c>
      <c r="B110" s="124"/>
      <c r="C110" s="124"/>
      <c r="D110" s="124"/>
      <c r="E110" s="124"/>
      <c r="F110" s="125"/>
      <c r="G110" s="21"/>
      <c r="H110" s="22"/>
      <c r="I110" s="21"/>
      <c r="J110" s="21">
        <f>J108-J109</f>
        <v>25937.782666666666</v>
      </c>
      <c r="K110" s="21"/>
      <c r="L110" s="21"/>
    </row>
    <row r="111" spans="1:12" x14ac:dyDescent="0.25">
      <c r="A111" s="126" t="s">
        <v>92</v>
      </c>
      <c r="B111" s="127"/>
      <c r="C111" s="127"/>
      <c r="D111" s="127"/>
      <c r="E111" s="127"/>
      <c r="F111" s="128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9" t="s">
        <v>93</v>
      </c>
      <c r="B112" s="129"/>
      <c r="C112" s="129"/>
      <c r="D112" s="129"/>
      <c r="E112" s="129"/>
      <c r="F112" s="130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20" t="s">
        <v>94</v>
      </c>
      <c r="B113" s="121"/>
      <c r="C113" s="121"/>
      <c r="D113" s="121"/>
      <c r="E113" s="121"/>
      <c r="F113" s="122"/>
      <c r="G113" s="41"/>
      <c r="H113" s="42"/>
      <c r="I113" s="28">
        <f>1-0.42</f>
        <v>0.58000000000000007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58" t="s">
        <v>95</v>
      </c>
      <c r="B115" s="58" t="s">
        <v>96</v>
      </c>
      <c r="C115" s="58" t="s">
        <v>97</v>
      </c>
      <c r="D115" s="118" t="s">
        <v>98</v>
      </c>
      <c r="E115" s="131"/>
      <c r="F115" s="119"/>
      <c r="G115" s="58" t="s">
        <v>99</v>
      </c>
      <c r="H115" s="50"/>
      <c r="I115" s="57">
        <f>I92+I113</f>
        <v>111000.58</v>
      </c>
      <c r="J115" s="57">
        <f>J103+J110+J111+J112</f>
        <v>54829.582666666669</v>
      </c>
      <c r="K115" s="58" t="s">
        <v>100</v>
      </c>
      <c r="L115" s="57">
        <f>L103</f>
        <v>19554.3</v>
      </c>
    </row>
    <row r="116" spans="1:13" x14ac:dyDescent="0.25">
      <c r="A116" s="57">
        <f>974000+I92</f>
        <v>1085000</v>
      </c>
      <c r="B116" s="57">
        <f>920000+I93</f>
        <v>1025000</v>
      </c>
      <c r="C116" s="57">
        <f>2419.2+J94</f>
        <v>2688</v>
      </c>
      <c r="D116" s="115">
        <f>226529.75+J110</f>
        <v>252467.53266666667</v>
      </c>
      <c r="E116" s="116"/>
      <c r="F116" s="117"/>
      <c r="G116" s="57">
        <f>494263.97+I115</f>
        <v>605264.54999999993</v>
      </c>
      <c r="H116" s="118" t="s">
        <v>101</v>
      </c>
      <c r="I116" s="119"/>
      <c r="J116" s="57">
        <f>I115-J115</f>
        <v>56170.997333333333</v>
      </c>
      <c r="K116" s="58" t="s">
        <v>102</v>
      </c>
      <c r="L116" s="57">
        <f>171461.2+L115</f>
        <v>191015.5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75725.297333333336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59" t="s">
        <v>26</v>
      </c>
      <c r="B121" s="160"/>
      <c r="C121" s="159" t="s">
        <v>27</v>
      </c>
      <c r="D121" s="161"/>
      <c r="E121" s="161"/>
      <c r="F121" s="160"/>
      <c r="G121" s="159" t="s">
        <v>28</v>
      </c>
      <c r="H121" s="161"/>
      <c r="I121" s="160"/>
      <c r="J121" s="159" t="s">
        <v>29</v>
      </c>
      <c r="K121" s="161"/>
      <c r="L121" s="160"/>
    </row>
    <row r="122" spans="1:13" x14ac:dyDescent="0.25">
      <c r="A122" s="58" t="s">
        <v>30</v>
      </c>
      <c r="B122" s="118" t="s">
        <v>31</v>
      </c>
      <c r="C122" s="131"/>
      <c r="D122" s="131"/>
      <c r="E122" s="131"/>
      <c r="F122" s="119"/>
      <c r="G122" s="118" t="s">
        <v>32</v>
      </c>
      <c r="H122" s="131"/>
      <c r="I122" s="131"/>
      <c r="J122" s="131"/>
      <c r="K122" s="131"/>
      <c r="L122" s="119"/>
    </row>
    <row r="123" spans="1:13" x14ac:dyDescent="0.25">
      <c r="A123" s="59">
        <v>4</v>
      </c>
      <c r="B123" s="143" t="s">
        <v>106</v>
      </c>
      <c r="C123" s="144"/>
      <c r="D123" s="144"/>
      <c r="E123" s="144"/>
      <c r="F123" s="145"/>
      <c r="G123" s="156">
        <v>42644</v>
      </c>
      <c r="H123" s="157"/>
      <c r="I123" s="158"/>
      <c r="J123" s="156">
        <v>42674</v>
      </c>
      <c r="K123" s="157"/>
      <c r="L123" s="158"/>
    </row>
    <row r="124" spans="1:13" x14ac:dyDescent="0.25">
      <c r="A124" s="58" t="s">
        <v>34</v>
      </c>
      <c r="B124" s="58" t="s">
        <v>35</v>
      </c>
      <c r="C124" s="58" t="s">
        <v>36</v>
      </c>
      <c r="D124" s="58" t="s">
        <v>37</v>
      </c>
      <c r="E124" s="58" t="s">
        <v>38</v>
      </c>
      <c r="F124" s="58" t="s">
        <v>39</v>
      </c>
      <c r="G124" s="118" t="s">
        <v>40</v>
      </c>
      <c r="H124" s="131"/>
      <c r="I124" s="131"/>
      <c r="J124" s="131"/>
      <c r="K124" s="131"/>
      <c r="L124" s="119"/>
    </row>
    <row r="125" spans="1:13" x14ac:dyDescent="0.25">
      <c r="A125" s="17">
        <v>41791</v>
      </c>
      <c r="B125" s="59"/>
      <c r="C125" s="17">
        <v>28152</v>
      </c>
      <c r="D125" s="59" t="s">
        <v>41</v>
      </c>
      <c r="E125" s="59">
        <v>0</v>
      </c>
      <c r="F125" s="59">
        <v>0</v>
      </c>
      <c r="G125" s="143"/>
      <c r="H125" s="144"/>
      <c r="I125" s="144"/>
      <c r="J125" s="144"/>
      <c r="K125" s="144"/>
      <c r="L125" s="145"/>
    </row>
    <row r="126" spans="1:13" x14ac:dyDescent="0.25">
      <c r="A126" s="58" t="s">
        <v>42</v>
      </c>
      <c r="B126" s="58" t="s">
        <v>43</v>
      </c>
      <c r="C126" s="58" t="s">
        <v>44</v>
      </c>
      <c r="D126" s="118" t="s">
        <v>45</v>
      </c>
      <c r="E126" s="131"/>
      <c r="F126" s="119"/>
      <c r="G126" s="118" t="s">
        <v>46</v>
      </c>
      <c r="H126" s="131"/>
      <c r="I126" s="131"/>
      <c r="J126" s="131"/>
      <c r="K126" s="131"/>
      <c r="L126" s="119"/>
    </row>
    <row r="127" spans="1:13" x14ac:dyDescent="0.25">
      <c r="A127" s="59">
        <v>123952551</v>
      </c>
      <c r="B127" s="59"/>
      <c r="C127" s="59"/>
      <c r="D127" s="143" t="s">
        <v>47</v>
      </c>
      <c r="E127" s="144"/>
      <c r="F127" s="145"/>
      <c r="G127" s="143" t="s">
        <v>107</v>
      </c>
      <c r="H127" s="144"/>
      <c r="I127" s="144"/>
      <c r="J127" s="144"/>
      <c r="K127" s="144"/>
      <c r="L127" s="145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46" t="s">
        <v>49</v>
      </c>
      <c r="B131" s="147"/>
      <c r="C131" s="147"/>
      <c r="D131" s="147"/>
      <c r="E131" s="147"/>
      <c r="F131" s="148"/>
      <c r="G131" s="152" t="s">
        <v>50</v>
      </c>
      <c r="H131" s="152" t="s">
        <v>51</v>
      </c>
      <c r="I131" s="154" t="s">
        <v>52</v>
      </c>
      <c r="J131" s="155"/>
      <c r="K131" s="154" t="s">
        <v>53</v>
      </c>
      <c r="L131" s="155"/>
    </row>
    <row r="132" spans="1:12" x14ac:dyDescent="0.25">
      <c r="A132" s="149"/>
      <c r="B132" s="150"/>
      <c r="C132" s="150"/>
      <c r="D132" s="150"/>
      <c r="E132" s="150"/>
      <c r="F132" s="151"/>
      <c r="G132" s="153"/>
      <c r="H132" s="153"/>
      <c r="I132" s="60" t="s">
        <v>54</v>
      </c>
      <c r="J132" s="60" t="s">
        <v>55</v>
      </c>
      <c r="K132" s="60" t="s">
        <v>56</v>
      </c>
      <c r="L132" s="60" t="s">
        <v>57</v>
      </c>
    </row>
    <row r="133" spans="1:12" x14ac:dyDescent="0.25">
      <c r="A133" s="123" t="s">
        <v>58</v>
      </c>
      <c r="B133" s="124"/>
      <c r="C133" s="124"/>
      <c r="D133" s="124"/>
      <c r="E133" s="124"/>
      <c r="F133" s="12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23" t="s">
        <v>59</v>
      </c>
      <c r="B134" s="124"/>
      <c r="C134" s="124"/>
      <c r="D134" s="124"/>
      <c r="E134" s="124"/>
      <c r="F134" s="12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26" t="s">
        <v>60</v>
      </c>
      <c r="B135" s="127"/>
      <c r="C135" s="127"/>
      <c r="D135" s="127"/>
      <c r="E135" s="127"/>
      <c r="F135" s="128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9" t="s">
        <v>61</v>
      </c>
      <c r="B136" s="129"/>
      <c r="C136" s="129"/>
      <c r="D136" s="129"/>
      <c r="E136" s="129"/>
      <c r="F136" s="130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9" t="s">
        <v>62</v>
      </c>
      <c r="B137" s="129"/>
      <c r="C137" s="129"/>
      <c r="D137" s="129"/>
      <c r="E137" s="129"/>
      <c r="F137" s="130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9" t="s">
        <v>63</v>
      </c>
      <c r="B138" s="129"/>
      <c r="C138" s="129"/>
      <c r="D138" s="129"/>
      <c r="E138" s="129"/>
      <c r="F138" s="130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9" t="s">
        <v>64</v>
      </c>
      <c r="B139" s="129"/>
      <c r="C139" s="129"/>
      <c r="D139" s="129"/>
      <c r="E139" s="129"/>
      <c r="F139" s="130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9" t="s">
        <v>65</v>
      </c>
      <c r="B140" s="129"/>
      <c r="C140" s="129"/>
      <c r="D140" s="129"/>
      <c r="E140" s="129"/>
      <c r="F140" s="130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9" t="s">
        <v>66</v>
      </c>
      <c r="B141" s="129"/>
      <c r="C141" s="129"/>
      <c r="D141" s="129"/>
      <c r="E141" s="129"/>
      <c r="F141" s="130"/>
      <c r="G141" s="29"/>
      <c r="H141" s="30"/>
      <c r="I141" s="30"/>
      <c r="J141" s="25"/>
      <c r="K141" s="26"/>
      <c r="L141" s="26"/>
    </row>
    <row r="142" spans="1:12" x14ac:dyDescent="0.25">
      <c r="A142" s="137">
        <v>0.25</v>
      </c>
      <c r="B142" s="138"/>
      <c r="C142" s="138"/>
      <c r="D142" s="138"/>
      <c r="E142" s="138"/>
      <c r="F142" s="139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37">
        <v>0.5</v>
      </c>
      <c r="B143" s="138"/>
      <c r="C143" s="138"/>
      <c r="D143" s="138"/>
      <c r="E143" s="138"/>
      <c r="F143" s="139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40">
        <v>1</v>
      </c>
      <c r="B144" s="141"/>
      <c r="C144" s="141"/>
      <c r="D144" s="141"/>
      <c r="E144" s="141"/>
      <c r="F144" s="142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23" t="s">
        <v>67</v>
      </c>
      <c r="B145" s="124"/>
      <c r="C145" s="124"/>
      <c r="D145" s="124"/>
      <c r="E145" s="124"/>
      <c r="F145" s="125"/>
      <c r="G145" s="21"/>
      <c r="H145" s="22"/>
      <c r="I145" s="21">
        <f>SUM(I146:I147)</f>
        <v>4500</v>
      </c>
      <c r="J145" s="21"/>
      <c r="K145" s="21"/>
      <c r="L145" s="21"/>
    </row>
    <row r="146" spans="1:12" x14ac:dyDescent="0.25">
      <c r="A146" s="126" t="s">
        <v>68</v>
      </c>
      <c r="B146" s="127"/>
      <c r="C146" s="127"/>
      <c r="D146" s="127"/>
      <c r="E146" s="127"/>
      <c r="F146" s="128"/>
      <c r="G146" s="23">
        <f>(G123-A125)/360</f>
        <v>2.3694444444444445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0.05</v>
      </c>
      <c r="I146" s="23">
        <f>I134*H146</f>
        <v>4500</v>
      </c>
      <c r="J146" s="25"/>
      <c r="K146" s="26"/>
      <c r="L146" s="26"/>
    </row>
    <row r="147" spans="1:12" x14ac:dyDescent="0.25">
      <c r="A147" s="120" t="s">
        <v>69</v>
      </c>
      <c r="B147" s="121"/>
      <c r="C147" s="121"/>
      <c r="D147" s="121"/>
      <c r="E147" s="121"/>
      <c r="F147" s="122"/>
      <c r="G147" s="23"/>
      <c r="H147" s="24"/>
      <c r="I147" s="23"/>
      <c r="J147" s="25"/>
      <c r="K147" s="26"/>
      <c r="L147" s="26"/>
    </row>
    <row r="148" spans="1:12" x14ac:dyDescent="0.25">
      <c r="A148" s="123" t="s">
        <v>70</v>
      </c>
      <c r="B148" s="124"/>
      <c r="C148" s="124"/>
      <c r="D148" s="124"/>
      <c r="E148" s="124"/>
      <c r="F148" s="12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26" t="s">
        <v>71</v>
      </c>
      <c r="B149" s="127"/>
      <c r="C149" s="127"/>
      <c r="D149" s="127"/>
      <c r="E149" s="127"/>
      <c r="F149" s="128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9" t="s">
        <v>72</v>
      </c>
      <c r="B150" s="129"/>
      <c r="C150" s="129"/>
      <c r="D150" s="129"/>
      <c r="E150" s="129"/>
      <c r="F150" s="130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20" t="s">
        <v>73</v>
      </c>
      <c r="B151" s="121"/>
      <c r="C151" s="121"/>
      <c r="D151" s="121"/>
      <c r="E151" s="121"/>
      <c r="F151" s="122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35"/>
      <c r="C152" s="135"/>
      <c r="D152" s="135"/>
      <c r="E152" s="135"/>
      <c r="F152" s="136"/>
      <c r="G152" s="32"/>
      <c r="H152" s="33"/>
      <c r="I152" s="32">
        <f>I134+I145+I148</f>
        <v>100500</v>
      </c>
      <c r="J152" s="33"/>
      <c r="K152" s="33"/>
      <c r="L152" s="33"/>
    </row>
    <row r="153" spans="1:12" x14ac:dyDescent="0.25">
      <c r="A153" s="108" t="s">
        <v>75</v>
      </c>
      <c r="B153" s="135"/>
      <c r="C153" s="135"/>
      <c r="D153" s="135"/>
      <c r="E153" s="135"/>
      <c r="F153" s="136"/>
      <c r="G153" s="32"/>
      <c r="H153" s="33"/>
      <c r="I153" s="32">
        <f>I152-I148</f>
        <v>94500</v>
      </c>
      <c r="J153" s="33"/>
      <c r="K153" s="33"/>
      <c r="L153" s="33"/>
    </row>
    <row r="154" spans="1:12" x14ac:dyDescent="0.25">
      <c r="A154" s="126" t="s">
        <v>76</v>
      </c>
      <c r="B154" s="127"/>
      <c r="C154" s="127"/>
      <c r="D154" s="127"/>
      <c r="E154" s="127"/>
      <c r="F154" s="128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9" t="s">
        <v>77</v>
      </c>
      <c r="B155" s="129"/>
      <c r="C155" s="129"/>
      <c r="D155" s="129"/>
      <c r="E155" s="129"/>
      <c r="F155" s="130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9" t="s">
        <v>78</v>
      </c>
      <c r="B156" s="129"/>
      <c r="C156" s="129"/>
      <c r="D156" s="129"/>
      <c r="E156" s="129"/>
      <c r="F156" s="130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 x14ac:dyDescent="0.25">
      <c r="A157" s="109" t="s">
        <v>79</v>
      </c>
      <c r="B157" s="129"/>
      <c r="C157" s="129"/>
      <c r="D157" s="129"/>
      <c r="E157" s="129"/>
      <c r="F157" s="130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9" t="s">
        <v>80</v>
      </c>
      <c r="B158" s="129"/>
      <c r="C158" s="129"/>
      <c r="D158" s="129"/>
      <c r="E158" s="129"/>
      <c r="F158" s="130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9" t="s">
        <v>81</v>
      </c>
      <c r="B159" s="129"/>
      <c r="C159" s="129"/>
      <c r="D159" s="129"/>
      <c r="E159" s="129"/>
      <c r="F159" s="130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9" t="s">
        <v>24</v>
      </c>
      <c r="B160" s="129"/>
      <c r="C160" s="129"/>
      <c r="D160" s="129"/>
      <c r="E160" s="129"/>
      <c r="F160" s="130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 x14ac:dyDescent="0.25">
      <c r="A161" s="109" t="s">
        <v>82</v>
      </c>
      <c r="B161" s="129"/>
      <c r="C161" s="129"/>
      <c r="D161" s="129"/>
      <c r="E161" s="129"/>
      <c r="F161" s="130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 x14ac:dyDescent="0.25">
      <c r="A162" s="120" t="s">
        <v>83</v>
      </c>
      <c r="B162" s="121"/>
      <c r="C162" s="121"/>
      <c r="D162" s="121"/>
      <c r="E162" s="121"/>
      <c r="F162" s="122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 x14ac:dyDescent="0.25">
      <c r="A163" s="123" t="s">
        <v>84</v>
      </c>
      <c r="B163" s="124"/>
      <c r="C163" s="124"/>
      <c r="D163" s="124"/>
      <c r="E163" s="124"/>
      <c r="F163" s="125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 x14ac:dyDescent="0.25">
      <c r="A164" s="132" t="s">
        <v>85</v>
      </c>
      <c r="B164" s="133"/>
      <c r="C164" s="133"/>
      <c r="D164" s="133"/>
      <c r="E164" s="133"/>
      <c r="F164" s="13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35"/>
      <c r="C165" s="135"/>
      <c r="D165" s="135"/>
      <c r="E165" s="135"/>
      <c r="F165" s="136"/>
      <c r="G165" s="32"/>
      <c r="H165" s="33"/>
      <c r="I165" s="32">
        <f>I153-J163-J164</f>
        <v>42345.5</v>
      </c>
      <c r="J165" s="33"/>
      <c r="K165" s="33"/>
      <c r="L165" s="33"/>
    </row>
    <row r="166" spans="1:12" x14ac:dyDescent="0.25">
      <c r="A166" s="132" t="s">
        <v>87</v>
      </c>
      <c r="B166" s="133"/>
      <c r="C166" s="133"/>
      <c r="D166" s="133"/>
      <c r="E166" s="133"/>
      <c r="F166" s="13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35"/>
      <c r="C167" s="135"/>
      <c r="D167" s="135"/>
      <c r="E167" s="135"/>
      <c r="F167" s="136"/>
      <c r="G167" s="32"/>
      <c r="H167" s="33"/>
      <c r="I167" s="32">
        <f>I165-I166</f>
        <v>42345.5</v>
      </c>
      <c r="J167" s="33"/>
      <c r="K167" s="33"/>
      <c r="L167" s="33"/>
    </row>
    <row r="168" spans="1:12" x14ac:dyDescent="0.25">
      <c r="A168" s="126" t="s">
        <v>89</v>
      </c>
      <c r="B168" s="127"/>
      <c r="C168" s="127"/>
      <c r="D168" s="127"/>
      <c r="E168" s="127"/>
      <c r="F168" s="128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 x14ac:dyDescent="0.25">
      <c r="A169" s="120" t="s">
        <v>90</v>
      </c>
      <c r="B169" s="121"/>
      <c r="C169" s="121"/>
      <c r="D169" s="121"/>
      <c r="E169" s="121"/>
      <c r="F169" s="122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23" t="s">
        <v>91</v>
      </c>
      <c r="B170" s="124"/>
      <c r="C170" s="124"/>
      <c r="D170" s="124"/>
      <c r="E170" s="124"/>
      <c r="F170" s="125"/>
      <c r="G170" s="21"/>
      <c r="H170" s="22"/>
      <c r="I170" s="21"/>
      <c r="J170" s="21">
        <f>J168-J169</f>
        <v>14057.956666666667</v>
      </c>
      <c r="K170" s="21"/>
      <c r="L170" s="21"/>
    </row>
    <row r="171" spans="1:12" x14ac:dyDescent="0.25">
      <c r="A171" s="126" t="s">
        <v>92</v>
      </c>
      <c r="B171" s="127"/>
      <c r="C171" s="127"/>
      <c r="D171" s="127"/>
      <c r="E171" s="127"/>
      <c r="F171" s="128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9" t="s">
        <v>93</v>
      </c>
      <c r="B172" s="129"/>
      <c r="C172" s="129"/>
      <c r="D172" s="129"/>
      <c r="E172" s="129"/>
      <c r="F172" s="130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20" t="s">
        <v>94</v>
      </c>
      <c r="B173" s="121"/>
      <c r="C173" s="121"/>
      <c r="D173" s="121"/>
      <c r="E173" s="121"/>
      <c r="F173" s="122"/>
      <c r="G173" s="41"/>
      <c r="H173" s="42"/>
      <c r="I173" s="28">
        <f>1-0.54</f>
        <v>0.45999999999999996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58" t="s">
        <v>95</v>
      </c>
      <c r="B175" s="58" t="s">
        <v>96</v>
      </c>
      <c r="C175" s="58" t="s">
        <v>97</v>
      </c>
      <c r="D175" s="118" t="s">
        <v>98</v>
      </c>
      <c r="E175" s="131"/>
      <c r="F175" s="119"/>
      <c r="G175" s="58" t="s">
        <v>99</v>
      </c>
      <c r="H175" s="50"/>
      <c r="I175" s="57">
        <f>I152+I173</f>
        <v>100500.46</v>
      </c>
      <c r="J175" s="57">
        <f>J163+J170+J171+J172</f>
        <v>63712.456666666665</v>
      </c>
      <c r="K175" s="58" t="s">
        <v>100</v>
      </c>
      <c r="L175" s="57">
        <f>L163</f>
        <v>17652.75</v>
      </c>
    </row>
    <row r="176" spans="1:12" x14ac:dyDescent="0.25">
      <c r="A176" s="57">
        <f>882000+I152</f>
        <v>982500</v>
      </c>
      <c r="B176" s="57">
        <f>828000+I153</f>
        <v>922500</v>
      </c>
      <c r="C176" s="57">
        <f>2419.2+J154</f>
        <v>2688</v>
      </c>
      <c r="D176" s="115">
        <f>122440.83+J170</f>
        <v>136498.78666666668</v>
      </c>
      <c r="E176" s="116"/>
      <c r="F176" s="117"/>
      <c r="G176" s="57">
        <f>324432+I175</f>
        <v>424932.46</v>
      </c>
      <c r="H176" s="118" t="s">
        <v>101</v>
      </c>
      <c r="I176" s="119"/>
      <c r="J176" s="57">
        <f>I175-J175</f>
        <v>36788.003333333341</v>
      </c>
      <c r="K176" s="58" t="s">
        <v>102</v>
      </c>
      <c r="L176" s="57">
        <f>154800+L175</f>
        <v>172452.75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 x14ac:dyDescent="0.25">
      <c r="A181" s="159" t="s">
        <v>26</v>
      </c>
      <c r="B181" s="160"/>
      <c r="C181" s="159" t="s">
        <v>27</v>
      </c>
      <c r="D181" s="161"/>
      <c r="E181" s="161"/>
      <c r="F181" s="160"/>
      <c r="G181" s="159" t="s">
        <v>28</v>
      </c>
      <c r="H181" s="161"/>
      <c r="I181" s="160"/>
      <c r="J181" s="159" t="s">
        <v>29</v>
      </c>
      <c r="K181" s="161"/>
      <c r="L181" s="160"/>
    </row>
    <row r="182" spans="1:12" x14ac:dyDescent="0.25">
      <c r="A182" s="14" t="s">
        <v>30</v>
      </c>
      <c r="B182" s="118" t="s">
        <v>31</v>
      </c>
      <c r="C182" s="131"/>
      <c r="D182" s="131"/>
      <c r="E182" s="131"/>
      <c r="F182" s="119"/>
      <c r="G182" s="118" t="s">
        <v>32</v>
      </c>
      <c r="H182" s="131"/>
      <c r="I182" s="131"/>
      <c r="J182" s="131"/>
      <c r="K182" s="131"/>
      <c r="L182" s="119"/>
    </row>
    <row r="183" spans="1:12" x14ac:dyDescent="0.25">
      <c r="A183" s="16">
        <v>5</v>
      </c>
      <c r="B183" s="143" t="s">
        <v>108</v>
      </c>
      <c r="C183" s="144"/>
      <c r="D183" s="144"/>
      <c r="E183" s="144"/>
      <c r="F183" s="145"/>
      <c r="G183" s="156">
        <v>42644</v>
      </c>
      <c r="H183" s="157"/>
      <c r="I183" s="158"/>
      <c r="J183" s="156">
        <v>42674</v>
      </c>
      <c r="K183" s="157"/>
      <c r="L183" s="158"/>
    </row>
    <row r="184" spans="1:12" x14ac:dyDescent="0.25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18" t="s">
        <v>40</v>
      </c>
      <c r="H184" s="131"/>
      <c r="I184" s="131"/>
      <c r="J184" s="131"/>
      <c r="K184" s="131"/>
      <c r="L184" s="119"/>
    </row>
    <row r="185" spans="1:12" x14ac:dyDescent="0.25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43"/>
      <c r="H185" s="144"/>
      <c r="I185" s="144"/>
      <c r="J185" s="144"/>
      <c r="K185" s="144"/>
      <c r="L185" s="145"/>
    </row>
    <row r="186" spans="1:12" x14ac:dyDescent="0.25">
      <c r="A186" s="14" t="s">
        <v>42</v>
      </c>
      <c r="B186" s="14" t="s">
        <v>43</v>
      </c>
      <c r="C186" s="14" t="s">
        <v>44</v>
      </c>
      <c r="D186" s="118" t="s">
        <v>45</v>
      </c>
      <c r="E186" s="131"/>
      <c r="F186" s="119"/>
      <c r="G186" s="118" t="s">
        <v>46</v>
      </c>
      <c r="H186" s="131"/>
      <c r="I186" s="131"/>
      <c r="J186" s="131"/>
      <c r="K186" s="131"/>
      <c r="L186" s="119"/>
    </row>
    <row r="187" spans="1:12" x14ac:dyDescent="0.25">
      <c r="A187" s="16">
        <v>132944135</v>
      </c>
      <c r="B187" s="16"/>
      <c r="C187" s="16"/>
      <c r="D187" s="143" t="s">
        <v>47</v>
      </c>
      <c r="E187" s="144"/>
      <c r="F187" s="145"/>
      <c r="G187" s="143" t="s">
        <v>109</v>
      </c>
      <c r="H187" s="144"/>
      <c r="I187" s="144"/>
      <c r="J187" s="144"/>
      <c r="K187" s="144"/>
      <c r="L187" s="145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46" t="s">
        <v>49</v>
      </c>
      <c r="B191" s="147"/>
      <c r="C191" s="147"/>
      <c r="D191" s="147"/>
      <c r="E191" s="147"/>
      <c r="F191" s="148"/>
      <c r="G191" s="152" t="s">
        <v>50</v>
      </c>
      <c r="H191" s="152" t="s">
        <v>51</v>
      </c>
      <c r="I191" s="154" t="s">
        <v>52</v>
      </c>
      <c r="J191" s="155"/>
      <c r="K191" s="154" t="s">
        <v>53</v>
      </c>
      <c r="L191" s="155"/>
    </row>
    <row r="192" spans="1:12" x14ac:dyDescent="0.25">
      <c r="A192" s="149"/>
      <c r="B192" s="150"/>
      <c r="C192" s="150"/>
      <c r="D192" s="150"/>
      <c r="E192" s="150"/>
      <c r="F192" s="151"/>
      <c r="G192" s="153"/>
      <c r="H192" s="153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 x14ac:dyDescent="0.25">
      <c r="A193" s="123" t="s">
        <v>58</v>
      </c>
      <c r="B193" s="124"/>
      <c r="C193" s="124"/>
      <c r="D193" s="124"/>
      <c r="E193" s="124"/>
      <c r="F193" s="12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23" t="s">
        <v>59</v>
      </c>
      <c r="B194" s="124"/>
      <c r="C194" s="124"/>
      <c r="D194" s="124"/>
      <c r="E194" s="124"/>
      <c r="F194" s="12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26" t="s">
        <v>60</v>
      </c>
      <c r="B195" s="127"/>
      <c r="C195" s="127"/>
      <c r="D195" s="127"/>
      <c r="E195" s="127"/>
      <c r="F195" s="128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9" t="s">
        <v>61</v>
      </c>
      <c r="B196" s="129"/>
      <c r="C196" s="129"/>
      <c r="D196" s="129"/>
      <c r="E196" s="129"/>
      <c r="F196" s="130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9" t="s">
        <v>62</v>
      </c>
      <c r="B197" s="129"/>
      <c r="C197" s="129"/>
      <c r="D197" s="129"/>
      <c r="E197" s="129"/>
      <c r="F197" s="130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9" t="s">
        <v>63</v>
      </c>
      <c r="B198" s="129"/>
      <c r="C198" s="129"/>
      <c r="D198" s="129"/>
      <c r="E198" s="129"/>
      <c r="F198" s="130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9" t="s">
        <v>64</v>
      </c>
      <c r="B199" s="129"/>
      <c r="C199" s="129"/>
      <c r="D199" s="129"/>
      <c r="E199" s="129"/>
      <c r="F199" s="130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9" t="s">
        <v>65</v>
      </c>
      <c r="B200" s="129"/>
      <c r="C200" s="129"/>
      <c r="D200" s="129"/>
      <c r="E200" s="129"/>
      <c r="F200" s="130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9" t="s">
        <v>66</v>
      </c>
      <c r="B201" s="129"/>
      <c r="C201" s="129"/>
      <c r="D201" s="129"/>
      <c r="E201" s="129"/>
      <c r="F201" s="130"/>
      <c r="G201" s="29"/>
      <c r="H201" s="30"/>
      <c r="I201" s="30"/>
      <c r="J201" s="25"/>
      <c r="K201" s="26"/>
      <c r="L201" s="26"/>
    </row>
    <row r="202" spans="1:12" x14ac:dyDescent="0.25">
      <c r="A202" s="137">
        <v>0.25</v>
      </c>
      <c r="B202" s="138"/>
      <c r="C202" s="138"/>
      <c r="D202" s="138"/>
      <c r="E202" s="138"/>
      <c r="F202" s="139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37">
        <v>0.5</v>
      </c>
      <c r="B203" s="138"/>
      <c r="C203" s="138"/>
      <c r="D203" s="138"/>
      <c r="E203" s="138"/>
      <c r="F203" s="139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40">
        <v>1</v>
      </c>
      <c r="B204" s="141"/>
      <c r="C204" s="141"/>
      <c r="D204" s="141"/>
      <c r="E204" s="141"/>
      <c r="F204" s="142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23" t="s">
        <v>67</v>
      </c>
      <c r="B205" s="124"/>
      <c r="C205" s="124"/>
      <c r="D205" s="124"/>
      <c r="E205" s="124"/>
      <c r="F205" s="125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 x14ac:dyDescent="0.25">
      <c r="A206" s="126" t="s">
        <v>68</v>
      </c>
      <c r="B206" s="127"/>
      <c r="C206" s="127"/>
      <c r="D206" s="127"/>
      <c r="E206" s="127"/>
      <c r="F206" s="128"/>
      <c r="G206" s="23">
        <f>(G183-A185)/360</f>
        <v>2.3694444444444445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 x14ac:dyDescent="0.25">
      <c r="A207" s="120" t="s">
        <v>69</v>
      </c>
      <c r="B207" s="121"/>
      <c r="C207" s="121"/>
      <c r="D207" s="121"/>
      <c r="E207" s="121"/>
      <c r="F207" s="122"/>
      <c r="G207" s="23"/>
      <c r="H207" s="24"/>
      <c r="I207" s="23"/>
      <c r="J207" s="25"/>
      <c r="K207" s="26"/>
      <c r="L207" s="26"/>
    </row>
    <row r="208" spans="1:12" x14ac:dyDescent="0.25">
      <c r="A208" s="123" t="s">
        <v>70</v>
      </c>
      <c r="B208" s="124"/>
      <c r="C208" s="124"/>
      <c r="D208" s="124"/>
      <c r="E208" s="124"/>
      <c r="F208" s="12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26" t="s">
        <v>71</v>
      </c>
      <c r="B209" s="127"/>
      <c r="C209" s="127"/>
      <c r="D209" s="127"/>
      <c r="E209" s="127"/>
      <c r="F209" s="128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9" t="s">
        <v>72</v>
      </c>
      <c r="B210" s="129"/>
      <c r="C210" s="129"/>
      <c r="D210" s="129"/>
      <c r="E210" s="129"/>
      <c r="F210" s="130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20" t="s">
        <v>73</v>
      </c>
      <c r="B211" s="121"/>
      <c r="C211" s="121"/>
      <c r="D211" s="121"/>
      <c r="E211" s="121"/>
      <c r="F211" s="122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35"/>
      <c r="C212" s="135"/>
      <c r="D212" s="135"/>
      <c r="E212" s="135"/>
      <c r="F212" s="136"/>
      <c r="G212" s="32"/>
      <c r="H212" s="33"/>
      <c r="I212" s="32">
        <f>I194+I205+I208</f>
        <v>17731.8485</v>
      </c>
      <c r="J212" s="33"/>
      <c r="K212" s="33"/>
      <c r="L212" s="33"/>
    </row>
    <row r="213" spans="1:12" x14ac:dyDescent="0.25">
      <c r="A213" s="108" t="s">
        <v>75</v>
      </c>
      <c r="B213" s="135"/>
      <c r="C213" s="135"/>
      <c r="D213" s="135"/>
      <c r="E213" s="135"/>
      <c r="F213" s="136"/>
      <c r="G213" s="32"/>
      <c r="H213" s="33"/>
      <c r="I213" s="32">
        <f>I212-I208</f>
        <v>12731.8485</v>
      </c>
      <c r="J213" s="33"/>
      <c r="K213" s="33"/>
      <c r="L213" s="33"/>
    </row>
    <row r="214" spans="1:12" x14ac:dyDescent="0.25">
      <c r="A214" s="126" t="s">
        <v>76</v>
      </c>
      <c r="B214" s="127"/>
      <c r="C214" s="127"/>
      <c r="D214" s="127"/>
      <c r="E214" s="127"/>
      <c r="F214" s="128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9" t="s">
        <v>77</v>
      </c>
      <c r="B215" s="129"/>
      <c r="C215" s="129"/>
      <c r="D215" s="129"/>
      <c r="E215" s="129"/>
      <c r="F215" s="130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9" t="s">
        <v>78</v>
      </c>
      <c r="B216" s="129"/>
      <c r="C216" s="129"/>
      <c r="D216" s="129"/>
      <c r="E216" s="129"/>
      <c r="F216" s="130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9" t="s">
        <v>79</v>
      </c>
      <c r="B217" s="129"/>
      <c r="C217" s="129"/>
      <c r="D217" s="129"/>
      <c r="E217" s="129"/>
      <c r="F217" s="130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9" t="s">
        <v>80</v>
      </c>
      <c r="B218" s="129"/>
      <c r="C218" s="129"/>
      <c r="D218" s="129"/>
      <c r="E218" s="129"/>
      <c r="F218" s="130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9" t="s">
        <v>81</v>
      </c>
      <c r="B219" s="129"/>
      <c r="C219" s="129"/>
      <c r="D219" s="129"/>
      <c r="E219" s="129"/>
      <c r="F219" s="130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9" t="s">
        <v>24</v>
      </c>
      <c r="B220" s="129"/>
      <c r="C220" s="129"/>
      <c r="D220" s="129"/>
      <c r="E220" s="129"/>
      <c r="F220" s="130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 x14ac:dyDescent="0.25">
      <c r="A221" s="109" t="s">
        <v>82</v>
      </c>
      <c r="B221" s="129"/>
      <c r="C221" s="129"/>
      <c r="D221" s="129"/>
      <c r="E221" s="129"/>
      <c r="F221" s="130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 x14ac:dyDescent="0.25">
      <c r="A222" s="120" t="s">
        <v>83</v>
      </c>
      <c r="B222" s="121"/>
      <c r="C222" s="121"/>
      <c r="D222" s="121"/>
      <c r="E222" s="121"/>
      <c r="F222" s="122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 x14ac:dyDescent="0.25">
      <c r="A223" s="123" t="s">
        <v>84</v>
      </c>
      <c r="B223" s="124"/>
      <c r="C223" s="124"/>
      <c r="D223" s="124"/>
      <c r="E223" s="124"/>
      <c r="F223" s="125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 x14ac:dyDescent="0.25">
      <c r="A224" s="132" t="s">
        <v>85</v>
      </c>
      <c r="B224" s="133"/>
      <c r="C224" s="133"/>
      <c r="D224" s="133"/>
      <c r="E224" s="133"/>
      <c r="F224" s="134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 x14ac:dyDescent="0.25">
      <c r="A225" s="108" t="s">
        <v>86</v>
      </c>
      <c r="B225" s="135"/>
      <c r="C225" s="135"/>
      <c r="D225" s="135"/>
      <c r="E225" s="135"/>
      <c r="F225" s="136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 x14ac:dyDescent="0.25">
      <c r="A226" s="132" t="s">
        <v>87</v>
      </c>
      <c r="B226" s="133"/>
      <c r="C226" s="133"/>
      <c r="D226" s="133"/>
      <c r="E226" s="133"/>
      <c r="F226" s="13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35"/>
      <c r="C227" s="135"/>
      <c r="D227" s="135"/>
      <c r="E227" s="135"/>
      <c r="F227" s="136"/>
      <c r="G227" s="32"/>
      <c r="H227" s="33"/>
      <c r="I227" s="32">
        <f>I225-I226</f>
        <v>9675.3087238999997</v>
      </c>
      <c r="J227" s="33"/>
      <c r="K227" s="33"/>
      <c r="L227" s="33"/>
    </row>
    <row r="228" spans="1:12" x14ac:dyDescent="0.25">
      <c r="A228" s="126" t="s">
        <v>89</v>
      </c>
      <c r="B228" s="127"/>
      <c r="C228" s="127"/>
      <c r="D228" s="127"/>
      <c r="E228" s="127"/>
      <c r="F228" s="128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 x14ac:dyDescent="0.25">
      <c r="A229" s="120" t="s">
        <v>90</v>
      </c>
      <c r="B229" s="121"/>
      <c r="C229" s="121"/>
      <c r="D229" s="121"/>
      <c r="E229" s="121"/>
      <c r="F229" s="122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23" t="s">
        <v>91</v>
      </c>
      <c r="B230" s="124"/>
      <c r="C230" s="124"/>
      <c r="D230" s="124"/>
      <c r="E230" s="124"/>
      <c r="F230" s="125"/>
      <c r="G230" s="21"/>
      <c r="H230" s="22"/>
      <c r="I230" s="21"/>
      <c r="J230" s="21">
        <f>J228-J229</f>
        <v>1766.2716327926667</v>
      </c>
      <c r="K230" s="21"/>
      <c r="L230" s="21"/>
    </row>
    <row r="231" spans="1:12" x14ac:dyDescent="0.25">
      <c r="A231" s="126" t="s">
        <v>92</v>
      </c>
      <c r="B231" s="127"/>
      <c r="C231" s="127"/>
      <c r="D231" s="127"/>
      <c r="E231" s="127"/>
      <c r="F231" s="128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9" t="s">
        <v>93</v>
      </c>
      <c r="B232" s="129"/>
      <c r="C232" s="129"/>
      <c r="D232" s="129"/>
      <c r="E232" s="129"/>
      <c r="F232" s="130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20" t="s">
        <v>94</v>
      </c>
      <c r="B233" s="121"/>
      <c r="C233" s="121"/>
      <c r="D233" s="121"/>
      <c r="E233" s="121"/>
      <c r="F233" s="122"/>
      <c r="G233" s="41"/>
      <c r="H233" s="42"/>
      <c r="I233" s="28">
        <f>1-0.04</f>
        <v>0.96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14" t="s">
        <v>95</v>
      </c>
      <c r="B235" s="14" t="s">
        <v>96</v>
      </c>
      <c r="C235" s="14" t="s">
        <v>97</v>
      </c>
      <c r="D235" s="118" t="s">
        <v>98</v>
      </c>
      <c r="E235" s="131"/>
      <c r="F235" s="119"/>
      <c r="G235" s="14" t="s">
        <v>99</v>
      </c>
      <c r="H235" s="50"/>
      <c r="I235" s="52">
        <f>I212+I233</f>
        <v>17732.808499999999</v>
      </c>
      <c r="J235" s="52">
        <f>J223+J230+J231+J232</f>
        <v>2322.8114088926668</v>
      </c>
      <c r="K235" s="14" t="s">
        <v>100</v>
      </c>
      <c r="L235" s="52">
        <f>L223</f>
        <v>2080.6268533500001</v>
      </c>
    </row>
    <row r="236" spans="1:12" x14ac:dyDescent="0.25">
      <c r="A236" s="52">
        <f>156555.24+I212</f>
        <v>174287.08849999998</v>
      </c>
      <c r="B236" s="52">
        <f>111555.24+I213</f>
        <v>124287.08850000001</v>
      </c>
      <c r="C236" s="52">
        <f>2419.2+J214</f>
        <v>2688</v>
      </c>
      <c r="D236" s="115">
        <f>15016.37+J230</f>
        <v>16782.641632792667</v>
      </c>
      <c r="E236" s="116"/>
      <c r="F236" s="117"/>
      <c r="G236" s="52">
        <f>136602.47+I235</f>
        <v>154335.27850000001</v>
      </c>
      <c r="H236" s="118" t="s">
        <v>101</v>
      </c>
      <c r="I236" s="119"/>
      <c r="J236" s="52">
        <f>I235-J235</f>
        <v>15409.997091107332</v>
      </c>
      <c r="K236" s="14" t="s">
        <v>102</v>
      </c>
      <c r="L236" s="52">
        <f>20589.65+L235</f>
        <v>22670.276853350002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 x14ac:dyDescent="0.25">
      <c r="A241" s="159" t="s">
        <v>26</v>
      </c>
      <c r="B241" s="160"/>
      <c r="C241" s="159" t="s">
        <v>27</v>
      </c>
      <c r="D241" s="161"/>
      <c r="E241" s="161"/>
      <c r="F241" s="160"/>
      <c r="G241" s="159" t="s">
        <v>28</v>
      </c>
      <c r="H241" s="161"/>
      <c r="I241" s="160"/>
      <c r="J241" s="159" t="s">
        <v>29</v>
      </c>
      <c r="K241" s="161"/>
      <c r="L241" s="160"/>
    </row>
    <row r="242" spans="1:12" x14ac:dyDescent="0.25">
      <c r="A242" s="14" t="s">
        <v>30</v>
      </c>
      <c r="B242" s="118" t="s">
        <v>31</v>
      </c>
      <c r="C242" s="131"/>
      <c r="D242" s="131"/>
      <c r="E242" s="131"/>
      <c r="F242" s="119"/>
      <c r="G242" s="118" t="s">
        <v>32</v>
      </c>
      <c r="H242" s="131"/>
      <c r="I242" s="131"/>
      <c r="J242" s="131"/>
      <c r="K242" s="131"/>
      <c r="L242" s="119"/>
    </row>
    <row r="243" spans="1:12" x14ac:dyDescent="0.25">
      <c r="A243" s="16">
        <v>6</v>
      </c>
      <c r="B243" s="143" t="s">
        <v>110</v>
      </c>
      <c r="C243" s="144"/>
      <c r="D243" s="144"/>
      <c r="E243" s="144"/>
      <c r="F243" s="145"/>
      <c r="G243" s="156">
        <v>42644</v>
      </c>
      <c r="H243" s="157"/>
      <c r="I243" s="158"/>
      <c r="J243" s="156">
        <v>42674</v>
      </c>
      <c r="K243" s="157"/>
      <c r="L243" s="158"/>
    </row>
    <row r="244" spans="1:12" x14ac:dyDescent="0.25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18" t="s">
        <v>40</v>
      </c>
      <c r="H244" s="131"/>
      <c r="I244" s="131"/>
      <c r="J244" s="131"/>
      <c r="K244" s="131"/>
      <c r="L244" s="119"/>
    </row>
    <row r="245" spans="1:12" x14ac:dyDescent="0.25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43"/>
      <c r="H245" s="144"/>
      <c r="I245" s="144"/>
      <c r="J245" s="144"/>
      <c r="K245" s="144"/>
      <c r="L245" s="145"/>
    </row>
    <row r="246" spans="1:12" x14ac:dyDescent="0.25">
      <c r="A246" s="14" t="s">
        <v>42</v>
      </c>
      <c r="B246" s="14" t="s">
        <v>43</v>
      </c>
      <c r="C246" s="14" t="s">
        <v>44</v>
      </c>
      <c r="D246" s="118" t="s">
        <v>45</v>
      </c>
      <c r="E246" s="131"/>
      <c r="F246" s="119"/>
      <c r="G246" s="118" t="s">
        <v>46</v>
      </c>
      <c r="H246" s="131"/>
      <c r="I246" s="131"/>
      <c r="J246" s="131"/>
      <c r="K246" s="131"/>
      <c r="L246" s="119"/>
    </row>
    <row r="247" spans="1:12" x14ac:dyDescent="0.25">
      <c r="A247" s="16">
        <v>195441186</v>
      </c>
      <c r="B247" s="16"/>
      <c r="C247" s="16"/>
      <c r="D247" s="143" t="s">
        <v>47</v>
      </c>
      <c r="E247" s="144"/>
      <c r="F247" s="145"/>
      <c r="G247" s="143" t="s">
        <v>107</v>
      </c>
      <c r="H247" s="144"/>
      <c r="I247" s="144"/>
      <c r="J247" s="144"/>
      <c r="K247" s="144"/>
      <c r="L247" s="145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46" t="s">
        <v>49</v>
      </c>
      <c r="B251" s="147"/>
      <c r="C251" s="147"/>
      <c r="D251" s="147"/>
      <c r="E251" s="147"/>
      <c r="F251" s="148"/>
      <c r="G251" s="152" t="s">
        <v>50</v>
      </c>
      <c r="H251" s="152" t="s">
        <v>51</v>
      </c>
      <c r="I251" s="154" t="s">
        <v>52</v>
      </c>
      <c r="J251" s="155"/>
      <c r="K251" s="154" t="s">
        <v>53</v>
      </c>
      <c r="L251" s="155"/>
    </row>
    <row r="252" spans="1:12" x14ac:dyDescent="0.25">
      <c r="A252" s="149"/>
      <c r="B252" s="150"/>
      <c r="C252" s="150"/>
      <c r="D252" s="150"/>
      <c r="E252" s="150"/>
      <c r="F252" s="151"/>
      <c r="G252" s="153"/>
      <c r="H252" s="153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 x14ac:dyDescent="0.25">
      <c r="A253" s="123" t="s">
        <v>58</v>
      </c>
      <c r="B253" s="124"/>
      <c r="C253" s="124"/>
      <c r="D253" s="124"/>
      <c r="E253" s="124"/>
      <c r="F253" s="125"/>
      <c r="G253" s="21">
        <v>3823.53</v>
      </c>
      <c r="H253" s="22"/>
      <c r="I253" s="21"/>
      <c r="J253" s="21"/>
      <c r="K253" s="21"/>
      <c r="L253" s="21"/>
    </row>
    <row r="254" spans="1:12" x14ac:dyDescent="0.25">
      <c r="A254" s="123" t="s">
        <v>59</v>
      </c>
      <c r="B254" s="124"/>
      <c r="C254" s="124"/>
      <c r="D254" s="124"/>
      <c r="E254" s="124"/>
      <c r="F254" s="125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 x14ac:dyDescent="0.25">
      <c r="A255" s="126" t="s">
        <v>60</v>
      </c>
      <c r="B255" s="127"/>
      <c r="C255" s="127"/>
      <c r="D255" s="127"/>
      <c r="E255" s="127"/>
      <c r="F255" s="128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 x14ac:dyDescent="0.25">
      <c r="A256" s="109" t="s">
        <v>61</v>
      </c>
      <c r="B256" s="129"/>
      <c r="C256" s="129"/>
      <c r="D256" s="129"/>
      <c r="E256" s="129"/>
      <c r="F256" s="130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9" t="s">
        <v>62</v>
      </c>
      <c r="B257" s="129"/>
      <c r="C257" s="129"/>
      <c r="D257" s="129"/>
      <c r="E257" s="129"/>
      <c r="F257" s="130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9" t="s">
        <v>63</v>
      </c>
      <c r="B258" s="129"/>
      <c r="C258" s="129"/>
      <c r="D258" s="129"/>
      <c r="E258" s="129"/>
      <c r="F258" s="130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9" t="s">
        <v>64</v>
      </c>
      <c r="B259" s="129"/>
      <c r="C259" s="129"/>
      <c r="D259" s="129"/>
      <c r="E259" s="129"/>
      <c r="F259" s="130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9" t="s">
        <v>65</v>
      </c>
      <c r="B260" s="129"/>
      <c r="C260" s="129"/>
      <c r="D260" s="129"/>
      <c r="E260" s="129"/>
      <c r="F260" s="130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9" t="s">
        <v>66</v>
      </c>
      <c r="B261" s="129"/>
      <c r="C261" s="129"/>
      <c r="D261" s="129"/>
      <c r="E261" s="129"/>
      <c r="F261" s="130"/>
      <c r="G261" s="29"/>
      <c r="H261" s="30"/>
      <c r="I261" s="30"/>
      <c r="J261" s="25"/>
      <c r="K261" s="26"/>
      <c r="L261" s="26"/>
    </row>
    <row r="262" spans="1:12" x14ac:dyDescent="0.25">
      <c r="A262" s="137">
        <v>0.25</v>
      </c>
      <c r="B262" s="138"/>
      <c r="C262" s="138"/>
      <c r="D262" s="138"/>
      <c r="E262" s="138"/>
      <c r="F262" s="139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37">
        <v>0.5</v>
      </c>
      <c r="B263" s="138"/>
      <c r="C263" s="138"/>
      <c r="D263" s="138"/>
      <c r="E263" s="138"/>
      <c r="F263" s="139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40">
        <v>1</v>
      </c>
      <c r="B264" s="141"/>
      <c r="C264" s="141"/>
      <c r="D264" s="141"/>
      <c r="E264" s="141"/>
      <c r="F264" s="142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23" t="s">
        <v>67</v>
      </c>
      <c r="B265" s="124"/>
      <c r="C265" s="124"/>
      <c r="D265" s="124"/>
      <c r="E265" s="124"/>
      <c r="F265" s="125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 x14ac:dyDescent="0.25">
      <c r="A266" s="126" t="s">
        <v>68</v>
      </c>
      <c r="B266" s="127"/>
      <c r="C266" s="127"/>
      <c r="D266" s="127"/>
      <c r="E266" s="127"/>
      <c r="F266" s="128"/>
      <c r="G266" s="23">
        <f>(G243-A245)/360</f>
        <v>2.286111111111111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 x14ac:dyDescent="0.25">
      <c r="A267" s="120" t="s">
        <v>69</v>
      </c>
      <c r="B267" s="121"/>
      <c r="C267" s="121"/>
      <c r="D267" s="121"/>
      <c r="E267" s="121"/>
      <c r="F267" s="122"/>
      <c r="G267" s="23"/>
      <c r="H267" s="24"/>
      <c r="I267" s="23"/>
      <c r="J267" s="25"/>
      <c r="K267" s="26"/>
      <c r="L267" s="26"/>
    </row>
    <row r="268" spans="1:12" x14ac:dyDescent="0.25">
      <c r="A268" s="123" t="s">
        <v>70</v>
      </c>
      <c r="B268" s="124"/>
      <c r="C268" s="124"/>
      <c r="D268" s="124"/>
      <c r="E268" s="124"/>
      <c r="F268" s="12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26" t="s">
        <v>71</v>
      </c>
      <c r="B269" s="127"/>
      <c r="C269" s="127"/>
      <c r="D269" s="127"/>
      <c r="E269" s="127"/>
      <c r="F269" s="128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9" t="s">
        <v>72</v>
      </c>
      <c r="B270" s="129"/>
      <c r="C270" s="129"/>
      <c r="D270" s="129"/>
      <c r="E270" s="129"/>
      <c r="F270" s="130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20" t="s">
        <v>73</v>
      </c>
      <c r="B271" s="121"/>
      <c r="C271" s="121"/>
      <c r="D271" s="121"/>
      <c r="E271" s="121"/>
      <c r="F271" s="122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35"/>
      <c r="C272" s="135"/>
      <c r="D272" s="135"/>
      <c r="E272" s="135"/>
      <c r="F272" s="136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 x14ac:dyDescent="0.25">
      <c r="A273" s="108" t="s">
        <v>75</v>
      </c>
      <c r="B273" s="135"/>
      <c r="C273" s="135"/>
      <c r="D273" s="135"/>
      <c r="E273" s="135"/>
      <c r="F273" s="136"/>
      <c r="G273" s="32"/>
      <c r="H273" s="33"/>
      <c r="I273" s="32">
        <f>I272-I268</f>
        <v>4014.7065000000002</v>
      </c>
      <c r="J273" s="33"/>
      <c r="K273" s="33"/>
      <c r="L273" s="33"/>
    </row>
    <row r="274" spans="1:12" x14ac:dyDescent="0.25">
      <c r="A274" s="126" t="s">
        <v>76</v>
      </c>
      <c r="B274" s="127"/>
      <c r="C274" s="127"/>
      <c r="D274" s="127"/>
      <c r="E274" s="127"/>
      <c r="F274" s="128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 x14ac:dyDescent="0.25">
      <c r="A275" s="109" t="s">
        <v>77</v>
      </c>
      <c r="B275" s="129"/>
      <c r="C275" s="129"/>
      <c r="D275" s="129"/>
      <c r="E275" s="129"/>
      <c r="F275" s="130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9" t="s">
        <v>78</v>
      </c>
      <c r="B276" s="129"/>
      <c r="C276" s="129"/>
      <c r="D276" s="129"/>
      <c r="E276" s="129"/>
      <c r="F276" s="130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 x14ac:dyDescent="0.25">
      <c r="A277" s="109" t="s">
        <v>79</v>
      </c>
      <c r="B277" s="129"/>
      <c r="C277" s="129"/>
      <c r="D277" s="129"/>
      <c r="E277" s="129"/>
      <c r="F277" s="130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9" t="s">
        <v>80</v>
      </c>
      <c r="B278" s="129"/>
      <c r="C278" s="129"/>
      <c r="D278" s="129"/>
      <c r="E278" s="129"/>
      <c r="F278" s="130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9" t="s">
        <v>81</v>
      </c>
      <c r="B279" s="129"/>
      <c r="C279" s="129"/>
      <c r="D279" s="129"/>
      <c r="E279" s="129"/>
      <c r="F279" s="130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9" t="s">
        <v>24</v>
      </c>
      <c r="B280" s="129"/>
      <c r="C280" s="129"/>
      <c r="D280" s="129"/>
      <c r="E280" s="129"/>
      <c r="F280" s="130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 x14ac:dyDescent="0.25">
      <c r="A281" s="109" t="s">
        <v>82</v>
      </c>
      <c r="B281" s="129"/>
      <c r="C281" s="129"/>
      <c r="D281" s="129"/>
      <c r="E281" s="129"/>
      <c r="F281" s="130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 x14ac:dyDescent="0.25">
      <c r="A282" s="120" t="s">
        <v>83</v>
      </c>
      <c r="B282" s="121"/>
      <c r="C282" s="121"/>
      <c r="D282" s="121"/>
      <c r="E282" s="121"/>
      <c r="F282" s="122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 x14ac:dyDescent="0.25">
      <c r="A283" s="123" t="s">
        <v>84</v>
      </c>
      <c r="B283" s="124"/>
      <c r="C283" s="124"/>
      <c r="D283" s="124"/>
      <c r="E283" s="124"/>
      <c r="F283" s="125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 x14ac:dyDescent="0.25">
      <c r="A284" s="132" t="s">
        <v>85</v>
      </c>
      <c r="B284" s="133"/>
      <c r="C284" s="133"/>
      <c r="D284" s="133"/>
      <c r="E284" s="133"/>
      <c r="F284" s="134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 x14ac:dyDescent="0.25">
      <c r="A285" s="108" t="s">
        <v>86</v>
      </c>
      <c r="B285" s="135"/>
      <c r="C285" s="135"/>
      <c r="D285" s="135"/>
      <c r="E285" s="135"/>
      <c r="F285" s="136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 x14ac:dyDescent="0.25">
      <c r="A286" s="132" t="s">
        <v>87</v>
      </c>
      <c r="B286" s="133"/>
      <c r="C286" s="133"/>
      <c r="D286" s="133"/>
      <c r="E286" s="133"/>
      <c r="F286" s="13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35"/>
      <c r="C287" s="135"/>
      <c r="D287" s="135"/>
      <c r="E287" s="135"/>
      <c r="F287" s="136"/>
      <c r="G287" s="32"/>
      <c r="H287" s="33"/>
      <c r="I287" s="32">
        <f>I285-I286</f>
        <v>2941.1739819000004</v>
      </c>
      <c r="J287" s="33"/>
      <c r="K287" s="33"/>
      <c r="L287" s="33"/>
    </row>
    <row r="288" spans="1:12" x14ac:dyDescent="0.25">
      <c r="A288" s="126" t="s">
        <v>89</v>
      </c>
      <c r="B288" s="127"/>
      <c r="C288" s="127"/>
      <c r="D288" s="127"/>
      <c r="E288" s="127"/>
      <c r="F288" s="128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 x14ac:dyDescent="0.25">
      <c r="A289" s="120" t="s">
        <v>90</v>
      </c>
      <c r="B289" s="121"/>
      <c r="C289" s="121"/>
      <c r="D289" s="121"/>
      <c r="E289" s="121"/>
      <c r="F289" s="122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23" t="s">
        <v>91</v>
      </c>
      <c r="B290" s="124"/>
      <c r="C290" s="124"/>
      <c r="D290" s="124"/>
      <c r="E290" s="124"/>
      <c r="F290" s="125"/>
      <c r="G290" s="21"/>
      <c r="H290" s="22"/>
      <c r="I290" s="21"/>
      <c r="J290" s="21">
        <f>J288-J289</f>
        <v>44.117398190000074</v>
      </c>
      <c r="K290" s="21"/>
      <c r="L290" s="21"/>
    </row>
    <row r="291" spans="1:12" x14ac:dyDescent="0.25">
      <c r="A291" s="126" t="s">
        <v>92</v>
      </c>
      <c r="B291" s="127"/>
      <c r="C291" s="127"/>
      <c r="D291" s="127"/>
      <c r="E291" s="127"/>
      <c r="F291" s="128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9" t="s">
        <v>93</v>
      </c>
      <c r="B292" s="129"/>
      <c r="C292" s="129"/>
      <c r="D292" s="129"/>
      <c r="E292" s="129"/>
      <c r="F292" s="130"/>
      <c r="G292" s="25"/>
      <c r="H292" s="48"/>
      <c r="I292" s="44"/>
      <c r="J292" s="28"/>
      <c r="K292" s="46"/>
      <c r="L292" s="47"/>
    </row>
    <row r="293" spans="1:12" x14ac:dyDescent="0.25">
      <c r="A293" s="120" t="s">
        <v>94</v>
      </c>
      <c r="B293" s="121"/>
      <c r="C293" s="121"/>
      <c r="D293" s="121"/>
      <c r="E293" s="121"/>
      <c r="F293" s="122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14" t="s">
        <v>95</v>
      </c>
      <c r="B295" s="14" t="s">
        <v>96</v>
      </c>
      <c r="C295" s="14" t="s">
        <v>97</v>
      </c>
      <c r="D295" s="118" t="s">
        <v>98</v>
      </c>
      <c r="E295" s="131"/>
      <c r="F295" s="119"/>
      <c r="G295" s="14" t="s">
        <v>99</v>
      </c>
      <c r="H295" s="50"/>
      <c r="I295" s="52">
        <f>I272+I293</f>
        <v>4314.7065000000002</v>
      </c>
      <c r="J295" s="52">
        <f>J283+J290+J291+J292</f>
        <v>314.70861629000012</v>
      </c>
      <c r="K295" s="14" t="s">
        <v>100</v>
      </c>
      <c r="L295" s="52">
        <f>L283</f>
        <v>926.99573084999997</v>
      </c>
    </row>
    <row r="296" spans="1:12" x14ac:dyDescent="0.25">
      <c r="A296" s="52">
        <f>32114.9+I272</f>
        <v>36429.606500000002</v>
      </c>
      <c r="B296" s="52">
        <f>29414.9+I273</f>
        <v>33429.606500000002</v>
      </c>
      <c r="C296" s="52">
        <f>1317.78+J274</f>
        <v>1497.6388512000001</v>
      </c>
      <c r="D296" s="115">
        <f>132.35+J290</f>
        <v>176.46739819000007</v>
      </c>
      <c r="E296" s="116"/>
      <c r="F296" s="117"/>
      <c r="G296" s="52">
        <f>30000+I295</f>
        <v>34314.7065</v>
      </c>
      <c r="H296" s="118" t="s">
        <v>101</v>
      </c>
      <c r="I296" s="119"/>
      <c r="J296" s="52">
        <f>I295-J295</f>
        <v>3999.9978837100002</v>
      </c>
      <c r="K296" s="14" t="s">
        <v>102</v>
      </c>
      <c r="L296" s="52">
        <f>5864.92+L295</f>
        <v>6791.9157308499998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 x14ac:dyDescent="0.25">
      <c r="A301" s="159" t="s">
        <v>26</v>
      </c>
      <c r="B301" s="160"/>
      <c r="C301" s="159" t="s">
        <v>27</v>
      </c>
      <c r="D301" s="161"/>
      <c r="E301" s="161"/>
      <c r="F301" s="160"/>
      <c r="G301" s="159" t="s">
        <v>28</v>
      </c>
      <c r="H301" s="161"/>
      <c r="I301" s="160"/>
      <c r="J301" s="159" t="s">
        <v>29</v>
      </c>
      <c r="K301" s="161"/>
      <c r="L301" s="160"/>
    </row>
    <row r="302" spans="1:12" x14ac:dyDescent="0.25">
      <c r="A302" s="14" t="s">
        <v>30</v>
      </c>
      <c r="B302" s="118" t="s">
        <v>31</v>
      </c>
      <c r="C302" s="131"/>
      <c r="D302" s="131"/>
      <c r="E302" s="131"/>
      <c r="F302" s="119"/>
      <c r="G302" s="118" t="s">
        <v>32</v>
      </c>
      <c r="H302" s="131"/>
      <c r="I302" s="131"/>
      <c r="J302" s="131"/>
      <c r="K302" s="131"/>
      <c r="L302" s="119"/>
    </row>
    <row r="303" spans="1:12" x14ac:dyDescent="0.25">
      <c r="A303" s="16">
        <v>7</v>
      </c>
      <c r="B303" s="143" t="s">
        <v>112</v>
      </c>
      <c r="C303" s="144"/>
      <c r="D303" s="144"/>
      <c r="E303" s="144"/>
      <c r="F303" s="145"/>
      <c r="G303" s="156">
        <v>42644</v>
      </c>
      <c r="H303" s="157"/>
      <c r="I303" s="158"/>
      <c r="J303" s="156">
        <v>42674</v>
      </c>
      <c r="K303" s="157"/>
      <c r="L303" s="158"/>
    </row>
    <row r="304" spans="1:12" x14ac:dyDescent="0.25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18" t="s">
        <v>40</v>
      </c>
      <c r="H304" s="131"/>
      <c r="I304" s="131"/>
      <c r="J304" s="131"/>
      <c r="K304" s="131"/>
      <c r="L304" s="119"/>
    </row>
    <row r="305" spans="1:12" x14ac:dyDescent="0.25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43"/>
      <c r="H305" s="144"/>
      <c r="I305" s="144"/>
      <c r="J305" s="144"/>
      <c r="K305" s="144"/>
      <c r="L305" s="145"/>
    </row>
    <row r="306" spans="1:12" x14ac:dyDescent="0.25">
      <c r="A306" s="14" t="s">
        <v>42</v>
      </c>
      <c r="B306" s="14" t="s">
        <v>43</v>
      </c>
      <c r="C306" s="14" t="s">
        <v>44</v>
      </c>
      <c r="D306" s="118" t="s">
        <v>45</v>
      </c>
      <c r="E306" s="131"/>
      <c r="F306" s="119"/>
      <c r="G306" s="118" t="s">
        <v>46</v>
      </c>
      <c r="H306" s="131"/>
      <c r="I306" s="131"/>
      <c r="J306" s="131"/>
      <c r="K306" s="131"/>
      <c r="L306" s="119"/>
    </row>
    <row r="307" spans="1:12" x14ac:dyDescent="0.25">
      <c r="A307" s="16">
        <v>168098097</v>
      </c>
      <c r="B307" s="16"/>
      <c r="C307" s="16"/>
      <c r="D307" s="143" t="s">
        <v>47</v>
      </c>
      <c r="E307" s="144"/>
      <c r="F307" s="145"/>
      <c r="G307" s="143" t="s">
        <v>107</v>
      </c>
      <c r="H307" s="144"/>
      <c r="I307" s="144"/>
      <c r="J307" s="144"/>
      <c r="K307" s="144"/>
      <c r="L307" s="145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46" t="s">
        <v>49</v>
      </c>
      <c r="B311" s="147"/>
      <c r="C311" s="147"/>
      <c r="D311" s="147"/>
      <c r="E311" s="147"/>
      <c r="F311" s="148"/>
      <c r="G311" s="152" t="s">
        <v>50</v>
      </c>
      <c r="H311" s="152" t="s">
        <v>51</v>
      </c>
      <c r="I311" s="154" t="s">
        <v>52</v>
      </c>
      <c r="J311" s="155"/>
      <c r="K311" s="154" t="s">
        <v>53</v>
      </c>
      <c r="L311" s="155"/>
    </row>
    <row r="312" spans="1:12" x14ac:dyDescent="0.25">
      <c r="A312" s="149"/>
      <c r="B312" s="150"/>
      <c r="C312" s="150"/>
      <c r="D312" s="150"/>
      <c r="E312" s="150"/>
      <c r="F312" s="151"/>
      <c r="G312" s="153"/>
      <c r="H312" s="153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 x14ac:dyDescent="0.25">
      <c r="A313" s="123" t="s">
        <v>58</v>
      </c>
      <c r="B313" s="124"/>
      <c r="C313" s="124"/>
      <c r="D313" s="124"/>
      <c r="E313" s="124"/>
      <c r="F313" s="12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23" t="s">
        <v>59</v>
      </c>
      <c r="B314" s="124"/>
      <c r="C314" s="124"/>
      <c r="D314" s="124"/>
      <c r="E314" s="124"/>
      <c r="F314" s="12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26" t="s">
        <v>60</v>
      </c>
      <c r="B315" s="127"/>
      <c r="C315" s="127"/>
      <c r="D315" s="127"/>
      <c r="E315" s="127"/>
      <c r="F315" s="128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9" t="s">
        <v>61</v>
      </c>
      <c r="B316" s="129"/>
      <c r="C316" s="129"/>
      <c r="D316" s="129"/>
      <c r="E316" s="129"/>
      <c r="F316" s="130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9" t="s">
        <v>62</v>
      </c>
      <c r="B317" s="129"/>
      <c r="C317" s="129"/>
      <c r="D317" s="129"/>
      <c r="E317" s="129"/>
      <c r="F317" s="130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9" t="s">
        <v>63</v>
      </c>
      <c r="B318" s="129"/>
      <c r="C318" s="129"/>
      <c r="D318" s="129"/>
      <c r="E318" s="129"/>
      <c r="F318" s="130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9" t="s">
        <v>64</v>
      </c>
      <c r="B319" s="129"/>
      <c r="C319" s="129"/>
      <c r="D319" s="129"/>
      <c r="E319" s="129"/>
      <c r="F319" s="130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9" t="s">
        <v>65</v>
      </c>
      <c r="B320" s="129"/>
      <c r="C320" s="129"/>
      <c r="D320" s="129"/>
      <c r="E320" s="129"/>
      <c r="F320" s="130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9" t="s">
        <v>66</v>
      </c>
      <c r="B321" s="129"/>
      <c r="C321" s="129"/>
      <c r="D321" s="129"/>
      <c r="E321" s="129"/>
      <c r="F321" s="130"/>
      <c r="G321" s="29"/>
      <c r="H321" s="30"/>
      <c r="I321" s="30"/>
      <c r="J321" s="25"/>
      <c r="K321" s="26"/>
      <c r="L321" s="26"/>
    </row>
    <row r="322" spans="1:12" x14ac:dyDescent="0.25">
      <c r="A322" s="137">
        <v>0.25</v>
      </c>
      <c r="B322" s="138"/>
      <c r="C322" s="138"/>
      <c r="D322" s="138"/>
      <c r="E322" s="138"/>
      <c r="F322" s="139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37">
        <v>0.5</v>
      </c>
      <c r="B323" s="138"/>
      <c r="C323" s="138"/>
      <c r="D323" s="138"/>
      <c r="E323" s="138"/>
      <c r="F323" s="139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40">
        <v>1</v>
      </c>
      <c r="B324" s="141"/>
      <c r="C324" s="141"/>
      <c r="D324" s="141"/>
      <c r="E324" s="141"/>
      <c r="F324" s="142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23" t="s">
        <v>67</v>
      </c>
      <c r="B325" s="124"/>
      <c r="C325" s="124"/>
      <c r="D325" s="124"/>
      <c r="E325" s="124"/>
      <c r="F325" s="12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26" t="s">
        <v>68</v>
      </c>
      <c r="B326" s="127"/>
      <c r="C326" s="127"/>
      <c r="D326" s="127"/>
      <c r="E326" s="127"/>
      <c r="F326" s="128"/>
      <c r="G326" s="23">
        <f>(G303-A305)/360</f>
        <v>1.7749999999999999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20" t="s">
        <v>69</v>
      </c>
      <c r="B327" s="121"/>
      <c r="C327" s="121"/>
      <c r="D327" s="121"/>
      <c r="E327" s="121"/>
      <c r="F327" s="122"/>
      <c r="G327" s="23"/>
      <c r="H327" s="24"/>
      <c r="I327" s="23"/>
      <c r="J327" s="25"/>
      <c r="K327" s="26"/>
      <c r="L327" s="26"/>
    </row>
    <row r="328" spans="1:12" x14ac:dyDescent="0.25">
      <c r="A328" s="123" t="s">
        <v>70</v>
      </c>
      <c r="B328" s="124"/>
      <c r="C328" s="124"/>
      <c r="D328" s="124"/>
      <c r="E328" s="124"/>
      <c r="F328" s="12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26" t="s">
        <v>71</v>
      </c>
      <c r="B329" s="127"/>
      <c r="C329" s="127"/>
      <c r="D329" s="127"/>
      <c r="E329" s="127"/>
      <c r="F329" s="128"/>
      <c r="G329" s="23"/>
      <c r="H329" s="24"/>
      <c r="I329" s="23"/>
      <c r="J329" s="25"/>
      <c r="K329" s="26"/>
      <c r="L329" s="26"/>
    </row>
    <row r="330" spans="1:12" x14ac:dyDescent="0.25">
      <c r="A330" s="109" t="s">
        <v>72</v>
      </c>
      <c r="B330" s="129"/>
      <c r="C330" s="129"/>
      <c r="D330" s="129"/>
      <c r="E330" s="129"/>
      <c r="F330" s="130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20" t="s">
        <v>73</v>
      </c>
      <c r="B331" s="121"/>
      <c r="C331" s="121"/>
      <c r="D331" s="121"/>
      <c r="E331" s="121"/>
      <c r="F331" s="122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35"/>
      <c r="C332" s="135"/>
      <c r="D332" s="135"/>
      <c r="E332" s="135"/>
      <c r="F332" s="136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35"/>
      <c r="C333" s="135"/>
      <c r="D333" s="135"/>
      <c r="E333" s="135"/>
      <c r="F333" s="136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26" t="s">
        <v>76</v>
      </c>
      <c r="B334" s="127"/>
      <c r="C334" s="127"/>
      <c r="D334" s="127"/>
      <c r="E334" s="127"/>
      <c r="F334" s="128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9" t="s">
        <v>77</v>
      </c>
      <c r="B335" s="129"/>
      <c r="C335" s="129"/>
      <c r="D335" s="129"/>
      <c r="E335" s="129"/>
      <c r="F335" s="130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9" t="s">
        <v>78</v>
      </c>
      <c r="B336" s="129"/>
      <c r="C336" s="129"/>
      <c r="D336" s="129"/>
      <c r="E336" s="129"/>
      <c r="F336" s="130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9" t="s">
        <v>79</v>
      </c>
      <c r="B337" s="129"/>
      <c r="C337" s="129"/>
      <c r="D337" s="129"/>
      <c r="E337" s="129"/>
      <c r="F337" s="130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9" t="s">
        <v>80</v>
      </c>
      <c r="B338" s="129"/>
      <c r="C338" s="129"/>
      <c r="D338" s="129"/>
      <c r="E338" s="129"/>
      <c r="F338" s="130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9" t="s">
        <v>81</v>
      </c>
      <c r="B339" s="129"/>
      <c r="C339" s="129"/>
      <c r="D339" s="129"/>
      <c r="E339" s="129"/>
      <c r="F339" s="130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9" t="s">
        <v>24</v>
      </c>
      <c r="B340" s="129"/>
      <c r="C340" s="129"/>
      <c r="D340" s="129"/>
      <c r="E340" s="129"/>
      <c r="F340" s="130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29"/>
      <c r="C341" s="129"/>
      <c r="D341" s="129"/>
      <c r="E341" s="129"/>
      <c r="F341" s="130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20" t="s">
        <v>83</v>
      </c>
      <c r="B342" s="121"/>
      <c r="C342" s="121"/>
      <c r="D342" s="121"/>
      <c r="E342" s="121"/>
      <c r="F342" s="122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23" t="s">
        <v>84</v>
      </c>
      <c r="B343" s="124"/>
      <c r="C343" s="124"/>
      <c r="D343" s="124"/>
      <c r="E343" s="124"/>
      <c r="F343" s="12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32" t="s">
        <v>85</v>
      </c>
      <c r="B344" s="133"/>
      <c r="C344" s="133"/>
      <c r="D344" s="133"/>
      <c r="E344" s="133"/>
      <c r="F344" s="13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35"/>
      <c r="C345" s="135"/>
      <c r="D345" s="135"/>
      <c r="E345" s="135"/>
      <c r="F345" s="136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32" t="s">
        <v>87</v>
      </c>
      <c r="B346" s="133"/>
      <c r="C346" s="133"/>
      <c r="D346" s="133"/>
      <c r="E346" s="133"/>
      <c r="F346" s="13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35"/>
      <c r="C347" s="135"/>
      <c r="D347" s="135"/>
      <c r="E347" s="135"/>
      <c r="F347" s="136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26" t="s">
        <v>89</v>
      </c>
      <c r="B348" s="127"/>
      <c r="C348" s="127"/>
      <c r="D348" s="127"/>
      <c r="E348" s="127"/>
      <c r="F348" s="128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20" t="s">
        <v>90</v>
      </c>
      <c r="B349" s="121"/>
      <c r="C349" s="121"/>
      <c r="D349" s="121"/>
      <c r="E349" s="121"/>
      <c r="F349" s="122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23" t="s">
        <v>91</v>
      </c>
      <c r="B350" s="124"/>
      <c r="C350" s="124"/>
      <c r="D350" s="124"/>
      <c r="E350" s="124"/>
      <c r="F350" s="12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26" t="s">
        <v>92</v>
      </c>
      <c r="B351" s="127"/>
      <c r="C351" s="127"/>
      <c r="D351" s="127"/>
      <c r="E351" s="127"/>
      <c r="F351" s="128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9" t="s">
        <v>93</v>
      </c>
      <c r="B352" s="129"/>
      <c r="C352" s="129"/>
      <c r="D352" s="129"/>
      <c r="E352" s="129"/>
      <c r="F352" s="130"/>
      <c r="G352" s="25"/>
      <c r="H352" s="48"/>
      <c r="I352" s="44"/>
      <c r="J352" s="28">
        <v>1000</v>
      </c>
      <c r="K352" s="46"/>
      <c r="L352" s="47"/>
    </row>
    <row r="353" spans="1:12" x14ac:dyDescent="0.25">
      <c r="A353" s="120" t="s">
        <v>94</v>
      </c>
      <c r="B353" s="121"/>
      <c r="C353" s="121"/>
      <c r="D353" s="121"/>
      <c r="E353" s="121"/>
      <c r="F353" s="122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14" t="s">
        <v>95</v>
      </c>
      <c r="B355" s="14" t="s">
        <v>96</v>
      </c>
      <c r="C355" s="14" t="s">
        <v>97</v>
      </c>
      <c r="D355" s="118" t="s">
        <v>98</v>
      </c>
      <c r="E355" s="131"/>
      <c r="F355" s="119"/>
      <c r="G355" s="14" t="s">
        <v>99</v>
      </c>
      <c r="H355" s="50"/>
      <c r="I355" s="52">
        <f>I332+I353</f>
        <v>2808.25</v>
      </c>
      <c r="J355" s="52">
        <f>J343+J350+J351+J352</f>
        <v>1189.2457200000001</v>
      </c>
      <c r="K355" s="14" t="s">
        <v>100</v>
      </c>
      <c r="L355" s="52">
        <f>L343</f>
        <v>648.32101999999998</v>
      </c>
    </row>
    <row r="356" spans="1:12" x14ac:dyDescent="0.25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15">
        <f>0+J350</f>
        <v>0</v>
      </c>
      <c r="E356" s="116"/>
      <c r="F356" s="117"/>
      <c r="G356" s="52">
        <f>17071.02+I355</f>
        <v>19879.27</v>
      </c>
      <c r="H356" s="118" t="s">
        <v>101</v>
      </c>
      <c r="I356" s="119"/>
      <c r="J356" s="52">
        <f>I355-J355</f>
        <v>1619.0042799999999</v>
      </c>
      <c r="K356" s="14" t="s">
        <v>102</v>
      </c>
      <c r="L356" s="52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 x14ac:dyDescent="0.25">
      <c r="A361" s="159" t="s">
        <v>26</v>
      </c>
      <c r="B361" s="160"/>
      <c r="C361" s="159" t="s">
        <v>27</v>
      </c>
      <c r="D361" s="161"/>
      <c r="E361" s="161"/>
      <c r="F361" s="160"/>
      <c r="G361" s="159" t="s">
        <v>28</v>
      </c>
      <c r="H361" s="161"/>
      <c r="I361" s="160"/>
      <c r="J361" s="159" t="s">
        <v>29</v>
      </c>
      <c r="K361" s="161"/>
      <c r="L361" s="160"/>
    </row>
    <row r="362" spans="1:12" x14ac:dyDescent="0.25">
      <c r="A362" s="14" t="s">
        <v>30</v>
      </c>
      <c r="B362" s="118" t="s">
        <v>31</v>
      </c>
      <c r="C362" s="131"/>
      <c r="D362" s="131"/>
      <c r="E362" s="131"/>
      <c r="F362" s="119"/>
      <c r="G362" s="118" t="s">
        <v>32</v>
      </c>
      <c r="H362" s="131"/>
      <c r="I362" s="131"/>
      <c r="J362" s="131"/>
      <c r="K362" s="131"/>
      <c r="L362" s="119"/>
    </row>
    <row r="363" spans="1:12" x14ac:dyDescent="0.25">
      <c r="A363" s="16">
        <v>8</v>
      </c>
      <c r="B363" s="143" t="s">
        <v>113</v>
      </c>
      <c r="C363" s="144"/>
      <c r="D363" s="144"/>
      <c r="E363" s="144"/>
      <c r="F363" s="145"/>
      <c r="G363" s="156">
        <v>42644</v>
      </c>
      <c r="H363" s="157"/>
      <c r="I363" s="158"/>
      <c r="J363" s="156">
        <v>42674</v>
      </c>
      <c r="K363" s="157"/>
      <c r="L363" s="158"/>
    </row>
    <row r="364" spans="1:12" x14ac:dyDescent="0.25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18" t="s">
        <v>40</v>
      </c>
      <c r="H364" s="131"/>
      <c r="I364" s="131"/>
      <c r="J364" s="131"/>
      <c r="K364" s="131"/>
      <c r="L364" s="119"/>
    </row>
    <row r="365" spans="1:12" x14ac:dyDescent="0.25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43"/>
      <c r="H365" s="144"/>
      <c r="I365" s="144"/>
      <c r="J365" s="144"/>
      <c r="K365" s="144"/>
      <c r="L365" s="145"/>
    </row>
    <row r="366" spans="1:12" x14ac:dyDescent="0.25">
      <c r="A366" s="14" t="s">
        <v>42</v>
      </c>
      <c r="B366" s="14" t="s">
        <v>43</v>
      </c>
      <c r="C366" s="14" t="s">
        <v>44</v>
      </c>
      <c r="D366" s="118" t="s">
        <v>45</v>
      </c>
      <c r="E366" s="131"/>
      <c r="F366" s="119"/>
      <c r="G366" s="118" t="s">
        <v>46</v>
      </c>
      <c r="H366" s="131"/>
      <c r="I366" s="131"/>
      <c r="J366" s="131"/>
      <c r="K366" s="131"/>
      <c r="L366" s="119"/>
    </row>
    <row r="367" spans="1:12" x14ac:dyDescent="0.25">
      <c r="A367" s="16">
        <v>164315198</v>
      </c>
      <c r="B367" s="16"/>
      <c r="C367" s="16"/>
      <c r="D367" s="143" t="s">
        <v>47</v>
      </c>
      <c r="E367" s="144"/>
      <c r="F367" s="145"/>
      <c r="G367" s="143" t="s">
        <v>114</v>
      </c>
      <c r="H367" s="144"/>
      <c r="I367" s="144"/>
      <c r="J367" s="144"/>
      <c r="K367" s="144"/>
      <c r="L367" s="145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46" t="s">
        <v>49</v>
      </c>
      <c r="B371" s="147"/>
      <c r="C371" s="147"/>
      <c r="D371" s="147"/>
      <c r="E371" s="147"/>
      <c r="F371" s="148"/>
      <c r="G371" s="152" t="s">
        <v>50</v>
      </c>
      <c r="H371" s="152" t="s">
        <v>51</v>
      </c>
      <c r="I371" s="154" t="s">
        <v>52</v>
      </c>
      <c r="J371" s="155"/>
      <c r="K371" s="154" t="s">
        <v>53</v>
      </c>
      <c r="L371" s="155"/>
    </row>
    <row r="372" spans="1:12" x14ac:dyDescent="0.25">
      <c r="A372" s="149"/>
      <c r="B372" s="150"/>
      <c r="C372" s="150"/>
      <c r="D372" s="150"/>
      <c r="E372" s="150"/>
      <c r="F372" s="151"/>
      <c r="G372" s="153"/>
      <c r="H372" s="153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 x14ac:dyDescent="0.25">
      <c r="A373" s="123" t="s">
        <v>58</v>
      </c>
      <c r="B373" s="124"/>
      <c r="C373" s="124"/>
      <c r="D373" s="124"/>
      <c r="E373" s="124"/>
      <c r="F373" s="12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23" t="s">
        <v>59</v>
      </c>
      <c r="B374" s="124"/>
      <c r="C374" s="124"/>
      <c r="D374" s="124"/>
      <c r="E374" s="124"/>
      <c r="F374" s="12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26" t="s">
        <v>60</v>
      </c>
      <c r="B375" s="127"/>
      <c r="C375" s="127"/>
      <c r="D375" s="127"/>
      <c r="E375" s="127"/>
      <c r="F375" s="128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9" t="s">
        <v>61</v>
      </c>
      <c r="B376" s="129"/>
      <c r="C376" s="129"/>
      <c r="D376" s="129"/>
      <c r="E376" s="129"/>
      <c r="F376" s="130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9" t="s">
        <v>62</v>
      </c>
      <c r="B377" s="129"/>
      <c r="C377" s="129"/>
      <c r="D377" s="129"/>
      <c r="E377" s="129"/>
      <c r="F377" s="130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9" t="s">
        <v>63</v>
      </c>
      <c r="B378" s="129"/>
      <c r="C378" s="129"/>
      <c r="D378" s="129"/>
      <c r="E378" s="129"/>
      <c r="F378" s="130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9" t="s">
        <v>64</v>
      </c>
      <c r="B379" s="129"/>
      <c r="C379" s="129"/>
      <c r="D379" s="129"/>
      <c r="E379" s="129"/>
      <c r="F379" s="130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9" t="s">
        <v>65</v>
      </c>
      <c r="B380" s="129"/>
      <c r="C380" s="129"/>
      <c r="D380" s="129"/>
      <c r="E380" s="129"/>
      <c r="F380" s="130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9" t="s">
        <v>66</v>
      </c>
      <c r="B381" s="129"/>
      <c r="C381" s="129"/>
      <c r="D381" s="129"/>
      <c r="E381" s="129"/>
      <c r="F381" s="130"/>
      <c r="G381" s="29"/>
      <c r="H381" s="30"/>
      <c r="I381" s="30"/>
      <c r="J381" s="25"/>
      <c r="K381" s="26"/>
      <c r="L381" s="26"/>
    </row>
    <row r="382" spans="1:12" x14ac:dyDescent="0.25">
      <c r="A382" s="137">
        <v>0.25</v>
      </c>
      <c r="B382" s="138"/>
      <c r="C382" s="138"/>
      <c r="D382" s="138"/>
      <c r="E382" s="138"/>
      <c r="F382" s="139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37">
        <v>0.5</v>
      </c>
      <c r="B383" s="138"/>
      <c r="C383" s="138"/>
      <c r="D383" s="138"/>
      <c r="E383" s="138"/>
      <c r="F383" s="139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40">
        <v>1</v>
      </c>
      <c r="B384" s="141"/>
      <c r="C384" s="141"/>
      <c r="D384" s="141"/>
      <c r="E384" s="141"/>
      <c r="F384" s="142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23" t="s">
        <v>67</v>
      </c>
      <c r="B385" s="124"/>
      <c r="C385" s="124"/>
      <c r="D385" s="124"/>
      <c r="E385" s="124"/>
      <c r="F385" s="12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26" t="s">
        <v>68</v>
      </c>
      <c r="B386" s="127"/>
      <c r="C386" s="127"/>
      <c r="D386" s="127"/>
      <c r="E386" s="127"/>
      <c r="F386" s="128"/>
      <c r="G386" s="23">
        <f>(G363-A365)/360</f>
        <v>1.0166666666666666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20" t="s">
        <v>69</v>
      </c>
      <c r="B387" s="121"/>
      <c r="C387" s="121"/>
      <c r="D387" s="121"/>
      <c r="E387" s="121"/>
      <c r="F387" s="122"/>
      <c r="G387" s="23"/>
      <c r="H387" s="24"/>
      <c r="I387" s="23"/>
      <c r="J387" s="25"/>
      <c r="K387" s="26"/>
      <c r="L387" s="26"/>
    </row>
    <row r="388" spans="1:12" x14ac:dyDescent="0.25">
      <c r="A388" s="123" t="s">
        <v>70</v>
      </c>
      <c r="B388" s="124"/>
      <c r="C388" s="124"/>
      <c r="D388" s="124"/>
      <c r="E388" s="124"/>
      <c r="F388" s="12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26" t="s">
        <v>71</v>
      </c>
      <c r="B389" s="127"/>
      <c r="C389" s="127"/>
      <c r="D389" s="127"/>
      <c r="E389" s="127"/>
      <c r="F389" s="128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9" t="s">
        <v>72</v>
      </c>
      <c r="B390" s="129"/>
      <c r="C390" s="129"/>
      <c r="D390" s="129"/>
      <c r="E390" s="129"/>
      <c r="F390" s="130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20" t="s">
        <v>73</v>
      </c>
      <c r="B391" s="121"/>
      <c r="C391" s="121"/>
      <c r="D391" s="121"/>
      <c r="E391" s="121"/>
      <c r="F391" s="122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35"/>
      <c r="C392" s="135"/>
      <c r="D392" s="135"/>
      <c r="E392" s="135"/>
      <c r="F392" s="136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35"/>
      <c r="C393" s="135"/>
      <c r="D393" s="135"/>
      <c r="E393" s="135"/>
      <c r="F393" s="136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26" t="s">
        <v>76</v>
      </c>
      <c r="B394" s="127"/>
      <c r="C394" s="127"/>
      <c r="D394" s="127"/>
      <c r="E394" s="127"/>
      <c r="F394" s="128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9" t="s">
        <v>77</v>
      </c>
      <c r="B395" s="129"/>
      <c r="C395" s="129"/>
      <c r="D395" s="129"/>
      <c r="E395" s="129"/>
      <c r="F395" s="130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9" t="s">
        <v>78</v>
      </c>
      <c r="B396" s="129"/>
      <c r="C396" s="129"/>
      <c r="D396" s="129"/>
      <c r="E396" s="129"/>
      <c r="F396" s="130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9" t="s">
        <v>79</v>
      </c>
      <c r="B397" s="129"/>
      <c r="C397" s="129"/>
      <c r="D397" s="129"/>
      <c r="E397" s="129"/>
      <c r="F397" s="130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9" t="s">
        <v>80</v>
      </c>
      <c r="B398" s="129"/>
      <c r="C398" s="129"/>
      <c r="D398" s="129"/>
      <c r="E398" s="129"/>
      <c r="F398" s="130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9" t="s">
        <v>81</v>
      </c>
      <c r="B399" s="129"/>
      <c r="C399" s="129"/>
      <c r="D399" s="129"/>
      <c r="E399" s="129"/>
      <c r="F399" s="130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9" t="s">
        <v>24</v>
      </c>
      <c r="B400" s="129"/>
      <c r="C400" s="129"/>
      <c r="D400" s="129"/>
      <c r="E400" s="129"/>
      <c r="F400" s="130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29"/>
      <c r="C401" s="129"/>
      <c r="D401" s="129"/>
      <c r="E401" s="129"/>
      <c r="F401" s="130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20" t="s">
        <v>83</v>
      </c>
      <c r="B402" s="121"/>
      <c r="C402" s="121"/>
      <c r="D402" s="121"/>
      <c r="E402" s="121"/>
      <c r="F402" s="122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23" t="s">
        <v>84</v>
      </c>
      <c r="B403" s="124"/>
      <c r="C403" s="124"/>
      <c r="D403" s="124"/>
      <c r="E403" s="124"/>
      <c r="F403" s="12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32" t="s">
        <v>85</v>
      </c>
      <c r="B404" s="133"/>
      <c r="C404" s="133"/>
      <c r="D404" s="133"/>
      <c r="E404" s="133"/>
      <c r="F404" s="13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35"/>
      <c r="C405" s="135"/>
      <c r="D405" s="135"/>
      <c r="E405" s="135"/>
      <c r="F405" s="136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32" t="s">
        <v>87</v>
      </c>
      <c r="B406" s="133"/>
      <c r="C406" s="133"/>
      <c r="D406" s="133"/>
      <c r="E406" s="133"/>
      <c r="F406" s="13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35"/>
      <c r="C407" s="135"/>
      <c r="D407" s="135"/>
      <c r="E407" s="135"/>
      <c r="F407" s="136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26" t="s">
        <v>89</v>
      </c>
      <c r="B408" s="127"/>
      <c r="C408" s="127"/>
      <c r="D408" s="127"/>
      <c r="E408" s="127"/>
      <c r="F408" s="128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20" t="s">
        <v>90</v>
      </c>
      <c r="B409" s="121"/>
      <c r="C409" s="121"/>
      <c r="D409" s="121"/>
      <c r="E409" s="121"/>
      <c r="F409" s="122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23" t="s">
        <v>91</v>
      </c>
      <c r="B410" s="124"/>
      <c r="C410" s="124"/>
      <c r="D410" s="124"/>
      <c r="E410" s="124"/>
      <c r="F410" s="12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26" t="s">
        <v>92</v>
      </c>
      <c r="B411" s="127"/>
      <c r="C411" s="127"/>
      <c r="D411" s="127"/>
      <c r="E411" s="127"/>
      <c r="F411" s="128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9" t="s">
        <v>93</v>
      </c>
      <c r="B412" s="129"/>
      <c r="C412" s="129"/>
      <c r="D412" s="129"/>
      <c r="E412" s="129"/>
      <c r="F412" s="130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20" t="s">
        <v>94</v>
      </c>
      <c r="B413" s="121"/>
      <c r="C413" s="121"/>
      <c r="D413" s="121"/>
      <c r="E413" s="121"/>
      <c r="F413" s="122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14" t="s">
        <v>95</v>
      </c>
      <c r="B415" s="14" t="s">
        <v>96</v>
      </c>
      <c r="C415" s="14" t="s">
        <v>97</v>
      </c>
      <c r="D415" s="118" t="s">
        <v>98</v>
      </c>
      <c r="E415" s="131"/>
      <c r="F415" s="119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 x14ac:dyDescent="0.25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15">
        <f>166.87+J410</f>
        <v>185.411856</v>
      </c>
      <c r="E416" s="116"/>
      <c r="F416" s="117"/>
      <c r="G416" s="52">
        <f>36000+I415</f>
        <v>40265.599999999999</v>
      </c>
      <c r="H416" s="118" t="s">
        <v>101</v>
      </c>
      <c r="I416" s="119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workbookViewId="0">
      <selection activeCell="G364" sqref="G364:L364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13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15">
        <v>1</v>
      </c>
      <c r="B3" s="111" t="s">
        <v>33</v>
      </c>
      <c r="C3" s="111"/>
      <c r="D3" s="111"/>
      <c r="E3" s="111"/>
      <c r="F3" s="111"/>
      <c r="G3" s="113">
        <v>42675</v>
      </c>
      <c r="H3" s="113"/>
      <c r="I3" s="113"/>
      <c r="J3" s="113">
        <v>42704</v>
      </c>
      <c r="K3" s="113"/>
      <c r="L3" s="113"/>
    </row>
    <row r="4" spans="1:12" x14ac:dyDescent="0.25">
      <c r="A4" s="13" t="s">
        <v>34</v>
      </c>
      <c r="B4" s="13" t="s">
        <v>35</v>
      </c>
      <c r="C4" s="13" t="s">
        <v>36</v>
      </c>
      <c r="D4" s="13" t="s">
        <v>37</v>
      </c>
      <c r="E4" s="13" t="s">
        <v>38</v>
      </c>
      <c r="F4" s="13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15"/>
      <c r="C5" s="17">
        <v>24624</v>
      </c>
      <c r="D5" s="15" t="s">
        <v>41</v>
      </c>
      <c r="E5" s="15">
        <v>0</v>
      </c>
      <c r="F5" s="15">
        <v>0</v>
      </c>
      <c r="G5" s="111"/>
      <c r="H5" s="111"/>
      <c r="I5" s="111"/>
      <c r="J5" s="111"/>
      <c r="K5" s="111"/>
      <c r="L5" s="111"/>
    </row>
    <row r="6" spans="1:12" x14ac:dyDescent="0.25">
      <c r="A6" s="13" t="s">
        <v>42</v>
      </c>
      <c r="B6" s="13" t="s">
        <v>43</v>
      </c>
      <c r="C6" s="13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15">
        <v>189838836</v>
      </c>
      <c r="B7" s="15"/>
      <c r="C7" s="15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612.79650000000004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3.2611111111111111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17868.726500000001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12868.726500000001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9423.0314861000006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9423.0314861000006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1770.4973719406673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1-0.53</f>
        <v>0.47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13" t="s">
        <v>95</v>
      </c>
      <c r="B55" s="13" t="s">
        <v>96</v>
      </c>
      <c r="C55" s="13" t="s">
        <v>97</v>
      </c>
      <c r="D55" s="103" t="s">
        <v>98</v>
      </c>
      <c r="E55" s="103"/>
      <c r="F55" s="103"/>
      <c r="G55" s="13" t="s">
        <v>99</v>
      </c>
      <c r="H55" s="50"/>
      <c r="I55" s="51">
        <f>I32+I53</f>
        <v>17869.196500000002</v>
      </c>
      <c r="J55" s="51">
        <f>J43+J50+J51+J52</f>
        <v>2716.1923858406672</v>
      </c>
      <c r="K55" s="13" t="s">
        <v>100</v>
      </c>
      <c r="L55" s="51">
        <f>L43</f>
        <v>2354.57730915</v>
      </c>
    </row>
    <row r="56" spans="1:12" x14ac:dyDescent="0.25">
      <c r="A56" s="51">
        <f>156411.11+I32</f>
        <v>174279.83649999998</v>
      </c>
      <c r="B56" s="51">
        <f>111411.11+I33</f>
        <v>124279.8365</v>
      </c>
      <c r="C56" s="51">
        <f>2419.2+J34</f>
        <v>2688</v>
      </c>
      <c r="D56" s="102">
        <f>14978.83+J50</f>
        <v>16749.327371940668</v>
      </c>
      <c r="E56" s="102"/>
      <c r="F56" s="102"/>
      <c r="G56" s="51">
        <f>133157+I55</f>
        <v>151026.19649999999</v>
      </c>
      <c r="H56" s="103" t="s">
        <v>101</v>
      </c>
      <c r="I56" s="103"/>
      <c r="J56" s="51">
        <f>I55-J55</f>
        <v>15153.004114159336</v>
      </c>
      <c r="K56" s="13" t="s">
        <v>102</v>
      </c>
      <c r="L56" s="51">
        <f>20499.47+L55</f>
        <v>22854.047309150003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14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16">
        <v>3</v>
      </c>
      <c r="B63" s="111" t="s">
        <v>104</v>
      </c>
      <c r="C63" s="111"/>
      <c r="D63" s="111"/>
      <c r="E63" s="111"/>
      <c r="F63" s="111"/>
      <c r="G63" s="113">
        <v>42675</v>
      </c>
      <c r="H63" s="113"/>
      <c r="I63" s="113"/>
      <c r="J63" s="113">
        <v>42704</v>
      </c>
      <c r="K63" s="113"/>
      <c r="L63" s="113"/>
    </row>
    <row r="64" spans="1:12" x14ac:dyDescent="0.25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11"/>
      <c r="H65" s="111"/>
      <c r="I65" s="111"/>
      <c r="J65" s="111"/>
      <c r="K65" s="111"/>
      <c r="L65" s="111"/>
    </row>
    <row r="66" spans="1:12" x14ac:dyDescent="0.25">
      <c r="A66" s="14" t="s">
        <v>42</v>
      </c>
      <c r="B66" s="14" t="s">
        <v>43</v>
      </c>
      <c r="C66" s="14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16">
        <v>141034737</v>
      </c>
      <c r="B67" s="16"/>
      <c r="C67" s="16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5000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2.4555555555555557</v>
      </c>
      <c r="H86" s="31">
        <f>IF(G86&lt;2,0,IF(AND(G86&gt;2,G86&lt;5),[1]Taux!A$33,IF(AND(G86&lt;12,G86&gt;5),[1]Taux!A$34,IF(AND(G86&gt;12,G86&lt;20),[1]Taux!A$35,IF(AND(G86&lt;25,G86&gt;20),[1]Taux!A$36,IF(G86&gt;25,[1]Taux!A$37))))))</f>
        <v>0.05</v>
      </c>
      <c r="I86" s="23">
        <f>I74*H86</f>
        <v>5000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111000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105000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I93*H96</f>
        <v>26250</v>
      </c>
      <c r="K96" s="35">
        <v>0.06</v>
      </c>
      <c r="L96" s="23">
        <f>I93*K96</f>
        <v>6300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I93*H100</f>
        <v>2373</v>
      </c>
      <c r="K100" s="34" t="str">
        <f>[1]Taux!C$7</f>
        <v>4,11%</v>
      </c>
      <c r="L100" s="23">
        <f>I93*K100</f>
        <v>4315.5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73608.2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73608.2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25937.782666666666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25937.782666666666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1-0.42</f>
        <v>0.58000000000000007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14" t="s">
        <v>95</v>
      </c>
      <c r="B115" s="14" t="s">
        <v>96</v>
      </c>
      <c r="C115" s="14" t="s">
        <v>97</v>
      </c>
      <c r="D115" s="103" t="s">
        <v>98</v>
      </c>
      <c r="E115" s="103"/>
      <c r="F115" s="103"/>
      <c r="G115" s="14" t="s">
        <v>99</v>
      </c>
      <c r="H115" s="50"/>
      <c r="I115" s="52">
        <f>I92+I113</f>
        <v>111000.58</v>
      </c>
      <c r="J115" s="52">
        <f>J103+J110+J111+J112</f>
        <v>54829.582666666669</v>
      </c>
      <c r="K115" s="14" t="s">
        <v>100</v>
      </c>
      <c r="L115" s="52">
        <f>L103</f>
        <v>19554.3</v>
      </c>
    </row>
    <row r="116" spans="1:13" x14ac:dyDescent="0.25">
      <c r="A116" s="52">
        <f>974000+I92</f>
        <v>1085000</v>
      </c>
      <c r="B116" s="52">
        <f>920000+I93</f>
        <v>1025000</v>
      </c>
      <c r="C116" s="52">
        <f>2419.2+J94</f>
        <v>2688</v>
      </c>
      <c r="D116" s="102">
        <f>226529.75+J110</f>
        <v>252467.53266666667</v>
      </c>
      <c r="E116" s="102"/>
      <c r="F116" s="102"/>
      <c r="G116" s="52">
        <f>494263.97+I115</f>
        <v>605264.54999999993</v>
      </c>
      <c r="H116" s="103" t="s">
        <v>101</v>
      </c>
      <c r="I116" s="103"/>
      <c r="J116" s="52">
        <f>I115-J115</f>
        <v>56170.997333333333</v>
      </c>
      <c r="K116" s="14" t="s">
        <v>102</v>
      </c>
      <c r="L116" s="52">
        <f>171461.2+L115</f>
        <v>191015.5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75725.297333333336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13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15">
        <v>4</v>
      </c>
      <c r="B123" s="111" t="s">
        <v>106</v>
      </c>
      <c r="C123" s="111"/>
      <c r="D123" s="111"/>
      <c r="E123" s="111"/>
      <c r="F123" s="111"/>
      <c r="G123" s="113">
        <v>42675</v>
      </c>
      <c r="H123" s="113"/>
      <c r="I123" s="113"/>
      <c r="J123" s="113">
        <v>42704</v>
      </c>
      <c r="K123" s="113"/>
      <c r="L123" s="113"/>
    </row>
    <row r="124" spans="1:13" x14ac:dyDescent="0.25">
      <c r="A124" s="13" t="s">
        <v>34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15"/>
      <c r="C125" s="17">
        <v>28152</v>
      </c>
      <c r="D125" s="15" t="s">
        <v>41</v>
      </c>
      <c r="E125" s="15">
        <v>0</v>
      </c>
      <c r="F125" s="15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13" t="s">
        <v>42</v>
      </c>
      <c r="B126" s="13" t="s">
        <v>43</v>
      </c>
      <c r="C126" s="13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15">
        <v>123952551</v>
      </c>
      <c r="B127" s="15"/>
      <c r="C127" s="15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4500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2.4555555555555557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0.05</v>
      </c>
      <c r="I146" s="23">
        <f>I134*H146</f>
        <v>4500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100500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94500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42345.5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42345.5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14057.956666666667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1-0.54</f>
        <v>0.45999999999999996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13" t="s">
        <v>95</v>
      </c>
      <c r="B175" s="13" t="s">
        <v>96</v>
      </c>
      <c r="C175" s="13" t="s">
        <v>97</v>
      </c>
      <c r="D175" s="103" t="s">
        <v>98</v>
      </c>
      <c r="E175" s="103"/>
      <c r="F175" s="103"/>
      <c r="G175" s="13" t="s">
        <v>99</v>
      </c>
      <c r="H175" s="50"/>
      <c r="I175" s="51">
        <f>I152+I173</f>
        <v>100500.46</v>
      </c>
      <c r="J175" s="51">
        <f>J163+J170+J171+J172</f>
        <v>63712.456666666665</v>
      </c>
      <c r="K175" s="13" t="s">
        <v>100</v>
      </c>
      <c r="L175" s="51">
        <f>L163</f>
        <v>17652.75</v>
      </c>
    </row>
    <row r="176" spans="1:12" x14ac:dyDescent="0.25">
      <c r="A176" s="51">
        <f>882000+I152</f>
        <v>982500</v>
      </c>
      <c r="B176" s="51">
        <f>828000+I153</f>
        <v>922500</v>
      </c>
      <c r="C176" s="51">
        <f>2419.2+J154</f>
        <v>2688</v>
      </c>
      <c r="D176" s="102">
        <f>122440.83+J170</f>
        <v>136498.78666666668</v>
      </c>
      <c r="E176" s="102"/>
      <c r="F176" s="102"/>
      <c r="G176" s="51">
        <f>324432+I175</f>
        <v>424932.46</v>
      </c>
      <c r="H176" s="103" t="s">
        <v>101</v>
      </c>
      <c r="I176" s="103"/>
      <c r="J176" s="51">
        <f>I175-J175</f>
        <v>36788.003333333341</v>
      </c>
      <c r="K176" s="13" t="s">
        <v>102</v>
      </c>
      <c r="L176" s="51">
        <f>154800+L175</f>
        <v>172452.75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13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15">
        <v>5</v>
      </c>
      <c r="B183" s="111" t="s">
        <v>108</v>
      </c>
      <c r="C183" s="111"/>
      <c r="D183" s="111"/>
      <c r="E183" s="111"/>
      <c r="F183" s="111"/>
      <c r="G183" s="113">
        <v>42675</v>
      </c>
      <c r="H183" s="113"/>
      <c r="I183" s="113"/>
      <c r="J183" s="113">
        <v>42704</v>
      </c>
      <c r="K183" s="113"/>
      <c r="L183" s="113"/>
    </row>
    <row r="184" spans="1:12" x14ac:dyDescent="0.25">
      <c r="A184" s="13" t="s">
        <v>34</v>
      </c>
      <c r="B184" s="13" t="s">
        <v>35</v>
      </c>
      <c r="C184" s="13" t="s">
        <v>36</v>
      </c>
      <c r="D184" s="13" t="s">
        <v>37</v>
      </c>
      <c r="E184" s="13" t="s">
        <v>38</v>
      </c>
      <c r="F184" s="13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15"/>
      <c r="C185" s="17">
        <v>21792</v>
      </c>
      <c r="D185" s="15" t="s">
        <v>41</v>
      </c>
      <c r="E185" s="15">
        <v>2</v>
      </c>
      <c r="F185" s="15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13" t="s">
        <v>42</v>
      </c>
      <c r="B186" s="13" t="s">
        <v>43</v>
      </c>
      <c r="C186" s="13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15">
        <v>132944135</v>
      </c>
      <c r="B187" s="15"/>
      <c r="C187" s="15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2.4555555555555557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17731.8485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12731.8485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9675.3087238999997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1766.2716327926667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1-0.04</f>
        <v>0.96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13" t="s">
        <v>95</v>
      </c>
      <c r="B235" s="13" t="s">
        <v>96</v>
      </c>
      <c r="C235" s="13" t="s">
        <v>97</v>
      </c>
      <c r="D235" s="103" t="s">
        <v>98</v>
      </c>
      <c r="E235" s="103"/>
      <c r="F235" s="103"/>
      <c r="G235" s="13" t="s">
        <v>99</v>
      </c>
      <c r="H235" s="50"/>
      <c r="I235" s="51">
        <f>I212+I233</f>
        <v>17732.808499999999</v>
      </c>
      <c r="J235" s="51">
        <f>J223+J230+J231+J232</f>
        <v>2322.8114088926668</v>
      </c>
      <c r="K235" s="13" t="s">
        <v>100</v>
      </c>
      <c r="L235" s="51">
        <f>L223</f>
        <v>2080.6268533500001</v>
      </c>
    </row>
    <row r="236" spans="1:12" x14ac:dyDescent="0.25">
      <c r="A236" s="51">
        <f>156555.24+I212</f>
        <v>174287.08849999998</v>
      </c>
      <c r="B236" s="51">
        <f>111555.24+I213</f>
        <v>124287.08850000001</v>
      </c>
      <c r="C236" s="51">
        <f>2419.2+J214</f>
        <v>2688</v>
      </c>
      <c r="D236" s="102">
        <f>15016.37+J230</f>
        <v>16782.641632792667</v>
      </c>
      <c r="E236" s="102"/>
      <c r="F236" s="102"/>
      <c r="G236" s="51">
        <f>136602.47+I235</f>
        <v>154335.27850000001</v>
      </c>
      <c r="H236" s="103" t="s">
        <v>101</v>
      </c>
      <c r="I236" s="103"/>
      <c r="J236" s="51">
        <f>I235-J235</f>
        <v>15409.997091107332</v>
      </c>
      <c r="K236" s="13" t="s">
        <v>102</v>
      </c>
      <c r="L236" s="51">
        <f>20589.65+L235</f>
        <v>22670.276853350002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13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15">
        <v>6</v>
      </c>
      <c r="B243" s="111" t="s">
        <v>110</v>
      </c>
      <c r="C243" s="111"/>
      <c r="D243" s="111"/>
      <c r="E243" s="111"/>
      <c r="F243" s="111"/>
      <c r="G243" s="113">
        <v>42675</v>
      </c>
      <c r="H243" s="113"/>
      <c r="I243" s="113"/>
      <c r="J243" s="113">
        <v>42704</v>
      </c>
      <c r="K243" s="113"/>
      <c r="L243" s="113"/>
    </row>
    <row r="244" spans="1:12" x14ac:dyDescent="0.25">
      <c r="A244" s="13" t="s">
        <v>34</v>
      </c>
      <c r="B244" s="13" t="s">
        <v>35</v>
      </c>
      <c r="C244" s="13" t="s">
        <v>36</v>
      </c>
      <c r="D244" s="13" t="s">
        <v>37</v>
      </c>
      <c r="E244" s="13" t="s">
        <v>38</v>
      </c>
      <c r="F244" s="13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15"/>
      <c r="C245" s="17">
        <v>31573</v>
      </c>
      <c r="D245" s="15" t="s">
        <v>111</v>
      </c>
      <c r="E245" s="15">
        <v>0</v>
      </c>
      <c r="F245" s="15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13" t="s">
        <v>42</v>
      </c>
      <c r="B246" s="13" t="s">
        <v>43</v>
      </c>
      <c r="C246" s="13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15">
        <v>195441186</v>
      </c>
      <c r="B247" s="15"/>
      <c r="C247" s="15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3823.53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2.3722222222222222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4014.7065000000002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2941.1739819000004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44.117398190000074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13" t="s">
        <v>95</v>
      </c>
      <c r="B295" s="13" t="s">
        <v>96</v>
      </c>
      <c r="C295" s="13" t="s">
        <v>97</v>
      </c>
      <c r="D295" s="103" t="s">
        <v>98</v>
      </c>
      <c r="E295" s="103"/>
      <c r="F295" s="103"/>
      <c r="G295" s="13" t="s">
        <v>99</v>
      </c>
      <c r="H295" s="50"/>
      <c r="I295" s="51">
        <f>I272+I293</f>
        <v>4314.7065000000002</v>
      </c>
      <c r="J295" s="51">
        <f>J283+J290+J291+J292</f>
        <v>314.70861629000012</v>
      </c>
      <c r="K295" s="13" t="s">
        <v>100</v>
      </c>
      <c r="L295" s="51">
        <f>L283</f>
        <v>926.99573084999997</v>
      </c>
    </row>
    <row r="296" spans="1:12" x14ac:dyDescent="0.25">
      <c r="A296" s="51">
        <f>32114.9+I272</f>
        <v>36429.606500000002</v>
      </c>
      <c r="B296" s="51">
        <f>29414.9+I273</f>
        <v>33429.606500000002</v>
      </c>
      <c r="C296" s="51">
        <f>1317.78+J274</f>
        <v>1497.6388512000001</v>
      </c>
      <c r="D296" s="102">
        <f>132.35+J290</f>
        <v>176.46739819000007</v>
      </c>
      <c r="E296" s="102"/>
      <c r="F296" s="102"/>
      <c r="G296" s="51">
        <f>30000+I295</f>
        <v>34314.7065</v>
      </c>
      <c r="H296" s="103" t="s">
        <v>101</v>
      </c>
      <c r="I296" s="103"/>
      <c r="J296" s="51">
        <f>I295-J295</f>
        <v>3999.9978837100002</v>
      </c>
      <c r="K296" s="13" t="s">
        <v>102</v>
      </c>
      <c r="L296" s="51">
        <f>5864.92+L295</f>
        <v>6791.9157308499998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13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15">
        <v>7</v>
      </c>
      <c r="B303" s="111" t="s">
        <v>112</v>
      </c>
      <c r="C303" s="111"/>
      <c r="D303" s="111"/>
      <c r="E303" s="111"/>
      <c r="F303" s="111"/>
      <c r="G303" s="113">
        <v>42675</v>
      </c>
      <c r="H303" s="113"/>
      <c r="I303" s="113"/>
      <c r="J303" s="113">
        <v>42704</v>
      </c>
      <c r="K303" s="113"/>
      <c r="L303" s="113"/>
    </row>
    <row r="304" spans="1:12" x14ac:dyDescent="0.25">
      <c r="A304" s="13" t="s">
        <v>34</v>
      </c>
      <c r="B304" s="13" t="s">
        <v>35</v>
      </c>
      <c r="C304" s="13" t="s">
        <v>36</v>
      </c>
      <c r="D304" s="13" t="s">
        <v>37</v>
      </c>
      <c r="E304" s="13" t="s">
        <v>38</v>
      </c>
      <c r="F304" s="13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15"/>
      <c r="C305" s="17">
        <v>34565</v>
      </c>
      <c r="D305" s="15" t="s">
        <v>111</v>
      </c>
      <c r="E305" s="15">
        <v>0</v>
      </c>
      <c r="F305" s="15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13" t="s">
        <v>42</v>
      </c>
      <c r="B306" s="13" t="s">
        <v>43</v>
      </c>
      <c r="C306" s="13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15">
        <v>168098097</v>
      </c>
      <c r="B307" s="15"/>
      <c r="C307" s="15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1.8611111111111112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1000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13" t="s">
        <v>95</v>
      </c>
      <c r="B355" s="13" t="s">
        <v>96</v>
      </c>
      <c r="C355" s="13" t="s">
        <v>97</v>
      </c>
      <c r="D355" s="103" t="s">
        <v>98</v>
      </c>
      <c r="E355" s="103"/>
      <c r="F355" s="103"/>
      <c r="G355" s="13" t="s">
        <v>99</v>
      </c>
      <c r="H355" s="50"/>
      <c r="I355" s="51">
        <f>I332+I353</f>
        <v>2808.25</v>
      </c>
      <c r="J355" s="51">
        <f>J343+J350+J351+J352</f>
        <v>1189.2457200000001</v>
      </c>
      <c r="K355" s="13" t="s">
        <v>100</v>
      </c>
      <c r="L355" s="51">
        <f>L343</f>
        <v>648.32101999999998</v>
      </c>
    </row>
    <row r="356" spans="1:12" x14ac:dyDescent="0.25">
      <c r="A356" s="51">
        <f>25270.2+I332</f>
        <v>28078</v>
      </c>
      <c r="B356" s="51">
        <f>25270.2+I333</f>
        <v>28078</v>
      </c>
      <c r="C356" s="51">
        <f>1132.11+J334</f>
        <v>1257.8994399999999</v>
      </c>
      <c r="D356" s="102">
        <f>0+J350</f>
        <v>0</v>
      </c>
      <c r="E356" s="102"/>
      <c r="F356" s="102"/>
      <c r="G356" s="51">
        <f>17071.02+I355</f>
        <v>19879.27</v>
      </c>
      <c r="H356" s="103" t="s">
        <v>101</v>
      </c>
      <c r="I356" s="103"/>
      <c r="J356" s="51">
        <f>I355-J355</f>
        <v>1619.0042799999999</v>
      </c>
      <c r="K356" s="13" t="s">
        <v>102</v>
      </c>
      <c r="L356" s="51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13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15">
        <v>8</v>
      </c>
      <c r="B363" s="111" t="s">
        <v>113</v>
      </c>
      <c r="C363" s="111"/>
      <c r="D363" s="111"/>
      <c r="E363" s="111"/>
      <c r="F363" s="111"/>
      <c r="G363" s="113">
        <v>42675</v>
      </c>
      <c r="H363" s="113"/>
      <c r="I363" s="113"/>
      <c r="J363" s="113">
        <v>42704</v>
      </c>
      <c r="K363" s="113"/>
      <c r="L363" s="113"/>
    </row>
    <row r="364" spans="1:12" x14ac:dyDescent="0.25">
      <c r="A364" s="13" t="s">
        <v>34</v>
      </c>
      <c r="B364" s="13" t="s">
        <v>35</v>
      </c>
      <c r="C364" s="13" t="s">
        <v>36</v>
      </c>
      <c r="D364" s="13" t="s">
        <v>37</v>
      </c>
      <c r="E364" s="13" t="s">
        <v>38</v>
      </c>
      <c r="F364" s="13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15"/>
      <c r="C365" s="17">
        <v>33665</v>
      </c>
      <c r="D365" s="15" t="s">
        <v>111</v>
      </c>
      <c r="E365" s="15">
        <v>0</v>
      </c>
      <c r="F365" s="15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13" t="s">
        <v>42</v>
      </c>
      <c r="B366" s="13" t="s">
        <v>43</v>
      </c>
      <c r="C366" s="13" t="s">
        <v>44</v>
      </c>
      <c r="D366" s="103" t="s">
        <v>45</v>
      </c>
      <c r="E366" s="103"/>
      <c r="F366" s="103"/>
      <c r="G366" s="103" t="s">
        <v>46</v>
      </c>
      <c r="H366" s="103"/>
      <c r="I366" s="103"/>
      <c r="J366" s="103"/>
      <c r="K366" s="103"/>
      <c r="L366" s="103"/>
    </row>
    <row r="367" spans="1:12" x14ac:dyDescent="0.25">
      <c r="A367" s="15">
        <v>164315198</v>
      </c>
      <c r="B367" s="15"/>
      <c r="C367" s="15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1.1027777777777779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13" t="s">
        <v>95</v>
      </c>
      <c r="B415" s="13" t="s">
        <v>96</v>
      </c>
      <c r="C415" s="13" t="s">
        <v>97</v>
      </c>
      <c r="D415" s="103" t="s">
        <v>98</v>
      </c>
      <c r="E415" s="103"/>
      <c r="F415" s="103"/>
      <c r="G415" s="13" t="s">
        <v>99</v>
      </c>
      <c r="H415" s="50"/>
      <c r="I415" s="51">
        <f>I392+I413</f>
        <v>4265.6000000000004</v>
      </c>
      <c r="J415" s="51">
        <f>J403+J410+J411+J412</f>
        <v>265.60329600000006</v>
      </c>
      <c r="K415" s="13" t="s">
        <v>100</v>
      </c>
      <c r="L415" s="51">
        <f>L403</f>
        <v>846.38704000000007</v>
      </c>
    </row>
    <row r="416" spans="1:12" x14ac:dyDescent="0.25">
      <c r="A416" s="51">
        <f>38390.4+I392</f>
        <v>42656</v>
      </c>
      <c r="B416" s="51">
        <f>32990.4+I393</f>
        <v>36656</v>
      </c>
      <c r="C416" s="51">
        <f>1477.98+J394</f>
        <v>1642.1988800000001</v>
      </c>
      <c r="D416" s="102">
        <f>166.87+J410</f>
        <v>185.411856</v>
      </c>
      <c r="E416" s="102"/>
      <c r="F416" s="102"/>
      <c r="G416" s="51">
        <f>36000+I415</f>
        <v>40265.599999999999</v>
      </c>
      <c r="H416" s="103" t="s">
        <v>101</v>
      </c>
      <c r="I416" s="103"/>
      <c r="J416" s="51">
        <f>I415-J415</f>
        <v>3999.9967040000001</v>
      </c>
      <c r="K416" s="13" t="s">
        <v>102</v>
      </c>
      <c r="L416" s="51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topLeftCell="A138" workbookViewId="0">
      <selection activeCell="P37" sqref="P37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13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15">
        <v>1</v>
      </c>
      <c r="B3" s="111" t="s">
        <v>33</v>
      </c>
      <c r="C3" s="111"/>
      <c r="D3" s="111"/>
      <c r="E3" s="111"/>
      <c r="F3" s="111"/>
      <c r="G3" s="113">
        <v>42705</v>
      </c>
      <c r="H3" s="113"/>
      <c r="I3" s="113"/>
      <c r="J3" s="113">
        <v>42735</v>
      </c>
      <c r="K3" s="113"/>
      <c r="L3" s="113"/>
    </row>
    <row r="4" spans="1:12" x14ac:dyDescent="0.25">
      <c r="A4" s="13" t="s">
        <v>34</v>
      </c>
      <c r="B4" s="13" t="s">
        <v>35</v>
      </c>
      <c r="C4" s="13" t="s">
        <v>36</v>
      </c>
      <c r="D4" s="13" t="s">
        <v>37</v>
      </c>
      <c r="E4" s="13" t="s">
        <v>38</v>
      </c>
      <c r="F4" s="13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15"/>
      <c r="C5" s="17">
        <v>24624</v>
      </c>
      <c r="D5" s="15" t="s">
        <v>41</v>
      </c>
      <c r="E5" s="15">
        <v>0</v>
      </c>
      <c r="F5" s="15">
        <v>0</v>
      </c>
      <c r="G5" s="111"/>
      <c r="H5" s="111"/>
      <c r="I5" s="111"/>
      <c r="J5" s="111"/>
      <c r="K5" s="111"/>
      <c r="L5" s="111"/>
    </row>
    <row r="6" spans="1:12" x14ac:dyDescent="0.25">
      <c r="A6" s="13" t="s">
        <v>42</v>
      </c>
      <c r="B6" s="13" t="s">
        <v>43</v>
      </c>
      <c r="C6" s="13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15">
        <v>189838836</v>
      </c>
      <c r="B7" s="15"/>
      <c r="C7" s="15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612.79650000000004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3.3444444444444446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17868.726500000001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12868.726500000001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9423.0314861000006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9423.0314861000006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1770.4973719406673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1-0.53</f>
        <v>0.47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13" t="s">
        <v>95</v>
      </c>
      <c r="B55" s="13" t="s">
        <v>96</v>
      </c>
      <c r="C55" s="13" t="s">
        <v>97</v>
      </c>
      <c r="D55" s="103" t="s">
        <v>98</v>
      </c>
      <c r="E55" s="103"/>
      <c r="F55" s="103"/>
      <c r="G55" s="13" t="s">
        <v>99</v>
      </c>
      <c r="H55" s="50"/>
      <c r="I55" s="51">
        <f>I32+I53</f>
        <v>17869.196500000002</v>
      </c>
      <c r="J55" s="51">
        <f>J43+J50+J51+J52</f>
        <v>2716.1923858406672</v>
      </c>
      <c r="K55" s="13" t="s">
        <v>100</v>
      </c>
      <c r="L55" s="51">
        <f>L43</f>
        <v>2354.57730915</v>
      </c>
    </row>
    <row r="56" spans="1:12" x14ac:dyDescent="0.25">
      <c r="A56" s="51">
        <f>156411.11+I32</f>
        <v>174279.83649999998</v>
      </c>
      <c r="B56" s="51">
        <f>111411.11+I33</f>
        <v>124279.8365</v>
      </c>
      <c r="C56" s="51">
        <f>2419.2+J34</f>
        <v>2688</v>
      </c>
      <c r="D56" s="102">
        <f>14978.83+J50</f>
        <v>16749.327371940668</v>
      </c>
      <c r="E56" s="102"/>
      <c r="F56" s="102"/>
      <c r="G56" s="51">
        <f>133157+I55</f>
        <v>151026.19649999999</v>
      </c>
      <c r="H56" s="103" t="s">
        <v>101</v>
      </c>
      <c r="I56" s="103"/>
      <c r="J56" s="51">
        <f>I55-J55</f>
        <v>15153.004114159336</v>
      </c>
      <c r="K56" s="13" t="s">
        <v>102</v>
      </c>
      <c r="L56" s="51">
        <f>20499.47+L55</f>
        <v>22854.047309150003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14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16">
        <v>3</v>
      </c>
      <c r="B63" s="111" t="s">
        <v>104</v>
      </c>
      <c r="C63" s="111"/>
      <c r="D63" s="111"/>
      <c r="E63" s="111"/>
      <c r="F63" s="111"/>
      <c r="G63" s="113">
        <v>42705</v>
      </c>
      <c r="H63" s="113"/>
      <c r="I63" s="113"/>
      <c r="J63" s="113">
        <v>42735</v>
      </c>
      <c r="K63" s="113"/>
      <c r="L63" s="113"/>
    </row>
    <row r="64" spans="1:12" x14ac:dyDescent="0.25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11"/>
      <c r="H65" s="111"/>
      <c r="I65" s="111"/>
      <c r="J65" s="111"/>
      <c r="K65" s="111"/>
      <c r="L65" s="111"/>
    </row>
    <row r="66" spans="1:12" x14ac:dyDescent="0.25">
      <c r="A66" s="14" t="s">
        <v>42</v>
      </c>
      <c r="B66" s="14" t="s">
        <v>43</v>
      </c>
      <c r="C66" s="14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16">
        <v>141034737</v>
      </c>
      <c r="B67" s="16"/>
      <c r="C67" s="16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5000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2.5388888888888888</v>
      </c>
      <c r="H86" s="31">
        <f>IF(G86&lt;2,0,IF(AND(G86&gt;2,G86&lt;5),[1]Taux!A$33,IF(AND(G86&lt;12,G86&gt;5),[1]Taux!A$34,IF(AND(G86&gt;12,G86&lt;20),[1]Taux!A$35,IF(AND(G86&lt;25,G86&gt;20),[1]Taux!A$36,IF(G86&gt;25,[1]Taux!A$37))))))</f>
        <v>0.05</v>
      </c>
      <c r="I86" s="23">
        <f>I74*H86</f>
        <v>5000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111000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105000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I93*H96</f>
        <v>26250</v>
      </c>
      <c r="K96" s="35">
        <v>0.06</v>
      </c>
      <c r="L96" s="23">
        <f>I93*K96</f>
        <v>6300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I93*H100</f>
        <v>2373</v>
      </c>
      <c r="K100" s="34" t="str">
        <f>[1]Taux!C$7</f>
        <v>4,11%</v>
      </c>
      <c r="L100" s="23">
        <f>I93*K100</f>
        <v>4315.5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73608.2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73608.2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25937.782666666666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25937.782666666666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1-0.42</f>
        <v>0.58000000000000007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14" t="s">
        <v>95</v>
      </c>
      <c r="B115" s="14" t="s">
        <v>96</v>
      </c>
      <c r="C115" s="14" t="s">
        <v>97</v>
      </c>
      <c r="D115" s="103" t="s">
        <v>98</v>
      </c>
      <c r="E115" s="103"/>
      <c r="F115" s="103"/>
      <c r="G115" s="14" t="s">
        <v>99</v>
      </c>
      <c r="H115" s="50"/>
      <c r="I115" s="52">
        <f>I92+I113</f>
        <v>111000.58</v>
      </c>
      <c r="J115" s="52">
        <f>J103+J110+J111+J112</f>
        <v>54829.582666666669</v>
      </c>
      <c r="K115" s="14" t="s">
        <v>100</v>
      </c>
      <c r="L115" s="52">
        <f>L103</f>
        <v>19554.3</v>
      </c>
    </row>
    <row r="116" spans="1:13" x14ac:dyDescent="0.25">
      <c r="A116" s="52">
        <f>974000+I92</f>
        <v>1085000</v>
      </c>
      <c r="B116" s="52">
        <f>920000+I93</f>
        <v>1025000</v>
      </c>
      <c r="C116" s="52">
        <f>2419.2+J94</f>
        <v>2688</v>
      </c>
      <c r="D116" s="102">
        <f>226529.75+J110</f>
        <v>252467.53266666667</v>
      </c>
      <c r="E116" s="102"/>
      <c r="F116" s="102"/>
      <c r="G116" s="52">
        <f>494263.97+I115</f>
        <v>605264.54999999993</v>
      </c>
      <c r="H116" s="103" t="s">
        <v>101</v>
      </c>
      <c r="I116" s="103"/>
      <c r="J116" s="52">
        <f>I115-J115</f>
        <v>56170.997333333333</v>
      </c>
      <c r="K116" s="14" t="s">
        <v>102</v>
      </c>
      <c r="L116" s="52">
        <f>171461.2+L115</f>
        <v>191015.5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75725.297333333336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13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15">
        <v>4</v>
      </c>
      <c r="B123" s="111" t="s">
        <v>106</v>
      </c>
      <c r="C123" s="111"/>
      <c r="D123" s="111"/>
      <c r="E123" s="111"/>
      <c r="F123" s="111"/>
      <c r="G123" s="113">
        <v>42705</v>
      </c>
      <c r="H123" s="113"/>
      <c r="I123" s="113"/>
      <c r="J123" s="113">
        <v>42735</v>
      </c>
      <c r="K123" s="113"/>
      <c r="L123" s="113"/>
    </row>
    <row r="124" spans="1:13" x14ac:dyDescent="0.25">
      <c r="A124" s="13" t="s">
        <v>34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15"/>
      <c r="C125" s="17">
        <v>28152</v>
      </c>
      <c r="D125" s="15" t="s">
        <v>41</v>
      </c>
      <c r="E125" s="15">
        <v>0</v>
      </c>
      <c r="F125" s="15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13" t="s">
        <v>42</v>
      </c>
      <c r="B126" s="13" t="s">
        <v>43</v>
      </c>
      <c r="C126" s="13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15">
        <v>123952551</v>
      </c>
      <c r="B127" s="15"/>
      <c r="C127" s="15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4500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2.5388888888888888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0.05</v>
      </c>
      <c r="I146" s="23">
        <f>I134*H146</f>
        <v>4500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100500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94500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42345.5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42345.5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14057.956666666667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1-0.54</f>
        <v>0.45999999999999996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13" t="s">
        <v>95</v>
      </c>
      <c r="B175" s="13" t="s">
        <v>96</v>
      </c>
      <c r="C175" s="13" t="s">
        <v>97</v>
      </c>
      <c r="D175" s="103" t="s">
        <v>98</v>
      </c>
      <c r="E175" s="103"/>
      <c r="F175" s="103"/>
      <c r="G175" s="13" t="s">
        <v>99</v>
      </c>
      <c r="H175" s="50"/>
      <c r="I175" s="51">
        <f>I152+I173</f>
        <v>100500.46</v>
      </c>
      <c r="J175" s="51">
        <f>J163+J170+J171+J172</f>
        <v>63712.456666666665</v>
      </c>
      <c r="K175" s="13" t="s">
        <v>100</v>
      </c>
      <c r="L175" s="51">
        <f>L163</f>
        <v>17652.75</v>
      </c>
    </row>
    <row r="176" spans="1:12" x14ac:dyDescent="0.25">
      <c r="A176" s="51">
        <f>882000+I152</f>
        <v>982500</v>
      </c>
      <c r="B176" s="51">
        <f>828000+I153</f>
        <v>922500</v>
      </c>
      <c r="C176" s="51">
        <f>2419.2+J154</f>
        <v>2688</v>
      </c>
      <c r="D176" s="102">
        <f>122440.83+J170</f>
        <v>136498.78666666668</v>
      </c>
      <c r="E176" s="102"/>
      <c r="F176" s="102"/>
      <c r="G176" s="51">
        <f>324432+I175</f>
        <v>424932.46</v>
      </c>
      <c r="H176" s="103" t="s">
        <v>101</v>
      </c>
      <c r="I176" s="103"/>
      <c r="J176" s="51">
        <f>I175-J175</f>
        <v>36788.003333333341</v>
      </c>
      <c r="K176" s="13" t="s">
        <v>102</v>
      </c>
      <c r="L176" s="51">
        <f>154800+L175</f>
        <v>172452.75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13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15">
        <v>5</v>
      </c>
      <c r="B183" s="111" t="s">
        <v>108</v>
      </c>
      <c r="C183" s="111"/>
      <c r="D183" s="111"/>
      <c r="E183" s="111"/>
      <c r="F183" s="111"/>
      <c r="G183" s="113">
        <v>42705</v>
      </c>
      <c r="H183" s="113"/>
      <c r="I183" s="113"/>
      <c r="J183" s="113">
        <v>42735</v>
      </c>
      <c r="K183" s="113"/>
      <c r="L183" s="113"/>
    </row>
    <row r="184" spans="1:12" x14ac:dyDescent="0.25">
      <c r="A184" s="13" t="s">
        <v>34</v>
      </c>
      <c r="B184" s="13" t="s">
        <v>35</v>
      </c>
      <c r="C184" s="13" t="s">
        <v>36</v>
      </c>
      <c r="D184" s="13" t="s">
        <v>37</v>
      </c>
      <c r="E184" s="13" t="s">
        <v>38</v>
      </c>
      <c r="F184" s="13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15"/>
      <c r="C185" s="17">
        <v>21792</v>
      </c>
      <c r="D185" s="15" t="s">
        <v>41</v>
      </c>
      <c r="E185" s="15">
        <v>2</v>
      </c>
      <c r="F185" s="15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13" t="s">
        <v>42</v>
      </c>
      <c r="B186" s="13" t="s">
        <v>43</v>
      </c>
      <c r="C186" s="13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15">
        <v>132944135</v>
      </c>
      <c r="B187" s="15"/>
      <c r="C187" s="15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2.5388888888888888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17731.8485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12731.8485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9675.3087238999997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1766.2716327926667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1-0.04</f>
        <v>0.96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13" t="s">
        <v>95</v>
      </c>
      <c r="B235" s="13" t="s">
        <v>96</v>
      </c>
      <c r="C235" s="13" t="s">
        <v>97</v>
      </c>
      <c r="D235" s="103" t="s">
        <v>98</v>
      </c>
      <c r="E235" s="103"/>
      <c r="F235" s="103"/>
      <c r="G235" s="13" t="s">
        <v>99</v>
      </c>
      <c r="H235" s="50"/>
      <c r="I235" s="51">
        <f>I212+I233</f>
        <v>17732.808499999999</v>
      </c>
      <c r="J235" s="51">
        <f>J223+J230+J231+J232</f>
        <v>2322.8114088926668</v>
      </c>
      <c r="K235" s="13" t="s">
        <v>100</v>
      </c>
      <c r="L235" s="51">
        <f>L223</f>
        <v>2080.6268533500001</v>
      </c>
    </row>
    <row r="236" spans="1:12" x14ac:dyDescent="0.25">
      <c r="A236" s="51">
        <f>156555.24+I212</f>
        <v>174287.08849999998</v>
      </c>
      <c r="B236" s="51">
        <f>111555.24+I213</f>
        <v>124287.08850000001</v>
      </c>
      <c r="C236" s="51">
        <f>2419.2+J214</f>
        <v>2688</v>
      </c>
      <c r="D236" s="102">
        <f>15016.37+J230</f>
        <v>16782.641632792667</v>
      </c>
      <c r="E236" s="102"/>
      <c r="F236" s="102"/>
      <c r="G236" s="51">
        <f>136602.47+I235</f>
        <v>154335.27850000001</v>
      </c>
      <c r="H236" s="103" t="s">
        <v>101</v>
      </c>
      <c r="I236" s="103"/>
      <c r="J236" s="51">
        <f>I235-J235</f>
        <v>15409.997091107332</v>
      </c>
      <c r="K236" s="13" t="s">
        <v>102</v>
      </c>
      <c r="L236" s="51">
        <f>20589.65+L235</f>
        <v>22670.276853350002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13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15">
        <v>6</v>
      </c>
      <c r="B243" s="111" t="s">
        <v>110</v>
      </c>
      <c r="C243" s="111"/>
      <c r="D243" s="111"/>
      <c r="E243" s="111"/>
      <c r="F243" s="111"/>
      <c r="G243" s="113">
        <v>42705</v>
      </c>
      <c r="H243" s="113"/>
      <c r="I243" s="113"/>
      <c r="J243" s="113">
        <v>42735</v>
      </c>
      <c r="K243" s="113"/>
      <c r="L243" s="113"/>
    </row>
    <row r="244" spans="1:12" x14ac:dyDescent="0.25">
      <c r="A244" s="13" t="s">
        <v>34</v>
      </c>
      <c r="B244" s="13" t="s">
        <v>35</v>
      </c>
      <c r="C244" s="13" t="s">
        <v>36</v>
      </c>
      <c r="D244" s="13" t="s">
        <v>37</v>
      </c>
      <c r="E244" s="13" t="s">
        <v>38</v>
      </c>
      <c r="F244" s="13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15"/>
      <c r="C245" s="17">
        <v>31573</v>
      </c>
      <c r="D245" s="15" t="s">
        <v>111</v>
      </c>
      <c r="E245" s="15">
        <v>0</v>
      </c>
      <c r="F245" s="15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13" t="s">
        <v>42</v>
      </c>
      <c r="B246" s="13" t="s">
        <v>43</v>
      </c>
      <c r="C246" s="13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15">
        <v>195441186</v>
      </c>
      <c r="B247" s="15"/>
      <c r="C247" s="15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3823.53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3823.53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3823.53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191.17650000000003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2.4555555555555557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0.05</v>
      </c>
      <c r="I266" s="23">
        <f>I254*H266</f>
        <v>191.17650000000003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4314.7065000000002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4014.7065000000002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179.85885120000003</v>
      </c>
      <c r="K274" s="35">
        <f>[1]Taux!C$5+[1]Taux!C$6</f>
        <v>8.9799999999999991E-2</v>
      </c>
      <c r="L274" s="23">
        <f>IF(I273&lt;6000,I273*K274,6000*K274)</f>
        <v>360.52064369999999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80.29413000000001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90.732366900000002</v>
      </c>
      <c r="K280" s="34" t="str">
        <f>[1]Taux!C$7</f>
        <v>4,11%</v>
      </c>
      <c r="L280" s="23">
        <f>I273*K280</f>
        <v>165.00443715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256.941216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64.235303999999999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270.59121810000005</v>
      </c>
      <c r="K283" s="21"/>
      <c r="L283" s="21">
        <f>SUM(L274:L282)</f>
        <v>926.99573084999997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802.94130000000007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2941.1739819000004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2941.1739819000004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44.117398190000074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44.117398190000074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13" t="s">
        <v>95</v>
      </c>
      <c r="B295" s="13" t="s">
        <v>96</v>
      </c>
      <c r="C295" s="13" t="s">
        <v>97</v>
      </c>
      <c r="D295" s="103" t="s">
        <v>98</v>
      </c>
      <c r="E295" s="103"/>
      <c r="F295" s="103"/>
      <c r="G295" s="13" t="s">
        <v>99</v>
      </c>
      <c r="H295" s="50"/>
      <c r="I295" s="51">
        <f>I272+I293</f>
        <v>4314.7065000000002</v>
      </c>
      <c r="J295" s="51">
        <f>J283+J290+J291+J292</f>
        <v>314.70861629000012</v>
      </c>
      <c r="K295" s="13" t="s">
        <v>100</v>
      </c>
      <c r="L295" s="51">
        <f>L283</f>
        <v>926.99573084999997</v>
      </c>
    </row>
    <row r="296" spans="1:12" x14ac:dyDescent="0.25">
      <c r="A296" s="51">
        <f>32114.9+I272</f>
        <v>36429.606500000002</v>
      </c>
      <c r="B296" s="51">
        <f>29414.9+I273</f>
        <v>33429.606500000002</v>
      </c>
      <c r="C296" s="51">
        <f>1317.78+J274</f>
        <v>1497.6388512000001</v>
      </c>
      <c r="D296" s="102">
        <f>132.35+J290</f>
        <v>176.46739819000007</v>
      </c>
      <c r="E296" s="102"/>
      <c r="F296" s="102"/>
      <c r="G296" s="51">
        <f>30000+I295</f>
        <v>34314.7065</v>
      </c>
      <c r="H296" s="103" t="s">
        <v>101</v>
      </c>
      <c r="I296" s="103"/>
      <c r="J296" s="51">
        <f>I295-J295</f>
        <v>3999.9978837100002</v>
      </c>
      <c r="K296" s="13" t="s">
        <v>102</v>
      </c>
      <c r="L296" s="51">
        <f>5864.92+L295</f>
        <v>6791.9157308499998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4926.9936145600004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13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15">
        <v>7</v>
      </c>
      <c r="B303" s="111" t="s">
        <v>112</v>
      </c>
      <c r="C303" s="111"/>
      <c r="D303" s="111"/>
      <c r="E303" s="111"/>
      <c r="F303" s="111"/>
      <c r="G303" s="113">
        <v>42705</v>
      </c>
      <c r="H303" s="113"/>
      <c r="I303" s="113"/>
      <c r="J303" s="113">
        <v>42735</v>
      </c>
      <c r="K303" s="113"/>
      <c r="L303" s="113"/>
    </row>
    <row r="304" spans="1:12" x14ac:dyDescent="0.25">
      <c r="A304" s="13" t="s">
        <v>34</v>
      </c>
      <c r="B304" s="13" t="s">
        <v>35</v>
      </c>
      <c r="C304" s="13" t="s">
        <v>36</v>
      </c>
      <c r="D304" s="13" t="s">
        <v>37</v>
      </c>
      <c r="E304" s="13" t="s">
        <v>38</v>
      </c>
      <c r="F304" s="13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15"/>
      <c r="C305" s="17">
        <v>34565</v>
      </c>
      <c r="D305" s="15" t="s">
        <v>111</v>
      </c>
      <c r="E305" s="15">
        <v>0</v>
      </c>
      <c r="F305" s="15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13" t="s">
        <v>42</v>
      </c>
      <c r="B306" s="13" t="s">
        <v>43</v>
      </c>
      <c r="C306" s="13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15">
        <v>168098097</v>
      </c>
      <c r="B307" s="15"/>
      <c r="C307" s="15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1.9444444444444444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1000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13" t="s">
        <v>95</v>
      </c>
      <c r="B355" s="13" t="s">
        <v>96</v>
      </c>
      <c r="C355" s="13" t="s">
        <v>97</v>
      </c>
      <c r="D355" s="103" t="s">
        <v>98</v>
      </c>
      <c r="E355" s="103"/>
      <c r="F355" s="103"/>
      <c r="G355" s="13" t="s">
        <v>99</v>
      </c>
      <c r="H355" s="50"/>
      <c r="I355" s="51">
        <f>I332+I353</f>
        <v>2808.25</v>
      </c>
      <c r="J355" s="51">
        <f>J343+J350+J351+J352</f>
        <v>1189.2457200000001</v>
      </c>
      <c r="K355" s="13" t="s">
        <v>100</v>
      </c>
      <c r="L355" s="51">
        <f>L343</f>
        <v>648.32101999999998</v>
      </c>
    </row>
    <row r="356" spans="1:12" x14ac:dyDescent="0.25">
      <c r="A356" s="51">
        <f>25270.2+I332</f>
        <v>28078</v>
      </c>
      <c r="B356" s="51">
        <f>25270.2+I333</f>
        <v>28078</v>
      </c>
      <c r="C356" s="51">
        <f>1132.11+J334</f>
        <v>1257.8994399999999</v>
      </c>
      <c r="D356" s="102">
        <f>0+J350</f>
        <v>0</v>
      </c>
      <c r="E356" s="102"/>
      <c r="F356" s="102"/>
      <c r="G356" s="51">
        <f>17071.02+I355</f>
        <v>19879.27</v>
      </c>
      <c r="H356" s="103" t="s">
        <v>101</v>
      </c>
      <c r="I356" s="103"/>
      <c r="J356" s="51">
        <f>I355-J355</f>
        <v>1619.0042799999999</v>
      </c>
      <c r="K356" s="13" t="s">
        <v>102</v>
      </c>
      <c r="L356" s="51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13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15">
        <v>8</v>
      </c>
      <c r="B363" s="111" t="s">
        <v>113</v>
      </c>
      <c r="C363" s="111"/>
      <c r="D363" s="111"/>
      <c r="E363" s="111"/>
      <c r="F363" s="111"/>
      <c r="G363" s="113">
        <v>42705</v>
      </c>
      <c r="H363" s="113"/>
      <c r="I363" s="113"/>
      <c r="J363" s="113">
        <v>42735</v>
      </c>
      <c r="K363" s="113"/>
      <c r="L363" s="113"/>
    </row>
    <row r="364" spans="1:12" x14ac:dyDescent="0.25">
      <c r="A364" s="13" t="s">
        <v>34</v>
      </c>
      <c r="B364" s="13" t="s">
        <v>35</v>
      </c>
      <c r="C364" s="13" t="s">
        <v>36</v>
      </c>
      <c r="D364" s="13" t="s">
        <v>37</v>
      </c>
      <c r="E364" s="13" t="s">
        <v>38</v>
      </c>
      <c r="F364" s="13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15"/>
      <c r="C365" s="17">
        <v>33665</v>
      </c>
      <c r="D365" s="15" t="s">
        <v>111</v>
      </c>
      <c r="E365" s="15">
        <v>0</v>
      </c>
      <c r="F365" s="15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13" t="s">
        <v>42</v>
      </c>
      <c r="B366" s="13" t="s">
        <v>43</v>
      </c>
      <c r="C366" s="13" t="s">
        <v>44</v>
      </c>
      <c r="D366" s="103" t="s">
        <v>45</v>
      </c>
      <c r="E366" s="103"/>
      <c r="F366" s="103"/>
      <c r="G366" s="103" t="s">
        <v>46</v>
      </c>
      <c r="H366" s="103"/>
      <c r="I366" s="103"/>
      <c r="J366" s="103"/>
      <c r="K366" s="103"/>
      <c r="L366" s="103"/>
    </row>
    <row r="367" spans="1:12" x14ac:dyDescent="0.25">
      <c r="A367" s="15">
        <v>164315198</v>
      </c>
      <c r="B367" s="15"/>
      <c r="C367" s="15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1.1861111111111111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13" t="s">
        <v>95</v>
      </c>
      <c r="B415" s="13" t="s">
        <v>96</v>
      </c>
      <c r="C415" s="13" t="s">
        <v>97</v>
      </c>
      <c r="D415" s="103" t="s">
        <v>98</v>
      </c>
      <c r="E415" s="103"/>
      <c r="F415" s="103"/>
      <c r="G415" s="13" t="s">
        <v>99</v>
      </c>
      <c r="H415" s="50"/>
      <c r="I415" s="51">
        <f>I392+I413</f>
        <v>4265.6000000000004</v>
      </c>
      <c r="J415" s="51">
        <f>J403+J410+J411+J412</f>
        <v>265.60329600000006</v>
      </c>
      <c r="K415" s="13" t="s">
        <v>100</v>
      </c>
      <c r="L415" s="51">
        <f>L403</f>
        <v>846.38704000000007</v>
      </c>
    </row>
    <row r="416" spans="1:12" x14ac:dyDescent="0.25">
      <c r="A416" s="51">
        <f>38390.4+I392</f>
        <v>42656</v>
      </c>
      <c r="B416" s="51">
        <f>32990.4+I393</f>
        <v>36656</v>
      </c>
      <c r="C416" s="51">
        <f>1477.98+J394</f>
        <v>1642.1988800000001</v>
      </c>
      <c r="D416" s="102">
        <f>166.87+J410</f>
        <v>185.411856</v>
      </c>
      <c r="E416" s="102"/>
      <c r="F416" s="102"/>
      <c r="G416" s="51">
        <f>36000+I415</f>
        <v>40265.599999999999</v>
      </c>
      <c r="H416" s="103" t="s">
        <v>101</v>
      </c>
      <c r="I416" s="103"/>
      <c r="J416" s="51">
        <f>I415-J415</f>
        <v>3999.9967040000001</v>
      </c>
      <c r="K416" s="13" t="s">
        <v>102</v>
      </c>
      <c r="L416" s="51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3" workbookViewId="0">
      <selection activeCell="B21" sqref="B21"/>
    </sheetView>
  </sheetViews>
  <sheetFormatPr baseColWidth="10" defaultRowHeight="15" x14ac:dyDescent="0.25"/>
  <cols>
    <col min="1" max="1" width="34" bestFit="1" customWidth="1"/>
    <col min="2" max="2" width="20" bestFit="1" customWidth="1"/>
    <col min="3" max="3" width="11.140625" bestFit="1" customWidth="1"/>
    <col min="8" max="8" width="14" bestFit="1" customWidth="1"/>
    <col min="9" max="9" width="15.7109375" bestFit="1" customWidth="1"/>
  </cols>
  <sheetData>
    <row r="1" spans="1:9" x14ac:dyDescent="0.25">
      <c r="A1" s="71" t="s">
        <v>124</v>
      </c>
      <c r="B1" s="11"/>
      <c r="C1" s="11"/>
      <c r="D1" s="11"/>
      <c r="E1" s="11"/>
      <c r="F1" s="11"/>
      <c r="G1" s="11"/>
      <c r="H1" s="11"/>
      <c r="I1" s="11"/>
    </row>
    <row r="2" spans="1:9" ht="25.5" x14ac:dyDescent="0.25">
      <c r="A2" s="72" t="s">
        <v>125</v>
      </c>
      <c r="B2" s="72" t="s">
        <v>126</v>
      </c>
      <c r="C2" s="72" t="s">
        <v>127</v>
      </c>
      <c r="D2" s="72" t="s">
        <v>128</v>
      </c>
      <c r="E2" s="72" t="s">
        <v>129</v>
      </c>
      <c r="F2" s="11"/>
      <c r="G2" s="11"/>
      <c r="H2" s="11"/>
      <c r="I2" s="11"/>
    </row>
    <row r="3" spans="1:9" ht="30.75" customHeight="1" x14ac:dyDescent="0.25">
      <c r="A3" s="73" t="s">
        <v>130</v>
      </c>
      <c r="B3" s="74" t="s">
        <v>131</v>
      </c>
      <c r="C3" s="75" t="s">
        <v>132</v>
      </c>
      <c r="D3" s="74" t="s">
        <v>133</v>
      </c>
      <c r="E3" s="75" t="s">
        <v>132</v>
      </c>
      <c r="F3" s="11"/>
      <c r="G3" s="11"/>
      <c r="H3" s="11"/>
      <c r="I3" s="11"/>
    </row>
    <row r="4" spans="1:9" ht="30.75" customHeight="1" x14ac:dyDescent="0.25">
      <c r="A4" s="73" t="s">
        <v>134</v>
      </c>
      <c r="B4" s="74" t="s">
        <v>135</v>
      </c>
      <c r="C4" s="75" t="s">
        <v>136</v>
      </c>
      <c r="D4" s="75" t="s">
        <v>137</v>
      </c>
      <c r="E4" s="75" t="s">
        <v>138</v>
      </c>
      <c r="F4" s="11"/>
      <c r="G4" s="11"/>
      <c r="H4" s="11"/>
      <c r="I4" s="11"/>
    </row>
    <row r="5" spans="1:9" ht="26.25" customHeight="1" x14ac:dyDescent="0.25">
      <c r="A5" s="73" t="s">
        <v>139</v>
      </c>
      <c r="B5" s="74" t="s">
        <v>135</v>
      </c>
      <c r="C5" s="75" t="s">
        <v>140</v>
      </c>
      <c r="D5" s="75" t="s">
        <v>141</v>
      </c>
      <c r="E5" s="75" t="s">
        <v>142</v>
      </c>
      <c r="F5" s="11"/>
      <c r="G5" s="11"/>
      <c r="H5" s="11"/>
      <c r="I5" s="11"/>
    </row>
    <row r="6" spans="1:9" ht="28.5" customHeight="1" x14ac:dyDescent="0.25">
      <c r="A6" s="73" t="s">
        <v>143</v>
      </c>
      <c r="B6" s="74" t="s">
        <v>131</v>
      </c>
      <c r="C6" s="75" t="s">
        <v>144</v>
      </c>
      <c r="D6" s="75" t="s">
        <v>145</v>
      </c>
      <c r="E6" s="75" t="s">
        <v>146</v>
      </c>
      <c r="F6" s="11"/>
      <c r="G6" s="11"/>
      <c r="H6" s="11"/>
      <c r="I6" s="11"/>
    </row>
    <row r="7" spans="1:9" ht="25.5" customHeight="1" x14ac:dyDescent="0.25">
      <c r="A7" s="73" t="s">
        <v>147</v>
      </c>
      <c r="B7" s="74" t="s">
        <v>131</v>
      </c>
      <c r="C7" s="75" t="s">
        <v>148</v>
      </c>
      <c r="D7" s="74" t="s">
        <v>133</v>
      </c>
      <c r="E7" s="75" t="s">
        <v>148</v>
      </c>
      <c r="F7" s="11"/>
      <c r="G7" s="11"/>
      <c r="H7" s="11"/>
      <c r="I7" s="11"/>
    </row>
    <row r="8" spans="1:9" x14ac:dyDescent="0.25">
      <c r="A8" s="12"/>
      <c r="B8" s="12"/>
      <c r="C8" s="12"/>
      <c r="D8" s="12"/>
      <c r="E8" s="12"/>
      <c r="F8" s="11"/>
      <c r="G8" s="11"/>
      <c r="H8" s="11"/>
      <c r="I8" s="11"/>
    </row>
    <row r="9" spans="1:9" x14ac:dyDescent="0.25">
      <c r="A9" s="98" t="s">
        <v>149</v>
      </c>
      <c r="B9" s="98"/>
      <c r="C9" s="98"/>
      <c r="D9" s="98"/>
      <c r="E9" s="98"/>
      <c r="F9" s="76"/>
      <c r="G9" s="76"/>
      <c r="H9" s="76"/>
      <c r="I9" s="76"/>
    </row>
    <row r="10" spans="1:9" x14ac:dyDescent="0.25">
      <c r="A10" s="11"/>
      <c r="B10" s="11"/>
      <c r="C10" s="11"/>
      <c r="D10" s="11"/>
      <c r="E10" s="11"/>
      <c r="F10" s="11"/>
      <c r="G10" s="11"/>
      <c r="H10" s="11"/>
      <c r="I10" s="11"/>
    </row>
    <row r="11" spans="1:9" x14ac:dyDescent="0.25">
      <c r="A11" s="71" t="s">
        <v>150</v>
      </c>
      <c r="B11" s="11"/>
      <c r="C11" s="11"/>
      <c r="D11" s="11"/>
      <c r="E11" s="11"/>
      <c r="F11" s="11"/>
      <c r="G11" s="11"/>
      <c r="H11" s="11"/>
      <c r="I11" s="11"/>
    </row>
    <row r="12" spans="1:9" x14ac:dyDescent="0.25">
      <c r="A12" s="94" t="s">
        <v>151</v>
      </c>
      <c r="B12" s="94"/>
      <c r="C12" s="94"/>
      <c r="D12" s="94"/>
      <c r="E12" s="94"/>
      <c r="F12" s="94"/>
      <c r="G12" s="94"/>
      <c r="H12" s="94"/>
      <c r="I12" s="94"/>
    </row>
    <row r="13" spans="1:9" x14ac:dyDescent="0.25">
      <c r="A13" s="94" t="s">
        <v>152</v>
      </c>
      <c r="B13" s="94"/>
      <c r="C13" s="61" t="s">
        <v>153</v>
      </c>
      <c r="D13" s="94" t="s">
        <v>154</v>
      </c>
      <c r="E13" s="94"/>
      <c r="F13" s="94"/>
      <c r="G13" s="94"/>
      <c r="H13" s="61" t="s">
        <v>155</v>
      </c>
      <c r="I13" s="61" t="s">
        <v>156</v>
      </c>
    </row>
    <row r="14" spans="1:9" x14ac:dyDescent="0.25">
      <c r="A14" s="93" t="s">
        <v>157</v>
      </c>
      <c r="B14" s="93"/>
      <c r="C14" s="77">
        <v>0</v>
      </c>
      <c r="D14" s="93" t="s">
        <v>158</v>
      </c>
      <c r="E14" s="93"/>
      <c r="F14" s="93"/>
      <c r="G14" s="93"/>
      <c r="H14" s="62">
        <v>0</v>
      </c>
      <c r="I14" s="62">
        <f t="shared" ref="I14:I19" si="0">H14/12</f>
        <v>0</v>
      </c>
    </row>
    <row r="15" spans="1:9" x14ac:dyDescent="0.25">
      <c r="A15" s="93" t="s">
        <v>159</v>
      </c>
      <c r="B15" s="93"/>
      <c r="C15" s="77">
        <v>0.1</v>
      </c>
      <c r="D15" s="93" t="s">
        <v>160</v>
      </c>
      <c r="E15" s="93"/>
      <c r="F15" s="93"/>
      <c r="G15" s="93"/>
      <c r="H15" s="62">
        <v>3000</v>
      </c>
      <c r="I15" s="62">
        <f t="shared" si="0"/>
        <v>250</v>
      </c>
    </row>
    <row r="16" spans="1:9" x14ac:dyDescent="0.25">
      <c r="A16" s="93" t="s">
        <v>161</v>
      </c>
      <c r="B16" s="93"/>
      <c r="C16" s="77">
        <v>0.2</v>
      </c>
      <c r="D16" s="93" t="s">
        <v>162</v>
      </c>
      <c r="E16" s="93"/>
      <c r="F16" s="93"/>
      <c r="G16" s="93"/>
      <c r="H16" s="62">
        <v>8000</v>
      </c>
      <c r="I16" s="62">
        <f t="shared" si="0"/>
        <v>666.66666666666663</v>
      </c>
    </row>
    <row r="17" spans="1:9" x14ac:dyDescent="0.25">
      <c r="A17" s="93" t="s">
        <v>163</v>
      </c>
      <c r="B17" s="93"/>
      <c r="C17" s="77">
        <v>0.30000000000000004</v>
      </c>
      <c r="D17" s="93" t="s">
        <v>164</v>
      </c>
      <c r="E17" s="93"/>
      <c r="F17" s="93"/>
      <c r="G17" s="93"/>
      <c r="H17" s="62">
        <v>14000</v>
      </c>
      <c r="I17" s="62">
        <f t="shared" si="0"/>
        <v>1166.6666666666667</v>
      </c>
    </row>
    <row r="18" spans="1:9" x14ac:dyDescent="0.25">
      <c r="A18" s="93" t="s">
        <v>165</v>
      </c>
      <c r="B18" s="93"/>
      <c r="C18" s="77">
        <v>0.34</v>
      </c>
      <c r="D18" s="93" t="s">
        <v>166</v>
      </c>
      <c r="E18" s="93"/>
      <c r="F18" s="93"/>
      <c r="G18" s="93"/>
      <c r="H18" s="62">
        <v>17200</v>
      </c>
      <c r="I18" s="62">
        <f t="shared" si="0"/>
        <v>1433.3333333333333</v>
      </c>
    </row>
    <row r="19" spans="1:9" x14ac:dyDescent="0.25">
      <c r="A19" s="93" t="s">
        <v>167</v>
      </c>
      <c r="B19" s="93"/>
      <c r="C19" s="77">
        <v>0.38</v>
      </c>
      <c r="D19" s="93" t="s">
        <v>168</v>
      </c>
      <c r="E19" s="93"/>
      <c r="F19" s="93"/>
      <c r="G19" s="93"/>
      <c r="H19" s="62">
        <v>24400</v>
      </c>
      <c r="I19" s="62">
        <f t="shared" si="0"/>
        <v>2033.3333333333333</v>
      </c>
    </row>
    <row r="20" spans="1:9" x14ac:dyDescent="0.25">
      <c r="A20" s="94" t="s">
        <v>89</v>
      </c>
      <c r="B20" s="94"/>
      <c r="C20" s="94"/>
      <c r="D20" s="94"/>
      <c r="E20" s="94"/>
      <c r="F20" s="94"/>
      <c r="G20" s="94"/>
      <c r="H20" s="94"/>
      <c r="I20" s="94"/>
    </row>
    <row r="21" spans="1:9" x14ac:dyDescent="0.25">
      <c r="A21" s="11"/>
      <c r="B21" s="11"/>
      <c r="C21" s="11"/>
      <c r="D21" s="11"/>
      <c r="E21" s="11"/>
      <c r="F21" s="11"/>
      <c r="G21" s="11"/>
      <c r="H21" s="11"/>
      <c r="I21" s="11"/>
    </row>
    <row r="22" spans="1:9" x14ac:dyDescent="0.25">
      <c r="A22" s="71" t="s">
        <v>169</v>
      </c>
      <c r="B22" s="11"/>
      <c r="C22" s="11"/>
      <c r="D22" s="11"/>
      <c r="E22" s="11"/>
      <c r="F22" s="11"/>
      <c r="G22" s="11"/>
      <c r="H22" s="11"/>
      <c r="I22" s="11"/>
    </row>
    <row r="23" spans="1:9" x14ac:dyDescent="0.25">
      <c r="A23" s="61" t="s">
        <v>52</v>
      </c>
      <c r="B23" s="61" t="s">
        <v>53</v>
      </c>
      <c r="C23" s="11"/>
      <c r="D23" s="11"/>
      <c r="E23" s="11"/>
      <c r="F23" s="11"/>
      <c r="G23" s="11"/>
      <c r="H23" s="11"/>
      <c r="I23" s="11"/>
    </row>
    <row r="24" spans="1:9" x14ac:dyDescent="0.25">
      <c r="A24" s="62" t="s">
        <v>170</v>
      </c>
      <c r="B24" s="62" t="s">
        <v>171</v>
      </c>
      <c r="C24" s="11"/>
      <c r="D24" s="11"/>
      <c r="E24" s="11"/>
      <c r="F24" s="11"/>
      <c r="G24" s="11"/>
      <c r="H24" s="11"/>
      <c r="I24" s="11"/>
    </row>
    <row r="25" spans="1:9" x14ac:dyDescent="0.25">
      <c r="A25" s="62" t="s">
        <v>172</v>
      </c>
      <c r="B25" s="62" t="s">
        <v>173</v>
      </c>
      <c r="C25" s="11"/>
      <c r="D25" s="11"/>
      <c r="E25" s="11"/>
      <c r="F25" s="11"/>
      <c r="G25" s="11"/>
      <c r="H25" s="11"/>
      <c r="I25" s="11"/>
    </row>
    <row r="26" spans="1:9" x14ac:dyDescent="0.25">
      <c r="A26" s="62" t="s">
        <v>174</v>
      </c>
      <c r="B26" s="62" t="s">
        <v>175</v>
      </c>
      <c r="C26" s="11"/>
      <c r="D26" s="11"/>
      <c r="E26" s="11"/>
      <c r="F26" s="11"/>
      <c r="G26" s="11"/>
      <c r="H26" s="11"/>
      <c r="I26" s="11"/>
    </row>
    <row r="27" spans="1:9" x14ac:dyDescent="0.25">
      <c r="A27" s="62" t="s">
        <v>176</v>
      </c>
      <c r="B27" s="62" t="s">
        <v>177</v>
      </c>
      <c r="C27" s="11"/>
      <c r="D27" s="11"/>
      <c r="E27" s="11"/>
      <c r="F27" s="11"/>
      <c r="G27" s="11"/>
      <c r="H27" s="11"/>
      <c r="I27" s="11"/>
    </row>
    <row r="28" spans="1:9" x14ac:dyDescent="0.25">
      <c r="A28" s="62" t="s">
        <v>178</v>
      </c>
      <c r="B28" s="62" t="s">
        <v>179</v>
      </c>
      <c r="C28" s="11"/>
      <c r="D28" s="11"/>
      <c r="E28" s="11"/>
      <c r="F28" s="11"/>
      <c r="G28" s="11"/>
      <c r="H28" s="11"/>
      <c r="I28" s="11"/>
    </row>
    <row r="29" spans="1:9" x14ac:dyDescent="0.25">
      <c r="A29" s="11"/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71" t="s">
        <v>180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s="61" t="s">
        <v>153</v>
      </c>
      <c r="B31" s="61" t="s">
        <v>181</v>
      </c>
      <c r="C31" s="11"/>
      <c r="D31" s="11"/>
      <c r="E31" s="11"/>
      <c r="F31" s="11"/>
      <c r="G31" s="11"/>
      <c r="H31" s="11"/>
      <c r="I31" s="11"/>
    </row>
    <row r="32" spans="1:9" x14ac:dyDescent="0.25">
      <c r="A32" s="77">
        <v>0.05</v>
      </c>
      <c r="B32" s="78" t="s">
        <v>182</v>
      </c>
      <c r="C32" s="11"/>
      <c r="D32" s="11"/>
      <c r="E32" s="11"/>
      <c r="F32" s="11"/>
      <c r="G32" s="11"/>
      <c r="H32" s="11"/>
      <c r="I32" s="11"/>
    </row>
    <row r="33" spans="1:9" x14ac:dyDescent="0.25">
      <c r="A33" s="77">
        <v>0.1</v>
      </c>
      <c r="B33" s="78" t="s">
        <v>183</v>
      </c>
      <c r="C33" s="11"/>
      <c r="D33" s="11"/>
      <c r="E33" s="11"/>
      <c r="F33" s="11"/>
      <c r="G33" s="11"/>
      <c r="H33" s="11"/>
      <c r="I33" s="11"/>
    </row>
    <row r="34" spans="1:9" x14ac:dyDescent="0.25">
      <c r="A34" s="77">
        <v>0.15</v>
      </c>
      <c r="B34" s="78" t="s">
        <v>184</v>
      </c>
      <c r="C34" s="11"/>
      <c r="D34" s="11"/>
      <c r="E34" s="11"/>
      <c r="F34" s="11"/>
      <c r="G34" s="11"/>
      <c r="H34" s="11"/>
      <c r="I34" s="11"/>
    </row>
    <row r="35" spans="1:9" x14ac:dyDescent="0.25">
      <c r="A35" s="77">
        <v>0.2</v>
      </c>
      <c r="B35" s="78" t="s">
        <v>185</v>
      </c>
      <c r="C35" s="11"/>
      <c r="D35" s="11"/>
      <c r="E35" s="11"/>
      <c r="F35" s="11"/>
      <c r="G35" s="11"/>
      <c r="H35" s="11"/>
      <c r="I35" s="11"/>
    </row>
    <row r="36" spans="1:9" x14ac:dyDescent="0.25">
      <c r="A36" s="77">
        <v>0.25</v>
      </c>
      <c r="B36" s="78" t="s">
        <v>186</v>
      </c>
      <c r="C36" s="11"/>
      <c r="D36" s="11"/>
      <c r="E36" s="11"/>
      <c r="F36" s="11"/>
      <c r="G36" s="11"/>
      <c r="H36" s="11"/>
      <c r="I36" s="11"/>
    </row>
    <row r="37" spans="1:9" x14ac:dyDescent="0.25">
      <c r="A37" s="79" t="s">
        <v>187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s="71" t="s">
        <v>188</v>
      </c>
      <c r="B39" s="11"/>
      <c r="C39" s="11"/>
      <c r="D39" s="11"/>
      <c r="E39" s="11"/>
      <c r="F39" s="11"/>
      <c r="G39" s="11"/>
      <c r="H39" s="11"/>
      <c r="I39" s="11"/>
    </row>
    <row r="40" spans="1:9" x14ac:dyDescent="0.25">
      <c r="A40" s="61" t="s">
        <v>189</v>
      </c>
      <c r="B40" s="94" t="s">
        <v>190</v>
      </c>
      <c r="C40" s="94"/>
      <c r="D40" s="94"/>
      <c r="E40" s="94"/>
      <c r="F40" s="94"/>
      <c r="G40" s="94"/>
      <c r="H40" s="94"/>
      <c r="I40" s="94"/>
    </row>
    <row r="41" spans="1:9" x14ac:dyDescent="0.25">
      <c r="A41" s="93" t="s">
        <v>191</v>
      </c>
      <c r="B41" s="95" t="s">
        <v>192</v>
      </c>
      <c r="C41" s="95"/>
      <c r="D41" s="95"/>
      <c r="E41" s="95"/>
      <c r="F41" s="95"/>
      <c r="G41" s="95"/>
      <c r="H41" s="95"/>
      <c r="I41" s="95"/>
    </row>
    <row r="42" spans="1:9" x14ac:dyDescent="0.25">
      <c r="A42" s="93"/>
      <c r="B42" s="96" t="s">
        <v>193</v>
      </c>
      <c r="C42" s="96"/>
      <c r="D42" s="96"/>
      <c r="E42" s="96"/>
      <c r="F42" s="96"/>
      <c r="G42" s="96"/>
      <c r="H42" s="96"/>
      <c r="I42" s="96"/>
    </row>
    <row r="43" spans="1:9" x14ac:dyDescent="0.25">
      <c r="A43" s="93" t="s">
        <v>194</v>
      </c>
      <c r="B43" s="96" t="s">
        <v>195</v>
      </c>
      <c r="C43" s="96"/>
      <c r="D43" s="96"/>
      <c r="E43" s="96"/>
      <c r="F43" s="96"/>
      <c r="G43" s="96"/>
      <c r="H43" s="96"/>
      <c r="I43" s="96"/>
    </row>
    <row r="44" spans="1:9" x14ac:dyDescent="0.25">
      <c r="A44" s="93"/>
      <c r="B44" s="97" t="s">
        <v>196</v>
      </c>
      <c r="C44" s="97"/>
      <c r="D44" s="97"/>
      <c r="E44" s="97"/>
      <c r="F44" s="97"/>
      <c r="G44" s="97"/>
      <c r="H44" s="97"/>
      <c r="I44" s="97"/>
    </row>
    <row r="45" spans="1:9" x14ac:dyDescent="0.25">
      <c r="A45" s="92" t="s">
        <v>197</v>
      </c>
      <c r="B45" s="92"/>
      <c r="C45" s="92"/>
      <c r="D45" s="92"/>
      <c r="E45" s="92"/>
      <c r="F45" s="11"/>
      <c r="G45" s="11"/>
      <c r="H45" s="11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11"/>
    </row>
  </sheetData>
  <mergeCells count="24">
    <mergeCell ref="A9:E9"/>
    <mergeCell ref="A12:I12"/>
    <mergeCell ref="A13:B13"/>
    <mergeCell ref="D13:G13"/>
    <mergeCell ref="A14:B14"/>
    <mergeCell ref="D14:G14"/>
    <mergeCell ref="A15:B15"/>
    <mergeCell ref="D15:G15"/>
    <mergeCell ref="A16:B16"/>
    <mergeCell ref="D16:G16"/>
    <mergeCell ref="A17:B17"/>
    <mergeCell ref="D17:G17"/>
    <mergeCell ref="A45:E45"/>
    <mergeCell ref="A18:B18"/>
    <mergeCell ref="D18:G18"/>
    <mergeCell ref="A19:B19"/>
    <mergeCell ref="D19:G19"/>
    <mergeCell ref="A20:I20"/>
    <mergeCell ref="B40:I40"/>
    <mergeCell ref="A41:A44"/>
    <mergeCell ref="B41:I41"/>
    <mergeCell ref="B42:I42"/>
    <mergeCell ref="B43:I43"/>
    <mergeCell ref="B44:I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topLeftCell="E3" workbookViewId="0">
      <selection activeCell="M5" sqref="M5"/>
    </sheetView>
  </sheetViews>
  <sheetFormatPr baseColWidth="10" defaultRowHeight="15" x14ac:dyDescent="0.25"/>
  <cols>
    <col min="1" max="1" width="19.28515625" bestFit="1" customWidth="1"/>
    <col min="2" max="2" width="20.7109375" bestFit="1" customWidth="1"/>
    <col min="3" max="3" width="15.42578125" bestFit="1" customWidth="1"/>
    <col min="4" max="5" width="13" customWidth="1"/>
    <col min="6" max="6" width="15" customWidth="1"/>
    <col min="7" max="7" width="12.42578125" customWidth="1"/>
    <col min="8" max="8" width="18" bestFit="1" customWidth="1"/>
    <col min="9" max="9" width="16" customWidth="1"/>
    <col min="10" max="10" width="15.140625" bestFit="1" customWidth="1"/>
    <col min="11" max="11" width="15.140625" customWidth="1"/>
    <col min="12" max="12" width="15.7109375" bestFit="1" customWidth="1"/>
    <col min="13" max="13" width="11.5703125" bestFit="1" customWidth="1"/>
    <col min="16" max="16" width="17.42578125" bestFit="1" customWidth="1"/>
  </cols>
  <sheetData>
    <row r="2" spans="1:17" ht="15.75" thickBot="1" x14ac:dyDescent="0.3"/>
    <row r="3" spans="1:17" ht="15.75" thickBot="1" x14ac:dyDescent="0.3">
      <c r="C3" s="99" t="s">
        <v>117</v>
      </c>
      <c r="D3" s="100"/>
      <c r="E3" s="100"/>
      <c r="F3" s="100"/>
      <c r="G3" s="101"/>
    </row>
    <row r="4" spans="1:17" ht="15.75" thickBot="1" x14ac:dyDescent="0.3">
      <c r="B4" s="55" t="s">
        <v>118</v>
      </c>
      <c r="C4" s="8" t="s">
        <v>22</v>
      </c>
      <c r="D4" s="10" t="s">
        <v>23</v>
      </c>
      <c r="E4" s="56" t="s">
        <v>123</v>
      </c>
      <c r="F4" s="9" t="s">
        <v>24</v>
      </c>
      <c r="G4" s="10" t="s">
        <v>25</v>
      </c>
      <c r="H4" s="55" t="s">
        <v>119</v>
      </c>
      <c r="I4" s="65" t="s">
        <v>21</v>
      </c>
      <c r="J4" s="66" t="s">
        <v>90</v>
      </c>
      <c r="K4" s="66" t="s">
        <v>120</v>
      </c>
      <c r="L4" s="66" t="s">
        <v>121</v>
      </c>
      <c r="M4" s="67" t="s">
        <v>122</v>
      </c>
      <c r="N4" s="65" t="s">
        <v>90</v>
      </c>
      <c r="O4" s="67" t="s">
        <v>91</v>
      </c>
      <c r="P4" s="65" t="s">
        <v>198</v>
      </c>
      <c r="Q4" s="65" t="s">
        <v>199</v>
      </c>
    </row>
    <row r="5" spans="1:17" ht="15.75" thickBot="1" x14ac:dyDescent="0.3">
      <c r="A5" s="3" t="s">
        <v>0</v>
      </c>
      <c r="B5" s="64">
        <f>'BULLTEIN DE PAIE MOIS 01'!I33+'BULLTEIN DE PAIE MOIS 02'!I33+'BULLTEIN DE PAIE MOIS 03'!I33+'BULLTEIN DE PAIE MOIS 04'!I33+'BULLTEIN DE PAIE MOIS 05'!I33+'BULLTEIN DE PAIE MOIS 06'!I33+'BULLTEIN DE PAIE MOIS 07'!I33+'BULLTEIN DE PAIE MOIS 08'!I33+'BULLTEIN DE PAIE MOIS 09'!I33+'BULLTEIN DE PAIE MOIS 10'!I33+'BULLTEIN DE PAIE MOIS 11'!I33+'BULLTEIN DE PAIE MOIS 12'!I33</f>
        <v>150960.06086538461</v>
      </c>
      <c r="C5" s="64">
        <f>'BULLTEIN DE PAIE MOIS 01'!J34+'BULLTEIN DE PAIE MOIS 02'!J34+'BULLTEIN DE PAIE MOIS 03'!J34+'BULLTEIN DE PAIE MOIS 04'!J34+'BULLTEIN DE PAIE MOIS 05'!J34+'BULLTEIN DE PAIE MOIS 06'!J34+'BULLTEIN DE PAIE MOIS 07'!J34+'BULLTEIN DE PAIE MOIS 08'!J34+'BULLTEIN DE PAIE MOIS 09'!J34+'BULLTEIN DE PAIE MOIS 10'!J34+'BULLTEIN DE PAIE MOIS 11'!J34+'BULLTEIN DE PAIE MOIS 12'!J34</f>
        <v>3225.6000000000008</v>
      </c>
      <c r="D5" s="64">
        <f>'BULLTEIN DE PAIE MOIS 01'!J35+'BULLTEIN DE PAIE MOIS 02'!J35+'BULLTEIN DE PAIE MOIS 03'!J35+'BULLTEIN DE PAIE MOIS 04'!J35+'BULLTEIN DE PAIE MOIS 05'!J35+'BULLTEIN DE PAIE MOIS 06'!J35+'BULLTEIN DE PAIE MOIS 07'!J35+'BULLTEIN DE PAIE MOIS 08'!J35+'BULLTEIN DE PAIE MOIS 09'!J35+'BULLTEIN DE PAIE MOIS 10'!J35+'BULLTEIN DE PAIE MOIS 11'!J35+'BULLTEIN DE PAIE MOIS 12'!J35</f>
        <v>0</v>
      </c>
      <c r="E5" s="64">
        <f>'BULLTEIN DE PAIE MOIS 01'!J36+'BULLTEIN DE PAIE MOIS 02'!J36+'BULLTEIN DE PAIE MOIS 03'!J36+'BULLTEIN DE PAIE MOIS 04'!J36+'BULLTEIN DE PAIE MOIS 05'!J36+'BULLTEIN DE PAIE MOIS 06'!J36+'BULLTEIN DE PAIE MOIS 07'!J36+'BULLTEIN DE PAIE MOIS 08'!J36+'BULLTEIN DE PAIE MOIS 09'!J36+'BULLTEIN DE PAIE MOIS 10'!J36+'BULLTEIN DE PAIE MOIS 11'!J36+'BULLTEIN DE PAIE MOIS 12'!J36</f>
        <v>4528.8018259615383</v>
      </c>
      <c r="F5" s="64">
        <f>'BULLTEIN DE PAIE MOIS 01'!J40+'BULLTEIN DE PAIE MOIS 02'!J40+'BULLTEIN DE PAIE MOIS 03'!J40+'BULLTEIN DE PAIE MOIS 04'!J40+'BULLTEIN DE PAIE MOIS 05'!J40+'BULLTEIN DE PAIE MOIS 06'!J40+'BULLTEIN DE PAIE MOIS 07'!J40+'BULLTEIN DE PAIE MOIS 08'!J40+'BULLTEIN DE PAIE MOIS 09'!J40+'BULLTEIN DE PAIE MOIS 10'!J40+'BULLTEIN DE PAIE MOIS 11'!J40+'BULLTEIN DE PAIE MOIS 12'!J40</f>
        <v>3411.6973755576928</v>
      </c>
      <c r="G5" s="64"/>
      <c r="H5" s="64">
        <f>'BULLTEIN DE PAIE MOIS 01'!J44+'BULLTEIN DE PAIE MOIS 02'!J44+'BULLTEIN DE PAIE MOIS 03'!J44+'BULLTEIN DE PAIE MOIS 04'!J44+'BULLTEIN DE PAIE MOIS 05'!J44+'BULLTEIN DE PAIE MOIS 06'!J44+'BULLTEIN DE PAIE MOIS 07'!J44+'BULLTEIN DE PAIE MOIS 08'!J44+'BULLTEIN DE PAIE MOIS 09'!J44+'BULLTEIN DE PAIE MOIS 10'!J44+'BULLTEIN DE PAIE MOIS 11'!J44+'BULLTEIN DE PAIE MOIS 12'!J44</f>
        <v>29528.304473076922</v>
      </c>
      <c r="I5" s="64">
        <f t="shared" ref="I5:I11" si="0">B5-C5-D5-E5-F5-G5-H5</f>
        <v>110265.65719078845</v>
      </c>
      <c r="J5" s="64">
        <f>'BULLTEIN DE PAIE MOIS 01'!I46+'BULLTEIN DE PAIE MOIS 02'!I46+'BULLTEIN DE PAIE MOIS 03'!I46+'BULLTEIN DE PAIE MOIS 04'!J49+'BULLTEIN DE PAIE MOIS 05'!J49+'BULLTEIN DE PAIE MOIS 06'!J49+'BULLTEIN DE PAIE MOIS 07'!J49+'BULLTEIN DE PAIE MOIS 08'!J49+'BULLTEIN DE PAIE MOIS 09'!J49+'BULLTEIN DE PAIE MOIS 10'!I46+'BULLTEIN DE PAIE MOIS 11'!I46+'BULLTEIN DE PAIE MOIS 12'!I46</f>
        <v>0</v>
      </c>
      <c r="K5" s="64">
        <f>I5-J5</f>
        <v>110265.65719078845</v>
      </c>
      <c r="L5" s="64" t="str">
        <f>Barème!A18</f>
        <v>[80 000 ;180 000[</v>
      </c>
      <c r="M5" s="64">
        <f>IF(K5&lt;30000,0,IF(K5&lt;50000,K5*0.1-3000,IF(K5&lt;60000,K5*0.2-8000,IF(K5&lt;80000,K5*0.3-14000,IF(K5&lt;180000,K5*0.34-17200,K5*0.38-"24400")))))</f>
        <v>20290.323444868074</v>
      </c>
      <c r="N5" s="64">
        <f>'BULLTEIN DE PAIE MOIS 01'!J49-'BULLTEIN DE PAIE MOIS 02'!J49-'BULLTEIN DE PAIE MOIS 03'!J49-'BULLTEIN DE PAIE MOIS 04'!J49-'BULLTEIN DE PAIE MOIS 05'!J49-'BULLTEIN DE PAIE MOIS 06'!J49-'BULLTEIN DE PAIE MOIS 07'!J49-'BULLTEIN DE PAIE MOIS 08'!J49-'BULLTEIN DE PAIE MOIS 09'!J49-'BULLTEIN DE PAIE MOIS 10'!J49-'BULLTEIN DE PAIE MOIS 11'!J49-'BULLTEIN DE PAIE MOIS 12'!J51</f>
        <v>0</v>
      </c>
      <c r="O5" s="68">
        <f>M5-N5</f>
        <v>20290.323444868074</v>
      </c>
      <c r="P5" s="68">
        <f>'IR CALCULE'!N5</f>
        <v>20290.323444868081</v>
      </c>
      <c r="Q5" s="68">
        <f>O5-P5</f>
        <v>0</v>
      </c>
    </row>
    <row r="6" spans="1:17" ht="15.75" thickBot="1" x14ac:dyDescent="0.3">
      <c r="A6" s="3" t="s">
        <v>17</v>
      </c>
      <c r="B6" s="70">
        <f>'BULLTEIN DE PAIE MOIS 01'!I93+'BULLTEIN DE PAIE MOIS 02'!I93+'BULLTEIN DE PAIE MOIS 03'!I93+'BULLTEIN DE PAIE MOIS 04'!I93+'BULLTEIN DE PAIE MOIS 05'!I93+'BULLTEIN DE PAIE MOIS 06'!I93+'BULLTEIN DE PAIE MOIS 07'!I93+'BULLTEIN DE PAIE MOIS 08'!I93+'BULLTEIN DE PAIE MOIS 09'!I93+'BULLTEIN DE PAIE MOIS 10'!I93+'BULLTEIN DE PAIE MOIS 11'!I93+'BULLTEIN DE PAIE MOIS 12'!I93</f>
        <v>1235000</v>
      </c>
      <c r="C6" s="64">
        <f>'BULLTEIN DE PAIE MOIS 01'!J34+'BULLTEIN DE PAIE MOIS 02'!J94+'BULLTEIN DE PAIE MOIS 03'!J94+'BULLTEIN DE PAIE MOIS 04'!J94+'BULLTEIN DE PAIE MOIS 05'!J94+'BULLTEIN DE PAIE MOIS 06'!J94+'BULLTEIN DE PAIE MOIS 07'!J94+'BULLTEIN DE PAIE MOIS 08'!J94+'BULLTEIN DE PAIE MOIS 09'!J94+'BULLTEIN DE PAIE MOIS 10'!J94+'BULLTEIN DE PAIE MOIS 11'!J94+'BULLTEIN DE PAIE MOIS 12'!J94</f>
        <v>3225.6000000000008</v>
      </c>
      <c r="D6" s="64">
        <f>'BULLTEIN DE PAIE MOIS 01'!J35+'BULLTEIN DE PAIE MOIS 02'!J95+'BULLTEIN DE PAIE MOIS 03'!J95+'BULLTEIN DE PAIE MOIS 04'!J95+'BULLTEIN DE PAIE MOIS 05'!J95+'BULLTEIN DE PAIE MOIS 06'!J95+'BULLTEIN DE PAIE MOIS 07'!J95+'BULLTEIN DE PAIE MOIS 08'!J95+'BULLTEIN DE PAIE MOIS 09'!J95+'BULLTEIN DE PAIE MOIS 10'!J95+'BULLTEIN DE PAIE MOIS 11'!J95+'BULLTEIN DE PAIE MOIS 12'!J95</f>
        <v>0</v>
      </c>
      <c r="E6" s="64">
        <f>'BULLTEIN DE PAIE MOIS 01'!J96+'BULLTEIN DE PAIE MOIS 02'!J96+'BULLTEIN DE PAIE MOIS 03'!J96+'BULLTEIN DE PAIE MOIS 04'!J96+'BULLTEIN DE PAIE MOIS 05'!J96+'BULLTEIN DE PAIE MOIS 06'!J96+'BULLTEIN DE PAIE MOIS 07'!J96+'BULLTEIN DE PAIE MOIS 08'!J96+'BULLTEIN DE PAIE MOIS 09'!J96+'BULLTEIN DE PAIE MOIS 10'!J96+'BULLTEIN DE PAIE MOIS 11'!J96+'BULLTEIN DE PAIE MOIS 12'!J96</f>
        <v>308750</v>
      </c>
      <c r="F6" s="64">
        <f>'BULLTEIN DE PAIE MOIS 01'!J100+'BULLTEIN DE PAIE MOIS 02'!J100+'BULLTEIN DE PAIE MOIS 03'!J100+'BULLTEIN DE PAIE MOIS 04'!J100+'BULLTEIN DE PAIE MOIS 05'!J100+'BULLTEIN DE PAIE MOIS 06'!J100+'BULLTEIN DE PAIE MOIS 07'!J100+'BULLTEIN DE PAIE MOIS 08'!J100+'BULLTEIN DE PAIE MOIS 09'!J100+'BULLTEIN DE PAIE MOIS 10'!J100+'BULLTEIN DE PAIE MOIS 11'!J100+'BULLTEIN DE PAIE MOIS 12'!J100</f>
        <v>27911</v>
      </c>
      <c r="G6" s="64"/>
      <c r="H6" s="64">
        <f>'BULLTEIN DE PAIE MOIS 01'!J104+'BULLTEIN DE PAIE MOIS 02'!J104+'BULLTEIN DE PAIE MOIS 03'!J104+'BULLTEIN DE PAIE MOIS 04'!J104+'BULLTEIN DE PAIE MOIS 05'!J104+'BULLTEIN DE PAIE MOIS 06'!J104+'BULLTEIN DE PAIE MOIS 07'!J104+'BULLTEIN DE PAIE MOIS 08'!J104+'BULLTEIN DE PAIE MOIS 09'!J104+'BULLTEIN DE PAIE MOIS 10'!J104+'BULLTEIN DE PAIE MOIS 11'!J104+'BULLTEIN DE PAIE MOIS 12'!J104</f>
        <v>30000</v>
      </c>
      <c r="I6" s="64">
        <f t="shared" si="0"/>
        <v>865113.39999999991</v>
      </c>
      <c r="J6" s="64">
        <f>'BULLTEIN DE PAIE MOIS 01'!J109+'BULLTEIN DE PAIE MOIS 02'!I106+'BULLTEIN DE PAIE MOIS 03'!I106+'BULLTEIN DE PAIE MOIS 04'!I106+'BULLTEIN DE PAIE MOIS 05'!I106+'BULLTEIN DE PAIE MOIS 06'!I106+'BULLTEIN DE PAIE MOIS 07'!I106+'BULLTEIN DE PAIE MOIS 08'!I106+'BULLTEIN DE PAIE MOIS 09'!I106+'BULLTEIN DE PAIE MOIS 10'!I106+'BULLTEIN DE PAIE MOIS 11'!I106+'BULLTEIN DE PAIE MOIS 12'!I106</f>
        <v>0</v>
      </c>
      <c r="K6" s="64">
        <f t="shared" ref="K6:K11" si="1">I6-J6</f>
        <v>865113.39999999991</v>
      </c>
      <c r="L6" s="64" t="str">
        <f>Barème!A19</f>
        <v>&gt;180 000</v>
      </c>
      <c r="M6" s="64">
        <f t="shared" ref="M6:M11" si="2">IF(K6&lt;30000,0,IF(K6&lt;50000,K6*0.1-3000,IF(K6&lt;60000,K6*0.2-8000,IF(K6&lt;80000,K6*0.3-14000,IF(K6&lt;180000,K6*0.34-17200,K6*0.38-"24400")))))</f>
        <v>304343.09199999995</v>
      </c>
      <c r="N6" s="64">
        <f>'BULLTEIN DE PAIE MOIS 01'!J109+'BULLTEIN DE PAIE MOIS 02'!J109+'BULLTEIN DE PAIE MOIS 03'!J109+'BULLTEIN DE PAIE MOIS 04'!J109+'BULLTEIN DE PAIE MOIS 05'!J109+'BULLTEIN DE PAIE MOIS 06'!J109+'BULLTEIN DE PAIE MOIS 07'!J109+'BULLTEIN DE PAIE MOIS 08'!J109+'BULLTEIN DE PAIE MOIS 09'!J109+'BULLTEIN DE PAIE MOIS 10'!J109+'BULLTEIN DE PAIE MOIS 11'!J109+'BULLTEIN DE PAIE MOIS 12'!J109</f>
        <v>0</v>
      </c>
      <c r="O6" s="68">
        <f t="shared" ref="O6:O11" si="3">M6-N6</f>
        <v>304343.09199999995</v>
      </c>
      <c r="P6" s="68">
        <f>'IR CALCULE'!N6</f>
        <v>304343.07866666664</v>
      </c>
      <c r="Q6" s="68">
        <f t="shared" ref="Q6:Q11" si="4">O6-P6</f>
        <v>1.333333330694586E-2</v>
      </c>
    </row>
    <row r="7" spans="1:17" ht="15.75" thickBot="1" x14ac:dyDescent="0.3">
      <c r="A7" s="3" t="s">
        <v>1</v>
      </c>
      <c r="B7" s="80">
        <f>'BULLTEIN DE PAIE MOIS 01'!I153+'BULLTEIN DE PAIE MOIS 02'!I153+'BULLTEIN DE PAIE MOIS 03'!I153+'BULLTEIN DE PAIE MOIS 04'!I153+'BULLTEIN DE PAIE MOIS 05'!I153+'BULLTEIN DE PAIE MOIS 06'!I153+'BULLTEIN DE PAIE MOIS 07'!I153+'BULLTEIN DE PAIE MOIS 08'!I153+'BULLTEIN DE PAIE MOIS 09'!I153+'BULLTEIN DE PAIE MOIS 10'!I153+'BULLTEIN DE PAIE MOIS 11'!I153+'BULLTEIN DE PAIE MOIS 12'!I153</f>
        <v>1111500</v>
      </c>
      <c r="C7" s="64">
        <f>'BULLTEIN DE PAIE MOIS 01'!J154+'BULLTEIN DE PAIE MOIS 02'!J154+'BULLTEIN DE PAIE MOIS 03'!J154+'BULLTEIN DE PAIE MOIS 04'!J154+'BULLTEIN DE PAIE MOIS 05'!J154+'BULLTEIN DE PAIE MOIS 06'!J154+'BULLTEIN DE PAIE MOIS 07'!J154+'BULLTEIN DE PAIE MOIS 08'!J154+'BULLTEIN DE PAIE MOIS 09'!J154+'BULLTEIN DE PAIE MOIS 10'!J154+'BULLTEIN DE PAIE MOIS 11'!J154+'BULLTEIN DE PAIE MOIS 12'!J154</f>
        <v>3225.6000000000008</v>
      </c>
      <c r="D7" s="64">
        <f>'BULLTEIN DE PAIE MOIS 01'!J155+'BULLTEIN DE PAIE MOIS 02'!J155+'BULLTEIN DE PAIE MOIS 03'!J155+'BULLTEIN DE PAIE MOIS 04'!J155+'BULLTEIN DE PAIE MOIS 05'!J155+'BULLTEIN DE PAIE MOIS 06'!J155+'BULLTEIN DE PAIE MOIS 07'!J155+'BULLTEIN DE PAIE MOIS 08'!J155+'BULLTEIN DE PAIE MOIS 09'!J155+'BULLTEIN DE PAIE MOIS 10'!J155+'BULLTEIN DE PAIE MOIS 11'!J155+'BULLTEIN DE PAIE MOIS 12'!J155</f>
        <v>0</v>
      </c>
      <c r="E7" s="64">
        <f>'BULLTEIN DE PAIE MOIS 01'!J156+'BULLTEIN DE PAIE MOIS 02'!J156+'BULLTEIN DE PAIE MOIS 03'!J156+'BULLTEIN DE PAIE MOIS 04'!J156+'BULLTEIN DE PAIE MOIS 05'!J156+'BULLTEIN DE PAIE MOIS 06'!J156+'BULLTEIN DE PAIE MOIS 07'!J156+'BULLTEIN DE PAIE MOIS 08'!J156+'BULLTEIN DE PAIE MOIS 09'!J156+'BULLTEIN DE PAIE MOIS 10'!J156+'BULLTEIN DE PAIE MOIS 11'!J156+'BULLTEIN DE PAIE MOIS 12'!J156</f>
        <v>555750</v>
      </c>
      <c r="F7" s="64">
        <f>'BULLTEIN DE PAIE MOIS 01'!J160+'BULLTEIN DE PAIE MOIS 02'!J160+'BULLTEIN DE PAIE MOIS 03'!J160+'BULLTEIN DE PAIE MOIS 04'!J160+'BULLTEIN DE PAIE MOIS 05'!J160+'BULLTEIN DE PAIE MOIS 06'!J160+'BULLTEIN DE PAIE MOIS 07'!J160+'BULLTEIN DE PAIE MOIS 08'!J160+'BULLTEIN DE PAIE MOIS 09'!J160+'BULLTEIN DE PAIE MOIS 10'!J160+'BULLTEIN DE PAIE MOIS 11'!J160+'BULLTEIN DE PAIE MOIS 12'!J160</f>
        <v>25119.9</v>
      </c>
      <c r="G7" s="64"/>
      <c r="H7" s="64">
        <f>'BULLTEIN DE PAIE MOIS 01'!J164+'BULLTEIN DE PAIE MOIS 02'!J164+'BULLTEIN DE PAIE MOIS 03'!J164+'BULLTEIN DE PAIE MOIS 04'!J164+'BULLTEIN DE PAIE MOIS 05'!J164+'BULLTEIN DE PAIE MOIS 06'!J164+'BULLTEIN DE PAIE MOIS 07'!J164+'BULLTEIN DE PAIE MOIS 08'!J164+'BULLTEIN DE PAIE MOIS 09'!J164+'BULLTEIN DE PAIE MOIS 10'!J164+'BULLTEIN DE PAIE MOIS 11'!J164+'BULLTEIN DE PAIE MOIS 12'!J164</f>
        <v>30000</v>
      </c>
      <c r="I7" s="64">
        <f t="shared" si="0"/>
        <v>497404.49999999988</v>
      </c>
      <c r="J7" s="64">
        <f>'BULLTEIN DE PAIE MOIS 01'!I166+'BULLTEIN DE PAIE MOIS 02'!I166+'BULLTEIN DE PAIE MOIS 03'!I166+'BULLTEIN DE PAIE MOIS 04'!I166+'BULLTEIN DE PAIE MOIS 05'!I166+'BULLTEIN DE PAIE MOIS 06'!I166+'BULLTEIN DE PAIE MOIS 07'!I166+'BULLTEIN DE PAIE MOIS 08'!I166+'BULLTEIN DE PAIE MOIS 09'!I166+'BULLTEIN DE PAIE MOIS 10'!I166+'BULLTEIN DE PAIE MOIS 11'!I166+'BULLTEIN DE PAIE MOIS 12'!I166</f>
        <v>0</v>
      </c>
      <c r="K7" s="64">
        <f t="shared" si="1"/>
        <v>497404.49999999988</v>
      </c>
      <c r="L7" s="64" t="str">
        <f>Barème!A19</f>
        <v>&gt;180 000</v>
      </c>
      <c r="M7" s="64">
        <f t="shared" si="2"/>
        <v>164613.70999999996</v>
      </c>
      <c r="N7" s="64">
        <f>'BULLTEIN DE PAIE MOIS 01'!J169+'BULLTEIN DE PAIE MOIS 02'!J169+'BULLTEIN DE PAIE MOIS 03'!J169+'BULLTEIN DE PAIE MOIS 04'!J169+'BULLTEIN DE PAIE MOIS 05'!J169+'BULLTEIN DE PAIE MOIS 06'!J169+'BULLTEIN DE PAIE MOIS 07'!J169+'BULLTEIN DE PAIE MOIS 08'!J169+'BULLTEIN DE PAIE MOIS 09'!J169+'BULLTEIN DE PAIE MOIS 10'!J169+'BULLTEIN DE PAIE MOIS 11'!J169+'BULLTEIN DE PAIE MOIS 12'!J169</f>
        <v>0</v>
      </c>
      <c r="O7" s="68">
        <f t="shared" si="3"/>
        <v>164613.70999999996</v>
      </c>
      <c r="P7" s="68">
        <f>'IR CALCULE'!N7</f>
        <v>164613.71</v>
      </c>
      <c r="Q7" s="68">
        <f t="shared" si="4"/>
        <v>0</v>
      </c>
    </row>
    <row r="8" spans="1:17" ht="15.75" thickBot="1" x14ac:dyDescent="0.3">
      <c r="A8" s="3" t="s">
        <v>20</v>
      </c>
      <c r="B8" s="81">
        <f>'BULLTEIN DE PAIE MOIS 01'!I213+'BULLTEIN DE PAIE MOIS 02'!I213+'BULLTEIN DE PAIE MOIS 03'!I213+'BULLTEIN DE PAIE MOIS 04'!I213+'BULLTEIN DE PAIE MOIS 05'!I213+'BULLTEIN DE PAIE MOIS 06'!I213+'BULLTEIN DE PAIE MOIS 07'!I213+'BULLTEIN DE PAIE MOIS 08'!I213+'BULLTEIN DE PAIE MOIS 09'!I213+'BULLTEIN DE PAIE MOIS 10'!I213+'BULLTEIN DE PAIE MOIS 11'!I213+'BULLTEIN DE PAIE MOIS 12'!I213</f>
        <v>149750.78949999996</v>
      </c>
      <c r="C8" s="64">
        <f>'BULLTEIN DE PAIE MOIS 01'!J214+'BULLTEIN DE PAIE MOIS 02'!J214+'BULLTEIN DE PAIE MOIS 03'!J214+'BULLTEIN DE PAIE MOIS 04'!J214+'BULLTEIN DE PAIE MOIS 05'!J214+'BULLTEIN DE PAIE MOIS 06'!J214+'BULLTEIN DE PAIE MOIS 07'!J214+'BULLTEIN DE PAIE MOIS 08'!J214+'BULLTEIN DE PAIE MOIS 09'!J214+'BULLTEIN DE PAIE MOIS 10'!J214+'BULLTEIN DE PAIE MOIS 11'!J214+'BULLTEIN DE PAIE MOIS 12'!J214</f>
        <v>3225.6000000000008</v>
      </c>
      <c r="D8" s="64">
        <f>'BULLTEIN DE PAIE MOIS 01'!J215+'BULLTEIN DE PAIE MOIS 02'!J215+'BULLTEIN DE PAIE MOIS 03'!J215+'BULLTEIN DE PAIE MOIS 04'!J215+'BULLTEIN DE PAIE MOIS 05'!J215+'BULLTEIN DE PAIE MOIS 06'!J215+'BULLTEIN DE PAIE MOIS 07'!J215+'BULLTEIN DE PAIE MOIS 08'!J215+'BULLTEIN DE PAIE MOIS 09'!J215+'BULLTEIN DE PAIE MOIS 10'!J215+'BULLTEIN DE PAIE MOIS 11'!J215+'BULLTEIN DE PAIE MOIS 12'!J215</f>
        <v>0</v>
      </c>
      <c r="E8" s="64">
        <f>'BULLTEIN DE PAIE MOIS 01'!J216+'BULLTEIN DE PAIE MOIS 02'!J216+'BULLTEIN DE PAIE MOIS 03'!J216+'BULLTEIN DE PAIE MOIS 04'!J216+'BULLTEIN DE PAIE MOIS 05'!J216+'BULLTEIN DE PAIE MOIS 06'!J216+'BULLTEIN DE PAIE MOIS 07'!J216+'BULLTEIN DE PAIE MOIS 08'!J216+'BULLTEIN DE PAIE MOIS 09'!J216+'BULLTEIN DE PAIE MOIS 10'!J215+'BULLTEIN DE PAIE MOIS 11'!J215+'BULLTEIN DE PAIE MOIS 12'!J215</f>
        <v>0</v>
      </c>
      <c r="F8" s="64">
        <f>'BULLTEIN DE PAIE MOIS 01'!J220+'BULLTEIN DE PAIE MOIS 02'!J220+'BULLTEIN DE PAIE MOIS 03'!J220+'BULLTEIN DE PAIE MOIS 04'!J220+'BULLTEIN DE PAIE MOIS 05'!J220+'BULLTEIN DE PAIE MOIS 06'!J220+'BULLTEIN DE PAIE MOIS 07'!J220+'BULLTEIN DE PAIE MOIS 08'!J220+'BULLTEIN DE PAIE MOIS 09'!J220+'BULLTEIN DE PAIE MOIS 10'!J220+'BULLTEIN DE PAIE MOIS 11'!J220+'BULLTEIN DE PAIE MOIS 12'!J220</f>
        <v>3384.3678427000004</v>
      </c>
      <c r="G8" s="64"/>
      <c r="H8" s="64">
        <f>+'BULLTEIN DE PAIE MOIS 01'!J224+'BULLTEIN DE PAIE MOIS 02'!J224+'BULLTEIN DE PAIE MOIS 03'!J224+'BULLTEIN DE PAIE MOIS 04'!J224+'BULLTEIN DE PAIE MOIS 05'!J224+'BULLTEIN DE PAIE MOIS 06'!J224+'BULLTEIN DE PAIE MOIS 07'!J224+'BULLTEIN DE PAIE MOIS 08'!J224+'BULLTEIN DE PAIE MOIS 09'!J224+'BULLTEIN DE PAIE MOIS 10'!J224+'BULLTEIN DE PAIE MOIS 11'!J224+'BULLTEIN DE PAIE MOIS 12'!J224</f>
        <v>29625.57</v>
      </c>
      <c r="I8" s="64">
        <f t="shared" si="0"/>
        <v>113515.25165729993</v>
      </c>
      <c r="J8" s="64">
        <f>+'BULLTEIN DE PAIE MOIS 01'!I226+'BULLTEIN DE PAIE MOIS 02'!I226+'BULLTEIN DE PAIE MOIS 03'!I226+'BULLTEIN DE PAIE MOIS 04'!I226+'BULLTEIN DE PAIE MOIS 05'!I226+'BULLTEIN DE PAIE MOIS 06'!I226+'BULLTEIN DE PAIE MOIS 07'!I226+'BULLTEIN DE PAIE MOIS 08'!I226+'BULLTEIN DE PAIE MOIS 09'!I226+'BULLTEIN DE PAIE MOIS 10'!I226+'BULLTEIN DE PAIE MOIS 11'!I226+'BULLTEIN DE PAIE MOIS 12'!I226</f>
        <v>0</v>
      </c>
      <c r="K8" s="64">
        <f t="shared" si="1"/>
        <v>113515.25165729993</v>
      </c>
      <c r="L8" s="64" t="str">
        <f>+Barème!A18</f>
        <v>[80 000 ;180 000[</v>
      </c>
      <c r="M8" s="64">
        <f t="shared" si="2"/>
        <v>21395.18556348198</v>
      </c>
      <c r="N8" s="64">
        <f>+'BULLTEIN DE PAIE MOIS 01'!J229+'BULLTEIN DE PAIE MOIS 02'!J229+'BULLTEIN DE PAIE MOIS 03'!J229+'BULLTEIN DE PAIE MOIS 04'!J229+'BULLTEIN DE PAIE MOIS 05'!J229+'BULLTEIN DE PAIE MOIS 06'!J229+'BULLTEIN DE PAIE MOIS 07'!J229+'BULLTEIN DE PAIE MOIS 08'!J229+'BULLTEIN DE PAIE MOIS 09'!J229+'BULLTEIN DE PAIE MOIS 10'!J229+'BULLTEIN DE PAIE MOIS 11'!J229+'BULLTEIN DE PAIE MOIS 12'!J229</f>
        <v>1080</v>
      </c>
      <c r="O8" s="68">
        <f t="shared" si="3"/>
        <v>20315.18556348198</v>
      </c>
      <c r="P8" s="68">
        <f>'IR CALCULE'!N8</f>
        <v>20315.185563482006</v>
      </c>
      <c r="Q8" s="68">
        <f t="shared" si="4"/>
        <v>0</v>
      </c>
    </row>
    <row r="9" spans="1:17" ht="15.75" thickBot="1" x14ac:dyDescent="0.3">
      <c r="A9" s="3" t="s">
        <v>19</v>
      </c>
      <c r="B9" s="83">
        <f>'BULLTEIN DE PAIE MOIS 01'!I273+'BULLTEIN DE PAIE MOIS 02'!I273+'BULLTEIN DE PAIE MOIS 03'!I273+'BULLTEIN DE PAIE MOIS 04'!I273+'BULLTEIN DE PAIE MOIS 05'!I273+'BULLTEIN DE PAIE MOIS 06'!I273+'BULLTEIN DE PAIE MOIS 07'!I273+'BULLTEIN DE PAIE MOIS 08'!I273+'BULLTEIN DE PAIE MOIS 09'!I273+'BULLTEIN DE PAIE MOIS 10'!I273+'BULLTEIN DE PAIE MOIS 11'!I273+'BULLTEIN DE PAIE MOIS 12'!I273</f>
        <v>41459.019</v>
      </c>
      <c r="C9" s="64">
        <f>'BULLTEIN DE PAIE MOIS 01'!J274+'BULLTEIN DE PAIE MOIS 02'!J274+'BULLTEIN DE PAIE MOIS 03'!J274+'BULLTEIN DE PAIE MOIS 04'!J274+'BULLTEIN DE PAIE MOIS 05'!J274+'BULLTEIN DE PAIE MOIS 06'!J274+'BULLTEIN DE PAIE MOIS 07'!J274+'BULLTEIN DE PAIE MOIS 08'!J274+'BULLTEIN DE PAIE MOIS 09'!J274+'BULLTEIN DE PAIE MOIS 10'!J274+'BULLTEIN DE PAIE MOIS 11'!J274+'BULLTEIN DE PAIE MOIS 12'!J274</f>
        <v>1857.3640512000006</v>
      </c>
      <c r="D9" s="64">
        <f>+'BULLTEIN DE PAIE MOIS 01'!J275+'BULLTEIN DE PAIE MOIS 02'!J275+'BULLTEIN DE PAIE MOIS 03'!J275+'BULLTEIN DE PAIE MOIS 04'!J275+'BULLTEIN DE PAIE MOIS 05'!J275+'BULLTEIN DE PAIE MOIS 06'!J275+'BULLTEIN DE PAIE MOIS 07'!J275+'BULLTEIN DE PAIE MOIS 08'!J275+'BULLTEIN DE PAIE MOIS 09'!J275+'BULLTEIN DE PAIE MOIS 10'!J275+'BULLTEIN DE PAIE MOIS 11'!J275+'BULLTEIN DE PAIE MOIS 12'!J275</f>
        <v>0</v>
      </c>
      <c r="E9" s="64">
        <f>+'BULLTEIN DE PAIE MOIS 01'!J276+'BULLTEIN DE PAIE MOIS 02'!J276+'BULLTEIN DE PAIE MOIS 03'!J276+'BULLTEIN DE PAIE MOIS 04'!J276+'BULLTEIN DE PAIE MOIS 05'!J276+'BULLTEIN DE PAIE MOIS 06'!J276+'BULLTEIN DE PAIE MOIS 07'!J276+'BULLTEIN DE PAIE MOIS 08'!J276+'BULLTEIN DE PAIE MOIS 09'!J276+'BULLTEIN DE PAIE MOIS 10'!J276+'BULLTEIN DE PAIE MOIS 11'!J276+'BULLTEIN DE PAIE MOIS 11'!J276</f>
        <v>0</v>
      </c>
      <c r="F9" s="64">
        <f>+'BULLTEIN DE PAIE MOIS 01'!J280+'BULLTEIN DE PAIE MOIS 02'!J280+'BULLTEIN DE PAIE MOIS 03'!J280+'BULLTEIN DE PAIE MOIS 04'!J280+'BULLTEIN DE PAIE MOIS 05'!J280+'BULLTEIN DE PAIE MOIS 06'!J280+'BULLTEIN DE PAIE MOIS 07'!J280+'BULLTEIN DE PAIE MOIS 08'!J280+'BULLTEIN DE PAIE MOIS 09'!J280+'BULLTEIN DE PAIE MOIS 10'!J280+'BULLTEIN DE PAIE MOIS 11'!J280+'BULLTEIN DE PAIE MOIS 12'!J280</f>
        <v>936.97382939999989</v>
      </c>
      <c r="G9" s="64"/>
      <c r="H9" s="64">
        <f>+'BULLTEIN DE PAIE MOIS 01'!J284+'BULLTEIN DE PAIE MOIS 02'!J284+'BULLTEIN DE PAIE MOIS 03'!J284+'BULLTEIN DE PAIE MOIS 04'!J284+'BULLTEIN DE PAIE MOIS 05'!J284+'BULLTEIN DE PAIE MOIS 06'!J284+'BULLTEIN DE PAIE MOIS 07'!J284+'BULLTEIN DE PAIE MOIS 08'!J284+'BULLTEIN DE PAIE MOIS 09'!J284+'BULLTEIN DE PAIE MOIS 10'!J284+'BULLTEIN DE PAIE MOIS 11'!J284+'BULLTEIN DE PAIE MOIS 12'!J284</f>
        <v>8291.8038000000015</v>
      </c>
      <c r="I9" s="64">
        <f>B9-C9-F9-H9</f>
        <v>30372.877319400002</v>
      </c>
      <c r="J9" s="64">
        <f>+'BULLTEIN DE PAIE MOIS 01'!I286+'BULLTEIN DE PAIE MOIS 02'!I286+'BULLTEIN DE PAIE MOIS 03'!I286+'BULLTEIN DE PAIE MOIS 04'!I286+'BULLTEIN DE PAIE MOIS 05'!I286+'BULLTEIN DE PAIE MOIS 06'!I286+'BULLTEIN DE PAIE MOIS 07'!I286+'BULLTEIN DE PAIE MOIS 08'!I286+'BULLTEIN DE PAIE MOIS 09'!I286+'BULLTEIN DE PAIE MOIS 10'!I286+'BULLTEIN DE PAIE MOIS 11'!I286+'BULLTEIN DE PAIE MOIS 12'!I286</f>
        <v>0</v>
      </c>
      <c r="K9" s="64">
        <f t="shared" si="1"/>
        <v>30372.877319400002</v>
      </c>
      <c r="L9" s="64" t="str">
        <f>Barème!A15</f>
        <v>[30 000 ;50 000[</v>
      </c>
      <c r="M9" s="64">
        <f t="shared" si="2"/>
        <v>37.287731940000413</v>
      </c>
      <c r="N9" s="64">
        <f>'BULLTEIN DE PAIE MOIS 01'!J289+'BULLTEIN DE PAIE MOIS 02'!J289+'BULLTEIN DE PAIE MOIS 03'!J289+'BULLTEIN DE PAIE MOIS 04'!J289+'BULLTEIN DE PAIE MOIS 05'!J289+'BULLTEIN DE PAIE MOIS 06'!J289+'BULLTEIN DE PAIE MOIS 07'!J289+'BULLTEIN DE PAIE MOIS 08'!J289+'BULLTEIN DE PAIE MOIS 09'!J289+'BULLTEIN DE PAIE MOIS 10'!J289+'BULLTEIN DE PAIE MOIS 11'!J289+'BULLTEIN DE PAIE MOIS 12'!J289</f>
        <v>0</v>
      </c>
      <c r="O9" s="82">
        <f>M9-N9</f>
        <v>37.287731940000413</v>
      </c>
      <c r="P9" s="68">
        <f>'IR CALCULE'!N9</f>
        <v>264.70438914000044</v>
      </c>
      <c r="Q9" s="68">
        <f t="shared" si="4"/>
        <v>-227.41665720000003</v>
      </c>
    </row>
    <row r="10" spans="1:17" ht="15.75" thickBot="1" x14ac:dyDescent="0.3">
      <c r="A10" s="3" t="s">
        <v>18</v>
      </c>
      <c r="B10" s="69">
        <f>'BULLTEIN DE PAIE MOIS 01'!I333+'BULLTEIN DE PAIE MOIS 02'!I333+'BULLTEIN DE PAIE MOIS 03'!I333+'BULLTEIN DE PAIE MOIS 04'!I333+'BULLTEIN DE PAIE MOIS 05'!I333+'BULLTEIN DE PAIE MOIS 06'!I333+'BULLTEIN DE PAIE MOIS 07'!I333+'BULLTEIN DE PAIE MOIS 08'!I333+'BULLTEIN DE PAIE MOIS 09'!I333+'BULLTEIN DE PAIE MOIS 10'!I333+'BULLTEIN DE PAIE MOIS 11'!I333+'BULLTEIN DE PAIE MOIS 12'!I333</f>
        <v>33693.599999999999</v>
      </c>
      <c r="C10" s="64">
        <f>'BULLTEIN DE PAIE MOIS 01'!J334+'BULLTEIN DE PAIE MOIS 02'!J334+'BULLTEIN DE PAIE MOIS 03'!J334+'BULLTEIN DE PAIE MOIS 04'!J334+'BULLTEIN DE PAIE MOIS 05'!J334+'BULLTEIN DE PAIE MOIS 06'!J334+'BULLTEIN DE PAIE MOIS 07'!J334+'BULLTEIN DE PAIE MOIS 08'!J334+'BULLTEIN DE PAIE MOIS 09'!J334+'BULLTEIN DE PAIE MOIS 10'!J334+'BULLTEIN DE PAIE MOIS 11'!J334+'BULLTEIN DE PAIE MOIS 12'!J334</f>
        <v>1509.4732800000004</v>
      </c>
      <c r="D10" s="64">
        <f>'BULLTEIN DE PAIE MOIS 01'!J335+'BULLTEIN DE PAIE MOIS 02'!J335+'BULLTEIN DE PAIE MOIS 03'!J335+'BULLTEIN DE PAIE MOIS 04'!J335+'BULLTEIN DE PAIE MOIS 05'!J335+'BULLTEIN DE PAIE MOIS 06'!J335+'BULLTEIN DE PAIE MOIS 07'!J335+'BULLTEIN DE PAIE MOIS 08'!J335+'BULLTEIN DE PAIE MOIS 09'!J335+'BULLTEIN DE PAIE MOIS 10'!J335+'BULLTEIN DE PAIE MOIS 11'!J335+'BULLTEIN DE PAIE MOIS 12'!J335</f>
        <v>0</v>
      </c>
      <c r="E10" s="64">
        <f>'BULLTEIN DE PAIE MOIS 01'!J336+'BULLTEIN DE PAIE MOIS 02'!J336+'BULLTEIN DE PAIE MOIS 03'!J336+'BULLTEIN DE PAIE MOIS 04'!J336+'BULLTEIN DE PAIE MOIS 05'!J336+'BULLTEIN DE PAIE MOIS 06'!J336+'BULLTEIN DE PAIE MOIS 07'!J336+'BULLTEIN DE PAIE MOIS 08'!J336+'BULLTEIN DE PAIE MOIS 09'!J336+'BULLTEIN DE PAIE MOIS 10'!J336+'BULLTEIN DE PAIE MOIS 11'!J336+'BULLTEIN DE PAIE MOIS 12'!J336</f>
        <v>0</v>
      </c>
      <c r="F10" s="64">
        <f>'BULLTEIN DE PAIE MOIS 01'!J340+'BULLTEIN DE PAIE MOIS 02'!J340+'BULLTEIN DE PAIE MOIS 03'!J340+'BULLTEIN DE PAIE MOIS 04'!J340+'BULLTEIN DE PAIE MOIS 05'!J340+'BULLTEIN DE PAIE MOIS 06'!J340+'BULLTEIN DE PAIE MOIS 07'!J340+'BULLTEIN DE PAIE MOIS 08'!J340+'BULLTEIN DE PAIE MOIS 09'!J340+'BULLTEIN DE PAIE MOIS 10'!J340+'BULLTEIN DE PAIE MOIS 11'!J340+'BULLTEIN DE PAIE MOIS 12'!J340</f>
        <v>761.47536000000002</v>
      </c>
      <c r="G10" s="64"/>
      <c r="H10" s="64">
        <f>'BULLTEIN DE PAIE MOIS 01'!J344+'BULLTEIN DE PAIE MOIS 02'!J344+'BULLTEIN DE PAIE MOIS 03'!J344+'BULLTEIN DE PAIE MOIS 04'!J344+'BULLTEIN DE PAIE MOIS 05'!J344+'BULLTEIN DE PAIE MOIS 06'!J344+'BULLTEIN DE PAIE MOIS 07'!J344+'BULLTEIN DE PAIE MOIS 08'!J344+'BULLTEIN DE PAIE MOIS 09'!J344+'BULLTEIN DE PAIE MOIS 10'!J344+'BULLTEIN DE PAIE MOIS 11'!J344+'BULLTEIN DE PAIE MOIS 12'!J344</f>
        <v>6738.7200000000021</v>
      </c>
      <c r="I10" s="64">
        <f t="shared" si="0"/>
        <v>24683.931359999995</v>
      </c>
      <c r="J10" s="64">
        <f>'BULLTEIN DE PAIE MOIS 01'!I346+'BULLTEIN DE PAIE MOIS 02'!I346+'BULLTEIN DE PAIE MOIS 03'!I346+'BULLTEIN DE PAIE MOIS 04'!I346+'BULLTEIN DE PAIE MOIS 05'!I346+'BULLTEIN DE PAIE MOIS 06'!I346+'BULLTEIN DE PAIE MOIS 07'!I346+'BULLTEIN DE PAIE MOIS 08'!I346+'BULLTEIN DE PAIE MOIS 09'!I346+'BULLTEIN DE PAIE MOIS 10'!I346+'BULLTEIN DE PAIE MOIS 11'!I346+'BULLTEIN DE PAIE MOIS 12'!I346</f>
        <v>0</v>
      </c>
      <c r="K10" s="64">
        <f t="shared" si="1"/>
        <v>24683.931359999995</v>
      </c>
      <c r="L10" s="64" t="str">
        <f>Barème!A14</f>
        <v>[0 ;30 000[</v>
      </c>
      <c r="M10" s="64">
        <f t="shared" si="2"/>
        <v>0</v>
      </c>
      <c r="N10" s="64">
        <f>'BULLTEIN DE PAIE MOIS 01'!J349+'BULLTEIN DE PAIE MOIS 02'!J349+'BULLTEIN DE PAIE MOIS 03'!J349+'BULLTEIN DE PAIE MOIS 04'!J349+'BULLTEIN DE PAIE MOIS 05'!J349+'BULLTEIN DE PAIE MOIS 06'!J349+'BULLTEIN DE PAIE MOIS 07'!J349+'BULLTEIN DE PAIE MOIS 08'!J349+'BULLTEIN DE PAIE MOIS 09'!J349+'BULLTEIN DE PAIE MOIS 10'!J349+'BULLTEIN DE PAIE MOIS 11'!J349+'BULLTEIN DE PAIE MOIS 12'!J349</f>
        <v>0</v>
      </c>
      <c r="O10" s="68">
        <f t="shared" si="3"/>
        <v>0</v>
      </c>
      <c r="P10" s="68">
        <f>'IR CALCULE'!N10</f>
        <v>0</v>
      </c>
      <c r="Q10" s="68">
        <f t="shared" si="4"/>
        <v>0</v>
      </c>
    </row>
    <row r="11" spans="1:17" ht="15.75" thickBot="1" x14ac:dyDescent="0.3">
      <c r="A11" s="3" t="s">
        <v>2</v>
      </c>
      <c r="B11" s="80">
        <f>'BULLTEIN DE PAIE MOIS 01'!I393+'BULLTEIN DE PAIE MOIS 02'!I393+'BULLTEIN DE PAIE MOIS 03'!I393+'BULLTEIN DE PAIE MOIS 04'!I393+'BULLTEIN DE PAIE MOIS 05'!I393+'BULLTEIN DE PAIE MOIS 06'!I393+'BULLTEIN DE PAIE MOIS 07'!I393+'BULLTEIN DE PAIE MOIS 08'!I393+'BULLTEIN DE PAIE MOIS 09'!I393+'BULLTEIN DE PAIE MOIS 10'!I393+'BULLTEIN DE PAIE MOIS 11'!I393+'BULLTEIN DE PAIE MOIS 12'!I393</f>
        <v>43987.19999999999</v>
      </c>
      <c r="C11" s="69">
        <f>'BULLTEIN DE PAIE MOIS 01'!J394+'BULLTEIN DE PAIE MOIS 02'!J394+'BULLTEIN DE PAIE MOIS 03'!J394+'BULLTEIN DE PAIE MOIS 04'!J394+'BULLTEIN DE PAIE MOIS 05'!J394+'BULLTEIN DE PAIE MOIS 06'!J394+'BULLTEIN DE PAIE MOIS 07'!J394+'BULLTEIN DE PAIE MOIS 08'!J394+'BULLTEIN DE PAIE MOIS 09'!J394+'BULLTEIN DE PAIE MOIS 10'!J394+'BULLTEIN DE PAIE MOIS 11'!J394+'BULLTEIN DE PAIE MOIS 12'!J394</f>
        <v>1970.6265600000008</v>
      </c>
      <c r="D11" s="69">
        <f>'BULLTEIN DE PAIE MOIS 01'!J395+'BULLTEIN DE PAIE MOIS 02'!J395+'BULLTEIN DE PAIE MOIS 03'!J395+'BULLTEIN DE PAIE MOIS 04'!J395+'BULLTEIN DE PAIE MOIS 05'!J395+'BULLTEIN DE PAIE MOIS 06'!J395+'BULLTEIN DE PAIE MOIS 07'!J395+'BULLTEIN DE PAIE MOIS 08'!J395+'BULLTEIN DE PAIE MOIS 09'!J395+'BULLTEIN DE PAIE MOIS 10'!J395+'BULLTEIN DE PAIE MOIS 11'!J395+'BULLTEIN DE PAIE MOIS 12'!J395</f>
        <v>0</v>
      </c>
      <c r="E11" s="69">
        <f>'BULLTEIN DE PAIE MOIS 01'!J396+'BULLTEIN DE PAIE MOIS 02'!J396+'BULLTEIN DE PAIE MOIS 03'!J396+'BULLTEIN DE PAIE MOIS 04'!J397+'BULLTEIN DE PAIE MOIS 05'!J396+'BULLTEIN DE PAIE MOIS 06'!J396+'BULLTEIN DE PAIE MOIS 07'!J396+'BULLTEIN DE PAIE MOIS 08'!J396+'BULLTEIN DE PAIE MOIS 09'!J396+'BULLTEIN DE PAIE MOIS 10'!J396+'BULLTEIN DE PAIE MOIS 11'!J396+'BULLTEIN DE PAIE MOIS 12'!J396</f>
        <v>0</v>
      </c>
      <c r="F11" s="69">
        <f>'BULLTEIN DE PAIE MOIS 01'!J400+'BULLTEIN DE PAIE MOIS 02'!J400+'BULLTEIN DE PAIE MOIS 03'!J400+'BULLTEIN DE PAIE MOIS 04'!J400+'BULLTEIN DE PAIE MOIS 05'!J400+'BULLTEIN DE PAIE MOIS 06'!J400+'BULLTEIN DE PAIE MOIS 07'!J400+'BULLTEIN DE PAIE MOIS 08'!J400+'BULLTEIN DE PAIE MOIS 09'!J400+'BULLTEIN DE PAIE MOIS 10'!J400+'BULLTEIN DE PAIE MOIS 11'!J400+'BULLTEIN DE PAIE MOIS 12'!J400</f>
        <v>994.11072000000024</v>
      </c>
      <c r="G11" s="69"/>
      <c r="H11" s="69">
        <f>'BULLTEIN DE PAIE MOIS 01'!J404+'BULLTEIN DE PAIE MOIS 02'!J404+'BULLTEIN DE PAIE MOIS 03'!J404+'BULLTEIN DE PAIE MOIS 04'!J404+'BULLTEIN DE PAIE MOIS 05'!J404+'BULLTEIN DE PAIE MOIS 06'!J404+'BULLTEIN DE PAIE MOIS 07'!J404+'BULLTEIN DE PAIE MOIS 08'!J404+'BULLTEIN DE PAIE MOIS 09'!J404+'BULLTEIN DE PAIE MOIS 10'!J404+'BULLTEIN DE PAIE MOIS 11'!J404+'BULLTEIN DE PAIE MOIS 12'!J404</f>
        <v>8797.44</v>
      </c>
      <c r="I11" s="69">
        <f t="shared" si="0"/>
        <v>32225.022719999986</v>
      </c>
      <c r="J11" s="69">
        <f>'BULLTEIN DE PAIE MOIS 01'!I406+'BULLTEIN DE PAIE MOIS 02'!I406+'BULLTEIN DE PAIE MOIS 03'!I406+'BULLTEIN DE PAIE MOIS 04'!I406+'BULLTEIN DE PAIE MOIS 05'!I406+'BULLTEIN DE PAIE MOIS 06'!I406+'BULLTEIN DE PAIE MOIS 07'!I406+'BULLTEIN DE PAIE MOIS 08'!I406+'BULLTEIN DE PAIE MOIS 09'!I406+'BULLTEIN DE PAIE MOIS 10'!I406+'BULLTEIN DE PAIE MOIS 11'!I406+'BULLTEIN DE PAIE MOIS 12'!I406</f>
        <v>0</v>
      </c>
      <c r="K11" s="69">
        <f t="shared" si="1"/>
        <v>32225.022719999986</v>
      </c>
      <c r="L11" s="69" t="str">
        <f>Barème!A15</f>
        <v>[30 000 ;50 000[</v>
      </c>
      <c r="M11" s="64">
        <f t="shared" si="2"/>
        <v>222.50227199999881</v>
      </c>
      <c r="N11" s="69">
        <v>0</v>
      </c>
      <c r="O11" s="70">
        <f t="shared" si="3"/>
        <v>222.50227199999881</v>
      </c>
      <c r="P11" s="70">
        <f>'IR CALCULE'!N11</f>
        <v>222.50227199999995</v>
      </c>
      <c r="Q11" s="70">
        <f t="shared" si="4"/>
        <v>-1.1368683772161603E-12</v>
      </c>
    </row>
  </sheetData>
  <mergeCells count="1">
    <mergeCell ref="C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workbookViewId="0">
      <selection activeCell="I273" sqref="I273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13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15">
        <v>1</v>
      </c>
      <c r="B3" s="111" t="s">
        <v>33</v>
      </c>
      <c r="C3" s="111"/>
      <c r="D3" s="111"/>
      <c r="E3" s="111"/>
      <c r="F3" s="111"/>
      <c r="G3" s="113">
        <v>42370</v>
      </c>
      <c r="H3" s="113"/>
      <c r="I3" s="113"/>
      <c r="J3" s="113">
        <v>42399</v>
      </c>
      <c r="K3" s="113"/>
      <c r="L3" s="113"/>
    </row>
    <row r="4" spans="1:12" x14ac:dyDescent="0.25">
      <c r="A4" s="13" t="s">
        <v>34</v>
      </c>
      <c r="B4" s="13" t="s">
        <v>35</v>
      </c>
      <c r="C4" s="13" t="s">
        <v>36</v>
      </c>
      <c r="D4" s="13" t="s">
        <v>37</v>
      </c>
      <c r="E4" s="13" t="s">
        <v>38</v>
      </c>
      <c r="F4" s="13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15"/>
      <c r="C5" s="17">
        <v>24624</v>
      </c>
      <c r="D5" s="15" t="s">
        <v>41</v>
      </c>
      <c r="E5" s="15">
        <v>0</v>
      </c>
      <c r="F5" s="15">
        <v>0</v>
      </c>
      <c r="G5" s="111"/>
      <c r="H5" s="111"/>
      <c r="I5" s="111"/>
      <c r="J5" s="111"/>
      <c r="K5" s="111"/>
      <c r="L5" s="111"/>
    </row>
    <row r="6" spans="1:12" x14ac:dyDescent="0.25">
      <c r="A6" s="13" t="s">
        <v>42</v>
      </c>
      <c r="B6" s="13" t="s">
        <v>43</v>
      </c>
      <c r="C6" s="13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15">
        <v>189838836</v>
      </c>
      <c r="B7" s="15"/>
      <c r="C7" s="15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612.79650000000004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2.4138888888888888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17868.726500000001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12868.726500000001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9423.0314861000006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9423.0314861000006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1770.4973719406673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1-0.53</f>
        <v>0.47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13" t="s">
        <v>95</v>
      </c>
      <c r="B55" s="13" t="s">
        <v>96</v>
      </c>
      <c r="C55" s="13" t="s">
        <v>97</v>
      </c>
      <c r="D55" s="103" t="s">
        <v>98</v>
      </c>
      <c r="E55" s="103"/>
      <c r="F55" s="103"/>
      <c r="G55" s="13" t="s">
        <v>99</v>
      </c>
      <c r="H55" s="50"/>
      <c r="I55" s="51">
        <f>I32+I53</f>
        <v>17869.196500000002</v>
      </c>
      <c r="J55" s="51">
        <f>J43+J50+J51+J52</f>
        <v>2716.1923858406672</v>
      </c>
      <c r="K55" s="13" t="s">
        <v>100</v>
      </c>
      <c r="L55" s="51">
        <f>L43</f>
        <v>2354.57730915</v>
      </c>
    </row>
    <row r="56" spans="1:12" x14ac:dyDescent="0.25">
      <c r="A56" s="51">
        <f>156411.11+I32</f>
        <v>174279.83649999998</v>
      </c>
      <c r="B56" s="51">
        <f>111411.11+I33</f>
        <v>124279.8365</v>
      </c>
      <c r="C56" s="51">
        <f>2419.2+J34</f>
        <v>2688</v>
      </c>
      <c r="D56" s="102">
        <f>14978.83+J50</f>
        <v>16749.327371940668</v>
      </c>
      <c r="E56" s="102"/>
      <c r="F56" s="102"/>
      <c r="G56" s="51">
        <f>133157+I55</f>
        <v>151026.19649999999</v>
      </c>
      <c r="H56" s="103" t="s">
        <v>101</v>
      </c>
      <c r="I56" s="103"/>
      <c r="J56" s="51">
        <f>I55-J55</f>
        <v>15153.004114159336</v>
      </c>
      <c r="K56" s="13" t="s">
        <v>102</v>
      </c>
      <c r="L56" s="51">
        <f>20499.47+L55</f>
        <v>22854.047309150003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14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16">
        <v>3</v>
      </c>
      <c r="B63" s="111" t="s">
        <v>104</v>
      </c>
      <c r="C63" s="111"/>
      <c r="D63" s="111"/>
      <c r="E63" s="111"/>
      <c r="F63" s="111"/>
      <c r="G63" s="113">
        <v>42370</v>
      </c>
      <c r="H63" s="113"/>
      <c r="I63" s="113"/>
      <c r="J63" s="113">
        <v>42399</v>
      </c>
      <c r="K63" s="113"/>
      <c r="L63" s="113"/>
    </row>
    <row r="64" spans="1:12" x14ac:dyDescent="0.25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11"/>
      <c r="H65" s="111"/>
      <c r="I65" s="111"/>
      <c r="J65" s="111"/>
      <c r="K65" s="111"/>
      <c r="L65" s="111"/>
    </row>
    <row r="66" spans="1:12" x14ac:dyDescent="0.25">
      <c r="A66" s="14" t="s">
        <v>42</v>
      </c>
      <c r="B66" s="14" t="s">
        <v>43</v>
      </c>
      <c r="C66" s="14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16">
        <v>141034737</v>
      </c>
      <c r="B67" s="16"/>
      <c r="C67" s="16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1.6083333333333334</v>
      </c>
      <c r="H86" s="31">
        <f>IF(G86&lt;2,0,IF(AND(G86&gt;2,G86&lt;5),[1]Taux!A$33,IF(AND(G86&lt;12,G86&gt;5),[1]Taux!A$34,IF(AND(G86&gt;12,G86&lt;20),[1]Taux!A$35,IF(AND(G86&lt;25,G86&gt;20),[1]Taux!A$36,IF(G86&gt;25,[1]Taux!A$37))))))</f>
        <v>0</v>
      </c>
      <c r="I86" s="23">
        <f>I74*H86</f>
        <v>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106000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100000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I93*H96</f>
        <v>25000</v>
      </c>
      <c r="K96" s="35">
        <v>0.06</v>
      </c>
      <c r="L96" s="23">
        <f>I93*K96</f>
        <v>6000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I93*H100</f>
        <v>2260</v>
      </c>
      <c r="K100" s="34" t="str">
        <f>[1]Taux!C$7</f>
        <v>4,11%</v>
      </c>
      <c r="L100" s="23">
        <f>I93*K100</f>
        <v>4110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69971.199999999997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69971.199999999997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24555.722666666668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24555.722666666668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1-0.42</f>
        <v>0.58000000000000007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14" t="s">
        <v>95</v>
      </c>
      <c r="B115" s="14" t="s">
        <v>96</v>
      </c>
      <c r="C115" s="14" t="s">
        <v>97</v>
      </c>
      <c r="D115" s="103" t="s">
        <v>98</v>
      </c>
      <c r="E115" s="103"/>
      <c r="F115" s="103"/>
      <c r="G115" s="14" t="s">
        <v>99</v>
      </c>
      <c r="H115" s="50"/>
      <c r="I115" s="52">
        <f>I92+I113</f>
        <v>106000.58</v>
      </c>
      <c r="J115" s="52">
        <f>J103+J110+J111+J112</f>
        <v>52084.522666666671</v>
      </c>
      <c r="K115" s="14" t="s">
        <v>100</v>
      </c>
      <c r="L115" s="52">
        <f>L103</f>
        <v>18648.8</v>
      </c>
    </row>
    <row r="116" spans="1:13" x14ac:dyDescent="0.25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02">
        <f>226529.75+J110</f>
        <v>251085.47266666667</v>
      </c>
      <c r="E116" s="102"/>
      <c r="F116" s="102"/>
      <c r="G116" s="52">
        <f>494263.97+I115</f>
        <v>600264.54999999993</v>
      </c>
      <c r="H116" s="103" t="s">
        <v>101</v>
      </c>
      <c r="I116" s="103"/>
      <c r="J116" s="52">
        <f>I115-J115</f>
        <v>53916.05733333333</v>
      </c>
      <c r="K116" s="14" t="s">
        <v>102</v>
      </c>
      <c r="L116" s="52">
        <f>171461.2+L115</f>
        <v>190110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72564.857333333333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13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15">
        <v>4</v>
      </c>
      <c r="B123" s="111" t="s">
        <v>106</v>
      </c>
      <c r="C123" s="111"/>
      <c r="D123" s="111"/>
      <c r="E123" s="111"/>
      <c r="F123" s="111"/>
      <c r="G123" s="113">
        <v>42370</v>
      </c>
      <c r="H123" s="113"/>
      <c r="I123" s="113"/>
      <c r="J123" s="113">
        <v>42399</v>
      </c>
      <c r="K123" s="113"/>
      <c r="L123" s="113"/>
    </row>
    <row r="124" spans="1:13" x14ac:dyDescent="0.25">
      <c r="A124" s="13" t="s">
        <v>34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15"/>
      <c r="C125" s="17">
        <v>28152</v>
      </c>
      <c r="D125" s="15" t="s">
        <v>41</v>
      </c>
      <c r="E125" s="15">
        <v>0</v>
      </c>
      <c r="F125" s="15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13" t="s">
        <v>42</v>
      </c>
      <c r="B126" s="13" t="s">
        <v>43</v>
      </c>
      <c r="C126" s="13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15">
        <v>123952551</v>
      </c>
      <c r="B127" s="15"/>
      <c r="C127" s="15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1.6083333333333334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</v>
      </c>
      <c r="I146" s="23">
        <f>I134*H146</f>
        <v>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96000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90000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40197.199999999997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13241.602666666666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1-0.54</f>
        <v>0.45999999999999996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13" t="s">
        <v>95</v>
      </c>
      <c r="B175" s="13" t="s">
        <v>96</v>
      </c>
      <c r="C175" s="13" t="s">
        <v>97</v>
      </c>
      <c r="D175" s="103" t="s">
        <v>98</v>
      </c>
      <c r="E175" s="103"/>
      <c r="F175" s="103"/>
      <c r="G175" s="13" t="s">
        <v>99</v>
      </c>
      <c r="H175" s="50"/>
      <c r="I175" s="51">
        <f>I152+I173</f>
        <v>96000.46</v>
      </c>
      <c r="J175" s="51">
        <f>J163+J170+J171+J172</f>
        <v>60544.402666666669</v>
      </c>
      <c r="K175" s="13" t="s">
        <v>100</v>
      </c>
      <c r="L175" s="51">
        <f>L163</f>
        <v>16837.8</v>
      </c>
    </row>
    <row r="176" spans="1:12" x14ac:dyDescent="0.25">
      <c r="A176" s="51">
        <f>882000+I152</f>
        <v>978000</v>
      </c>
      <c r="B176" s="51">
        <f>828000+I153</f>
        <v>918000</v>
      </c>
      <c r="C176" s="51">
        <f>2419.2+J154</f>
        <v>2688</v>
      </c>
      <c r="D176" s="102">
        <f>122440.83+J170</f>
        <v>135682.43266666666</v>
      </c>
      <c r="E176" s="102"/>
      <c r="F176" s="102"/>
      <c r="G176" s="51">
        <f>324432+I175</f>
        <v>420432.46</v>
      </c>
      <c r="H176" s="103" t="s">
        <v>101</v>
      </c>
      <c r="I176" s="103"/>
      <c r="J176" s="51">
        <f>I175-J175</f>
        <v>35456.057333333338</v>
      </c>
      <c r="K176" s="13" t="s">
        <v>102</v>
      </c>
      <c r="L176" s="51">
        <f>154800+L175</f>
        <v>171637.8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52293.857333333333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13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15">
        <v>5</v>
      </c>
      <c r="B183" s="111" t="s">
        <v>108</v>
      </c>
      <c r="C183" s="111"/>
      <c r="D183" s="111"/>
      <c r="E183" s="111"/>
      <c r="F183" s="111"/>
      <c r="G183" s="113">
        <v>42370</v>
      </c>
      <c r="H183" s="113"/>
      <c r="I183" s="113"/>
      <c r="J183" s="113">
        <v>42399</v>
      </c>
      <c r="K183" s="113"/>
      <c r="L183" s="113"/>
    </row>
    <row r="184" spans="1:12" x14ac:dyDescent="0.25">
      <c r="A184" s="13" t="s">
        <v>34</v>
      </c>
      <c r="B184" s="13" t="s">
        <v>35</v>
      </c>
      <c r="C184" s="13" t="s">
        <v>36</v>
      </c>
      <c r="D184" s="13" t="s">
        <v>37</v>
      </c>
      <c r="E184" s="13" t="s">
        <v>38</v>
      </c>
      <c r="F184" s="13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15"/>
      <c r="C185" s="17">
        <v>21792</v>
      </c>
      <c r="D185" s="15" t="s">
        <v>41</v>
      </c>
      <c r="E185" s="15">
        <v>2</v>
      </c>
      <c r="F185" s="15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13" t="s">
        <v>42</v>
      </c>
      <c r="B186" s="13" t="s">
        <v>43</v>
      </c>
      <c r="C186" s="13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15">
        <v>132944135</v>
      </c>
      <c r="B187" s="15"/>
      <c r="C187" s="15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0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1.6083333333333334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17125.57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12125.57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9157.6181180000003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1590.256826786667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1-0.04</f>
        <v>0.96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13" t="s">
        <v>95</v>
      </c>
      <c r="B235" s="13" t="s">
        <v>96</v>
      </c>
      <c r="C235" s="13" t="s">
        <v>97</v>
      </c>
      <c r="D235" s="103" t="s">
        <v>98</v>
      </c>
      <c r="E235" s="103"/>
      <c r="F235" s="103"/>
      <c r="G235" s="13" t="s">
        <v>99</v>
      </c>
      <c r="H235" s="50"/>
      <c r="I235" s="51">
        <f>I212+I233</f>
        <v>17126.53</v>
      </c>
      <c r="J235" s="51">
        <f>J223+J230+J231+J232</f>
        <v>2133.0947087866671</v>
      </c>
      <c r="K235" s="13" t="s">
        <v>100</v>
      </c>
      <c r="L235" s="51">
        <f>L223</f>
        <v>2007.2065269999998</v>
      </c>
    </row>
    <row r="236" spans="1:12" x14ac:dyDescent="0.25">
      <c r="A236" s="51">
        <f>156555.24+I212</f>
        <v>173680.81</v>
      </c>
      <c r="B236" s="51">
        <f>111555.24+I213</f>
        <v>123680.81</v>
      </c>
      <c r="C236" s="51">
        <f>2419.2+J214</f>
        <v>2688</v>
      </c>
      <c r="D236" s="102">
        <f>15016.37+J230</f>
        <v>16606.626826786669</v>
      </c>
      <c r="E236" s="102"/>
      <c r="F236" s="102"/>
      <c r="G236" s="51">
        <f>136602.47+I235</f>
        <v>153729</v>
      </c>
      <c r="H236" s="103" t="s">
        <v>101</v>
      </c>
      <c r="I236" s="103"/>
      <c r="J236" s="51">
        <f>I235-J235</f>
        <v>14993.435291213333</v>
      </c>
      <c r="K236" s="13" t="s">
        <v>102</v>
      </c>
      <c r="L236" s="51">
        <f>20589.65+L235</f>
        <v>22596.856527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17000.641818213331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13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15">
        <v>6</v>
      </c>
      <c r="B243" s="111" t="s">
        <v>110</v>
      </c>
      <c r="C243" s="111"/>
      <c r="D243" s="111"/>
      <c r="E243" s="111"/>
      <c r="F243" s="111"/>
      <c r="G243" s="113">
        <v>42370</v>
      </c>
      <c r="H243" s="113"/>
      <c r="I243" s="113"/>
      <c r="J243" s="113">
        <v>42399</v>
      </c>
      <c r="K243" s="113"/>
      <c r="L243" s="113"/>
    </row>
    <row r="244" spans="1:12" x14ac:dyDescent="0.25">
      <c r="A244" s="13" t="s">
        <v>34</v>
      </c>
      <c r="B244" s="13" t="s">
        <v>35</v>
      </c>
      <c r="C244" s="13" t="s">
        <v>36</v>
      </c>
      <c r="D244" s="13" t="s">
        <v>37</v>
      </c>
      <c r="E244" s="13" t="s">
        <v>38</v>
      </c>
      <c r="F244" s="13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15"/>
      <c r="C245" s="17">
        <v>31573</v>
      </c>
      <c r="D245" s="15" t="s">
        <v>111</v>
      </c>
      <c r="E245" s="15">
        <v>0</v>
      </c>
      <c r="F245" s="15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13" t="s">
        <v>42</v>
      </c>
      <c r="B246" s="13" t="s">
        <v>43</v>
      </c>
      <c r="C246" s="13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15">
        <v>195441186</v>
      </c>
      <c r="B247" s="15"/>
      <c r="C247" s="15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2895.13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0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1.5249999999999999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3195.13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2895.13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2120.9722380000003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0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13" t="s">
        <v>95</v>
      </c>
      <c r="B295" s="13" t="s">
        <v>96</v>
      </c>
      <c r="C295" s="13" t="s">
        <v>97</v>
      </c>
      <c r="D295" s="103" t="s">
        <v>98</v>
      </c>
      <c r="E295" s="103"/>
      <c r="F295" s="103"/>
      <c r="G295" s="13" t="s">
        <v>99</v>
      </c>
      <c r="H295" s="50"/>
      <c r="I295" s="51">
        <f>I272+I293</f>
        <v>3195.13</v>
      </c>
      <c r="J295" s="51">
        <f>J283+J290+J291+J292</f>
        <v>195.13176200000001</v>
      </c>
      <c r="K295" s="13" t="s">
        <v>100</v>
      </c>
      <c r="L295" s="51">
        <f>L283</f>
        <v>668.48551699999996</v>
      </c>
    </row>
    <row r="296" spans="1:12" x14ac:dyDescent="0.25">
      <c r="A296" s="51">
        <f>32114.9+I272</f>
        <v>35310.03</v>
      </c>
      <c r="B296" s="51">
        <f>29414.9+I273</f>
        <v>32310.030000000002</v>
      </c>
      <c r="C296" s="51">
        <f>1317.78+J274</f>
        <v>1447.481824</v>
      </c>
      <c r="D296" s="102">
        <f>132.35+J290</f>
        <v>132.35</v>
      </c>
      <c r="E296" s="102"/>
      <c r="F296" s="102"/>
      <c r="G296" s="51">
        <f>30000+I295</f>
        <v>33195.129999999997</v>
      </c>
      <c r="H296" s="103" t="s">
        <v>101</v>
      </c>
      <c r="I296" s="103"/>
      <c r="J296" s="51">
        <f>I295-J295</f>
        <v>2999.9982380000001</v>
      </c>
      <c r="K296" s="13" t="s">
        <v>102</v>
      </c>
      <c r="L296" s="51">
        <f>5864.92+L295</f>
        <v>6533.4055170000001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13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15">
        <v>7</v>
      </c>
      <c r="B303" s="111" t="s">
        <v>112</v>
      </c>
      <c r="C303" s="111"/>
      <c r="D303" s="111"/>
      <c r="E303" s="111"/>
      <c r="F303" s="111"/>
      <c r="G303" s="113">
        <v>42370</v>
      </c>
      <c r="H303" s="113"/>
      <c r="I303" s="113"/>
      <c r="J303" s="113">
        <v>42399</v>
      </c>
      <c r="K303" s="113"/>
      <c r="L303" s="113"/>
    </row>
    <row r="304" spans="1:12" x14ac:dyDescent="0.25">
      <c r="A304" s="13" t="s">
        <v>34</v>
      </c>
      <c r="B304" s="13" t="s">
        <v>35</v>
      </c>
      <c r="C304" s="13" t="s">
        <v>36</v>
      </c>
      <c r="D304" s="13" t="s">
        <v>37</v>
      </c>
      <c r="E304" s="13" t="s">
        <v>38</v>
      </c>
      <c r="F304" s="13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15"/>
      <c r="C305" s="17">
        <v>34565</v>
      </c>
      <c r="D305" s="15" t="s">
        <v>111</v>
      </c>
      <c r="E305" s="15">
        <v>0</v>
      </c>
      <c r="F305" s="15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13" t="s">
        <v>42</v>
      </c>
      <c r="B306" s="13" t="s">
        <v>43</v>
      </c>
      <c r="C306" s="13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15">
        <v>168098097</v>
      </c>
      <c r="B307" s="15"/>
      <c r="C307" s="15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1.0138888888888888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1000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13" t="s">
        <v>95</v>
      </c>
      <c r="B355" s="13" t="s">
        <v>96</v>
      </c>
      <c r="C355" s="13" t="s">
        <v>97</v>
      </c>
      <c r="D355" s="103" t="s">
        <v>98</v>
      </c>
      <c r="E355" s="103"/>
      <c r="F355" s="103"/>
      <c r="G355" s="13" t="s">
        <v>99</v>
      </c>
      <c r="H355" s="50"/>
      <c r="I355" s="51">
        <f>I332+I353</f>
        <v>2808.25</v>
      </c>
      <c r="J355" s="51">
        <f>J343+J350+J351+J352</f>
        <v>1189.2457200000001</v>
      </c>
      <c r="K355" s="13" t="s">
        <v>100</v>
      </c>
      <c r="L355" s="51">
        <f>L343</f>
        <v>648.32101999999998</v>
      </c>
    </row>
    <row r="356" spans="1:12" x14ac:dyDescent="0.25">
      <c r="A356" s="51">
        <f>25270.2+I332</f>
        <v>28078</v>
      </c>
      <c r="B356" s="51">
        <f>25270.2+I333</f>
        <v>28078</v>
      </c>
      <c r="C356" s="51">
        <f>1132.11+J334</f>
        <v>1257.8994399999999</v>
      </c>
      <c r="D356" s="102">
        <f>0+J350</f>
        <v>0</v>
      </c>
      <c r="E356" s="102"/>
      <c r="F356" s="102"/>
      <c r="G356" s="51">
        <f>17071.02+I355</f>
        <v>19879.27</v>
      </c>
      <c r="H356" s="103" t="s">
        <v>101</v>
      </c>
      <c r="I356" s="103"/>
      <c r="J356" s="51">
        <f>I355-J355</f>
        <v>1619.0042799999999</v>
      </c>
      <c r="K356" s="13" t="s">
        <v>102</v>
      </c>
      <c r="L356" s="51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13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15">
        <v>8</v>
      </c>
      <c r="B363" s="111" t="s">
        <v>113</v>
      </c>
      <c r="C363" s="111"/>
      <c r="D363" s="111"/>
      <c r="E363" s="111"/>
      <c r="F363" s="111"/>
      <c r="G363" s="113">
        <v>42370</v>
      </c>
      <c r="H363" s="113"/>
      <c r="I363" s="113"/>
      <c r="J363" s="113">
        <v>42400</v>
      </c>
      <c r="K363" s="113"/>
      <c r="L363" s="113"/>
    </row>
    <row r="364" spans="1:12" x14ac:dyDescent="0.25">
      <c r="A364" s="13" t="s">
        <v>34</v>
      </c>
      <c r="B364" s="13" t="s">
        <v>35</v>
      </c>
      <c r="C364" s="13" t="s">
        <v>36</v>
      </c>
      <c r="D364" s="13" t="s">
        <v>37</v>
      </c>
      <c r="E364" s="13" t="s">
        <v>38</v>
      </c>
      <c r="F364" s="13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15"/>
      <c r="C365" s="17">
        <v>33665</v>
      </c>
      <c r="D365" s="15" t="s">
        <v>111</v>
      </c>
      <c r="E365" s="15">
        <v>0</v>
      </c>
      <c r="F365" s="15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13" t="s">
        <v>42</v>
      </c>
      <c r="B366" s="13" t="s">
        <v>43</v>
      </c>
      <c r="C366" s="13" t="s">
        <v>44</v>
      </c>
      <c r="D366" s="103" t="s">
        <v>45</v>
      </c>
      <c r="E366" s="103"/>
      <c r="F366" s="103"/>
      <c r="G366" s="103" t="s">
        <v>46</v>
      </c>
      <c r="H366" s="103"/>
      <c r="I366" s="103"/>
      <c r="J366" s="103"/>
      <c r="K366" s="103"/>
      <c r="L366" s="103"/>
    </row>
    <row r="367" spans="1:12" x14ac:dyDescent="0.25">
      <c r="A367" s="15">
        <v>164315198</v>
      </c>
      <c r="B367" s="15"/>
      <c r="C367" s="15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0.25555555555555554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13" t="s">
        <v>95</v>
      </c>
      <c r="B415" s="13" t="s">
        <v>96</v>
      </c>
      <c r="C415" s="13" t="s">
        <v>97</v>
      </c>
      <c r="D415" s="103" t="s">
        <v>98</v>
      </c>
      <c r="E415" s="103"/>
      <c r="F415" s="103"/>
      <c r="G415" s="13" t="s">
        <v>99</v>
      </c>
      <c r="H415" s="50"/>
      <c r="I415" s="51">
        <f>I392+I413</f>
        <v>4265.6000000000004</v>
      </c>
      <c r="J415" s="51">
        <f>J403+J410+J411+J412</f>
        <v>265.60329600000006</v>
      </c>
      <c r="K415" s="13" t="s">
        <v>100</v>
      </c>
      <c r="L415" s="51">
        <f>L403</f>
        <v>846.38704000000007</v>
      </c>
    </row>
    <row r="416" spans="1:12" x14ac:dyDescent="0.25">
      <c r="A416" s="51">
        <f>38390.4+I392</f>
        <v>42656</v>
      </c>
      <c r="B416" s="51">
        <f>32990.4+I393</f>
        <v>36656</v>
      </c>
      <c r="C416" s="51">
        <f>1477.98+J394</f>
        <v>1642.1988800000001</v>
      </c>
      <c r="D416" s="102">
        <f>166.87+J410</f>
        <v>185.411856</v>
      </c>
      <c r="E416" s="102"/>
      <c r="F416" s="102"/>
      <c r="G416" s="51">
        <f>36000+I415</f>
        <v>40265.599999999999</v>
      </c>
      <c r="H416" s="103" t="s">
        <v>101</v>
      </c>
      <c r="I416" s="103"/>
      <c r="J416" s="51">
        <f>I415-J415</f>
        <v>3999.9967040000001</v>
      </c>
      <c r="K416" s="13" t="s">
        <v>102</v>
      </c>
      <c r="L416" s="51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topLeftCell="A6" workbookViewId="0">
      <selection activeCell="A61" sqref="A61:L117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14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16">
        <v>1</v>
      </c>
      <c r="B3" s="111" t="s">
        <v>33</v>
      </c>
      <c r="C3" s="111"/>
      <c r="D3" s="111"/>
      <c r="E3" s="111"/>
      <c r="F3" s="111"/>
      <c r="G3" s="113">
        <v>42401</v>
      </c>
      <c r="H3" s="113"/>
      <c r="I3" s="113"/>
      <c r="J3" s="113">
        <v>42429</v>
      </c>
      <c r="K3" s="113"/>
      <c r="L3" s="113"/>
    </row>
    <row r="4" spans="1:12" x14ac:dyDescent="0.25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11"/>
      <c r="H5" s="111"/>
      <c r="I5" s="111"/>
      <c r="J5" s="111"/>
      <c r="K5" s="111"/>
      <c r="L5" s="111"/>
    </row>
    <row r="6" spans="1:12" x14ac:dyDescent="0.25">
      <c r="A6" s="14" t="s">
        <v>42</v>
      </c>
      <c r="B6" s="14" t="s">
        <v>43</v>
      </c>
      <c r="C6" s="14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16">
        <v>189838836</v>
      </c>
      <c r="B7" s="16"/>
      <c r="C7" s="16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612.79650000000004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2.5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17868.726500000001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12868.726500000001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9423.0314861000006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9423.0314861000006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1770.4973719406673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1-0.53</f>
        <v>0.47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14" t="s">
        <v>95</v>
      </c>
      <c r="B55" s="14" t="s">
        <v>96</v>
      </c>
      <c r="C55" s="14" t="s">
        <v>97</v>
      </c>
      <c r="D55" s="103" t="s">
        <v>98</v>
      </c>
      <c r="E55" s="103"/>
      <c r="F55" s="103"/>
      <c r="G55" s="14" t="s">
        <v>99</v>
      </c>
      <c r="H55" s="50"/>
      <c r="I55" s="52">
        <f>I32+I53</f>
        <v>17869.196500000002</v>
      </c>
      <c r="J55" s="52">
        <f>J43+J50+J51+J52</f>
        <v>2716.1923858406672</v>
      </c>
      <c r="K55" s="14" t="s">
        <v>100</v>
      </c>
      <c r="L55" s="52">
        <f>L43</f>
        <v>2354.57730915</v>
      </c>
    </row>
    <row r="56" spans="1:12" x14ac:dyDescent="0.25">
      <c r="A56" s="52">
        <f>156411.11+I32</f>
        <v>174279.83649999998</v>
      </c>
      <c r="B56" s="52">
        <f>111411.11+I33</f>
        <v>124279.8365</v>
      </c>
      <c r="C56" s="52">
        <f>2419.2+J34</f>
        <v>2688</v>
      </c>
      <c r="D56" s="102">
        <f>14978.83+J50</f>
        <v>16749.327371940668</v>
      </c>
      <c r="E56" s="102"/>
      <c r="F56" s="102"/>
      <c r="G56" s="52">
        <f>133157+I55</f>
        <v>151026.19649999999</v>
      </c>
      <c r="H56" s="103" t="s">
        <v>101</v>
      </c>
      <c r="I56" s="103"/>
      <c r="J56" s="52">
        <f>I55-J55</f>
        <v>15153.004114159336</v>
      </c>
      <c r="K56" s="14" t="s">
        <v>102</v>
      </c>
      <c r="L56" s="52">
        <f>20499.47+L55</f>
        <v>22854.047309150003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14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16">
        <v>3</v>
      </c>
      <c r="B63" s="111" t="s">
        <v>104</v>
      </c>
      <c r="C63" s="111"/>
      <c r="D63" s="111"/>
      <c r="E63" s="111"/>
      <c r="F63" s="111"/>
      <c r="G63" s="113">
        <v>42401</v>
      </c>
      <c r="H63" s="113"/>
      <c r="I63" s="113"/>
      <c r="J63" s="113">
        <v>42429</v>
      </c>
      <c r="K63" s="113"/>
      <c r="L63" s="113"/>
    </row>
    <row r="64" spans="1:12" x14ac:dyDescent="0.25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11"/>
      <c r="H65" s="111"/>
      <c r="I65" s="111"/>
      <c r="J65" s="111"/>
      <c r="K65" s="111"/>
      <c r="L65" s="111"/>
    </row>
    <row r="66" spans="1:12" x14ac:dyDescent="0.25">
      <c r="A66" s="14" t="s">
        <v>42</v>
      </c>
      <c r="B66" s="14" t="s">
        <v>43</v>
      </c>
      <c r="C66" s="14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16">
        <v>141034737</v>
      </c>
      <c r="B67" s="16"/>
      <c r="C67" s="16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1.6944444444444444</v>
      </c>
      <c r="H86" s="31">
        <f>IF(G86&lt;2,0,IF(AND(G86&gt;2,G86&lt;5),[1]Taux!A$33,IF(AND(G86&lt;12,G86&gt;5),[1]Taux!A$34,IF(AND(G86&gt;12,G86&lt;20),[1]Taux!A$35,IF(AND(G86&lt;25,G86&gt;20),[1]Taux!A$36,IF(G86&gt;25,[1]Taux!A$37))))))</f>
        <v>0</v>
      </c>
      <c r="I86" s="23">
        <f>I74*H86</f>
        <v>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106000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100000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I93*H96</f>
        <v>25000</v>
      </c>
      <c r="K96" s="35">
        <v>0.06</v>
      </c>
      <c r="L96" s="23">
        <f>I93*K96</f>
        <v>6000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I93*H100</f>
        <v>2260</v>
      </c>
      <c r="K100" s="34" t="str">
        <f>[1]Taux!C$7</f>
        <v>4,11%</v>
      </c>
      <c r="L100" s="23">
        <f>I93*K100</f>
        <v>4110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69971.199999999997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69971.199999999997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24555.722666666668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24555.722666666668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1-0.48</f>
        <v>0.52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14" t="s">
        <v>95</v>
      </c>
      <c r="B115" s="14" t="s">
        <v>96</v>
      </c>
      <c r="C115" s="14" t="s">
        <v>97</v>
      </c>
      <c r="D115" s="103" t="s">
        <v>98</v>
      </c>
      <c r="E115" s="103"/>
      <c r="F115" s="103"/>
      <c r="G115" s="14" t="s">
        <v>99</v>
      </c>
      <c r="H115" s="50"/>
      <c r="I115" s="52">
        <f>I92+I113</f>
        <v>106000.52</v>
      </c>
      <c r="J115" s="52">
        <f>J103+J110+J111+J112</f>
        <v>52084.522666666671</v>
      </c>
      <c r="K115" s="14" t="s">
        <v>100</v>
      </c>
      <c r="L115" s="52">
        <f>L103</f>
        <v>18648.8</v>
      </c>
    </row>
    <row r="116" spans="1:13" x14ac:dyDescent="0.25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02">
        <f>226529.75+J110</f>
        <v>251085.47266666667</v>
      </c>
      <c r="E116" s="102"/>
      <c r="F116" s="102"/>
      <c r="G116" s="52">
        <f>494263.97+I115</f>
        <v>600264.49</v>
      </c>
      <c r="H116" s="103" t="s">
        <v>101</v>
      </c>
      <c r="I116" s="103"/>
      <c r="J116" s="52">
        <f>I115-J115</f>
        <v>53915.997333333333</v>
      </c>
      <c r="K116" s="14" t="s">
        <v>102</v>
      </c>
      <c r="L116" s="52">
        <f>171461.2+L115</f>
        <v>190110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72564.797333333336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14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16">
        <v>4</v>
      </c>
      <c r="B123" s="111" t="s">
        <v>106</v>
      </c>
      <c r="C123" s="111"/>
      <c r="D123" s="111"/>
      <c r="E123" s="111"/>
      <c r="F123" s="111"/>
      <c r="G123" s="113">
        <v>42401</v>
      </c>
      <c r="H123" s="113"/>
      <c r="I123" s="113"/>
      <c r="J123" s="113">
        <v>42429</v>
      </c>
      <c r="K123" s="113"/>
      <c r="L123" s="113"/>
    </row>
    <row r="124" spans="1:13" x14ac:dyDescent="0.25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14" t="s">
        <v>42</v>
      </c>
      <c r="B126" s="14" t="s">
        <v>43</v>
      </c>
      <c r="C126" s="14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16">
        <v>123952551</v>
      </c>
      <c r="B127" s="16"/>
      <c r="C127" s="16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1.6944444444444444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</v>
      </c>
      <c r="I146" s="23">
        <f>I134*H146</f>
        <v>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96000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90000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40197.199999999997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13241.602666666666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1-0.6</f>
        <v>0.4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14" t="s">
        <v>95</v>
      </c>
      <c r="B175" s="14" t="s">
        <v>96</v>
      </c>
      <c r="C175" s="14" t="s">
        <v>97</v>
      </c>
      <c r="D175" s="103" t="s">
        <v>98</v>
      </c>
      <c r="E175" s="103"/>
      <c r="F175" s="103"/>
      <c r="G175" s="14" t="s">
        <v>99</v>
      </c>
      <c r="H175" s="50"/>
      <c r="I175" s="52">
        <f>I152+I173</f>
        <v>96000.4</v>
      </c>
      <c r="J175" s="52">
        <f>J163+J170+J171+J172</f>
        <v>60544.402666666669</v>
      </c>
      <c r="K175" s="14" t="s">
        <v>100</v>
      </c>
      <c r="L175" s="52">
        <f>L163</f>
        <v>16837.8</v>
      </c>
    </row>
    <row r="176" spans="1:12" x14ac:dyDescent="0.25">
      <c r="A176" s="52">
        <f>882000+I152</f>
        <v>978000</v>
      </c>
      <c r="B176" s="52">
        <f>828000+I153</f>
        <v>918000</v>
      </c>
      <c r="C176" s="52">
        <f>2419.2+J154</f>
        <v>2688</v>
      </c>
      <c r="D176" s="102">
        <f>122440.83+J170</f>
        <v>135682.43266666666</v>
      </c>
      <c r="E176" s="102"/>
      <c r="F176" s="102"/>
      <c r="G176" s="52">
        <f>324432+I175</f>
        <v>420432.4</v>
      </c>
      <c r="H176" s="103" t="s">
        <v>101</v>
      </c>
      <c r="I176" s="103"/>
      <c r="J176" s="52">
        <f>I175-J175</f>
        <v>35455.997333333326</v>
      </c>
      <c r="K176" s="14" t="s">
        <v>102</v>
      </c>
      <c r="L176" s="52">
        <f>154800+L175</f>
        <v>171637.8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52293.797333333321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14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16">
        <v>5</v>
      </c>
      <c r="B183" s="111" t="s">
        <v>108</v>
      </c>
      <c r="C183" s="111"/>
      <c r="D183" s="111"/>
      <c r="E183" s="111"/>
      <c r="F183" s="111"/>
      <c r="G183" s="113">
        <v>42401</v>
      </c>
      <c r="H183" s="113"/>
      <c r="I183" s="113"/>
      <c r="J183" s="113">
        <v>42429</v>
      </c>
      <c r="K183" s="113"/>
      <c r="L183" s="113"/>
    </row>
    <row r="184" spans="1:12" x14ac:dyDescent="0.25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14" t="s">
        <v>42</v>
      </c>
      <c r="B186" s="14" t="s">
        <v>43</v>
      </c>
      <c r="C186" s="14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16">
        <v>132944135</v>
      </c>
      <c r="B187" s="16"/>
      <c r="C187" s="16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0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1.6944444444444444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17125.57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12125.57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9157.6181180000003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1590.256826786667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1-0.98</f>
        <v>2.0000000000000018E-2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14" t="s">
        <v>95</v>
      </c>
      <c r="B235" s="14" t="s">
        <v>96</v>
      </c>
      <c r="C235" s="14" t="s">
        <v>97</v>
      </c>
      <c r="D235" s="103" t="s">
        <v>98</v>
      </c>
      <c r="E235" s="103"/>
      <c r="F235" s="103"/>
      <c r="G235" s="14" t="s">
        <v>99</v>
      </c>
      <c r="H235" s="50"/>
      <c r="I235" s="52">
        <f>I212+I233</f>
        <v>17125.59</v>
      </c>
      <c r="J235" s="52">
        <f>J223+J230+J231+J232</f>
        <v>2133.0947087866671</v>
      </c>
      <c r="K235" s="14" t="s">
        <v>100</v>
      </c>
      <c r="L235" s="52">
        <f>L223</f>
        <v>2007.2065269999998</v>
      </c>
    </row>
    <row r="236" spans="1:12" x14ac:dyDescent="0.25">
      <c r="A236" s="52">
        <f>156555.24+I212</f>
        <v>173680.81</v>
      </c>
      <c r="B236" s="52">
        <f>111555.24+I213</f>
        <v>123680.81</v>
      </c>
      <c r="C236" s="52">
        <f>2419.2+J214</f>
        <v>2688</v>
      </c>
      <c r="D236" s="102">
        <f>15016.37+J230</f>
        <v>16606.626826786669</v>
      </c>
      <c r="E236" s="102"/>
      <c r="F236" s="102"/>
      <c r="G236" s="52">
        <f>136602.47+I235</f>
        <v>153728.06</v>
      </c>
      <c r="H236" s="103" t="s">
        <v>101</v>
      </c>
      <c r="I236" s="103"/>
      <c r="J236" s="52">
        <f>I235-J235</f>
        <v>14992.495291213334</v>
      </c>
      <c r="K236" s="14" t="s">
        <v>102</v>
      </c>
      <c r="L236" s="52">
        <f>20589.65+L235</f>
        <v>22596.856527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16999.701818213332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14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16">
        <v>6</v>
      </c>
      <c r="B243" s="111" t="s">
        <v>110</v>
      </c>
      <c r="C243" s="111"/>
      <c r="D243" s="111"/>
      <c r="E243" s="111"/>
      <c r="F243" s="111"/>
      <c r="G243" s="113">
        <v>42401</v>
      </c>
      <c r="H243" s="113"/>
      <c r="I243" s="113"/>
      <c r="J243" s="113">
        <v>42429</v>
      </c>
      <c r="K243" s="113"/>
      <c r="L243" s="113"/>
    </row>
    <row r="244" spans="1:12" x14ac:dyDescent="0.25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14" t="s">
        <v>42</v>
      </c>
      <c r="B246" s="14" t="s">
        <v>43</v>
      </c>
      <c r="C246" s="14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16">
        <v>195441186</v>
      </c>
      <c r="B247" s="16"/>
      <c r="C247" s="16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2895.13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0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1.6111111111111112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3195.13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2895.13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2120.9722380000003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0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14" t="s">
        <v>95</v>
      </c>
      <c r="B295" s="14" t="s">
        <v>96</v>
      </c>
      <c r="C295" s="14" t="s">
        <v>97</v>
      </c>
      <c r="D295" s="103" t="s">
        <v>98</v>
      </c>
      <c r="E295" s="103"/>
      <c r="F295" s="103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 x14ac:dyDescent="0.25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02">
        <f>132.35+J290</f>
        <v>132.35</v>
      </c>
      <c r="E296" s="102"/>
      <c r="F296" s="102"/>
      <c r="G296" s="52">
        <f>30000+I295</f>
        <v>33195.129999999997</v>
      </c>
      <c r="H296" s="103" t="s">
        <v>101</v>
      </c>
      <c r="I296" s="103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14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16">
        <v>7</v>
      </c>
      <c r="B303" s="111" t="s">
        <v>112</v>
      </c>
      <c r="C303" s="111"/>
      <c r="D303" s="111"/>
      <c r="E303" s="111"/>
      <c r="F303" s="111"/>
      <c r="G303" s="113">
        <v>42401</v>
      </c>
      <c r="H303" s="113"/>
      <c r="I303" s="113"/>
      <c r="J303" s="113">
        <v>42429</v>
      </c>
      <c r="K303" s="113"/>
      <c r="L303" s="113"/>
    </row>
    <row r="304" spans="1:12" x14ac:dyDescent="0.25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14" t="s">
        <v>42</v>
      </c>
      <c r="B306" s="14" t="s">
        <v>43</v>
      </c>
      <c r="C306" s="14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16">
        <v>168098097</v>
      </c>
      <c r="B307" s="16"/>
      <c r="C307" s="16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1.1000000000000001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1000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14" t="s">
        <v>95</v>
      </c>
      <c r="B355" s="14" t="s">
        <v>96</v>
      </c>
      <c r="C355" s="14" t="s">
        <v>97</v>
      </c>
      <c r="D355" s="103" t="s">
        <v>98</v>
      </c>
      <c r="E355" s="103"/>
      <c r="F355" s="103"/>
      <c r="G355" s="14" t="s">
        <v>99</v>
      </c>
      <c r="H355" s="50"/>
      <c r="I355" s="52">
        <f>I332+I353</f>
        <v>2808.25</v>
      </c>
      <c r="J355" s="52">
        <f>J343+J350+J351+J352</f>
        <v>1189.2457200000001</v>
      </c>
      <c r="K355" s="14" t="s">
        <v>100</v>
      </c>
      <c r="L355" s="52">
        <f>L343</f>
        <v>648.32101999999998</v>
      </c>
    </row>
    <row r="356" spans="1:12" x14ac:dyDescent="0.25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02">
        <f>0+J350</f>
        <v>0</v>
      </c>
      <c r="E356" s="102"/>
      <c r="F356" s="102"/>
      <c r="G356" s="52">
        <f>17071.02+I355</f>
        <v>19879.27</v>
      </c>
      <c r="H356" s="103" t="s">
        <v>101</v>
      </c>
      <c r="I356" s="103"/>
      <c r="J356" s="52">
        <f>I355-J355</f>
        <v>1619.0042799999999</v>
      </c>
      <c r="K356" s="14" t="s">
        <v>102</v>
      </c>
      <c r="L356" s="52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14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16">
        <v>8</v>
      </c>
      <c r="B363" s="111" t="s">
        <v>113</v>
      </c>
      <c r="C363" s="111"/>
      <c r="D363" s="111"/>
      <c r="E363" s="111"/>
      <c r="F363" s="111"/>
      <c r="G363" s="113">
        <v>42401</v>
      </c>
      <c r="H363" s="113"/>
      <c r="I363" s="113"/>
      <c r="J363" s="113">
        <v>42429</v>
      </c>
      <c r="K363" s="113"/>
      <c r="L363" s="113"/>
    </row>
    <row r="364" spans="1:12" x14ac:dyDescent="0.25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14" t="s">
        <v>42</v>
      </c>
      <c r="B366" s="14" t="s">
        <v>43</v>
      </c>
      <c r="C366" s="14" t="s">
        <v>44</v>
      </c>
      <c r="D366" s="103" t="s">
        <v>45</v>
      </c>
      <c r="E366" s="103"/>
      <c r="F366" s="103"/>
      <c r="G366" s="103" t="s">
        <v>46</v>
      </c>
      <c r="H366" s="103"/>
      <c r="I366" s="103"/>
      <c r="J366" s="103"/>
      <c r="K366" s="103"/>
      <c r="L366" s="103"/>
    </row>
    <row r="367" spans="1:12" x14ac:dyDescent="0.25">
      <c r="A367" s="16">
        <v>164315198</v>
      </c>
      <c r="B367" s="16"/>
      <c r="C367" s="16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0.34166666666666667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14" t="s">
        <v>95</v>
      </c>
      <c r="B415" s="14" t="s">
        <v>96</v>
      </c>
      <c r="C415" s="14" t="s">
        <v>97</v>
      </c>
      <c r="D415" s="103" t="s">
        <v>98</v>
      </c>
      <c r="E415" s="103"/>
      <c r="F415" s="103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 x14ac:dyDescent="0.25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02">
        <f>166.87+J410</f>
        <v>185.411856</v>
      </c>
      <c r="E416" s="102"/>
      <c r="F416" s="102"/>
      <c r="G416" s="52">
        <f>36000+I415</f>
        <v>40265.599999999999</v>
      </c>
      <c r="H416" s="103" t="s">
        <v>101</v>
      </c>
      <c r="I416" s="103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workbookViewId="0">
      <selection activeCell="G364" sqref="G364:L364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14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16">
        <v>1</v>
      </c>
      <c r="B3" s="111" t="s">
        <v>33</v>
      </c>
      <c r="C3" s="111"/>
      <c r="D3" s="111"/>
      <c r="E3" s="111"/>
      <c r="F3" s="111"/>
      <c r="G3" s="113">
        <v>42430</v>
      </c>
      <c r="H3" s="113"/>
      <c r="I3" s="113"/>
      <c r="J3" s="113">
        <v>42460</v>
      </c>
      <c r="K3" s="113"/>
      <c r="L3" s="113"/>
    </row>
    <row r="4" spans="1:12" x14ac:dyDescent="0.25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11"/>
      <c r="H5" s="111"/>
      <c r="I5" s="111"/>
      <c r="J5" s="111"/>
      <c r="K5" s="111"/>
      <c r="L5" s="111"/>
    </row>
    <row r="6" spans="1:12" x14ac:dyDescent="0.25">
      <c r="A6" s="14" t="s">
        <v>42</v>
      </c>
      <c r="B6" s="14" t="s">
        <v>43</v>
      </c>
      <c r="C6" s="14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16">
        <v>189838836</v>
      </c>
      <c r="B7" s="16"/>
      <c r="C7" s="16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612.79650000000004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2.5805555555555557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17868.726500000001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12868.726500000001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9423.0314861000006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9423.0314861000006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1770.4973719406673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1-0.53</f>
        <v>0.47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14" t="s">
        <v>95</v>
      </c>
      <c r="B55" s="14" t="s">
        <v>96</v>
      </c>
      <c r="C55" s="14" t="s">
        <v>97</v>
      </c>
      <c r="D55" s="103" t="s">
        <v>98</v>
      </c>
      <c r="E55" s="103"/>
      <c r="F55" s="103"/>
      <c r="G55" s="14" t="s">
        <v>99</v>
      </c>
      <c r="H55" s="50"/>
      <c r="I55" s="52">
        <f>I32+I53</f>
        <v>17869.196500000002</v>
      </c>
      <c r="J55" s="52">
        <f>J43+J50+J51+J52</f>
        <v>2716.1923858406672</v>
      </c>
      <c r="K55" s="14" t="s">
        <v>100</v>
      </c>
      <c r="L55" s="52">
        <f>L43</f>
        <v>2354.57730915</v>
      </c>
    </row>
    <row r="56" spans="1:12" x14ac:dyDescent="0.25">
      <c r="A56" s="52">
        <f>156411.11+I32</f>
        <v>174279.83649999998</v>
      </c>
      <c r="B56" s="52">
        <f>111411.11+I33</f>
        <v>124279.8365</v>
      </c>
      <c r="C56" s="52">
        <f>2419.2+J34</f>
        <v>2688</v>
      </c>
      <c r="D56" s="102">
        <f>14978.83+J50</f>
        <v>16749.327371940668</v>
      </c>
      <c r="E56" s="102"/>
      <c r="F56" s="102"/>
      <c r="G56" s="52">
        <f>133157+I55</f>
        <v>151026.19649999999</v>
      </c>
      <c r="H56" s="103" t="s">
        <v>101</v>
      </c>
      <c r="I56" s="103"/>
      <c r="J56" s="52">
        <f>I55-J55</f>
        <v>15153.004114159336</v>
      </c>
      <c r="K56" s="14" t="s">
        <v>102</v>
      </c>
      <c r="L56" s="52">
        <f>20499.47+L55</f>
        <v>22854.047309150003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14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16">
        <v>3</v>
      </c>
      <c r="B63" s="111" t="s">
        <v>104</v>
      </c>
      <c r="C63" s="111"/>
      <c r="D63" s="111"/>
      <c r="E63" s="111"/>
      <c r="F63" s="111"/>
      <c r="G63" s="113">
        <v>42430</v>
      </c>
      <c r="H63" s="113"/>
      <c r="I63" s="113"/>
      <c r="J63" s="113">
        <v>42460</v>
      </c>
      <c r="K63" s="113"/>
      <c r="L63" s="113"/>
    </row>
    <row r="64" spans="1:12" x14ac:dyDescent="0.25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11"/>
      <c r="H65" s="111"/>
      <c r="I65" s="111"/>
      <c r="J65" s="111"/>
      <c r="K65" s="111"/>
      <c r="L65" s="111"/>
    </row>
    <row r="66" spans="1:12" x14ac:dyDescent="0.25">
      <c r="A66" s="14" t="s">
        <v>42</v>
      </c>
      <c r="B66" s="14" t="s">
        <v>43</v>
      </c>
      <c r="C66" s="14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16">
        <v>141034737</v>
      </c>
      <c r="B67" s="16"/>
      <c r="C67" s="16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1.7749999999999999</v>
      </c>
      <c r="H86" s="31">
        <f>IF(G86&lt;2,0,IF(AND(G86&gt;2,G86&lt;5),[1]Taux!A$33,IF(AND(G86&lt;12,G86&gt;5),[1]Taux!A$34,IF(AND(G86&gt;12,G86&lt;20),[1]Taux!A$35,IF(AND(G86&lt;25,G86&gt;20),[1]Taux!A$36,IF(G86&gt;25,[1]Taux!A$37))))))</f>
        <v>0</v>
      </c>
      <c r="I86" s="23">
        <f>I74*H86</f>
        <v>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106000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100000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I93*H96</f>
        <v>25000</v>
      </c>
      <c r="K96" s="35">
        <v>0.06</v>
      </c>
      <c r="L96" s="23">
        <f>I93*K96</f>
        <v>6000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I93*H100</f>
        <v>2260</v>
      </c>
      <c r="K100" s="34" t="str">
        <f>[1]Taux!C$7</f>
        <v>4,11%</v>
      </c>
      <c r="L100" s="23">
        <f>I93*K100</f>
        <v>4110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69971.199999999997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69971.199999999997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24555.722666666668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24555.722666666668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1-0.48</f>
        <v>0.52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14" t="s">
        <v>95</v>
      </c>
      <c r="B115" s="14" t="s">
        <v>96</v>
      </c>
      <c r="C115" s="14" t="s">
        <v>97</v>
      </c>
      <c r="D115" s="103" t="s">
        <v>98</v>
      </c>
      <c r="E115" s="103"/>
      <c r="F115" s="103"/>
      <c r="G115" s="14" t="s">
        <v>99</v>
      </c>
      <c r="H115" s="50"/>
      <c r="I115" s="52">
        <f>I92+I113</f>
        <v>106000.52</v>
      </c>
      <c r="J115" s="52">
        <f>J103+J110+J111+J112</f>
        <v>52084.522666666671</v>
      </c>
      <c r="K115" s="14" t="s">
        <v>100</v>
      </c>
      <c r="L115" s="52">
        <f>L103</f>
        <v>18648.8</v>
      </c>
    </row>
    <row r="116" spans="1:13" x14ac:dyDescent="0.25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02">
        <f>226529.75+J110</f>
        <v>251085.47266666667</v>
      </c>
      <c r="E116" s="102"/>
      <c r="F116" s="102"/>
      <c r="G116" s="52">
        <f>494263.97+I115</f>
        <v>600264.49</v>
      </c>
      <c r="H116" s="103" t="s">
        <v>101</v>
      </c>
      <c r="I116" s="103"/>
      <c r="J116" s="52">
        <f>I115-J115</f>
        <v>53915.997333333333</v>
      </c>
      <c r="K116" s="14" t="s">
        <v>102</v>
      </c>
      <c r="L116" s="52">
        <f>171461.2+L115</f>
        <v>190110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72564.797333333336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14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16">
        <v>4</v>
      </c>
      <c r="B123" s="111" t="s">
        <v>106</v>
      </c>
      <c r="C123" s="111"/>
      <c r="D123" s="111"/>
      <c r="E123" s="111"/>
      <c r="F123" s="111"/>
      <c r="G123" s="113">
        <v>42430</v>
      </c>
      <c r="H123" s="113"/>
      <c r="I123" s="113"/>
      <c r="J123" s="113">
        <v>42460</v>
      </c>
      <c r="K123" s="113"/>
      <c r="L123" s="113"/>
    </row>
    <row r="124" spans="1:13" x14ac:dyDescent="0.25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14" t="s">
        <v>42</v>
      </c>
      <c r="B126" s="14" t="s">
        <v>43</v>
      </c>
      <c r="C126" s="14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16">
        <v>123952551</v>
      </c>
      <c r="B127" s="16"/>
      <c r="C127" s="16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1.7749999999999999</v>
      </c>
      <c r="H146" s="31">
        <f>IF(G146&lt;2,0,IF(AND(G146&gt;2,G146&lt;5),[1]Taux!A$33,IF(AND(G146&lt;12,G146&gt;5),[1]Taux!A$34,IF(AND(G146&gt;12,G146&lt;20),[1]Taux!A$35,IF(AND(G146&lt;25,G146&gt;20),[1]Taux!A$36,IF(G146&gt;25,[1]Taux!A$37))))))</f>
        <v>0</v>
      </c>
      <c r="I146" s="23">
        <f>I134*H146</f>
        <v>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96000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90000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40197.199999999997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13241.602666666666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1-0.6</f>
        <v>0.4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14" t="s">
        <v>95</v>
      </c>
      <c r="B175" s="14" t="s">
        <v>96</v>
      </c>
      <c r="C175" s="14" t="s">
        <v>97</v>
      </c>
      <c r="D175" s="103" t="s">
        <v>98</v>
      </c>
      <c r="E175" s="103"/>
      <c r="F175" s="103"/>
      <c r="G175" s="14" t="s">
        <v>99</v>
      </c>
      <c r="H175" s="50"/>
      <c r="I175" s="52">
        <f>I152+I173</f>
        <v>96000.4</v>
      </c>
      <c r="J175" s="52">
        <f>J163+J170+J171+J172</f>
        <v>60544.402666666669</v>
      </c>
      <c r="K175" s="14" t="s">
        <v>100</v>
      </c>
      <c r="L175" s="52">
        <f>L163</f>
        <v>16837.8</v>
      </c>
    </row>
    <row r="176" spans="1:12" x14ac:dyDescent="0.25">
      <c r="A176" s="52">
        <f>882000+I152</f>
        <v>978000</v>
      </c>
      <c r="B176" s="52">
        <f>828000+I153</f>
        <v>918000</v>
      </c>
      <c r="C176" s="52">
        <f>2419.2+J154</f>
        <v>2688</v>
      </c>
      <c r="D176" s="102">
        <f>122440.83+J170</f>
        <v>135682.43266666666</v>
      </c>
      <c r="E176" s="102"/>
      <c r="F176" s="102"/>
      <c r="G176" s="52">
        <f>324432+I175</f>
        <v>420432.4</v>
      </c>
      <c r="H176" s="103" t="s">
        <v>101</v>
      </c>
      <c r="I176" s="103"/>
      <c r="J176" s="52">
        <f>I175-J175</f>
        <v>35455.997333333326</v>
      </c>
      <c r="K176" s="14" t="s">
        <v>102</v>
      </c>
      <c r="L176" s="52">
        <f>154800+L175</f>
        <v>171637.8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52293.797333333321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14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16">
        <v>5</v>
      </c>
      <c r="B183" s="111" t="s">
        <v>108</v>
      </c>
      <c r="C183" s="111"/>
      <c r="D183" s="111"/>
      <c r="E183" s="111"/>
      <c r="F183" s="111"/>
      <c r="G183" s="113">
        <v>42430</v>
      </c>
      <c r="H183" s="113"/>
      <c r="I183" s="113"/>
      <c r="J183" s="113">
        <v>42460</v>
      </c>
      <c r="K183" s="113"/>
      <c r="L183" s="113"/>
    </row>
    <row r="184" spans="1:12" x14ac:dyDescent="0.25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14" t="s">
        <v>42</v>
      </c>
      <c r="B186" s="14" t="s">
        <v>43</v>
      </c>
      <c r="C186" s="14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16">
        <v>132944135</v>
      </c>
      <c r="B187" s="16"/>
      <c r="C187" s="16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0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1.7749999999999999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17125.57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12125.57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9157.6181180000003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1590.256826786667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1-0.98</f>
        <v>2.0000000000000018E-2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14" t="s">
        <v>95</v>
      </c>
      <c r="B235" s="14" t="s">
        <v>96</v>
      </c>
      <c r="C235" s="14" t="s">
        <v>97</v>
      </c>
      <c r="D235" s="103" t="s">
        <v>98</v>
      </c>
      <c r="E235" s="103"/>
      <c r="F235" s="103"/>
      <c r="G235" s="14" t="s">
        <v>99</v>
      </c>
      <c r="H235" s="50"/>
      <c r="I235" s="52">
        <f>I212+I233</f>
        <v>17125.59</v>
      </c>
      <c r="J235" s="52">
        <f>J223+J230+J231+J232</f>
        <v>2133.0947087866671</v>
      </c>
      <c r="K235" s="14" t="s">
        <v>100</v>
      </c>
      <c r="L235" s="52">
        <f>L223</f>
        <v>2007.2065269999998</v>
      </c>
    </row>
    <row r="236" spans="1:12" x14ac:dyDescent="0.25">
      <c r="A236" s="52">
        <f>156555.24+I212</f>
        <v>173680.81</v>
      </c>
      <c r="B236" s="52">
        <f>111555.24+I213</f>
        <v>123680.81</v>
      </c>
      <c r="C236" s="52">
        <f>2419.2+J214</f>
        <v>2688</v>
      </c>
      <c r="D236" s="102">
        <f>15016.37+J230</f>
        <v>16606.626826786669</v>
      </c>
      <c r="E236" s="102"/>
      <c r="F236" s="102"/>
      <c r="G236" s="52">
        <f>136602.47+I235</f>
        <v>153728.06</v>
      </c>
      <c r="H236" s="103" t="s">
        <v>101</v>
      </c>
      <c r="I236" s="103"/>
      <c r="J236" s="52">
        <f>I235-J235</f>
        <v>14992.495291213334</v>
      </c>
      <c r="K236" s="14" t="s">
        <v>102</v>
      </c>
      <c r="L236" s="52">
        <f>20589.65+L235</f>
        <v>22596.856527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16999.701818213332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14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16">
        <v>6</v>
      </c>
      <c r="B243" s="111" t="s">
        <v>110</v>
      </c>
      <c r="C243" s="111"/>
      <c r="D243" s="111"/>
      <c r="E243" s="111"/>
      <c r="F243" s="111"/>
      <c r="G243" s="113">
        <v>42430</v>
      </c>
      <c r="H243" s="113"/>
      <c r="I243" s="113"/>
      <c r="J243" s="113">
        <v>42460</v>
      </c>
      <c r="K243" s="113"/>
      <c r="L243" s="113"/>
    </row>
    <row r="244" spans="1:12" x14ac:dyDescent="0.25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14" t="s">
        <v>42</v>
      </c>
      <c r="B246" s="14" t="s">
        <v>43</v>
      </c>
      <c r="C246" s="14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16">
        <v>195441186</v>
      </c>
      <c r="B247" s="16"/>
      <c r="C247" s="16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2895.13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0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1.6916666666666667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3195.13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2895.13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2120.9722380000003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0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14" t="s">
        <v>95</v>
      </c>
      <c r="B295" s="14" t="s">
        <v>96</v>
      </c>
      <c r="C295" s="14" t="s">
        <v>97</v>
      </c>
      <c r="D295" s="103" t="s">
        <v>98</v>
      </c>
      <c r="E295" s="103"/>
      <c r="F295" s="103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 x14ac:dyDescent="0.25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02">
        <f>132.35+J290</f>
        <v>132.35</v>
      </c>
      <c r="E296" s="102"/>
      <c r="F296" s="102"/>
      <c r="G296" s="52">
        <f>30000+I295</f>
        <v>33195.129999999997</v>
      </c>
      <c r="H296" s="103" t="s">
        <v>101</v>
      </c>
      <c r="I296" s="103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14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16">
        <v>7</v>
      </c>
      <c r="B303" s="111" t="s">
        <v>112</v>
      </c>
      <c r="C303" s="111"/>
      <c r="D303" s="111"/>
      <c r="E303" s="111"/>
      <c r="F303" s="111"/>
      <c r="G303" s="113">
        <v>42430</v>
      </c>
      <c r="H303" s="113"/>
      <c r="I303" s="113"/>
      <c r="J303" s="113">
        <v>42460</v>
      </c>
      <c r="K303" s="113"/>
      <c r="L303" s="113"/>
    </row>
    <row r="304" spans="1:12" x14ac:dyDescent="0.25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14" t="s">
        <v>42</v>
      </c>
      <c r="B306" s="14" t="s">
        <v>43</v>
      </c>
      <c r="C306" s="14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16">
        <v>168098097</v>
      </c>
      <c r="B307" s="16"/>
      <c r="C307" s="16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1.1805555555555556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1000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14" t="s">
        <v>95</v>
      </c>
      <c r="B355" s="14" t="s">
        <v>96</v>
      </c>
      <c r="C355" s="14" t="s">
        <v>97</v>
      </c>
      <c r="D355" s="103" t="s">
        <v>98</v>
      </c>
      <c r="E355" s="103"/>
      <c r="F355" s="103"/>
      <c r="G355" s="14" t="s">
        <v>99</v>
      </c>
      <c r="H355" s="50"/>
      <c r="I355" s="52">
        <f>I332+I353</f>
        <v>2808.25</v>
      </c>
      <c r="J355" s="52">
        <f>J343+J350+J351+J352</f>
        <v>1189.2457200000001</v>
      </c>
      <c r="K355" s="14" t="s">
        <v>100</v>
      </c>
      <c r="L355" s="52">
        <f>L343</f>
        <v>648.32101999999998</v>
      </c>
    </row>
    <row r="356" spans="1:12" x14ac:dyDescent="0.25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02">
        <f>0+J350</f>
        <v>0</v>
      </c>
      <c r="E356" s="102"/>
      <c r="F356" s="102"/>
      <c r="G356" s="52">
        <f>17071.02+I355</f>
        <v>19879.27</v>
      </c>
      <c r="H356" s="103" t="s">
        <v>101</v>
      </c>
      <c r="I356" s="103"/>
      <c r="J356" s="52">
        <f>I355-J355</f>
        <v>1619.0042799999999</v>
      </c>
      <c r="K356" s="14" t="s">
        <v>102</v>
      </c>
      <c r="L356" s="52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2267.3253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14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16">
        <v>8</v>
      </c>
      <c r="B363" s="111" t="s">
        <v>113</v>
      </c>
      <c r="C363" s="111"/>
      <c r="D363" s="111"/>
      <c r="E363" s="111"/>
      <c r="F363" s="111"/>
      <c r="G363" s="113">
        <v>42430</v>
      </c>
      <c r="H363" s="113"/>
      <c r="I363" s="113"/>
      <c r="J363" s="113">
        <v>42460</v>
      </c>
      <c r="K363" s="113"/>
      <c r="L363" s="113"/>
    </row>
    <row r="364" spans="1:12" x14ac:dyDescent="0.25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14" t="s">
        <v>42</v>
      </c>
      <c r="B366" s="14" t="s">
        <v>43</v>
      </c>
      <c r="C366" s="14" t="s">
        <v>44</v>
      </c>
      <c r="D366" s="103" t="s">
        <v>45</v>
      </c>
      <c r="E366" s="103"/>
      <c r="F366" s="103"/>
      <c r="G366" s="103" t="s">
        <v>46</v>
      </c>
      <c r="H366" s="103"/>
      <c r="I366" s="103"/>
      <c r="J366" s="103"/>
      <c r="K366" s="103"/>
      <c r="L366" s="103"/>
    </row>
    <row r="367" spans="1:12" x14ac:dyDescent="0.25">
      <c r="A367" s="16">
        <v>164315198</v>
      </c>
      <c r="B367" s="16"/>
      <c r="C367" s="16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0.42222222222222222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14" t="s">
        <v>95</v>
      </c>
      <c r="B415" s="14" t="s">
        <v>96</v>
      </c>
      <c r="C415" s="14" t="s">
        <v>97</v>
      </c>
      <c r="D415" s="103" t="s">
        <v>98</v>
      </c>
      <c r="E415" s="103"/>
      <c r="F415" s="103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 x14ac:dyDescent="0.25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02">
        <f>166.87+J410</f>
        <v>185.411856</v>
      </c>
      <c r="E416" s="102"/>
      <c r="F416" s="102"/>
      <c r="G416" s="52">
        <f>36000+I415</f>
        <v>40265.599999999999</v>
      </c>
      <c r="H416" s="103" t="s">
        <v>101</v>
      </c>
      <c r="I416" s="103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workbookViewId="0">
      <selection activeCell="N301" sqref="N301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14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16">
        <v>1</v>
      </c>
      <c r="B3" s="111" t="s">
        <v>33</v>
      </c>
      <c r="C3" s="111"/>
      <c r="D3" s="111"/>
      <c r="E3" s="111"/>
      <c r="F3" s="111"/>
      <c r="G3" s="113">
        <v>42461</v>
      </c>
      <c r="H3" s="113"/>
      <c r="I3" s="113"/>
      <c r="J3" s="113">
        <v>42490</v>
      </c>
      <c r="K3" s="113"/>
      <c r="L3" s="113"/>
    </row>
    <row r="4" spans="1:12" x14ac:dyDescent="0.25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11"/>
      <c r="H5" s="111"/>
      <c r="I5" s="111"/>
      <c r="J5" s="111"/>
      <c r="K5" s="111"/>
      <c r="L5" s="111"/>
    </row>
    <row r="6" spans="1:12" x14ac:dyDescent="0.25">
      <c r="A6" s="14" t="s">
        <v>42</v>
      </c>
      <c r="B6" s="14" t="s">
        <v>43</v>
      </c>
      <c r="C6" s="14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16">
        <v>189838836</v>
      </c>
      <c r="B7" s="16"/>
      <c r="C7" s="16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612.79650000000004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2.6666666666666665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17868.726500000001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12868.726500000001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9423.0314861000006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9423.0314861000006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1770.4973719406673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1-0.53</f>
        <v>0.47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14" t="s">
        <v>95</v>
      </c>
      <c r="B55" s="14" t="s">
        <v>96</v>
      </c>
      <c r="C55" s="14" t="s">
        <v>97</v>
      </c>
      <c r="D55" s="103" t="s">
        <v>98</v>
      </c>
      <c r="E55" s="103"/>
      <c r="F55" s="103"/>
      <c r="G55" s="14" t="s">
        <v>99</v>
      </c>
      <c r="H55" s="50"/>
      <c r="I55" s="52">
        <f>I32+I53</f>
        <v>17869.196500000002</v>
      </c>
      <c r="J55" s="52">
        <f>J43+J50+J51+J52</f>
        <v>2716.1923858406672</v>
      </c>
      <c r="K55" s="14" t="s">
        <v>100</v>
      </c>
      <c r="L55" s="52">
        <f>L43</f>
        <v>2354.57730915</v>
      </c>
    </row>
    <row r="56" spans="1:12" x14ac:dyDescent="0.25">
      <c r="A56" s="52">
        <f>156411.11+I32</f>
        <v>174279.83649999998</v>
      </c>
      <c r="B56" s="52">
        <f>111411.11+I33</f>
        <v>124279.8365</v>
      </c>
      <c r="C56" s="52">
        <f>2419.2+J34</f>
        <v>2688</v>
      </c>
      <c r="D56" s="102">
        <f>14978.83+J50</f>
        <v>16749.327371940668</v>
      </c>
      <c r="E56" s="102"/>
      <c r="F56" s="102"/>
      <c r="G56" s="52">
        <f>133157+I55</f>
        <v>151026.19649999999</v>
      </c>
      <c r="H56" s="103" t="s">
        <v>101</v>
      </c>
      <c r="I56" s="103"/>
      <c r="J56" s="52">
        <f>I55-J55</f>
        <v>15153.004114159336</v>
      </c>
      <c r="K56" s="14" t="s">
        <v>102</v>
      </c>
      <c r="L56" s="52">
        <f>20499.47+L55</f>
        <v>22854.047309150003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14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16">
        <v>3</v>
      </c>
      <c r="B63" s="111" t="s">
        <v>104</v>
      </c>
      <c r="C63" s="111"/>
      <c r="D63" s="111"/>
      <c r="E63" s="111"/>
      <c r="F63" s="111"/>
      <c r="G63" s="113">
        <v>42461</v>
      </c>
      <c r="H63" s="113"/>
      <c r="I63" s="113"/>
      <c r="J63" s="113">
        <v>42490</v>
      </c>
      <c r="K63" s="113"/>
      <c r="L63" s="113"/>
    </row>
    <row r="64" spans="1:12" x14ac:dyDescent="0.25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11"/>
      <c r="H65" s="111"/>
      <c r="I65" s="111"/>
      <c r="J65" s="111"/>
      <c r="K65" s="111"/>
      <c r="L65" s="111"/>
    </row>
    <row r="66" spans="1:12" x14ac:dyDescent="0.25">
      <c r="A66" s="14" t="s">
        <v>42</v>
      </c>
      <c r="B66" s="14" t="s">
        <v>43</v>
      </c>
      <c r="C66" s="14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16">
        <v>141034737</v>
      </c>
      <c r="B67" s="16"/>
      <c r="C67" s="16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1.8611111111111112</v>
      </c>
      <c r="H86" s="31">
        <v>0</v>
      </c>
      <c r="I86" s="23">
        <f>I74*H86</f>
        <v>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106000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100000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I93*H96</f>
        <v>25000</v>
      </c>
      <c r="K96" s="35">
        <v>0.06</v>
      </c>
      <c r="L96" s="23">
        <f>I93*K96</f>
        <v>6000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I93*H100</f>
        <v>2260</v>
      </c>
      <c r="K100" s="34" t="str">
        <f>[1]Taux!C$7</f>
        <v>4,11%</v>
      </c>
      <c r="L100" s="23">
        <f>I93*K100</f>
        <v>4110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69971.199999999997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69971.199999999997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f>IF(AND(I107&gt;0,I107&lt;2500),I107*[1]Taux!C$15-[1]Taux!I$15,IF(AND(I107&gt;2500,I107&lt;4166.67),I107*[1]Taux!C$16-[1]Taux!I$16,IF(AND(I107&gt;4166.67,I107&lt;5000),I107*[1]Taux!C$17-[1]Taux!I$17,IF(AND(I107&gt;5000,I107&lt;6666.67),I107*[1]Taux!C$18-[1]Taux!I$18,IF(AND(I107&gt;6666.67,I107&lt;15000),I107*[1]Taux!C$19-[1]Taux!I$19,IF(I107&gt;15000,I107*[1]Taux!C$20-[1]Taux!I$20))))))</f>
        <v>24555.722666666668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24555.722666666668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1-0.48</f>
        <v>0.52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14" t="s">
        <v>95</v>
      </c>
      <c r="B115" s="14" t="s">
        <v>96</v>
      </c>
      <c r="C115" s="14" t="s">
        <v>97</v>
      </c>
      <c r="D115" s="103" t="s">
        <v>98</v>
      </c>
      <c r="E115" s="103"/>
      <c r="F115" s="103"/>
      <c r="G115" s="14" t="s">
        <v>99</v>
      </c>
      <c r="H115" s="50"/>
      <c r="I115" s="52">
        <f>I92+I113</f>
        <v>106000.52</v>
      </c>
      <c r="J115" s="52">
        <f>J103+J110+J111+J112</f>
        <v>52084.522666666671</v>
      </c>
      <c r="K115" s="14" t="s">
        <v>100</v>
      </c>
      <c r="L115" s="52">
        <f>L103</f>
        <v>18648.8</v>
      </c>
    </row>
    <row r="116" spans="1:13" x14ac:dyDescent="0.25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02">
        <f>226529.75+J110</f>
        <v>251085.47266666667</v>
      </c>
      <c r="E116" s="102"/>
      <c r="F116" s="102"/>
      <c r="G116" s="52">
        <f>494263.97+I115</f>
        <v>600264.49</v>
      </c>
      <c r="H116" s="103" t="s">
        <v>101</v>
      </c>
      <c r="I116" s="103"/>
      <c r="J116" s="52">
        <f>I115-J115</f>
        <v>53915.997333333333</v>
      </c>
      <c r="K116" s="14" t="s">
        <v>102</v>
      </c>
      <c r="L116" s="52">
        <f>171461.2+L115</f>
        <v>190110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72564.797333333336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14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16">
        <v>4</v>
      </c>
      <c r="B123" s="111" t="s">
        <v>106</v>
      </c>
      <c r="C123" s="111"/>
      <c r="D123" s="111"/>
      <c r="E123" s="111"/>
      <c r="F123" s="111"/>
      <c r="G123" s="113">
        <v>42461</v>
      </c>
      <c r="H123" s="113"/>
      <c r="I123" s="113"/>
      <c r="J123" s="113">
        <v>42490</v>
      </c>
      <c r="K123" s="113"/>
      <c r="L123" s="113"/>
    </row>
    <row r="124" spans="1:13" x14ac:dyDescent="0.25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14" t="s">
        <v>42</v>
      </c>
      <c r="B126" s="14" t="s">
        <v>43</v>
      </c>
      <c r="C126" s="14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16">
        <v>123952551</v>
      </c>
      <c r="B127" s="16"/>
      <c r="C127" s="16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1.8611111111111112</v>
      </c>
      <c r="H146" s="31">
        <v>0</v>
      </c>
      <c r="I146" s="23">
        <f>I134*H146</f>
        <v>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96000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90000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40197.199999999997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13241.602666666666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1-0.6</f>
        <v>0.4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14" t="s">
        <v>95</v>
      </c>
      <c r="B175" s="14" t="s">
        <v>96</v>
      </c>
      <c r="C175" s="14" t="s">
        <v>97</v>
      </c>
      <c r="D175" s="103" t="s">
        <v>98</v>
      </c>
      <c r="E175" s="103"/>
      <c r="F175" s="103"/>
      <c r="G175" s="14" t="s">
        <v>99</v>
      </c>
      <c r="H175" s="50"/>
      <c r="I175" s="52">
        <f>I152+I173</f>
        <v>96000.4</v>
      </c>
      <c r="J175" s="52">
        <f>J163+J170+J171+J172</f>
        <v>60544.402666666669</v>
      </c>
      <c r="K175" s="14" t="s">
        <v>100</v>
      </c>
      <c r="L175" s="52">
        <f>L163</f>
        <v>16837.8</v>
      </c>
    </row>
    <row r="176" spans="1:12" x14ac:dyDescent="0.25">
      <c r="A176" s="52">
        <f>882000+I152</f>
        <v>978000</v>
      </c>
      <c r="B176" s="52">
        <f>828000+I153</f>
        <v>918000</v>
      </c>
      <c r="C176" s="52">
        <f>2419.2+J154</f>
        <v>2688</v>
      </c>
      <c r="D176" s="102">
        <f>122440.83+J170</f>
        <v>135682.43266666666</v>
      </c>
      <c r="E176" s="102"/>
      <c r="F176" s="102"/>
      <c r="G176" s="52">
        <f>324432+I175</f>
        <v>420432.4</v>
      </c>
      <c r="H176" s="103" t="s">
        <v>101</v>
      </c>
      <c r="I176" s="103"/>
      <c r="J176" s="52">
        <f>I175-J175</f>
        <v>35455.997333333326</v>
      </c>
      <c r="K176" s="14" t="s">
        <v>102</v>
      </c>
      <c r="L176" s="52">
        <f>154800+L175</f>
        <v>171637.8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52293.797333333321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14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16">
        <v>5</v>
      </c>
      <c r="B183" s="111" t="s">
        <v>108</v>
      </c>
      <c r="C183" s="111"/>
      <c r="D183" s="111"/>
      <c r="E183" s="111"/>
      <c r="F183" s="111"/>
      <c r="G183" s="113">
        <v>42461</v>
      </c>
      <c r="H183" s="113"/>
      <c r="I183" s="113"/>
      <c r="J183" s="113">
        <v>42490</v>
      </c>
      <c r="K183" s="113"/>
      <c r="L183" s="113"/>
    </row>
    <row r="184" spans="1:12" x14ac:dyDescent="0.25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14" t="s">
        <v>42</v>
      </c>
      <c r="B186" s="14" t="s">
        <v>43</v>
      </c>
      <c r="C186" s="14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16">
        <v>132944135</v>
      </c>
      <c r="B187" s="16"/>
      <c r="C187" s="16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0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1.8611111111111112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17125.57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12125.57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9157.6181180000003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1590.256826786667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1-0.98</f>
        <v>2.0000000000000018E-2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14" t="s">
        <v>95</v>
      </c>
      <c r="B235" s="14" t="s">
        <v>96</v>
      </c>
      <c r="C235" s="14" t="s">
        <v>97</v>
      </c>
      <c r="D235" s="103" t="s">
        <v>98</v>
      </c>
      <c r="E235" s="103"/>
      <c r="F235" s="103"/>
      <c r="G235" s="14" t="s">
        <v>99</v>
      </c>
      <c r="H235" s="50"/>
      <c r="I235" s="52">
        <f>I212+I233</f>
        <v>17125.59</v>
      </c>
      <c r="J235" s="52">
        <f>J223+J230+J231+J232</f>
        <v>2133.0947087866671</v>
      </c>
      <c r="K235" s="14" t="s">
        <v>100</v>
      </c>
      <c r="L235" s="52">
        <f>L223</f>
        <v>2007.2065269999998</v>
      </c>
    </row>
    <row r="236" spans="1:12" x14ac:dyDescent="0.25">
      <c r="A236" s="52">
        <f>156555.24+I212</f>
        <v>173680.81</v>
      </c>
      <c r="B236" s="52">
        <f>111555.24+I213</f>
        <v>123680.81</v>
      </c>
      <c r="C236" s="52">
        <f>2419.2+J214</f>
        <v>2688</v>
      </c>
      <c r="D236" s="102">
        <f>15016.37+J230</f>
        <v>16606.626826786669</v>
      </c>
      <c r="E236" s="102"/>
      <c r="F236" s="102"/>
      <c r="G236" s="52">
        <f>136602.47+I235</f>
        <v>153728.06</v>
      </c>
      <c r="H236" s="103" t="s">
        <v>101</v>
      </c>
      <c r="I236" s="103"/>
      <c r="J236" s="52">
        <f>I235-J235</f>
        <v>14992.495291213334</v>
      </c>
      <c r="K236" s="14" t="s">
        <v>102</v>
      </c>
      <c r="L236" s="52">
        <f>20589.65+L235</f>
        <v>22596.856527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16999.701818213332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14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16">
        <v>6</v>
      </c>
      <c r="B243" s="111" t="s">
        <v>110</v>
      </c>
      <c r="C243" s="111"/>
      <c r="D243" s="111"/>
      <c r="E243" s="111"/>
      <c r="F243" s="111"/>
      <c r="G243" s="113">
        <v>42461</v>
      </c>
      <c r="H243" s="113"/>
      <c r="I243" s="113"/>
      <c r="J243" s="113">
        <v>42490</v>
      </c>
      <c r="K243" s="113"/>
      <c r="L243" s="113"/>
    </row>
    <row r="244" spans="1:12" x14ac:dyDescent="0.25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14" t="s">
        <v>42</v>
      </c>
      <c r="B246" s="14" t="s">
        <v>43</v>
      </c>
      <c r="C246" s="14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16">
        <v>195441186</v>
      </c>
      <c r="B247" s="16"/>
      <c r="C247" s="16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2895.13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0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1.7777777777777777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3195.13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2895.13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2120.9722380000003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0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14" t="s">
        <v>95</v>
      </c>
      <c r="B295" s="14" t="s">
        <v>96</v>
      </c>
      <c r="C295" s="14" t="s">
        <v>97</v>
      </c>
      <c r="D295" s="103" t="s">
        <v>98</v>
      </c>
      <c r="E295" s="103"/>
      <c r="F295" s="103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 x14ac:dyDescent="0.25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02">
        <f>132.35+J290</f>
        <v>132.35</v>
      </c>
      <c r="E296" s="102"/>
      <c r="F296" s="102"/>
      <c r="G296" s="52">
        <f>30000+I295</f>
        <v>33195.129999999997</v>
      </c>
      <c r="H296" s="103" t="s">
        <v>101</v>
      </c>
      <c r="I296" s="103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14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16">
        <v>7</v>
      </c>
      <c r="B303" s="111" t="s">
        <v>112</v>
      </c>
      <c r="C303" s="111"/>
      <c r="D303" s="111"/>
      <c r="E303" s="111"/>
      <c r="F303" s="111"/>
      <c r="G303" s="113">
        <v>42461</v>
      </c>
      <c r="H303" s="113"/>
      <c r="I303" s="113"/>
      <c r="J303" s="113">
        <v>42490</v>
      </c>
      <c r="K303" s="113"/>
      <c r="L303" s="113"/>
    </row>
    <row r="304" spans="1:12" x14ac:dyDescent="0.25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14" t="s">
        <v>42</v>
      </c>
      <c r="B306" s="14" t="s">
        <v>43</v>
      </c>
      <c r="C306" s="14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16">
        <v>168098097</v>
      </c>
      <c r="B307" s="16"/>
      <c r="C307" s="16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1.2666666666666666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/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14" t="s">
        <v>95</v>
      </c>
      <c r="B355" s="14" t="s">
        <v>96</v>
      </c>
      <c r="C355" s="14" t="s">
        <v>97</v>
      </c>
      <c r="D355" s="103" t="s">
        <v>98</v>
      </c>
      <c r="E355" s="103"/>
      <c r="F355" s="103"/>
      <c r="G355" s="14" t="s">
        <v>99</v>
      </c>
      <c r="H355" s="50"/>
      <c r="I355" s="52">
        <f>I332+I353</f>
        <v>2808.25</v>
      </c>
      <c r="J355" s="52">
        <f>J343+J350+J351+J352</f>
        <v>189.24572000000003</v>
      </c>
      <c r="K355" s="14" t="s">
        <v>100</v>
      </c>
      <c r="L355" s="52">
        <f>L343</f>
        <v>648.32101999999998</v>
      </c>
    </row>
    <row r="356" spans="1:12" x14ac:dyDescent="0.25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02">
        <f>0+J350</f>
        <v>0</v>
      </c>
      <c r="E356" s="102"/>
      <c r="F356" s="102"/>
      <c r="G356" s="52">
        <f>17071.02+I355</f>
        <v>19879.27</v>
      </c>
      <c r="H356" s="103" t="s">
        <v>101</v>
      </c>
      <c r="I356" s="103"/>
      <c r="J356" s="52">
        <f>I355-J355</f>
        <v>2619.0042800000001</v>
      </c>
      <c r="K356" s="14" t="s">
        <v>102</v>
      </c>
      <c r="L356" s="52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3267.3253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14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16">
        <v>8</v>
      </c>
      <c r="B363" s="111" t="s">
        <v>113</v>
      </c>
      <c r="C363" s="111"/>
      <c r="D363" s="111"/>
      <c r="E363" s="111"/>
      <c r="F363" s="111"/>
      <c r="G363" s="113">
        <v>42461</v>
      </c>
      <c r="H363" s="113"/>
      <c r="I363" s="113"/>
      <c r="J363" s="113">
        <v>42490</v>
      </c>
      <c r="K363" s="113"/>
      <c r="L363" s="113"/>
    </row>
    <row r="364" spans="1:12" x14ac:dyDescent="0.25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14" t="s">
        <v>42</v>
      </c>
      <c r="B366" s="14" t="s">
        <v>43</v>
      </c>
      <c r="C366" s="14" t="s">
        <v>44</v>
      </c>
      <c r="D366" s="103" t="s">
        <v>45</v>
      </c>
      <c r="E366" s="103"/>
      <c r="F366" s="103"/>
      <c r="G366" s="103" t="s">
        <v>116</v>
      </c>
      <c r="H366" s="103"/>
      <c r="I366" s="103"/>
      <c r="J366" s="103"/>
      <c r="K366" s="103"/>
      <c r="L366" s="103"/>
    </row>
    <row r="367" spans="1:12" x14ac:dyDescent="0.25">
      <c r="A367" s="16">
        <v>164315198</v>
      </c>
      <c r="B367" s="16"/>
      <c r="C367" s="16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0.5083333333333333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14" t="s">
        <v>95</v>
      </c>
      <c r="B415" s="14" t="s">
        <v>96</v>
      </c>
      <c r="C415" s="14" t="s">
        <v>97</v>
      </c>
      <c r="D415" s="103" t="s">
        <v>98</v>
      </c>
      <c r="E415" s="103"/>
      <c r="F415" s="103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 x14ac:dyDescent="0.25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02">
        <f>166.87+J410</f>
        <v>185.411856</v>
      </c>
      <c r="E416" s="102"/>
      <c r="F416" s="102"/>
      <c r="G416" s="52">
        <f>36000+I415</f>
        <v>40265.599999999999</v>
      </c>
      <c r="H416" s="103" t="s">
        <v>101</v>
      </c>
      <c r="I416" s="103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workbookViewId="0">
      <selection activeCell="J284" sqref="J284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14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16">
        <v>1</v>
      </c>
      <c r="B3" s="111" t="s">
        <v>33</v>
      </c>
      <c r="C3" s="111"/>
      <c r="D3" s="111"/>
      <c r="E3" s="111"/>
      <c r="F3" s="111"/>
      <c r="G3" s="113">
        <v>42491</v>
      </c>
      <c r="H3" s="113"/>
      <c r="I3" s="113"/>
      <c r="J3" s="113">
        <v>42521</v>
      </c>
      <c r="K3" s="113"/>
      <c r="L3" s="113"/>
    </row>
    <row r="4" spans="1:12" x14ac:dyDescent="0.25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11"/>
      <c r="H5" s="111"/>
      <c r="I5" s="111"/>
      <c r="J5" s="111"/>
      <c r="K5" s="111"/>
      <c r="L5" s="111"/>
    </row>
    <row r="6" spans="1:12" x14ac:dyDescent="0.25">
      <c r="A6" s="14" t="s">
        <v>42</v>
      </c>
      <c r="B6" s="14" t="s">
        <v>43</v>
      </c>
      <c r="C6" s="14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16">
        <v>189838836</v>
      </c>
      <c r="B7" s="16"/>
      <c r="C7" s="16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11313.166153846154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19.5</v>
      </c>
      <c r="I15" s="23">
        <f>G13/26*H15</f>
        <v>9191.9475000000002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4.5</v>
      </c>
      <c r="I16" s="23">
        <f>G13/26*H16</f>
        <v>2121.2186538461538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565.65830769230774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2.75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565.65830769230774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16878.824461538461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11878.824461538461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356.3647338461538</v>
      </c>
      <c r="K36" s="35">
        <v>0.02</v>
      </c>
      <c r="L36" s="23">
        <f>I33*K36</f>
        <v>237.57648923076923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268.46143283076918</v>
      </c>
      <c r="K40" s="34" t="str">
        <f>[1]Taux!C$7</f>
        <v>4,11%</v>
      </c>
      <c r="L40" s="23">
        <f>I33*K40</f>
        <v>488.21968536923072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760.24476553846148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190.06119138461537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893.62616667692305</v>
      </c>
      <c r="K43" s="21"/>
      <c r="L43" s="21">
        <f>SUM(L34:L42)</f>
        <v>2214.9021315230766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2375.7648923076922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8609.4334025538465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8609.4334025538465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1493.8740235349749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1493.8740235349749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1-0.32</f>
        <v>0.67999999999999994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14" t="s">
        <v>95</v>
      </c>
      <c r="B55" s="14" t="s">
        <v>96</v>
      </c>
      <c r="C55" s="14" t="s">
        <v>97</v>
      </c>
      <c r="D55" s="103" t="s">
        <v>98</v>
      </c>
      <c r="E55" s="103"/>
      <c r="F55" s="103"/>
      <c r="G55" s="14" t="s">
        <v>99</v>
      </c>
      <c r="H55" s="50"/>
      <c r="I55" s="52">
        <f>I32+I53</f>
        <v>16879.504461538461</v>
      </c>
      <c r="J55" s="52">
        <f>J43+J50+J51+J52</f>
        <v>2387.5001902118979</v>
      </c>
      <c r="K55" s="14" t="s">
        <v>100</v>
      </c>
      <c r="L55" s="52">
        <f>L43</f>
        <v>2214.9021315230766</v>
      </c>
    </row>
    <row r="56" spans="1:12" x14ac:dyDescent="0.25">
      <c r="A56" s="52">
        <f>156411.11+I32</f>
        <v>173289.93446153845</v>
      </c>
      <c r="B56" s="52">
        <f>111411.11+I33</f>
        <v>123289.93446153846</v>
      </c>
      <c r="C56" s="52">
        <f>2419.2+J34</f>
        <v>2688</v>
      </c>
      <c r="D56" s="102">
        <f>14978.83+J50</f>
        <v>16472.704023534974</v>
      </c>
      <c r="E56" s="102"/>
      <c r="F56" s="102"/>
      <c r="G56" s="52">
        <f>133157+I55</f>
        <v>150036.50446153845</v>
      </c>
      <c r="H56" s="103" t="s">
        <v>101</v>
      </c>
      <c r="I56" s="103"/>
      <c r="J56" s="52">
        <f>I55-J55</f>
        <v>14492.004271326563</v>
      </c>
      <c r="K56" s="14" t="s">
        <v>102</v>
      </c>
      <c r="L56" s="52">
        <f>20499.47+L55</f>
        <v>22714.37213152308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16706.90640284964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14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16">
        <v>3</v>
      </c>
      <c r="B63" s="111" t="s">
        <v>104</v>
      </c>
      <c r="C63" s="111"/>
      <c r="D63" s="111"/>
      <c r="E63" s="111"/>
      <c r="F63" s="111"/>
      <c r="G63" s="113">
        <v>42491</v>
      </c>
      <c r="H63" s="113"/>
      <c r="I63" s="113"/>
      <c r="J63" s="113">
        <v>42521</v>
      </c>
      <c r="K63" s="113"/>
      <c r="L63" s="113"/>
    </row>
    <row r="64" spans="1:12" x14ac:dyDescent="0.25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11"/>
      <c r="H65" s="111"/>
      <c r="I65" s="111"/>
      <c r="J65" s="111"/>
      <c r="K65" s="111"/>
      <c r="L65" s="111"/>
    </row>
    <row r="66" spans="1:12" x14ac:dyDescent="0.25">
      <c r="A66" s="14" t="s">
        <v>42</v>
      </c>
      <c r="B66" s="14" t="s">
        <v>43</v>
      </c>
      <c r="C66" s="14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16">
        <v>141034737</v>
      </c>
      <c r="B67" s="16"/>
      <c r="C67" s="16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1.9444444444444444</v>
      </c>
      <c r="H86" s="31">
        <v>0</v>
      </c>
      <c r="I86" s="23">
        <f>I74*H86</f>
        <v>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106000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100000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H96*I93</f>
        <v>25000</v>
      </c>
      <c r="K96" s="35">
        <v>0.06</v>
      </c>
      <c r="L96" s="23">
        <f>I93*K96</f>
        <v>6000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H100*I93</f>
        <v>2260</v>
      </c>
      <c r="K100" s="34" t="str">
        <f>[1]Taux!C$7</f>
        <v>4,11%</v>
      </c>
      <c r="L100" s="23">
        <f>I93*K100</f>
        <v>4110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6400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1600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27528.799999999999</v>
      </c>
      <c r="K103" s="21"/>
      <c r="L103" s="21">
        <f>SUM(L94:L102)</f>
        <v>18648.8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69971.199999999997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69971.199999999997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v>24555.72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24555.72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1-0.48</f>
        <v>0.52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14" t="s">
        <v>95</v>
      </c>
      <c r="B115" s="14" t="s">
        <v>96</v>
      </c>
      <c r="C115" s="14" t="s">
        <v>97</v>
      </c>
      <c r="D115" s="103" t="s">
        <v>98</v>
      </c>
      <c r="E115" s="103"/>
      <c r="F115" s="103"/>
      <c r="G115" s="14" t="s">
        <v>99</v>
      </c>
      <c r="H115" s="50"/>
      <c r="I115" s="52">
        <f>I92+I113</f>
        <v>106000.52</v>
      </c>
      <c r="J115" s="52">
        <f>J103+J110+J111+J112</f>
        <v>52084.520000000004</v>
      </c>
      <c r="K115" s="14" t="s">
        <v>100</v>
      </c>
      <c r="L115" s="52">
        <f>L103</f>
        <v>18648.8</v>
      </c>
    </row>
    <row r="116" spans="1:13" x14ac:dyDescent="0.25">
      <c r="A116" s="52">
        <f>974000+I92</f>
        <v>1080000</v>
      </c>
      <c r="B116" s="52">
        <f>920000+I93</f>
        <v>1020000</v>
      </c>
      <c r="C116" s="52">
        <f>2419.2+J94</f>
        <v>2688</v>
      </c>
      <c r="D116" s="102">
        <f>226529.75+J110</f>
        <v>251085.47</v>
      </c>
      <c r="E116" s="102"/>
      <c r="F116" s="102"/>
      <c r="G116" s="52">
        <f>494263.97+I115</f>
        <v>600264.49</v>
      </c>
      <c r="H116" s="103" t="s">
        <v>101</v>
      </c>
      <c r="I116" s="103"/>
      <c r="J116" s="52">
        <f>I115-J115</f>
        <v>53916</v>
      </c>
      <c r="K116" s="14" t="s">
        <v>102</v>
      </c>
      <c r="L116" s="52">
        <f>171461.2+L115</f>
        <v>190110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72564.800000000003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14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16">
        <v>4</v>
      </c>
      <c r="B123" s="111" t="s">
        <v>106</v>
      </c>
      <c r="C123" s="111"/>
      <c r="D123" s="111"/>
      <c r="E123" s="111"/>
      <c r="F123" s="111"/>
      <c r="G123" s="113">
        <v>42491</v>
      </c>
      <c r="H123" s="113"/>
      <c r="I123" s="113"/>
      <c r="J123" s="113">
        <v>42521</v>
      </c>
      <c r="K123" s="113"/>
      <c r="L123" s="113"/>
    </row>
    <row r="124" spans="1:13" x14ac:dyDescent="0.25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14" t="s">
        <v>42</v>
      </c>
      <c r="B126" s="14" t="s">
        <v>43</v>
      </c>
      <c r="C126" s="14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16">
        <v>123952551</v>
      </c>
      <c r="B127" s="16"/>
      <c r="C127" s="16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1.9444444444444444</v>
      </c>
      <c r="H146" s="31">
        <v>0</v>
      </c>
      <c r="I146" s="23">
        <f>I134*H146</f>
        <v>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96000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90000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45000</v>
      </c>
      <c r="K156" s="35">
        <v>0.06</v>
      </c>
      <c r="L156" s="23">
        <f>I153*K156</f>
        <v>5400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2033.9999999999998</v>
      </c>
      <c r="K160" s="34" t="str">
        <f>[1]Taux!C$7</f>
        <v>4,11%</v>
      </c>
      <c r="L160" s="23">
        <f>I153*K160</f>
        <v>3699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5760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1440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47302.8</v>
      </c>
      <c r="K163" s="21"/>
      <c r="L163" s="21">
        <f>SUM(L154:L162)</f>
        <v>16837.8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40197.199999999997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40197.199999999997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13241.602666666666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13241.602666666666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1-0.6</f>
        <v>0.4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14" t="s">
        <v>95</v>
      </c>
      <c r="B175" s="14" t="s">
        <v>96</v>
      </c>
      <c r="C175" s="14" t="s">
        <v>97</v>
      </c>
      <c r="D175" s="103" t="s">
        <v>98</v>
      </c>
      <c r="E175" s="103"/>
      <c r="F175" s="103"/>
      <c r="G175" s="14" t="s">
        <v>99</v>
      </c>
      <c r="H175" s="50"/>
      <c r="I175" s="52">
        <f>I152+I173</f>
        <v>96000.4</v>
      </c>
      <c r="J175" s="52">
        <f>J163+J170+J171+J172</f>
        <v>60544.402666666669</v>
      </c>
      <c r="K175" s="14" t="s">
        <v>100</v>
      </c>
      <c r="L175" s="52">
        <f>L163</f>
        <v>16837.8</v>
      </c>
    </row>
    <row r="176" spans="1:12" x14ac:dyDescent="0.25">
      <c r="A176" s="52">
        <f>882000+I152</f>
        <v>978000</v>
      </c>
      <c r="B176" s="52">
        <f>828000+I153</f>
        <v>918000</v>
      </c>
      <c r="C176" s="52">
        <f>2419.2+J154</f>
        <v>2688</v>
      </c>
      <c r="D176" s="102">
        <f>122440.83+J170</f>
        <v>135682.43266666666</v>
      </c>
      <c r="E176" s="102"/>
      <c r="F176" s="102"/>
      <c r="G176" s="52">
        <f>324432+I175</f>
        <v>420432.4</v>
      </c>
      <c r="H176" s="103" t="s">
        <v>101</v>
      </c>
      <c r="I176" s="103"/>
      <c r="J176" s="52">
        <f>I175-J175</f>
        <v>35455.997333333326</v>
      </c>
      <c r="K176" s="14" t="s">
        <v>102</v>
      </c>
      <c r="L176" s="52">
        <f>154800+L175</f>
        <v>171637.8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52293.797333333321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14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16">
        <v>5</v>
      </c>
      <c r="B183" s="111" t="s">
        <v>108</v>
      </c>
      <c r="C183" s="111"/>
      <c r="D183" s="111"/>
      <c r="E183" s="111"/>
      <c r="F183" s="111"/>
      <c r="G183" s="113">
        <v>42491</v>
      </c>
      <c r="H183" s="113"/>
      <c r="I183" s="113"/>
      <c r="J183" s="113">
        <v>42521</v>
      </c>
      <c r="K183" s="113"/>
      <c r="L183" s="113"/>
    </row>
    <row r="184" spans="1:12" x14ac:dyDescent="0.25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14" t="s">
        <v>42</v>
      </c>
      <c r="B186" s="14" t="s">
        <v>43</v>
      </c>
      <c r="C186" s="14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16">
        <v>132944135</v>
      </c>
      <c r="B187" s="16"/>
      <c r="C187" s="16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0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1.9444444444444444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</v>
      </c>
      <c r="I206" s="23">
        <f>I194*H206</f>
        <v>0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17125.57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12125.57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274.03788199999997</v>
      </c>
      <c r="K220" s="34" t="str">
        <f>[1]Taux!C$7</f>
        <v>4,11%</v>
      </c>
      <c r="L220" s="23">
        <f>I213*K220</f>
        <v>498.36092699999995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776.03647999999998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194.00912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542.83788200000004</v>
      </c>
      <c r="K223" s="21"/>
      <c r="L223" s="21">
        <f>SUM(L214:L222)</f>
        <v>2007.2065269999998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2425.114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9157.6181180000003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9157.6181180000003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1680.256826786667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1590.256826786667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1-0.98</f>
        <v>2.0000000000000018E-2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14" t="s">
        <v>95</v>
      </c>
      <c r="B235" s="14" t="s">
        <v>96</v>
      </c>
      <c r="C235" s="14" t="s">
        <v>97</v>
      </c>
      <c r="D235" s="103" t="s">
        <v>98</v>
      </c>
      <c r="E235" s="103"/>
      <c r="F235" s="103"/>
      <c r="G235" s="14" t="s">
        <v>99</v>
      </c>
      <c r="H235" s="50"/>
      <c r="I235" s="52">
        <f>I212+I233</f>
        <v>17125.59</v>
      </c>
      <c r="J235" s="52">
        <f>J223+J230+J231+J232</f>
        <v>2133.0947087866671</v>
      </c>
      <c r="K235" s="14" t="s">
        <v>100</v>
      </c>
      <c r="L235" s="52">
        <f>L223</f>
        <v>2007.2065269999998</v>
      </c>
    </row>
    <row r="236" spans="1:12" x14ac:dyDescent="0.25">
      <c r="A236" s="52">
        <f>156555.24+I212</f>
        <v>173680.81</v>
      </c>
      <c r="B236" s="52">
        <f>111555.24+I213</f>
        <v>123680.81</v>
      </c>
      <c r="C236" s="52">
        <f>2419.2+J214</f>
        <v>2688</v>
      </c>
      <c r="D236" s="102">
        <f>15016.37+J230</f>
        <v>16606.626826786669</v>
      </c>
      <c r="E236" s="102"/>
      <c r="F236" s="102"/>
      <c r="G236" s="52">
        <f>136602.47+I235</f>
        <v>153728.06</v>
      </c>
      <c r="H236" s="103" t="s">
        <v>101</v>
      </c>
      <c r="I236" s="103"/>
      <c r="J236" s="52">
        <f>I235-J235</f>
        <v>14992.495291213334</v>
      </c>
      <c r="K236" s="14" t="s">
        <v>102</v>
      </c>
      <c r="L236" s="52">
        <f>20589.65+L235</f>
        <v>22596.856527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16999.701818213332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14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16">
        <v>6</v>
      </c>
      <c r="B243" s="111" t="s">
        <v>110</v>
      </c>
      <c r="C243" s="111"/>
      <c r="D243" s="111"/>
      <c r="E243" s="111"/>
      <c r="F243" s="111"/>
      <c r="G243" s="113">
        <v>42491</v>
      </c>
      <c r="H243" s="113"/>
      <c r="I243" s="113"/>
      <c r="J243" s="113">
        <v>42521</v>
      </c>
      <c r="K243" s="113"/>
      <c r="L243" s="113"/>
    </row>
    <row r="244" spans="1:12" x14ac:dyDescent="0.25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14" t="s">
        <v>42</v>
      </c>
      <c r="B246" s="14" t="s">
        <v>43</v>
      </c>
      <c r="C246" s="14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16">
        <v>195441186</v>
      </c>
      <c r="B247" s="16"/>
      <c r="C247" s="16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2895.13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0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1.8611111111111112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3195.13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2895.13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2120.9722380000003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0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14" t="s">
        <v>95</v>
      </c>
      <c r="B295" s="14" t="s">
        <v>96</v>
      </c>
      <c r="C295" s="14" t="s">
        <v>97</v>
      </c>
      <c r="D295" s="103" t="s">
        <v>98</v>
      </c>
      <c r="E295" s="103"/>
      <c r="F295" s="103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 x14ac:dyDescent="0.25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02">
        <f>132.35+J290</f>
        <v>132.35</v>
      </c>
      <c r="E296" s="102"/>
      <c r="F296" s="102"/>
      <c r="G296" s="52">
        <f>30000+I295</f>
        <v>33195.129999999997</v>
      </c>
      <c r="H296" s="103" t="s">
        <v>101</v>
      </c>
      <c r="I296" s="103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14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16">
        <v>7</v>
      </c>
      <c r="B303" s="111" t="s">
        <v>112</v>
      </c>
      <c r="C303" s="111"/>
      <c r="D303" s="111"/>
      <c r="E303" s="111"/>
      <c r="F303" s="111"/>
      <c r="G303" s="113">
        <v>42491</v>
      </c>
      <c r="H303" s="113"/>
      <c r="I303" s="113"/>
      <c r="J303" s="113">
        <v>42521</v>
      </c>
      <c r="K303" s="113"/>
      <c r="L303" s="113"/>
    </row>
    <row r="304" spans="1:12" x14ac:dyDescent="0.25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14" t="s">
        <v>42</v>
      </c>
      <c r="B306" s="14" t="s">
        <v>43</v>
      </c>
      <c r="C306" s="14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16">
        <v>168098097</v>
      </c>
      <c r="B307" s="16"/>
      <c r="C307" s="16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1.35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14" t="s">
        <v>95</v>
      </c>
      <c r="B355" s="14" t="s">
        <v>96</v>
      </c>
      <c r="C355" s="14" t="s">
        <v>97</v>
      </c>
      <c r="D355" s="103" t="s">
        <v>98</v>
      </c>
      <c r="E355" s="103"/>
      <c r="F355" s="103"/>
      <c r="G355" s="14" t="s">
        <v>99</v>
      </c>
      <c r="H355" s="50"/>
      <c r="I355" s="52">
        <f>I332+I353</f>
        <v>2808.25</v>
      </c>
      <c r="J355" s="52">
        <f>J343+J350+J351+J352</f>
        <v>189.24572000000003</v>
      </c>
      <c r="K355" s="14" t="s">
        <v>100</v>
      </c>
      <c r="L355" s="52">
        <f>L343</f>
        <v>648.32101999999998</v>
      </c>
    </row>
    <row r="356" spans="1:12" x14ac:dyDescent="0.25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02">
        <f>0+J350</f>
        <v>0</v>
      </c>
      <c r="E356" s="102"/>
      <c r="F356" s="102"/>
      <c r="G356" s="52">
        <f>17071.02+I355</f>
        <v>19879.27</v>
      </c>
      <c r="H356" s="103" t="s">
        <v>101</v>
      </c>
      <c r="I356" s="103"/>
      <c r="J356" s="52">
        <f>I355-J355</f>
        <v>2619.0042800000001</v>
      </c>
      <c r="K356" s="14" t="s">
        <v>102</v>
      </c>
      <c r="L356" s="52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3267.3253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14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16">
        <v>8</v>
      </c>
      <c r="B363" s="111" t="s">
        <v>113</v>
      </c>
      <c r="C363" s="111"/>
      <c r="D363" s="111"/>
      <c r="E363" s="111"/>
      <c r="F363" s="111"/>
      <c r="G363" s="113">
        <v>42491</v>
      </c>
      <c r="H363" s="113"/>
      <c r="I363" s="113"/>
      <c r="J363" s="113">
        <v>42521</v>
      </c>
      <c r="K363" s="113"/>
      <c r="L363" s="113"/>
    </row>
    <row r="364" spans="1:12" x14ac:dyDescent="0.25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14" t="s">
        <v>42</v>
      </c>
      <c r="B366" s="14" t="s">
        <v>43</v>
      </c>
      <c r="C366" s="14" t="s">
        <v>44</v>
      </c>
      <c r="D366" s="103" t="s">
        <v>45</v>
      </c>
      <c r="E366" s="103"/>
      <c r="F366" s="103"/>
      <c r="G366" s="103" t="s">
        <v>116</v>
      </c>
      <c r="H366" s="103"/>
      <c r="I366" s="103"/>
      <c r="J366" s="103"/>
      <c r="K366" s="103"/>
      <c r="L366" s="103"/>
    </row>
    <row r="367" spans="1:12" x14ac:dyDescent="0.25">
      <c r="A367" s="16">
        <v>164315198</v>
      </c>
      <c r="B367" s="16"/>
      <c r="C367" s="16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0.59166666666666667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14" t="s">
        <v>95</v>
      </c>
      <c r="B415" s="14" t="s">
        <v>96</v>
      </c>
      <c r="C415" s="14" t="s">
        <v>97</v>
      </c>
      <c r="D415" s="103" t="s">
        <v>98</v>
      </c>
      <c r="E415" s="103"/>
      <c r="F415" s="103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 x14ac:dyDescent="0.25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02">
        <f>166.87+J410</f>
        <v>185.411856</v>
      </c>
      <c r="E416" s="102"/>
      <c r="F416" s="102"/>
      <c r="G416" s="52">
        <f>36000+I415</f>
        <v>40265.599999999999</v>
      </c>
      <c r="H416" s="103" t="s">
        <v>101</v>
      </c>
      <c r="I416" s="103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workbookViewId="0">
      <selection activeCell="J284" sqref="J284"/>
    </sheetView>
  </sheetViews>
  <sheetFormatPr baseColWidth="10" defaultRowHeight="15" x14ac:dyDescent="0.25"/>
  <sheetData>
    <row r="1" spans="1:12" x14ac:dyDescent="0.25">
      <c r="A1" s="114" t="s">
        <v>26</v>
      </c>
      <c r="B1" s="114"/>
      <c r="C1" s="114" t="s">
        <v>27</v>
      </c>
      <c r="D1" s="114"/>
      <c r="E1" s="114"/>
      <c r="F1" s="114"/>
      <c r="G1" s="114" t="s">
        <v>28</v>
      </c>
      <c r="H1" s="114"/>
      <c r="I1" s="114"/>
      <c r="J1" s="114" t="s">
        <v>29</v>
      </c>
      <c r="K1" s="114"/>
      <c r="L1" s="114"/>
    </row>
    <row r="2" spans="1:12" x14ac:dyDescent="0.25">
      <c r="A2" s="14" t="s">
        <v>30</v>
      </c>
      <c r="B2" s="103" t="s">
        <v>31</v>
      </c>
      <c r="C2" s="103"/>
      <c r="D2" s="103"/>
      <c r="E2" s="103"/>
      <c r="F2" s="103"/>
      <c r="G2" s="103" t="s">
        <v>32</v>
      </c>
      <c r="H2" s="103"/>
      <c r="I2" s="103"/>
      <c r="J2" s="103"/>
      <c r="K2" s="103"/>
      <c r="L2" s="103"/>
    </row>
    <row r="3" spans="1:12" x14ac:dyDescent="0.25">
      <c r="A3" s="16">
        <v>1</v>
      </c>
      <c r="B3" s="111" t="s">
        <v>33</v>
      </c>
      <c r="C3" s="111"/>
      <c r="D3" s="111"/>
      <c r="E3" s="111"/>
      <c r="F3" s="111"/>
      <c r="G3" s="113">
        <v>42522</v>
      </c>
      <c r="H3" s="113"/>
      <c r="I3" s="113"/>
      <c r="J3" s="113">
        <v>42551</v>
      </c>
      <c r="K3" s="113"/>
      <c r="L3" s="113"/>
    </row>
    <row r="4" spans="1:12" x14ac:dyDescent="0.25">
      <c r="A4" s="14" t="s">
        <v>34</v>
      </c>
      <c r="B4" s="14" t="s">
        <v>35</v>
      </c>
      <c r="C4" s="14" t="s">
        <v>36</v>
      </c>
      <c r="D4" s="14" t="s">
        <v>37</v>
      </c>
      <c r="E4" s="14" t="s">
        <v>38</v>
      </c>
      <c r="F4" s="14" t="s">
        <v>39</v>
      </c>
      <c r="G4" s="103" t="s">
        <v>40</v>
      </c>
      <c r="H4" s="103"/>
      <c r="I4" s="103"/>
      <c r="J4" s="103"/>
      <c r="K4" s="103"/>
      <c r="L4" s="103"/>
    </row>
    <row r="5" spans="1:12" x14ac:dyDescent="0.25">
      <c r="A5" s="17">
        <v>41501</v>
      </c>
      <c r="B5" s="16"/>
      <c r="C5" s="17">
        <v>24624</v>
      </c>
      <c r="D5" s="16" t="s">
        <v>41</v>
      </c>
      <c r="E5" s="16">
        <v>0</v>
      </c>
      <c r="F5" s="16">
        <v>0</v>
      </c>
      <c r="G5" s="111"/>
      <c r="H5" s="111"/>
      <c r="I5" s="111"/>
      <c r="J5" s="111"/>
      <c r="K5" s="111"/>
      <c r="L5" s="111"/>
    </row>
    <row r="6" spans="1:12" x14ac:dyDescent="0.25">
      <c r="A6" s="14" t="s">
        <v>42</v>
      </c>
      <c r="B6" s="14" t="s">
        <v>43</v>
      </c>
      <c r="C6" s="14" t="s">
        <v>44</v>
      </c>
      <c r="D6" s="103" t="s">
        <v>45</v>
      </c>
      <c r="E6" s="103"/>
      <c r="F6" s="103"/>
      <c r="G6" s="103" t="s">
        <v>46</v>
      </c>
      <c r="H6" s="103"/>
      <c r="I6" s="103"/>
      <c r="J6" s="103"/>
      <c r="K6" s="103"/>
      <c r="L6" s="103"/>
    </row>
    <row r="7" spans="1:12" x14ac:dyDescent="0.25">
      <c r="A7" s="16">
        <v>189838836</v>
      </c>
      <c r="B7" s="16"/>
      <c r="C7" s="16"/>
      <c r="D7" s="111" t="s">
        <v>47</v>
      </c>
      <c r="E7" s="111"/>
      <c r="F7" s="111"/>
      <c r="G7" s="111" t="s">
        <v>48</v>
      </c>
      <c r="H7" s="111"/>
      <c r="I7" s="111"/>
      <c r="J7" s="111"/>
      <c r="K7" s="111"/>
      <c r="L7" s="111"/>
    </row>
    <row r="8" spans="1: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9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12" t="s">
        <v>49</v>
      </c>
      <c r="B11" s="112"/>
      <c r="C11" s="112"/>
      <c r="D11" s="112"/>
      <c r="E11" s="112"/>
      <c r="F11" s="112"/>
      <c r="G11" s="112" t="s">
        <v>50</v>
      </c>
      <c r="H11" s="112" t="s">
        <v>51</v>
      </c>
      <c r="I11" s="112" t="s">
        <v>52</v>
      </c>
      <c r="J11" s="112"/>
      <c r="K11" s="112" t="s">
        <v>53</v>
      </c>
      <c r="L11" s="112"/>
    </row>
    <row r="12" spans="1:12" x14ac:dyDescent="0.25">
      <c r="A12" s="112"/>
      <c r="B12" s="112"/>
      <c r="C12" s="112"/>
      <c r="D12" s="112"/>
      <c r="E12" s="112"/>
      <c r="F12" s="112"/>
      <c r="G12" s="112"/>
      <c r="H12" s="112"/>
      <c r="I12" s="20" t="s">
        <v>54</v>
      </c>
      <c r="J12" s="20" t="s">
        <v>55</v>
      </c>
      <c r="K12" s="20" t="s">
        <v>56</v>
      </c>
      <c r="L12" s="20" t="s">
        <v>57</v>
      </c>
    </row>
    <row r="13" spans="1:12" x14ac:dyDescent="0.25">
      <c r="A13" s="105" t="s">
        <v>58</v>
      </c>
      <c r="B13" s="105"/>
      <c r="C13" s="105"/>
      <c r="D13" s="105"/>
      <c r="E13" s="105"/>
      <c r="F13" s="105"/>
      <c r="G13" s="21">
        <v>12255.93</v>
      </c>
      <c r="H13" s="22"/>
      <c r="I13" s="21"/>
      <c r="J13" s="21"/>
      <c r="K13" s="21"/>
      <c r="L13" s="21"/>
    </row>
    <row r="14" spans="1:12" x14ac:dyDescent="0.25">
      <c r="A14" s="105" t="s">
        <v>59</v>
      </c>
      <c r="B14" s="105"/>
      <c r="C14" s="105"/>
      <c r="D14" s="105"/>
      <c r="E14" s="105"/>
      <c r="F14" s="105"/>
      <c r="G14" s="21"/>
      <c r="H14" s="21"/>
      <c r="I14" s="21">
        <f>IF(I15+I16-J17-J18+I19+I22+I23+I24+I20&lt;G13,I15+I16-J17-J18+I19+I22+I23+I24+I20,G13)</f>
        <v>12255.93</v>
      </c>
      <c r="J14" s="21"/>
      <c r="K14" s="21"/>
      <c r="L14" s="21"/>
    </row>
    <row r="15" spans="1:12" x14ac:dyDescent="0.25">
      <c r="A15" s="104" t="s">
        <v>60</v>
      </c>
      <c r="B15" s="104"/>
      <c r="C15" s="104"/>
      <c r="D15" s="104"/>
      <c r="E15" s="104"/>
      <c r="F15" s="104"/>
      <c r="G15" s="23"/>
      <c r="H15" s="24">
        <v>26</v>
      </c>
      <c r="I15" s="23">
        <f>G13/26*H15</f>
        <v>12255.93</v>
      </c>
      <c r="J15" s="25"/>
      <c r="K15" s="26"/>
      <c r="L15" s="26"/>
    </row>
    <row r="16" spans="1:12" x14ac:dyDescent="0.25">
      <c r="A16" s="104" t="s">
        <v>61</v>
      </c>
      <c r="B16" s="104"/>
      <c r="C16" s="104"/>
      <c r="D16" s="104"/>
      <c r="E16" s="104"/>
      <c r="F16" s="104"/>
      <c r="G16" s="23"/>
      <c r="H16" s="24">
        <v>0</v>
      </c>
      <c r="I16" s="23">
        <f>G13/26*H16</f>
        <v>0</v>
      </c>
      <c r="J16" s="25"/>
      <c r="K16" s="26"/>
      <c r="L16" s="26"/>
    </row>
    <row r="17" spans="1:12" x14ac:dyDescent="0.25">
      <c r="A17" s="104" t="s">
        <v>62</v>
      </c>
      <c r="B17" s="104"/>
      <c r="C17" s="104"/>
      <c r="D17" s="104"/>
      <c r="E17" s="104"/>
      <c r="F17" s="104"/>
      <c r="G17" s="23"/>
      <c r="H17" s="24">
        <v>0</v>
      </c>
      <c r="I17" s="23"/>
      <c r="J17" s="27">
        <f>G13/26*H17</f>
        <v>0</v>
      </c>
      <c r="K17" s="26"/>
      <c r="L17" s="26"/>
    </row>
    <row r="18" spans="1:12" x14ac:dyDescent="0.25">
      <c r="A18" s="104" t="s">
        <v>63</v>
      </c>
      <c r="B18" s="104"/>
      <c r="C18" s="104"/>
      <c r="D18" s="104"/>
      <c r="E18" s="104"/>
      <c r="F18" s="104"/>
      <c r="G18" s="23"/>
      <c r="H18" s="24">
        <v>0</v>
      </c>
      <c r="I18" s="23"/>
      <c r="J18" s="28">
        <f>G13/191*H18</f>
        <v>0</v>
      </c>
      <c r="K18" s="26"/>
      <c r="L18" s="26"/>
    </row>
    <row r="19" spans="1:12" x14ac:dyDescent="0.25">
      <c r="A19" s="104" t="s">
        <v>64</v>
      </c>
      <c r="B19" s="104"/>
      <c r="C19" s="104"/>
      <c r="D19" s="104"/>
      <c r="E19" s="104"/>
      <c r="F19" s="104"/>
      <c r="G19" s="23"/>
      <c r="H19" s="24">
        <v>0</v>
      </c>
      <c r="I19" s="23">
        <f>G13/26*H19</f>
        <v>0</v>
      </c>
      <c r="J19" s="25"/>
      <c r="K19" s="26"/>
      <c r="L19" s="26"/>
    </row>
    <row r="20" spans="1:12" x14ac:dyDescent="0.25">
      <c r="A20" s="104" t="s">
        <v>65</v>
      </c>
      <c r="B20" s="104"/>
      <c r="C20" s="104"/>
      <c r="D20" s="104"/>
      <c r="E20" s="104"/>
      <c r="F20" s="104"/>
      <c r="G20" s="23"/>
      <c r="H20" s="24">
        <v>0</v>
      </c>
      <c r="I20" s="23">
        <f>G13/191*H20</f>
        <v>0</v>
      </c>
      <c r="J20" s="25"/>
      <c r="K20" s="26"/>
      <c r="L20" s="26"/>
    </row>
    <row r="21" spans="1:12" x14ac:dyDescent="0.25">
      <c r="A21" s="104" t="s">
        <v>66</v>
      </c>
      <c r="B21" s="104"/>
      <c r="C21" s="104"/>
      <c r="D21" s="104"/>
      <c r="E21" s="104"/>
      <c r="F21" s="104"/>
      <c r="G21" s="29"/>
      <c r="H21" s="30"/>
      <c r="I21" s="30"/>
      <c r="J21" s="25"/>
      <c r="K21" s="26"/>
      <c r="L21" s="26"/>
    </row>
    <row r="22" spans="1:12" x14ac:dyDescent="0.25">
      <c r="A22" s="110">
        <v>0.25</v>
      </c>
      <c r="B22" s="110"/>
      <c r="C22" s="110"/>
      <c r="D22" s="110"/>
      <c r="E22" s="110"/>
      <c r="F22" s="110"/>
      <c r="G22" s="23"/>
      <c r="H22" s="24">
        <v>0</v>
      </c>
      <c r="I22" s="23">
        <f>G13/191*H22*A22</f>
        <v>0</v>
      </c>
      <c r="J22" s="25"/>
      <c r="K22" s="26"/>
      <c r="L22" s="26"/>
    </row>
    <row r="23" spans="1:12" x14ac:dyDescent="0.25">
      <c r="A23" s="110">
        <v>0.5</v>
      </c>
      <c r="B23" s="110"/>
      <c r="C23" s="110"/>
      <c r="D23" s="110"/>
      <c r="E23" s="110"/>
      <c r="F23" s="110"/>
      <c r="G23" s="23"/>
      <c r="H23" s="24">
        <v>0</v>
      </c>
      <c r="I23" s="23">
        <f>G13/191*A23*H23</f>
        <v>0</v>
      </c>
      <c r="J23" s="25"/>
      <c r="K23" s="26"/>
      <c r="L23" s="26"/>
    </row>
    <row r="24" spans="1:12" x14ac:dyDescent="0.25">
      <c r="A24" s="110">
        <v>1</v>
      </c>
      <c r="B24" s="110"/>
      <c r="C24" s="110"/>
      <c r="D24" s="110"/>
      <c r="E24" s="110"/>
      <c r="F24" s="110"/>
      <c r="G24" s="23"/>
      <c r="H24" s="24">
        <v>0</v>
      </c>
      <c r="I24" s="23">
        <f>G13/191*A24*H24</f>
        <v>0</v>
      </c>
      <c r="J24" s="25"/>
      <c r="K24" s="26"/>
      <c r="L24" s="26"/>
    </row>
    <row r="25" spans="1:12" x14ac:dyDescent="0.25">
      <c r="A25" s="105" t="s">
        <v>67</v>
      </c>
      <c r="B25" s="105"/>
      <c r="C25" s="105"/>
      <c r="D25" s="105"/>
      <c r="E25" s="105"/>
      <c r="F25" s="105"/>
      <c r="G25" s="21"/>
      <c r="H25" s="22"/>
      <c r="I25" s="21">
        <f>SUM(I26:I27)</f>
        <v>612.79650000000004</v>
      </c>
      <c r="J25" s="21"/>
      <c r="K25" s="21"/>
      <c r="L25" s="21"/>
    </row>
    <row r="26" spans="1:12" x14ac:dyDescent="0.25">
      <c r="A26" s="104" t="s">
        <v>68</v>
      </c>
      <c r="B26" s="104"/>
      <c r="C26" s="104"/>
      <c r="D26" s="104"/>
      <c r="E26" s="104"/>
      <c r="F26" s="104"/>
      <c r="G26" s="23">
        <f>(G3-A5)/360</f>
        <v>2.8361111111111112</v>
      </c>
      <c r="H26" s="31">
        <f>IF(G26&lt;2,0,IF(AND(G26&gt;2,G26&lt;5),[1]Taux!A$33,IF(AND(G26&lt;12,G26&gt;5),[1]Taux!A$34,IF(AND(G26&gt;12,G26&lt;20),[1]Taux!A$35,IF(AND(G26&lt;25,G26&gt;20),[1]Taux!A$36,IF(G26&gt;25,[1]Taux!A$37))))))</f>
        <v>0.05</v>
      </c>
      <c r="I26" s="23">
        <f>I14*H26</f>
        <v>612.79650000000004</v>
      </c>
      <c r="J26" s="25"/>
      <c r="K26" s="26"/>
      <c r="L26" s="26"/>
    </row>
    <row r="27" spans="1:12" x14ac:dyDescent="0.25">
      <c r="A27" s="104" t="s">
        <v>69</v>
      </c>
      <c r="B27" s="104"/>
      <c r="C27" s="104"/>
      <c r="D27" s="104"/>
      <c r="E27" s="104"/>
      <c r="F27" s="104"/>
      <c r="G27" s="23"/>
      <c r="H27" s="24"/>
      <c r="I27" s="23"/>
      <c r="J27" s="25"/>
      <c r="K27" s="26"/>
      <c r="L27" s="26"/>
    </row>
    <row r="28" spans="1:12" x14ac:dyDescent="0.25">
      <c r="A28" s="105" t="s">
        <v>70</v>
      </c>
      <c r="B28" s="105"/>
      <c r="C28" s="105"/>
      <c r="D28" s="105"/>
      <c r="E28" s="105"/>
      <c r="F28" s="105"/>
      <c r="G28" s="21"/>
      <c r="H28" s="22"/>
      <c r="I28" s="21">
        <f>SUM(I29:I31)</f>
        <v>5000</v>
      </c>
      <c r="J28" s="21"/>
      <c r="K28" s="21"/>
      <c r="L28" s="21"/>
    </row>
    <row r="29" spans="1:12" x14ac:dyDescent="0.25">
      <c r="A29" s="104" t="s">
        <v>71</v>
      </c>
      <c r="B29" s="104"/>
      <c r="C29" s="104"/>
      <c r="D29" s="104"/>
      <c r="E29" s="104"/>
      <c r="F29" s="104"/>
      <c r="G29" s="23"/>
      <c r="H29" s="24"/>
      <c r="I29" s="23">
        <v>2500</v>
      </c>
      <c r="J29" s="25"/>
      <c r="K29" s="26"/>
      <c r="L29" s="26"/>
    </row>
    <row r="30" spans="1:12" x14ac:dyDescent="0.25">
      <c r="A30" s="104" t="s">
        <v>72</v>
      </c>
      <c r="B30" s="104"/>
      <c r="C30" s="104"/>
      <c r="D30" s="104"/>
      <c r="E30" s="104"/>
      <c r="F30" s="104"/>
      <c r="G30" s="23"/>
      <c r="H30" s="31">
        <v>0</v>
      </c>
      <c r="I30" s="23">
        <v>2500</v>
      </c>
      <c r="J30" s="25"/>
      <c r="K30" s="26"/>
      <c r="L30" s="26"/>
    </row>
    <row r="31" spans="1:12" x14ac:dyDescent="0.25">
      <c r="A31" s="104" t="s">
        <v>73</v>
      </c>
      <c r="B31" s="104"/>
      <c r="C31" s="104"/>
      <c r="D31" s="104"/>
      <c r="E31" s="104"/>
      <c r="F31" s="104"/>
      <c r="G31" s="23"/>
      <c r="H31" s="24"/>
      <c r="I31" s="23"/>
      <c r="J31" s="25"/>
      <c r="K31" s="26"/>
      <c r="L31" s="26"/>
    </row>
    <row r="32" spans="1:12" x14ac:dyDescent="0.25">
      <c r="A32" s="108" t="s">
        <v>74</v>
      </c>
      <c r="B32" s="108"/>
      <c r="C32" s="108"/>
      <c r="D32" s="108"/>
      <c r="E32" s="108"/>
      <c r="F32" s="108"/>
      <c r="G32" s="32"/>
      <c r="H32" s="33"/>
      <c r="I32" s="32">
        <f>I14+I25+I28</f>
        <v>17868.726500000001</v>
      </c>
      <c r="J32" s="33"/>
      <c r="K32" s="33"/>
      <c r="L32" s="33"/>
    </row>
    <row r="33" spans="1:12" x14ac:dyDescent="0.25">
      <c r="A33" s="108" t="s">
        <v>75</v>
      </c>
      <c r="B33" s="108"/>
      <c r="C33" s="108"/>
      <c r="D33" s="108"/>
      <c r="E33" s="108"/>
      <c r="F33" s="108"/>
      <c r="G33" s="32"/>
      <c r="H33" s="33"/>
      <c r="I33" s="32">
        <f>I32-I28</f>
        <v>12868.726500000001</v>
      </c>
      <c r="J33" s="33"/>
      <c r="K33" s="33"/>
      <c r="L33" s="33"/>
    </row>
    <row r="34" spans="1:12" x14ac:dyDescent="0.25">
      <c r="A34" s="104" t="s">
        <v>76</v>
      </c>
      <c r="B34" s="104"/>
      <c r="C34" s="104"/>
      <c r="D34" s="104"/>
      <c r="E34" s="104"/>
      <c r="F34" s="104"/>
      <c r="G34" s="23"/>
      <c r="H34" s="34">
        <f>[1]Taux!D$5+[1]Taux!D$6</f>
        <v>4.4800000000000006E-2</v>
      </c>
      <c r="I34" s="23"/>
      <c r="J34" s="23">
        <f>IF(I33&lt;6000,I33*H34,6000*H34)</f>
        <v>268.8</v>
      </c>
      <c r="K34" s="35">
        <f>[1]Taux!C$5+[1]Taux!C$6</f>
        <v>8.9799999999999991E-2</v>
      </c>
      <c r="L34" s="23">
        <f>IF(I33&lt;6000,I33*K34,6000*K34)</f>
        <v>538.79999999999995</v>
      </c>
    </row>
    <row r="35" spans="1:12" x14ac:dyDescent="0.25">
      <c r="A35" s="104" t="s">
        <v>77</v>
      </c>
      <c r="B35" s="104"/>
      <c r="C35" s="104"/>
      <c r="D35" s="104"/>
      <c r="E35" s="104"/>
      <c r="F35" s="104"/>
      <c r="G35" s="23"/>
      <c r="H35" s="34"/>
      <c r="I35" s="23"/>
      <c r="J35" s="23">
        <f>I33*H35</f>
        <v>0</v>
      </c>
      <c r="K35" s="36"/>
      <c r="L35" s="23">
        <f>I33*K35</f>
        <v>0</v>
      </c>
    </row>
    <row r="36" spans="1:12" x14ac:dyDescent="0.25">
      <c r="A36" s="104" t="s">
        <v>78</v>
      </c>
      <c r="B36" s="104"/>
      <c r="C36" s="104"/>
      <c r="D36" s="104"/>
      <c r="E36" s="104"/>
      <c r="F36" s="104"/>
      <c r="G36" s="23"/>
      <c r="H36" s="34">
        <v>0.03</v>
      </c>
      <c r="I36" s="23"/>
      <c r="J36" s="23">
        <f>I33*H36</f>
        <v>386.06179500000002</v>
      </c>
      <c r="K36" s="35">
        <v>0.02</v>
      </c>
      <c r="L36" s="23">
        <f>I33*K36</f>
        <v>257.37452999999999</v>
      </c>
    </row>
    <row r="37" spans="1:12" x14ac:dyDescent="0.25">
      <c r="A37" s="104" t="s">
        <v>79</v>
      </c>
      <c r="B37" s="104"/>
      <c r="C37" s="104"/>
      <c r="D37" s="104"/>
      <c r="E37" s="104"/>
      <c r="F37" s="104"/>
      <c r="G37" s="23"/>
      <c r="H37" s="34"/>
      <c r="I37" s="23"/>
      <c r="J37" s="23">
        <f>IF(I33*H37&gt;I33*0.06,I33*0.06,I33*H37)</f>
        <v>0</v>
      </c>
      <c r="K37" s="36"/>
      <c r="L37" s="23">
        <f>I33*K37</f>
        <v>0</v>
      </c>
    </row>
    <row r="38" spans="1:12" x14ac:dyDescent="0.25">
      <c r="A38" s="104" t="s">
        <v>80</v>
      </c>
      <c r="B38" s="104"/>
      <c r="C38" s="104"/>
      <c r="D38" s="104"/>
      <c r="E38" s="104"/>
      <c r="F38" s="104"/>
      <c r="G38" s="23"/>
      <c r="H38" s="34"/>
      <c r="I38" s="23"/>
      <c r="J38" s="23">
        <f>I33*H38</f>
        <v>0</v>
      </c>
      <c r="K38" s="36"/>
      <c r="L38" s="23">
        <f>I33*K38</f>
        <v>0</v>
      </c>
    </row>
    <row r="39" spans="1:12" x14ac:dyDescent="0.25">
      <c r="A39" s="104" t="s">
        <v>81</v>
      </c>
      <c r="B39" s="104"/>
      <c r="C39" s="104"/>
      <c r="D39" s="104"/>
      <c r="E39" s="104"/>
      <c r="F39" s="104"/>
      <c r="G39" s="23"/>
      <c r="H39" s="34"/>
      <c r="I39" s="23"/>
      <c r="J39" s="23">
        <f>I33*H39</f>
        <v>0</v>
      </c>
      <c r="K39" s="36"/>
      <c r="L39" s="23">
        <f>I33*K39</f>
        <v>0</v>
      </c>
    </row>
    <row r="40" spans="1:12" x14ac:dyDescent="0.25">
      <c r="A40" s="104" t="s">
        <v>24</v>
      </c>
      <c r="B40" s="104"/>
      <c r="C40" s="104"/>
      <c r="D40" s="104"/>
      <c r="E40" s="104"/>
      <c r="F40" s="104"/>
      <c r="G40" s="23"/>
      <c r="H40" s="34" t="str">
        <f>[1]Taux!D$7</f>
        <v>2,26%</v>
      </c>
      <c r="I40" s="23"/>
      <c r="J40" s="23">
        <f>I33*H40</f>
        <v>290.83321890000002</v>
      </c>
      <c r="K40" s="34" t="str">
        <f>[1]Taux!C$7</f>
        <v>4,11%</v>
      </c>
      <c r="L40" s="23">
        <f>I33*K40</f>
        <v>528.90465915000004</v>
      </c>
    </row>
    <row r="41" spans="1:12" x14ac:dyDescent="0.25">
      <c r="A41" s="109" t="s">
        <v>82</v>
      </c>
      <c r="B41" s="109"/>
      <c r="C41" s="109"/>
      <c r="D41" s="109"/>
      <c r="E41" s="109"/>
      <c r="F41" s="109"/>
      <c r="G41" s="37"/>
      <c r="H41" s="38"/>
      <c r="I41" s="39"/>
      <c r="J41" s="40"/>
      <c r="K41" s="34" t="str">
        <f>[1]Taux!C$4</f>
        <v>6,40%</v>
      </c>
      <c r="L41" s="23">
        <f>I33*K41</f>
        <v>823.59849600000007</v>
      </c>
    </row>
    <row r="42" spans="1:12" x14ac:dyDescent="0.25">
      <c r="A42" s="109" t="s">
        <v>83</v>
      </c>
      <c r="B42" s="109"/>
      <c r="C42" s="109"/>
      <c r="D42" s="109"/>
      <c r="E42" s="109"/>
      <c r="F42" s="109"/>
      <c r="G42" s="41"/>
      <c r="H42" s="42"/>
      <c r="I42" s="43"/>
      <c r="J42" s="44"/>
      <c r="K42" s="34" t="str">
        <f>[1]Taux!C$8</f>
        <v>1,6 %</v>
      </c>
      <c r="L42" s="23">
        <f>I33*K42</f>
        <v>205.89962400000002</v>
      </c>
    </row>
    <row r="43" spans="1:12" x14ac:dyDescent="0.25">
      <c r="A43" s="105" t="s">
        <v>84</v>
      </c>
      <c r="B43" s="105"/>
      <c r="C43" s="105"/>
      <c r="D43" s="105"/>
      <c r="E43" s="105"/>
      <c r="F43" s="105"/>
      <c r="G43" s="21"/>
      <c r="H43" s="22"/>
      <c r="I43" s="22"/>
      <c r="J43" s="21">
        <f>SUM(J34:J40)</f>
        <v>945.69501390000005</v>
      </c>
      <c r="K43" s="21"/>
      <c r="L43" s="21">
        <f>SUM(L34:L42)</f>
        <v>2354.57730915</v>
      </c>
    </row>
    <row r="44" spans="1:12" x14ac:dyDescent="0.25">
      <c r="A44" s="104" t="s">
        <v>85</v>
      </c>
      <c r="B44" s="104"/>
      <c r="C44" s="104"/>
      <c r="D44" s="104"/>
      <c r="E44" s="104"/>
      <c r="F44" s="104"/>
      <c r="G44" s="23"/>
      <c r="H44" s="45">
        <v>0.2</v>
      </c>
      <c r="I44" s="23"/>
      <c r="J44" s="23">
        <f>IF(I33*H44&lt;2500,I33*H44,2500)</f>
        <v>2500</v>
      </c>
      <c r="K44" s="46"/>
      <c r="L44" s="47"/>
    </row>
    <row r="45" spans="1:12" x14ac:dyDescent="0.25">
      <c r="A45" s="108" t="s">
        <v>86</v>
      </c>
      <c r="B45" s="108"/>
      <c r="C45" s="108"/>
      <c r="D45" s="108"/>
      <c r="E45" s="108"/>
      <c r="F45" s="108"/>
      <c r="G45" s="32"/>
      <c r="H45" s="33"/>
      <c r="I45" s="32">
        <f>I33-J43-J44</f>
        <v>9423.0314861000006</v>
      </c>
      <c r="J45" s="33"/>
      <c r="K45" s="33"/>
      <c r="L45" s="33"/>
    </row>
    <row r="46" spans="1:12" x14ac:dyDescent="0.25">
      <c r="A46" s="104" t="s">
        <v>87</v>
      </c>
      <c r="B46" s="104"/>
      <c r="C46" s="104"/>
      <c r="D46" s="104"/>
      <c r="E46" s="104"/>
      <c r="F46" s="104"/>
      <c r="G46" s="23"/>
      <c r="H46" s="34"/>
      <c r="I46" s="23">
        <f>H46*180/360</f>
        <v>0</v>
      </c>
      <c r="J46" s="23"/>
      <c r="K46" s="46"/>
      <c r="L46" s="47"/>
    </row>
    <row r="47" spans="1:12" x14ac:dyDescent="0.25">
      <c r="A47" s="108" t="s">
        <v>88</v>
      </c>
      <c r="B47" s="108"/>
      <c r="C47" s="108"/>
      <c r="D47" s="108"/>
      <c r="E47" s="108"/>
      <c r="F47" s="108"/>
      <c r="G47" s="32"/>
      <c r="H47" s="33"/>
      <c r="I47" s="32">
        <f>I45-I46</f>
        <v>9423.0314861000006</v>
      </c>
      <c r="J47" s="33"/>
      <c r="K47" s="33"/>
      <c r="L47" s="33"/>
    </row>
    <row r="48" spans="1:12" x14ac:dyDescent="0.25">
      <c r="A48" s="104" t="s">
        <v>89</v>
      </c>
      <c r="B48" s="104"/>
      <c r="C48" s="104"/>
      <c r="D48" s="104"/>
      <c r="E48" s="104"/>
      <c r="F48" s="104"/>
      <c r="G48" s="25"/>
      <c r="H48" s="48"/>
      <c r="I48" s="40"/>
      <c r="J48" s="23">
        <f>IF(AND(I47&gt;0,I47&lt;2500),I47*[1]Taux!C$15-[1]Taux!I$15,IF(AND(I47&gt;2500,I47&lt;4166.67),I47*[1]Taux!C$16-[1]Taux!I$16,IF(AND(I47&gt;4166.67,I47&lt;5000),I47*[1]Taux!C$17-[1]Taux!I$17,IF(AND(I47&gt;5000,I47&lt;6666.67),I47*[1]Taux!C$18-[1]Taux!I$18,IF(AND(I47&gt;6666.67,I47&lt;15000),I47*[1]Taux!C$19-[1]Taux!I$19,IF(I47&gt;15000,I47*[1]Taux!C$20-[1]Taux!I$20))))))</f>
        <v>1770.4973719406673</v>
      </c>
      <c r="K48" s="46"/>
      <c r="L48" s="47"/>
    </row>
    <row r="49" spans="1:12" x14ac:dyDescent="0.25">
      <c r="A49" s="104" t="s">
        <v>90</v>
      </c>
      <c r="B49" s="104"/>
      <c r="C49" s="104"/>
      <c r="D49" s="104"/>
      <c r="E49" s="104"/>
      <c r="F49" s="104"/>
      <c r="G49" s="27"/>
      <c r="H49" s="49">
        <f>F5</f>
        <v>0</v>
      </c>
      <c r="I49" s="49"/>
      <c r="J49" s="23">
        <f>IF(H49*360/12&gt;6*360/12,6*360/12,H49*360/12)</f>
        <v>0</v>
      </c>
      <c r="K49" s="46"/>
      <c r="L49" s="47"/>
    </row>
    <row r="50" spans="1:12" x14ac:dyDescent="0.25">
      <c r="A50" s="105" t="s">
        <v>91</v>
      </c>
      <c r="B50" s="105"/>
      <c r="C50" s="105"/>
      <c r="D50" s="105"/>
      <c r="E50" s="105"/>
      <c r="F50" s="105"/>
      <c r="G50" s="21"/>
      <c r="H50" s="22"/>
      <c r="I50" s="21"/>
      <c r="J50" s="21">
        <f>J48-J49</f>
        <v>1770.4973719406673</v>
      </c>
      <c r="K50" s="21"/>
      <c r="L50" s="21"/>
    </row>
    <row r="51" spans="1:12" x14ac:dyDescent="0.25">
      <c r="A51" s="106" t="s">
        <v>92</v>
      </c>
      <c r="B51" s="106"/>
      <c r="C51" s="106"/>
      <c r="D51" s="106"/>
      <c r="E51" s="106"/>
      <c r="F51" s="106"/>
      <c r="G51" s="25"/>
      <c r="H51" s="48"/>
      <c r="I51" s="47"/>
      <c r="J51" s="49">
        <v>0</v>
      </c>
      <c r="K51" s="46"/>
      <c r="L51" s="47"/>
    </row>
    <row r="52" spans="1:12" x14ac:dyDescent="0.25">
      <c r="A52" s="104" t="s">
        <v>93</v>
      </c>
      <c r="B52" s="104"/>
      <c r="C52" s="104"/>
      <c r="D52" s="104"/>
      <c r="E52" s="104"/>
      <c r="F52" s="104"/>
      <c r="G52" s="25"/>
      <c r="H52" s="48"/>
      <c r="I52" s="44"/>
      <c r="J52" s="28">
        <v>0</v>
      </c>
      <c r="K52" s="46"/>
      <c r="L52" s="47"/>
    </row>
    <row r="53" spans="1:12" x14ac:dyDescent="0.25">
      <c r="A53" s="107" t="s">
        <v>94</v>
      </c>
      <c r="B53" s="107"/>
      <c r="C53" s="107"/>
      <c r="D53" s="107"/>
      <c r="E53" s="107"/>
      <c r="F53" s="107"/>
      <c r="G53" s="41"/>
      <c r="H53" s="42"/>
      <c r="I53" s="28">
        <f>1-0.53</f>
        <v>0.47</v>
      </c>
      <c r="J53" s="41"/>
      <c r="K53" s="43"/>
      <c r="L53" s="44"/>
    </row>
    <row r="54" spans="1:1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5">
      <c r="A55" s="14" t="s">
        <v>95</v>
      </c>
      <c r="B55" s="14" t="s">
        <v>96</v>
      </c>
      <c r="C55" s="14" t="s">
        <v>97</v>
      </c>
      <c r="D55" s="103" t="s">
        <v>98</v>
      </c>
      <c r="E55" s="103"/>
      <c r="F55" s="103"/>
      <c r="G55" s="14" t="s">
        <v>99</v>
      </c>
      <c r="H55" s="50"/>
      <c r="I55" s="52">
        <f>I32+I53</f>
        <v>17869.196500000002</v>
      </c>
      <c r="J55" s="52">
        <f>J43+J50+J51+J52</f>
        <v>2716.1923858406672</v>
      </c>
      <c r="K55" s="14" t="s">
        <v>100</v>
      </c>
      <c r="L55" s="52">
        <f>L43</f>
        <v>2354.57730915</v>
      </c>
    </row>
    <row r="56" spans="1:12" x14ac:dyDescent="0.25">
      <c r="A56" s="52">
        <f>156411.11+I32</f>
        <v>174279.83649999998</v>
      </c>
      <c r="B56" s="52">
        <f>111411.11+I33</f>
        <v>124279.8365</v>
      </c>
      <c r="C56" s="52">
        <f>2419.2+J34</f>
        <v>2688</v>
      </c>
      <c r="D56" s="102">
        <f>14978.83+J50</f>
        <v>16749.327371940668</v>
      </c>
      <c r="E56" s="102"/>
      <c r="F56" s="102"/>
      <c r="G56" s="52">
        <f>133157+I55</f>
        <v>151026.19649999999</v>
      </c>
      <c r="H56" s="103" t="s">
        <v>101</v>
      </c>
      <c r="I56" s="103"/>
      <c r="J56" s="52">
        <f>I55-J55</f>
        <v>15153.004114159336</v>
      </c>
      <c r="K56" s="14" t="s">
        <v>102</v>
      </c>
      <c r="L56" s="52">
        <f>20499.47+L55</f>
        <v>22854.047309150003</v>
      </c>
    </row>
    <row r="57" spans="1:1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53" t="s">
        <v>103</v>
      </c>
      <c r="L57" s="54">
        <f>J56+L55</f>
        <v>17507.581423309337</v>
      </c>
    </row>
    <row r="58" spans="1:1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1" spans="1:12" x14ac:dyDescent="0.25">
      <c r="A61" s="114" t="s">
        <v>26</v>
      </c>
      <c r="B61" s="114"/>
      <c r="C61" s="114" t="s">
        <v>27</v>
      </c>
      <c r="D61" s="114"/>
      <c r="E61" s="114"/>
      <c r="F61" s="114"/>
      <c r="G61" s="114" t="s">
        <v>28</v>
      </c>
      <c r="H61" s="114"/>
      <c r="I61" s="114"/>
      <c r="J61" s="114" t="s">
        <v>29</v>
      </c>
      <c r="K61" s="114"/>
      <c r="L61" s="114"/>
    </row>
    <row r="62" spans="1:12" x14ac:dyDescent="0.25">
      <c r="A62" s="14" t="s">
        <v>30</v>
      </c>
      <c r="B62" s="103" t="s">
        <v>31</v>
      </c>
      <c r="C62" s="103"/>
      <c r="D62" s="103"/>
      <c r="E62" s="103"/>
      <c r="F62" s="103"/>
      <c r="G62" s="103" t="s">
        <v>32</v>
      </c>
      <c r="H62" s="103"/>
      <c r="I62" s="103"/>
      <c r="J62" s="103"/>
      <c r="K62" s="103"/>
      <c r="L62" s="103"/>
    </row>
    <row r="63" spans="1:12" x14ac:dyDescent="0.25">
      <c r="A63" s="16">
        <v>3</v>
      </c>
      <c r="B63" s="111" t="s">
        <v>104</v>
      </c>
      <c r="C63" s="111"/>
      <c r="D63" s="111"/>
      <c r="E63" s="111"/>
      <c r="F63" s="111"/>
      <c r="G63" s="113">
        <v>42522</v>
      </c>
      <c r="H63" s="113"/>
      <c r="I63" s="113"/>
      <c r="J63" s="113">
        <v>42551</v>
      </c>
      <c r="K63" s="113"/>
      <c r="L63" s="113"/>
    </row>
    <row r="64" spans="1:12" x14ac:dyDescent="0.25">
      <c r="A64" s="14" t="s">
        <v>34</v>
      </c>
      <c r="B64" s="14" t="s">
        <v>35</v>
      </c>
      <c r="C64" s="14" t="s">
        <v>36</v>
      </c>
      <c r="D64" s="14" t="s">
        <v>37</v>
      </c>
      <c r="E64" s="14" t="s">
        <v>38</v>
      </c>
      <c r="F64" s="14" t="s">
        <v>39</v>
      </c>
      <c r="G64" s="103" t="s">
        <v>40</v>
      </c>
      <c r="H64" s="103"/>
      <c r="I64" s="103"/>
      <c r="J64" s="103"/>
      <c r="K64" s="103"/>
      <c r="L64" s="103"/>
    </row>
    <row r="65" spans="1:12" x14ac:dyDescent="0.25">
      <c r="A65" s="17">
        <v>41791</v>
      </c>
      <c r="B65" s="16"/>
      <c r="C65" s="17">
        <v>24557</v>
      </c>
      <c r="D65" s="16" t="s">
        <v>41</v>
      </c>
      <c r="E65" s="16">
        <v>0</v>
      </c>
      <c r="F65" s="16">
        <v>0</v>
      </c>
      <c r="G65" s="111"/>
      <c r="H65" s="111"/>
      <c r="I65" s="111"/>
      <c r="J65" s="111"/>
      <c r="K65" s="111"/>
      <c r="L65" s="111"/>
    </row>
    <row r="66" spans="1:12" x14ac:dyDescent="0.25">
      <c r="A66" s="14" t="s">
        <v>42</v>
      </c>
      <c r="B66" s="14" t="s">
        <v>43</v>
      </c>
      <c r="C66" s="14" t="s">
        <v>44</v>
      </c>
      <c r="D66" s="103" t="s">
        <v>45</v>
      </c>
      <c r="E66" s="103"/>
      <c r="F66" s="103"/>
      <c r="G66" s="103" t="s">
        <v>46</v>
      </c>
      <c r="H66" s="103"/>
      <c r="I66" s="103"/>
      <c r="J66" s="103"/>
      <c r="K66" s="103"/>
      <c r="L66" s="103"/>
    </row>
    <row r="67" spans="1:12" x14ac:dyDescent="0.25">
      <c r="A67" s="16">
        <v>141034737</v>
      </c>
      <c r="B67" s="16"/>
      <c r="C67" s="16"/>
      <c r="D67" s="111" t="s">
        <v>47</v>
      </c>
      <c r="E67" s="111"/>
      <c r="F67" s="111"/>
      <c r="G67" s="111" t="s">
        <v>105</v>
      </c>
      <c r="H67" s="111"/>
      <c r="I67" s="111"/>
      <c r="J67" s="111"/>
      <c r="K67" s="111"/>
      <c r="L67" s="111"/>
    </row>
    <row r="68" spans="1:1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18"/>
    </row>
    <row r="70" spans="1:1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2" x14ac:dyDescent="0.25">
      <c r="A71" s="112" t="s">
        <v>49</v>
      </c>
      <c r="B71" s="112"/>
      <c r="C71" s="112"/>
      <c r="D71" s="112"/>
      <c r="E71" s="112"/>
      <c r="F71" s="112"/>
      <c r="G71" s="112" t="s">
        <v>50</v>
      </c>
      <c r="H71" s="112" t="s">
        <v>51</v>
      </c>
      <c r="I71" s="112" t="s">
        <v>52</v>
      </c>
      <c r="J71" s="112"/>
      <c r="K71" s="112" t="s">
        <v>53</v>
      </c>
      <c r="L71" s="112"/>
    </row>
    <row r="72" spans="1:12" x14ac:dyDescent="0.25">
      <c r="A72" s="112"/>
      <c r="B72" s="112"/>
      <c r="C72" s="112"/>
      <c r="D72" s="112"/>
      <c r="E72" s="112"/>
      <c r="F72" s="112"/>
      <c r="G72" s="112"/>
      <c r="H72" s="112"/>
      <c r="I72" s="20" t="s">
        <v>54</v>
      </c>
      <c r="J72" s="20" t="s">
        <v>55</v>
      </c>
      <c r="K72" s="20" t="s">
        <v>56</v>
      </c>
      <c r="L72" s="20" t="s">
        <v>57</v>
      </c>
    </row>
    <row r="73" spans="1:12" x14ac:dyDescent="0.25">
      <c r="A73" s="105" t="s">
        <v>58</v>
      </c>
      <c r="B73" s="105"/>
      <c r="C73" s="105"/>
      <c r="D73" s="105"/>
      <c r="E73" s="105"/>
      <c r="F73" s="105"/>
      <c r="G73" s="21">
        <v>100000</v>
      </c>
      <c r="H73" s="22"/>
      <c r="I73" s="21"/>
      <c r="J73" s="21"/>
      <c r="K73" s="21"/>
      <c r="L73" s="21"/>
    </row>
    <row r="74" spans="1:12" x14ac:dyDescent="0.25">
      <c r="A74" s="105" t="s">
        <v>59</v>
      </c>
      <c r="B74" s="105"/>
      <c r="C74" s="105"/>
      <c r="D74" s="105"/>
      <c r="E74" s="105"/>
      <c r="F74" s="105"/>
      <c r="G74" s="21"/>
      <c r="H74" s="21"/>
      <c r="I74" s="21">
        <f>IF(I75+I76-J77-J78+I79+I82+I83+I84+I80&lt;G73,I75+I76-J77-J78+I79+I82+I83+I84+I80,G73)</f>
        <v>100000</v>
      </c>
      <c r="J74" s="21"/>
      <c r="K74" s="21"/>
      <c r="L74" s="21"/>
    </row>
    <row r="75" spans="1:12" x14ac:dyDescent="0.25">
      <c r="A75" s="104" t="s">
        <v>60</v>
      </c>
      <c r="B75" s="104"/>
      <c r="C75" s="104"/>
      <c r="D75" s="104"/>
      <c r="E75" s="104"/>
      <c r="F75" s="104"/>
      <c r="G75" s="23"/>
      <c r="H75" s="24">
        <v>26</v>
      </c>
      <c r="I75" s="23">
        <f>G73/26*H75</f>
        <v>100000</v>
      </c>
      <c r="J75" s="25"/>
      <c r="K75" s="26"/>
      <c r="L75" s="26"/>
    </row>
    <row r="76" spans="1:12" x14ac:dyDescent="0.25">
      <c r="A76" s="104" t="s">
        <v>61</v>
      </c>
      <c r="B76" s="104"/>
      <c r="C76" s="104"/>
      <c r="D76" s="104"/>
      <c r="E76" s="104"/>
      <c r="F76" s="104"/>
      <c r="G76" s="23"/>
      <c r="H76" s="24">
        <v>0</v>
      </c>
      <c r="I76" s="23">
        <f>G73/26*H76</f>
        <v>0</v>
      </c>
      <c r="J76" s="25"/>
      <c r="K76" s="26"/>
      <c r="L76" s="26"/>
    </row>
    <row r="77" spans="1:12" x14ac:dyDescent="0.25">
      <c r="A77" s="104" t="s">
        <v>62</v>
      </c>
      <c r="B77" s="104"/>
      <c r="C77" s="104"/>
      <c r="D77" s="104"/>
      <c r="E77" s="104"/>
      <c r="F77" s="104"/>
      <c r="G77" s="23"/>
      <c r="H77" s="24">
        <v>0</v>
      </c>
      <c r="I77" s="23"/>
      <c r="J77" s="27">
        <f>G73/26*H77</f>
        <v>0</v>
      </c>
      <c r="K77" s="26"/>
      <c r="L77" s="26"/>
    </row>
    <row r="78" spans="1:12" x14ac:dyDescent="0.25">
      <c r="A78" s="104" t="s">
        <v>63</v>
      </c>
      <c r="B78" s="104"/>
      <c r="C78" s="104"/>
      <c r="D78" s="104"/>
      <c r="E78" s="104"/>
      <c r="F78" s="104"/>
      <c r="G78" s="23"/>
      <c r="H78" s="24">
        <v>0</v>
      </c>
      <c r="I78" s="23"/>
      <c r="J78" s="28">
        <f>G73/191*H78</f>
        <v>0</v>
      </c>
      <c r="K78" s="26"/>
      <c r="L78" s="26"/>
    </row>
    <row r="79" spans="1:12" x14ac:dyDescent="0.25">
      <c r="A79" s="104" t="s">
        <v>64</v>
      </c>
      <c r="B79" s="104"/>
      <c r="C79" s="104"/>
      <c r="D79" s="104"/>
      <c r="E79" s="104"/>
      <c r="F79" s="104"/>
      <c r="G79" s="23"/>
      <c r="H79" s="24">
        <v>0</v>
      </c>
      <c r="I79" s="23">
        <f>G73/26*H79</f>
        <v>0</v>
      </c>
      <c r="J79" s="25"/>
      <c r="K79" s="26"/>
      <c r="L79" s="26"/>
    </row>
    <row r="80" spans="1:12" x14ac:dyDescent="0.25">
      <c r="A80" s="104" t="s">
        <v>65</v>
      </c>
      <c r="B80" s="104"/>
      <c r="C80" s="104"/>
      <c r="D80" s="104"/>
      <c r="E80" s="104"/>
      <c r="F80" s="104"/>
      <c r="G80" s="23"/>
      <c r="H80" s="24">
        <v>0</v>
      </c>
      <c r="I80" s="23">
        <f>G73/191*H80</f>
        <v>0</v>
      </c>
      <c r="J80" s="25"/>
      <c r="K80" s="26"/>
      <c r="L80" s="26"/>
    </row>
    <row r="81" spans="1:12" x14ac:dyDescent="0.25">
      <c r="A81" s="104" t="s">
        <v>66</v>
      </c>
      <c r="B81" s="104"/>
      <c r="C81" s="104"/>
      <c r="D81" s="104"/>
      <c r="E81" s="104"/>
      <c r="F81" s="104"/>
      <c r="G81" s="29"/>
      <c r="H81" s="30"/>
      <c r="I81" s="30"/>
      <c r="J81" s="25"/>
      <c r="K81" s="26"/>
      <c r="L81" s="26"/>
    </row>
    <row r="82" spans="1:12" x14ac:dyDescent="0.25">
      <c r="A82" s="110">
        <v>0.25</v>
      </c>
      <c r="B82" s="110"/>
      <c r="C82" s="110"/>
      <c r="D82" s="110"/>
      <c r="E82" s="110"/>
      <c r="F82" s="110"/>
      <c r="G82" s="23"/>
      <c r="H82" s="24">
        <v>0</v>
      </c>
      <c r="I82" s="23">
        <f>G73/191*H82*A82</f>
        <v>0</v>
      </c>
      <c r="J82" s="25"/>
      <c r="K82" s="26"/>
      <c r="L82" s="26"/>
    </row>
    <row r="83" spans="1:12" x14ac:dyDescent="0.25">
      <c r="A83" s="110">
        <v>0.5</v>
      </c>
      <c r="B83" s="110"/>
      <c r="C83" s="110"/>
      <c r="D83" s="110"/>
      <c r="E83" s="110"/>
      <c r="F83" s="110"/>
      <c r="G83" s="23"/>
      <c r="H83" s="24">
        <v>0</v>
      </c>
      <c r="I83" s="23">
        <f>G73/191*A83*H83</f>
        <v>0</v>
      </c>
      <c r="J83" s="25"/>
      <c r="K83" s="26"/>
      <c r="L83" s="26"/>
    </row>
    <row r="84" spans="1:12" x14ac:dyDescent="0.25">
      <c r="A84" s="110">
        <v>1</v>
      </c>
      <c r="B84" s="110"/>
      <c r="C84" s="110"/>
      <c r="D84" s="110"/>
      <c r="E84" s="110"/>
      <c r="F84" s="110"/>
      <c r="G84" s="23"/>
      <c r="H84" s="24">
        <v>0</v>
      </c>
      <c r="I84" s="23">
        <f>G73/191*A84*H84</f>
        <v>0</v>
      </c>
      <c r="J84" s="25"/>
      <c r="K84" s="26"/>
      <c r="L84" s="26"/>
    </row>
    <row r="85" spans="1:12" x14ac:dyDescent="0.25">
      <c r="A85" s="105" t="s">
        <v>67</v>
      </c>
      <c r="B85" s="105"/>
      <c r="C85" s="105"/>
      <c r="D85" s="105"/>
      <c r="E85" s="105"/>
      <c r="F85" s="105"/>
      <c r="G85" s="21"/>
      <c r="H85" s="22"/>
      <c r="I85" s="21">
        <f>SUM(I86:I87)</f>
        <v>5000</v>
      </c>
      <c r="J85" s="21"/>
      <c r="K85" s="21"/>
      <c r="L85" s="21"/>
    </row>
    <row r="86" spans="1:12" x14ac:dyDescent="0.25">
      <c r="A86" s="104" t="s">
        <v>68</v>
      </c>
      <c r="B86" s="104"/>
      <c r="C86" s="104"/>
      <c r="D86" s="104"/>
      <c r="E86" s="104"/>
      <c r="F86" s="104"/>
      <c r="G86" s="23">
        <f>(G63-A65)/360</f>
        <v>2.0305555555555554</v>
      </c>
      <c r="H86" s="31">
        <v>0.05</v>
      </c>
      <c r="I86" s="23">
        <f>I74*H86</f>
        <v>5000</v>
      </c>
      <c r="J86" s="25"/>
      <c r="K86" s="26"/>
      <c r="L86" s="26"/>
    </row>
    <row r="87" spans="1:12" x14ac:dyDescent="0.25">
      <c r="A87" s="104" t="s">
        <v>69</v>
      </c>
      <c r="B87" s="104"/>
      <c r="C87" s="104"/>
      <c r="D87" s="104"/>
      <c r="E87" s="104"/>
      <c r="F87" s="104"/>
      <c r="G87" s="23"/>
      <c r="H87" s="24"/>
      <c r="I87" s="23"/>
      <c r="J87" s="25"/>
      <c r="K87" s="26"/>
      <c r="L87" s="26"/>
    </row>
    <row r="88" spans="1:12" x14ac:dyDescent="0.25">
      <c r="A88" s="105" t="s">
        <v>70</v>
      </c>
      <c r="B88" s="105"/>
      <c r="C88" s="105"/>
      <c r="D88" s="105"/>
      <c r="E88" s="105"/>
      <c r="F88" s="105"/>
      <c r="G88" s="21"/>
      <c r="H88" s="22"/>
      <c r="I88" s="21">
        <f>SUM(I89:I91)</f>
        <v>6000</v>
      </c>
      <c r="J88" s="21"/>
      <c r="K88" s="21"/>
      <c r="L88" s="21"/>
    </row>
    <row r="89" spans="1:12" x14ac:dyDescent="0.25">
      <c r="A89" s="104" t="s">
        <v>71</v>
      </c>
      <c r="B89" s="104"/>
      <c r="C89" s="104"/>
      <c r="D89" s="104"/>
      <c r="E89" s="104"/>
      <c r="F89" s="104"/>
      <c r="G89" s="23"/>
      <c r="H89" s="24"/>
      <c r="I89" s="23">
        <v>3000</v>
      </c>
      <c r="J89" s="25"/>
      <c r="K89" s="26"/>
      <c r="L89" s="26"/>
    </row>
    <row r="90" spans="1:12" x14ac:dyDescent="0.25">
      <c r="A90" s="104" t="s">
        <v>72</v>
      </c>
      <c r="B90" s="104"/>
      <c r="C90" s="104"/>
      <c r="D90" s="104"/>
      <c r="E90" s="104"/>
      <c r="F90" s="104"/>
      <c r="G90" s="23"/>
      <c r="H90" s="31"/>
      <c r="I90" s="23">
        <v>3000</v>
      </c>
      <c r="J90" s="25"/>
      <c r="K90" s="26"/>
      <c r="L90" s="26"/>
    </row>
    <row r="91" spans="1:12" x14ac:dyDescent="0.25">
      <c r="A91" s="104" t="s">
        <v>73</v>
      </c>
      <c r="B91" s="104"/>
      <c r="C91" s="104"/>
      <c r="D91" s="104"/>
      <c r="E91" s="104"/>
      <c r="F91" s="104"/>
      <c r="G91" s="23"/>
      <c r="H91" s="24"/>
      <c r="I91" s="23"/>
      <c r="J91" s="25"/>
      <c r="K91" s="26"/>
      <c r="L91" s="26"/>
    </row>
    <row r="92" spans="1:12" x14ac:dyDescent="0.25">
      <c r="A92" s="108" t="s">
        <v>74</v>
      </c>
      <c r="B92" s="108"/>
      <c r="C92" s="108"/>
      <c r="D92" s="108"/>
      <c r="E92" s="108"/>
      <c r="F92" s="108"/>
      <c r="G92" s="32"/>
      <c r="H92" s="33"/>
      <c r="I92" s="32">
        <f>I74+I85+I88</f>
        <v>111000</v>
      </c>
      <c r="J92" s="33"/>
      <c r="K92" s="33"/>
      <c r="L92" s="33"/>
    </row>
    <row r="93" spans="1:12" x14ac:dyDescent="0.25">
      <c r="A93" s="108" t="s">
        <v>75</v>
      </c>
      <c r="B93" s="108"/>
      <c r="C93" s="108"/>
      <c r="D93" s="108"/>
      <c r="E93" s="108"/>
      <c r="F93" s="108"/>
      <c r="G93" s="32"/>
      <c r="H93" s="33"/>
      <c r="I93" s="32">
        <f>I92-I88</f>
        <v>105000</v>
      </c>
      <c r="J93" s="33"/>
      <c r="K93" s="33"/>
      <c r="L93" s="33"/>
    </row>
    <row r="94" spans="1:12" x14ac:dyDescent="0.25">
      <c r="A94" s="104" t="s">
        <v>76</v>
      </c>
      <c r="B94" s="104"/>
      <c r="C94" s="104"/>
      <c r="D94" s="104"/>
      <c r="E94" s="104"/>
      <c r="F94" s="104"/>
      <c r="G94" s="23"/>
      <c r="H94" s="34">
        <f>[1]Taux!D$5+[1]Taux!D$6</f>
        <v>4.4800000000000006E-2</v>
      </c>
      <c r="I94" s="23"/>
      <c r="J94" s="23">
        <f>IF(I93&lt;6000,I93*H94,6000*H94)</f>
        <v>268.8</v>
      </c>
      <c r="K94" s="35">
        <f>[1]Taux!C$5+[1]Taux!C$6</f>
        <v>8.9799999999999991E-2</v>
      </c>
      <c r="L94" s="23">
        <f>IF(I93&lt;6000,I93*K94,6000*K94)</f>
        <v>538.79999999999995</v>
      </c>
    </row>
    <row r="95" spans="1:12" x14ac:dyDescent="0.25">
      <c r="A95" s="104" t="s">
        <v>77</v>
      </c>
      <c r="B95" s="104"/>
      <c r="C95" s="104"/>
      <c r="D95" s="104"/>
      <c r="E95" s="104"/>
      <c r="F95" s="104"/>
      <c r="G95" s="23"/>
      <c r="H95" s="34"/>
      <c r="I95" s="23"/>
      <c r="J95" s="23">
        <f>I93*H95</f>
        <v>0</v>
      </c>
      <c r="K95" s="36"/>
      <c r="L95" s="23">
        <f>I93*K95</f>
        <v>0</v>
      </c>
    </row>
    <row r="96" spans="1:12" x14ac:dyDescent="0.25">
      <c r="A96" s="104" t="s">
        <v>78</v>
      </c>
      <c r="B96" s="104"/>
      <c r="C96" s="104"/>
      <c r="D96" s="104"/>
      <c r="E96" s="104"/>
      <c r="F96" s="104"/>
      <c r="G96" s="23"/>
      <c r="H96" s="34">
        <v>0.25</v>
      </c>
      <c r="I96" s="23"/>
      <c r="J96" s="23">
        <f>H96*I93</f>
        <v>26250</v>
      </c>
      <c r="K96" s="35">
        <v>0.06</v>
      </c>
      <c r="L96" s="23">
        <f>I93*K96</f>
        <v>6300</v>
      </c>
    </row>
    <row r="97" spans="1:12" x14ac:dyDescent="0.25">
      <c r="A97" s="104" t="s">
        <v>79</v>
      </c>
      <c r="B97" s="104"/>
      <c r="C97" s="104"/>
      <c r="D97" s="104"/>
      <c r="E97" s="104"/>
      <c r="F97" s="104"/>
      <c r="G97" s="23"/>
      <c r="H97" s="34"/>
      <c r="I97" s="23"/>
      <c r="J97" s="23">
        <f>IF(I93*H97&gt;I93*0.06,I93*0.06,I93*H97)</f>
        <v>0</v>
      </c>
      <c r="K97" s="36"/>
      <c r="L97" s="23">
        <f>I93*K97</f>
        <v>0</v>
      </c>
    </row>
    <row r="98" spans="1:12" x14ac:dyDescent="0.25">
      <c r="A98" s="104" t="s">
        <v>80</v>
      </c>
      <c r="B98" s="104"/>
      <c r="C98" s="104"/>
      <c r="D98" s="104"/>
      <c r="E98" s="104"/>
      <c r="F98" s="104"/>
      <c r="G98" s="23"/>
      <c r="H98" s="34"/>
      <c r="I98" s="23"/>
      <c r="J98" s="23">
        <f>I93*H98</f>
        <v>0</v>
      </c>
      <c r="K98" s="36"/>
      <c r="L98" s="23">
        <f>I93*K98</f>
        <v>0</v>
      </c>
    </row>
    <row r="99" spans="1:12" x14ac:dyDescent="0.25">
      <c r="A99" s="104" t="s">
        <v>81</v>
      </c>
      <c r="B99" s="104"/>
      <c r="C99" s="104"/>
      <c r="D99" s="104"/>
      <c r="E99" s="104"/>
      <c r="F99" s="104"/>
      <c r="G99" s="23"/>
      <c r="H99" s="34"/>
      <c r="I99" s="23"/>
      <c r="J99" s="23">
        <f>I93*H99</f>
        <v>0</v>
      </c>
      <c r="K99" s="36"/>
      <c r="L99" s="23">
        <f>I93*K99</f>
        <v>0</v>
      </c>
    </row>
    <row r="100" spans="1:12" x14ac:dyDescent="0.25">
      <c r="A100" s="104" t="s">
        <v>24</v>
      </c>
      <c r="B100" s="104"/>
      <c r="C100" s="104"/>
      <c r="D100" s="104"/>
      <c r="E100" s="104"/>
      <c r="F100" s="104"/>
      <c r="G100" s="23"/>
      <c r="H100" s="34" t="str">
        <f>[1]Taux!D$7</f>
        <v>2,26%</v>
      </c>
      <c r="I100" s="23"/>
      <c r="J100" s="23">
        <f>H100*I93</f>
        <v>2373</v>
      </c>
      <c r="K100" s="34" t="str">
        <f>[1]Taux!C$7</f>
        <v>4,11%</v>
      </c>
      <c r="L100" s="23">
        <f>I93*K100</f>
        <v>4315.5</v>
      </c>
    </row>
    <row r="101" spans="1:12" x14ac:dyDescent="0.25">
      <c r="A101" s="109" t="s">
        <v>82</v>
      </c>
      <c r="B101" s="109"/>
      <c r="C101" s="109"/>
      <c r="D101" s="109"/>
      <c r="E101" s="109"/>
      <c r="F101" s="109"/>
      <c r="G101" s="37"/>
      <c r="H101" s="38"/>
      <c r="I101" s="39"/>
      <c r="J101" s="40"/>
      <c r="K101" s="34" t="str">
        <f>[1]Taux!C$4</f>
        <v>6,40%</v>
      </c>
      <c r="L101" s="23">
        <f>I93*K101</f>
        <v>6720</v>
      </c>
    </row>
    <row r="102" spans="1:12" x14ac:dyDescent="0.25">
      <c r="A102" s="109" t="s">
        <v>83</v>
      </c>
      <c r="B102" s="109"/>
      <c r="C102" s="109"/>
      <c r="D102" s="109"/>
      <c r="E102" s="109"/>
      <c r="F102" s="109"/>
      <c r="G102" s="41"/>
      <c r="H102" s="42"/>
      <c r="I102" s="43"/>
      <c r="J102" s="44"/>
      <c r="K102" s="34" t="str">
        <f>[1]Taux!C$8</f>
        <v>1,6 %</v>
      </c>
      <c r="L102" s="23">
        <f>I93*K102</f>
        <v>1680</v>
      </c>
    </row>
    <row r="103" spans="1:12" x14ac:dyDescent="0.25">
      <c r="A103" s="105" t="s">
        <v>84</v>
      </c>
      <c r="B103" s="105"/>
      <c r="C103" s="105"/>
      <c r="D103" s="105"/>
      <c r="E103" s="105"/>
      <c r="F103" s="105"/>
      <c r="G103" s="21"/>
      <c r="H103" s="22"/>
      <c r="I103" s="22"/>
      <c r="J103" s="21">
        <f>SUM(J94:J100)</f>
        <v>28891.8</v>
      </c>
      <c r="K103" s="21"/>
      <c r="L103" s="21">
        <f>SUM(L94:L102)</f>
        <v>19554.3</v>
      </c>
    </row>
    <row r="104" spans="1:12" x14ac:dyDescent="0.25">
      <c r="A104" s="104" t="s">
        <v>85</v>
      </c>
      <c r="B104" s="104"/>
      <c r="C104" s="104"/>
      <c r="D104" s="104"/>
      <c r="E104" s="104"/>
      <c r="F104" s="104"/>
      <c r="G104" s="23"/>
      <c r="H104" s="45">
        <v>0.2</v>
      </c>
      <c r="I104" s="23"/>
      <c r="J104" s="23">
        <f>IF(I93*H104&lt;2500,I93*H104,2500)</f>
        <v>2500</v>
      </c>
      <c r="K104" s="46"/>
      <c r="L104" s="47"/>
    </row>
    <row r="105" spans="1:12" x14ac:dyDescent="0.25">
      <c r="A105" s="108" t="s">
        <v>86</v>
      </c>
      <c r="B105" s="108"/>
      <c r="C105" s="108"/>
      <c r="D105" s="108"/>
      <c r="E105" s="108"/>
      <c r="F105" s="108"/>
      <c r="G105" s="32"/>
      <c r="H105" s="33"/>
      <c r="I105" s="32">
        <f>I93-J103-J104</f>
        <v>73608.2</v>
      </c>
      <c r="J105" s="33"/>
      <c r="K105" s="33"/>
      <c r="L105" s="33"/>
    </row>
    <row r="106" spans="1:12" x14ac:dyDescent="0.25">
      <c r="A106" s="104" t="s">
        <v>87</v>
      </c>
      <c r="B106" s="104"/>
      <c r="C106" s="104"/>
      <c r="D106" s="104"/>
      <c r="E106" s="104"/>
      <c r="F106" s="104"/>
      <c r="G106" s="23"/>
      <c r="H106" s="34"/>
      <c r="I106" s="23">
        <f>H106*180/360</f>
        <v>0</v>
      </c>
      <c r="J106" s="23"/>
      <c r="K106" s="46"/>
      <c r="L106" s="47"/>
    </row>
    <row r="107" spans="1:12" x14ac:dyDescent="0.25">
      <c r="A107" s="108" t="s">
        <v>88</v>
      </c>
      <c r="B107" s="108"/>
      <c r="C107" s="108"/>
      <c r="D107" s="108"/>
      <c r="E107" s="108"/>
      <c r="F107" s="108"/>
      <c r="G107" s="32"/>
      <c r="H107" s="33"/>
      <c r="I107" s="32">
        <f>I105-I106</f>
        <v>73608.2</v>
      </c>
      <c r="J107" s="33"/>
      <c r="K107" s="33"/>
      <c r="L107" s="33"/>
    </row>
    <row r="108" spans="1:12" x14ac:dyDescent="0.25">
      <c r="A108" s="104" t="s">
        <v>89</v>
      </c>
      <c r="B108" s="104"/>
      <c r="C108" s="104"/>
      <c r="D108" s="104"/>
      <c r="E108" s="104"/>
      <c r="F108" s="104"/>
      <c r="G108" s="25"/>
      <c r="H108" s="48"/>
      <c r="I108" s="40"/>
      <c r="J108" s="23">
        <v>25937.78</v>
      </c>
      <c r="K108" s="46"/>
      <c r="L108" s="47"/>
    </row>
    <row r="109" spans="1:12" x14ac:dyDescent="0.25">
      <c r="A109" s="104" t="s">
        <v>90</v>
      </c>
      <c r="B109" s="104"/>
      <c r="C109" s="104"/>
      <c r="D109" s="104"/>
      <c r="E109" s="104"/>
      <c r="F109" s="104"/>
      <c r="G109" s="27"/>
      <c r="H109" s="49">
        <f>F65</f>
        <v>0</v>
      </c>
      <c r="I109" s="49"/>
      <c r="J109" s="23">
        <f>IF(H109*360/12&gt;6*360/12,6*360/12,H109*360/12)</f>
        <v>0</v>
      </c>
      <c r="K109" s="46"/>
      <c r="L109" s="47"/>
    </row>
    <row r="110" spans="1:12" x14ac:dyDescent="0.25">
      <c r="A110" s="105" t="s">
        <v>91</v>
      </c>
      <c r="B110" s="105"/>
      <c r="C110" s="105"/>
      <c r="D110" s="105"/>
      <c r="E110" s="105"/>
      <c r="F110" s="105"/>
      <c r="G110" s="21"/>
      <c r="H110" s="22"/>
      <c r="I110" s="21"/>
      <c r="J110" s="21">
        <f>J108-J109</f>
        <v>25937.78</v>
      </c>
      <c r="K110" s="21"/>
      <c r="L110" s="21"/>
    </row>
    <row r="111" spans="1:12" x14ac:dyDescent="0.25">
      <c r="A111" s="106" t="s">
        <v>92</v>
      </c>
      <c r="B111" s="106"/>
      <c r="C111" s="106"/>
      <c r="D111" s="106"/>
      <c r="E111" s="106"/>
      <c r="F111" s="106"/>
      <c r="G111" s="25"/>
      <c r="H111" s="48"/>
      <c r="I111" s="47"/>
      <c r="J111" s="49">
        <v>0</v>
      </c>
      <c r="K111" s="46"/>
      <c r="L111" s="47"/>
    </row>
    <row r="112" spans="1:12" x14ac:dyDescent="0.25">
      <c r="A112" s="104" t="s">
        <v>93</v>
      </c>
      <c r="B112" s="104"/>
      <c r="C112" s="104"/>
      <c r="D112" s="104"/>
      <c r="E112" s="104"/>
      <c r="F112" s="104"/>
      <c r="G112" s="25"/>
      <c r="H112" s="48"/>
      <c r="I112" s="44"/>
      <c r="J112" s="28">
        <v>0</v>
      </c>
      <c r="K112" s="46"/>
      <c r="L112" s="47"/>
    </row>
    <row r="113" spans="1:13" x14ac:dyDescent="0.25">
      <c r="A113" s="107" t="s">
        <v>94</v>
      </c>
      <c r="B113" s="107"/>
      <c r="C113" s="107"/>
      <c r="D113" s="107"/>
      <c r="E113" s="107"/>
      <c r="F113" s="107"/>
      <c r="G113" s="41"/>
      <c r="H113" s="42"/>
      <c r="I113" s="28">
        <f>1-0.42</f>
        <v>0.58000000000000007</v>
      </c>
      <c r="J113" s="41"/>
      <c r="K113" s="43"/>
      <c r="L113" s="44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3" x14ac:dyDescent="0.25">
      <c r="A115" s="14" t="s">
        <v>95</v>
      </c>
      <c r="B115" s="14" t="s">
        <v>96</v>
      </c>
      <c r="C115" s="14" t="s">
        <v>97</v>
      </c>
      <c r="D115" s="103" t="s">
        <v>98</v>
      </c>
      <c r="E115" s="103"/>
      <c r="F115" s="103"/>
      <c r="G115" s="14" t="s">
        <v>99</v>
      </c>
      <c r="H115" s="50"/>
      <c r="I115" s="52">
        <f>I92+I113</f>
        <v>111000.58</v>
      </c>
      <c r="J115" s="52">
        <f>J103+J110+J111+J112</f>
        <v>54829.58</v>
      </c>
      <c r="K115" s="14" t="s">
        <v>100</v>
      </c>
      <c r="L115" s="52">
        <f>L103</f>
        <v>19554.3</v>
      </c>
    </row>
    <row r="116" spans="1:13" x14ac:dyDescent="0.25">
      <c r="A116" s="52">
        <f>974000+I92</f>
        <v>1085000</v>
      </c>
      <c r="B116" s="52">
        <f>920000+I93</f>
        <v>1025000</v>
      </c>
      <c r="C116" s="52">
        <f>2419.2+J94</f>
        <v>2688</v>
      </c>
      <c r="D116" s="102">
        <f>226529.75+J110</f>
        <v>252467.53</v>
      </c>
      <c r="E116" s="102"/>
      <c r="F116" s="102"/>
      <c r="G116" s="52">
        <f>494263.97+I115</f>
        <v>605264.54999999993</v>
      </c>
      <c r="H116" s="103" t="s">
        <v>101</v>
      </c>
      <c r="I116" s="103"/>
      <c r="J116" s="52">
        <f>I115-J115</f>
        <v>56171</v>
      </c>
      <c r="K116" s="14" t="s">
        <v>102</v>
      </c>
      <c r="L116" s="52">
        <f>171461.2+L115</f>
        <v>191015.5</v>
      </c>
    </row>
    <row r="117" spans="1: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53" t="s">
        <v>103</v>
      </c>
      <c r="L117" s="54">
        <f>J116+L115</f>
        <v>75725.3</v>
      </c>
    </row>
    <row r="118" spans="1: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1" spans="1:13" x14ac:dyDescent="0.25">
      <c r="A121" s="114" t="s">
        <v>26</v>
      </c>
      <c r="B121" s="114"/>
      <c r="C121" s="114" t="s">
        <v>27</v>
      </c>
      <c r="D121" s="114"/>
      <c r="E121" s="114"/>
      <c r="F121" s="114"/>
      <c r="G121" s="114" t="s">
        <v>28</v>
      </c>
      <c r="H121" s="114"/>
      <c r="I121" s="114"/>
      <c r="J121" s="114" t="s">
        <v>29</v>
      </c>
      <c r="K121" s="114"/>
      <c r="L121" s="114"/>
    </row>
    <row r="122" spans="1:13" x14ac:dyDescent="0.25">
      <c r="A122" s="14" t="s">
        <v>30</v>
      </c>
      <c r="B122" s="103" t="s">
        <v>31</v>
      </c>
      <c r="C122" s="103"/>
      <c r="D122" s="103"/>
      <c r="E122" s="103"/>
      <c r="F122" s="103"/>
      <c r="G122" s="103" t="s">
        <v>32</v>
      </c>
      <c r="H122" s="103"/>
      <c r="I122" s="103"/>
      <c r="J122" s="103"/>
      <c r="K122" s="103"/>
      <c r="L122" s="103"/>
    </row>
    <row r="123" spans="1:13" x14ac:dyDescent="0.25">
      <c r="A123" s="16">
        <v>4</v>
      </c>
      <c r="B123" s="111" t="s">
        <v>106</v>
      </c>
      <c r="C123" s="111"/>
      <c r="D123" s="111"/>
      <c r="E123" s="111"/>
      <c r="F123" s="111"/>
      <c r="G123" s="113">
        <v>42522</v>
      </c>
      <c r="H123" s="113"/>
      <c r="I123" s="113"/>
      <c r="J123" s="113">
        <v>42551</v>
      </c>
      <c r="K123" s="113"/>
      <c r="L123" s="113"/>
    </row>
    <row r="124" spans="1:13" x14ac:dyDescent="0.25">
      <c r="A124" s="14" t="s">
        <v>34</v>
      </c>
      <c r="B124" s="14" t="s">
        <v>35</v>
      </c>
      <c r="C124" s="14" t="s">
        <v>36</v>
      </c>
      <c r="D124" s="14" t="s">
        <v>37</v>
      </c>
      <c r="E124" s="14" t="s">
        <v>38</v>
      </c>
      <c r="F124" s="14" t="s">
        <v>39</v>
      </c>
      <c r="G124" s="103" t="s">
        <v>40</v>
      </c>
      <c r="H124" s="103"/>
      <c r="I124" s="103"/>
      <c r="J124" s="103"/>
      <c r="K124" s="103"/>
      <c r="L124" s="103"/>
    </row>
    <row r="125" spans="1:13" x14ac:dyDescent="0.25">
      <c r="A125" s="17">
        <v>41791</v>
      </c>
      <c r="B125" s="16"/>
      <c r="C125" s="17">
        <v>28152</v>
      </c>
      <c r="D125" s="16" t="s">
        <v>41</v>
      </c>
      <c r="E125" s="16">
        <v>0</v>
      </c>
      <c r="F125" s="16">
        <v>0</v>
      </c>
      <c r="G125" s="111"/>
      <c r="H125" s="111"/>
      <c r="I125" s="111"/>
      <c r="J125" s="111"/>
      <c r="K125" s="111"/>
      <c r="L125" s="111"/>
    </row>
    <row r="126" spans="1:13" x14ac:dyDescent="0.25">
      <c r="A126" s="14" t="s">
        <v>42</v>
      </c>
      <c r="B126" s="14" t="s">
        <v>43</v>
      </c>
      <c r="C126" s="14" t="s">
        <v>44</v>
      </c>
      <c r="D126" s="103" t="s">
        <v>45</v>
      </c>
      <c r="E126" s="103"/>
      <c r="F126" s="103"/>
      <c r="G126" s="103" t="s">
        <v>46</v>
      </c>
      <c r="H126" s="103"/>
      <c r="I126" s="103"/>
      <c r="J126" s="103"/>
      <c r="K126" s="103"/>
      <c r="L126" s="103"/>
    </row>
    <row r="127" spans="1:13" x14ac:dyDescent="0.25">
      <c r="A127" s="16">
        <v>123952551</v>
      </c>
      <c r="B127" s="16"/>
      <c r="C127" s="16"/>
      <c r="D127" s="111" t="s">
        <v>47</v>
      </c>
      <c r="E127" s="111"/>
      <c r="F127" s="111"/>
      <c r="G127" s="111" t="s">
        <v>107</v>
      </c>
      <c r="H127" s="111"/>
      <c r="I127" s="111"/>
      <c r="J127" s="111"/>
      <c r="K127" s="111"/>
      <c r="L127" s="111"/>
    </row>
    <row r="128" spans="1: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8"/>
    </row>
    <row r="130" spans="1:1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1:12" x14ac:dyDescent="0.25">
      <c r="A131" s="112" t="s">
        <v>49</v>
      </c>
      <c r="B131" s="112"/>
      <c r="C131" s="112"/>
      <c r="D131" s="112"/>
      <c r="E131" s="112"/>
      <c r="F131" s="112"/>
      <c r="G131" s="112" t="s">
        <v>50</v>
      </c>
      <c r="H131" s="112" t="s">
        <v>51</v>
      </c>
      <c r="I131" s="112" t="s">
        <v>52</v>
      </c>
      <c r="J131" s="112"/>
      <c r="K131" s="112" t="s">
        <v>53</v>
      </c>
      <c r="L131" s="112"/>
    </row>
    <row r="132" spans="1:12" x14ac:dyDescent="0.25">
      <c r="A132" s="112"/>
      <c r="B132" s="112"/>
      <c r="C132" s="112"/>
      <c r="D132" s="112"/>
      <c r="E132" s="112"/>
      <c r="F132" s="112"/>
      <c r="G132" s="112"/>
      <c r="H132" s="112"/>
      <c r="I132" s="20" t="s">
        <v>54</v>
      </c>
      <c r="J132" s="20" t="s">
        <v>55</v>
      </c>
      <c r="K132" s="20" t="s">
        <v>56</v>
      </c>
      <c r="L132" s="20" t="s">
        <v>57</v>
      </c>
    </row>
    <row r="133" spans="1:12" x14ac:dyDescent="0.25">
      <c r="A133" s="105" t="s">
        <v>58</v>
      </c>
      <c r="B133" s="105"/>
      <c r="C133" s="105"/>
      <c r="D133" s="105"/>
      <c r="E133" s="105"/>
      <c r="F133" s="105"/>
      <c r="G133" s="21">
        <v>90000</v>
      </c>
      <c r="H133" s="22"/>
      <c r="I133" s="21"/>
      <c r="J133" s="21"/>
      <c r="K133" s="21"/>
      <c r="L133" s="21"/>
    </row>
    <row r="134" spans="1:12" x14ac:dyDescent="0.25">
      <c r="A134" s="105" t="s">
        <v>59</v>
      </c>
      <c r="B134" s="105"/>
      <c r="C134" s="105"/>
      <c r="D134" s="105"/>
      <c r="E134" s="105"/>
      <c r="F134" s="105"/>
      <c r="G134" s="21"/>
      <c r="H134" s="21"/>
      <c r="I134" s="21">
        <f>IF(I135+I136-J137-J138+I139+I142+I143+I144+I140&lt;G133,I135+I136-J137-J138+I139+I142+I143+I144+I140,G133)</f>
        <v>90000</v>
      </c>
      <c r="J134" s="21"/>
      <c r="K134" s="21"/>
      <c r="L134" s="21"/>
    </row>
    <row r="135" spans="1:12" x14ac:dyDescent="0.25">
      <c r="A135" s="104" t="s">
        <v>60</v>
      </c>
      <c r="B135" s="104"/>
      <c r="C135" s="104"/>
      <c r="D135" s="104"/>
      <c r="E135" s="104"/>
      <c r="F135" s="104"/>
      <c r="G135" s="23"/>
      <c r="H135" s="24">
        <v>26</v>
      </c>
      <c r="I135" s="23">
        <f>G133/26*H135</f>
        <v>90000</v>
      </c>
      <c r="J135" s="25"/>
      <c r="K135" s="26"/>
      <c r="L135" s="26"/>
    </row>
    <row r="136" spans="1:12" x14ac:dyDescent="0.25">
      <c r="A136" s="104" t="s">
        <v>61</v>
      </c>
      <c r="B136" s="104"/>
      <c r="C136" s="104"/>
      <c r="D136" s="104"/>
      <c r="E136" s="104"/>
      <c r="F136" s="104"/>
      <c r="G136" s="23"/>
      <c r="H136" s="24">
        <v>0</v>
      </c>
      <c r="I136" s="23">
        <f>G133/26*H136</f>
        <v>0</v>
      </c>
      <c r="J136" s="25"/>
      <c r="K136" s="26"/>
      <c r="L136" s="26"/>
    </row>
    <row r="137" spans="1:12" x14ac:dyDescent="0.25">
      <c r="A137" s="104" t="s">
        <v>62</v>
      </c>
      <c r="B137" s="104"/>
      <c r="C137" s="104"/>
      <c r="D137" s="104"/>
      <c r="E137" s="104"/>
      <c r="F137" s="104"/>
      <c r="G137" s="23"/>
      <c r="H137" s="24">
        <v>0</v>
      </c>
      <c r="I137" s="23"/>
      <c r="J137" s="27">
        <f>G133/26*H137</f>
        <v>0</v>
      </c>
      <c r="K137" s="26"/>
      <c r="L137" s="26"/>
    </row>
    <row r="138" spans="1:12" x14ac:dyDescent="0.25">
      <c r="A138" s="104" t="s">
        <v>63</v>
      </c>
      <c r="B138" s="104"/>
      <c r="C138" s="104"/>
      <c r="D138" s="104"/>
      <c r="E138" s="104"/>
      <c r="F138" s="104"/>
      <c r="G138" s="23"/>
      <c r="H138" s="24">
        <v>0</v>
      </c>
      <c r="I138" s="23"/>
      <c r="J138" s="28">
        <f>G133/191*H138</f>
        <v>0</v>
      </c>
      <c r="K138" s="26"/>
      <c r="L138" s="26"/>
    </row>
    <row r="139" spans="1:12" x14ac:dyDescent="0.25">
      <c r="A139" s="104" t="s">
        <v>64</v>
      </c>
      <c r="B139" s="104"/>
      <c r="C139" s="104"/>
      <c r="D139" s="104"/>
      <c r="E139" s="104"/>
      <c r="F139" s="104"/>
      <c r="G139" s="23"/>
      <c r="H139" s="24">
        <v>0</v>
      </c>
      <c r="I139" s="23">
        <f>G133/26*H139</f>
        <v>0</v>
      </c>
      <c r="J139" s="25"/>
      <c r="K139" s="26"/>
      <c r="L139" s="26"/>
    </row>
    <row r="140" spans="1:12" x14ac:dyDescent="0.25">
      <c r="A140" s="104" t="s">
        <v>65</v>
      </c>
      <c r="B140" s="104"/>
      <c r="C140" s="104"/>
      <c r="D140" s="104"/>
      <c r="E140" s="104"/>
      <c r="F140" s="104"/>
      <c r="G140" s="23"/>
      <c r="H140" s="24">
        <v>0</v>
      </c>
      <c r="I140" s="23">
        <f>G133/191*H140</f>
        <v>0</v>
      </c>
      <c r="J140" s="25"/>
      <c r="K140" s="26"/>
      <c r="L140" s="26"/>
    </row>
    <row r="141" spans="1:12" x14ac:dyDescent="0.25">
      <c r="A141" s="104" t="s">
        <v>66</v>
      </c>
      <c r="B141" s="104"/>
      <c r="C141" s="104"/>
      <c r="D141" s="104"/>
      <c r="E141" s="104"/>
      <c r="F141" s="104"/>
      <c r="G141" s="29"/>
      <c r="H141" s="30"/>
      <c r="I141" s="30"/>
      <c r="J141" s="25"/>
      <c r="K141" s="26"/>
      <c r="L141" s="26"/>
    </row>
    <row r="142" spans="1:12" x14ac:dyDescent="0.25">
      <c r="A142" s="110">
        <v>0.25</v>
      </c>
      <c r="B142" s="110"/>
      <c r="C142" s="110"/>
      <c r="D142" s="110"/>
      <c r="E142" s="110"/>
      <c r="F142" s="110"/>
      <c r="G142" s="23"/>
      <c r="H142" s="24">
        <v>0</v>
      </c>
      <c r="I142" s="23">
        <f>G133/191*H142*A142</f>
        <v>0</v>
      </c>
      <c r="J142" s="25"/>
      <c r="K142" s="26"/>
      <c r="L142" s="26"/>
    </row>
    <row r="143" spans="1:12" x14ac:dyDescent="0.25">
      <c r="A143" s="110">
        <v>0.5</v>
      </c>
      <c r="B143" s="110"/>
      <c r="C143" s="110"/>
      <c r="D143" s="110"/>
      <c r="E143" s="110"/>
      <c r="F143" s="110"/>
      <c r="G143" s="23"/>
      <c r="H143" s="24">
        <v>0</v>
      </c>
      <c r="I143" s="23">
        <f>G133/191*A143*H143</f>
        <v>0</v>
      </c>
      <c r="J143" s="25"/>
      <c r="K143" s="26"/>
      <c r="L143" s="26"/>
    </row>
    <row r="144" spans="1:12" x14ac:dyDescent="0.25">
      <c r="A144" s="110">
        <v>1</v>
      </c>
      <c r="B144" s="110"/>
      <c r="C144" s="110"/>
      <c r="D144" s="110"/>
      <c r="E144" s="110"/>
      <c r="F144" s="110"/>
      <c r="G144" s="23"/>
      <c r="H144" s="24">
        <v>0</v>
      </c>
      <c r="I144" s="23">
        <f>G133/191*A144*H144</f>
        <v>0</v>
      </c>
      <c r="J144" s="25"/>
      <c r="K144" s="26"/>
      <c r="L144" s="26"/>
    </row>
    <row r="145" spans="1:12" x14ac:dyDescent="0.25">
      <c r="A145" s="105" t="s">
        <v>67</v>
      </c>
      <c r="B145" s="105"/>
      <c r="C145" s="105"/>
      <c r="D145" s="105"/>
      <c r="E145" s="105"/>
      <c r="F145" s="105"/>
      <c r="G145" s="21"/>
      <c r="H145" s="22"/>
      <c r="I145" s="21">
        <f>SUM(I146:I147)</f>
        <v>4500</v>
      </c>
      <c r="J145" s="21"/>
      <c r="K145" s="21"/>
      <c r="L145" s="21"/>
    </row>
    <row r="146" spans="1:12" x14ac:dyDescent="0.25">
      <c r="A146" s="104" t="s">
        <v>68</v>
      </c>
      <c r="B146" s="104"/>
      <c r="C146" s="104"/>
      <c r="D146" s="104"/>
      <c r="E146" s="104"/>
      <c r="F146" s="104"/>
      <c r="G146" s="23">
        <f>(G123-A125)/360</f>
        <v>2.0305555555555554</v>
      </c>
      <c r="H146" s="31">
        <v>0.05</v>
      </c>
      <c r="I146" s="23">
        <f>I134*H146</f>
        <v>4500</v>
      </c>
      <c r="J146" s="25"/>
      <c r="K146" s="26"/>
      <c r="L146" s="26"/>
    </row>
    <row r="147" spans="1:12" x14ac:dyDescent="0.25">
      <c r="A147" s="104" t="s">
        <v>69</v>
      </c>
      <c r="B147" s="104"/>
      <c r="C147" s="104"/>
      <c r="D147" s="104"/>
      <c r="E147" s="104"/>
      <c r="F147" s="104"/>
      <c r="G147" s="23"/>
      <c r="H147" s="24"/>
      <c r="I147" s="23"/>
      <c r="J147" s="25"/>
      <c r="K147" s="26"/>
      <c r="L147" s="26"/>
    </row>
    <row r="148" spans="1:12" x14ac:dyDescent="0.25">
      <c r="A148" s="105" t="s">
        <v>70</v>
      </c>
      <c r="B148" s="105"/>
      <c r="C148" s="105"/>
      <c r="D148" s="105"/>
      <c r="E148" s="105"/>
      <c r="F148" s="105"/>
      <c r="G148" s="21"/>
      <c r="H148" s="22"/>
      <c r="I148" s="21">
        <f>SUM(I149:I151)</f>
        <v>6000</v>
      </c>
      <c r="J148" s="21"/>
      <c r="K148" s="21"/>
      <c r="L148" s="21"/>
    </row>
    <row r="149" spans="1:12" x14ac:dyDescent="0.25">
      <c r="A149" s="104" t="s">
        <v>71</v>
      </c>
      <c r="B149" s="104"/>
      <c r="C149" s="104"/>
      <c r="D149" s="104"/>
      <c r="E149" s="104"/>
      <c r="F149" s="104"/>
      <c r="G149" s="23"/>
      <c r="H149" s="24"/>
      <c r="I149" s="23">
        <v>3000</v>
      </c>
      <c r="J149" s="25"/>
      <c r="K149" s="26"/>
      <c r="L149" s="26"/>
    </row>
    <row r="150" spans="1:12" x14ac:dyDescent="0.25">
      <c r="A150" s="104" t="s">
        <v>72</v>
      </c>
      <c r="B150" s="104"/>
      <c r="C150" s="104"/>
      <c r="D150" s="104"/>
      <c r="E150" s="104"/>
      <c r="F150" s="104"/>
      <c r="G150" s="23"/>
      <c r="H150" s="31"/>
      <c r="I150" s="23">
        <v>3000</v>
      </c>
      <c r="J150" s="25"/>
      <c r="K150" s="26"/>
      <c r="L150" s="26"/>
    </row>
    <row r="151" spans="1:12" x14ac:dyDescent="0.25">
      <c r="A151" s="104" t="s">
        <v>73</v>
      </c>
      <c r="B151" s="104"/>
      <c r="C151" s="104"/>
      <c r="D151" s="104"/>
      <c r="E151" s="104"/>
      <c r="F151" s="104"/>
      <c r="G151" s="23"/>
      <c r="H151" s="24"/>
      <c r="I151" s="23"/>
      <c r="J151" s="25"/>
      <c r="K151" s="26"/>
      <c r="L151" s="26"/>
    </row>
    <row r="152" spans="1:12" x14ac:dyDescent="0.25">
      <c r="A152" s="108" t="s">
        <v>74</v>
      </c>
      <c r="B152" s="108"/>
      <c r="C152" s="108"/>
      <c r="D152" s="108"/>
      <c r="E152" s="108"/>
      <c r="F152" s="108"/>
      <c r="G152" s="32"/>
      <c r="H152" s="33"/>
      <c r="I152" s="32">
        <f>I134+I145+I148</f>
        <v>100500</v>
      </c>
      <c r="J152" s="33"/>
      <c r="K152" s="33"/>
      <c r="L152" s="33"/>
    </row>
    <row r="153" spans="1:12" x14ac:dyDescent="0.25">
      <c r="A153" s="108" t="s">
        <v>75</v>
      </c>
      <c r="B153" s="108"/>
      <c r="C153" s="108"/>
      <c r="D153" s="108"/>
      <c r="E153" s="108"/>
      <c r="F153" s="108"/>
      <c r="G153" s="32"/>
      <c r="H153" s="33"/>
      <c r="I153" s="32">
        <f>I152-I148</f>
        <v>94500</v>
      </c>
      <c r="J153" s="33"/>
      <c r="K153" s="33"/>
      <c r="L153" s="33"/>
    </row>
    <row r="154" spans="1:12" x14ac:dyDescent="0.25">
      <c r="A154" s="104" t="s">
        <v>76</v>
      </c>
      <c r="B154" s="104"/>
      <c r="C154" s="104"/>
      <c r="D154" s="104"/>
      <c r="E154" s="104"/>
      <c r="F154" s="104"/>
      <c r="G154" s="23"/>
      <c r="H154" s="34">
        <f>[1]Taux!D$5+[1]Taux!D$6</f>
        <v>4.4800000000000006E-2</v>
      </c>
      <c r="I154" s="23"/>
      <c r="J154" s="23">
        <f>IF(I153&lt;6000,I153*H154,6000*H154)</f>
        <v>268.8</v>
      </c>
      <c r="K154" s="35">
        <f>[1]Taux!C$5+[1]Taux!C$6</f>
        <v>8.9799999999999991E-2</v>
      </c>
      <c r="L154" s="23">
        <f>IF(I153&lt;6000,I153*K154,6000*K154)</f>
        <v>538.79999999999995</v>
      </c>
    </row>
    <row r="155" spans="1:12" x14ac:dyDescent="0.25">
      <c r="A155" s="104" t="s">
        <v>77</v>
      </c>
      <c r="B155" s="104"/>
      <c r="C155" s="104"/>
      <c r="D155" s="104"/>
      <c r="E155" s="104"/>
      <c r="F155" s="104"/>
      <c r="G155" s="23"/>
      <c r="H155" s="34"/>
      <c r="I155" s="23"/>
      <c r="J155" s="23">
        <f>I153*H155</f>
        <v>0</v>
      </c>
      <c r="K155" s="36"/>
      <c r="L155" s="23">
        <f>I153*K155</f>
        <v>0</v>
      </c>
    </row>
    <row r="156" spans="1:12" x14ac:dyDescent="0.25">
      <c r="A156" s="104" t="s">
        <v>78</v>
      </c>
      <c r="B156" s="104"/>
      <c r="C156" s="104"/>
      <c r="D156" s="104"/>
      <c r="E156" s="104"/>
      <c r="F156" s="104"/>
      <c r="G156" s="23"/>
      <c r="H156" s="34">
        <v>0.5</v>
      </c>
      <c r="I156" s="23"/>
      <c r="J156" s="23">
        <f>I153*H156</f>
        <v>47250</v>
      </c>
      <c r="K156" s="35">
        <v>0.06</v>
      </c>
      <c r="L156" s="23">
        <f>I153*K156</f>
        <v>5670</v>
      </c>
    </row>
    <row r="157" spans="1:12" x14ac:dyDescent="0.25">
      <c r="A157" s="104" t="s">
        <v>79</v>
      </c>
      <c r="B157" s="104"/>
      <c r="C157" s="104"/>
      <c r="D157" s="104"/>
      <c r="E157" s="104"/>
      <c r="F157" s="104"/>
      <c r="G157" s="23"/>
      <c r="H157" s="34"/>
      <c r="I157" s="23"/>
      <c r="J157" s="23">
        <f>IF(I153*H157&gt;I153*0.06,I153*0.06,I153*H157)</f>
        <v>0</v>
      </c>
      <c r="K157" s="36"/>
      <c r="L157" s="23">
        <f>I153*K157</f>
        <v>0</v>
      </c>
    </row>
    <row r="158" spans="1:12" x14ac:dyDescent="0.25">
      <c r="A158" s="104" t="s">
        <v>80</v>
      </c>
      <c r="B158" s="104"/>
      <c r="C158" s="104"/>
      <c r="D158" s="104"/>
      <c r="E158" s="104"/>
      <c r="F158" s="104"/>
      <c r="G158" s="23"/>
      <c r="H158" s="34"/>
      <c r="I158" s="23"/>
      <c r="J158" s="23">
        <f>I153*H158</f>
        <v>0</v>
      </c>
      <c r="K158" s="36"/>
      <c r="L158" s="23">
        <f>I153*K158</f>
        <v>0</v>
      </c>
    </row>
    <row r="159" spans="1:12" x14ac:dyDescent="0.25">
      <c r="A159" s="104" t="s">
        <v>81</v>
      </c>
      <c r="B159" s="104"/>
      <c r="C159" s="104"/>
      <c r="D159" s="104"/>
      <c r="E159" s="104"/>
      <c r="F159" s="104"/>
      <c r="G159" s="23"/>
      <c r="H159" s="34"/>
      <c r="I159" s="23"/>
      <c r="J159" s="23">
        <f>I153*H159</f>
        <v>0</v>
      </c>
      <c r="K159" s="36"/>
      <c r="L159" s="23">
        <f>I153*K159</f>
        <v>0</v>
      </c>
    </row>
    <row r="160" spans="1:12" x14ac:dyDescent="0.25">
      <c r="A160" s="104" t="s">
        <v>24</v>
      </c>
      <c r="B160" s="104"/>
      <c r="C160" s="104"/>
      <c r="D160" s="104"/>
      <c r="E160" s="104"/>
      <c r="F160" s="104"/>
      <c r="G160" s="23"/>
      <c r="H160" s="34" t="str">
        <f>[1]Taux!D$7</f>
        <v>2,26%</v>
      </c>
      <c r="I160" s="23"/>
      <c r="J160" s="23">
        <f>I153*H160</f>
        <v>2135.6999999999998</v>
      </c>
      <c r="K160" s="34" t="str">
        <f>[1]Taux!C$7</f>
        <v>4,11%</v>
      </c>
      <c r="L160" s="23">
        <f>I153*K160</f>
        <v>3883.95</v>
      </c>
    </row>
    <row r="161" spans="1:12" x14ac:dyDescent="0.25">
      <c r="A161" s="109" t="s">
        <v>82</v>
      </c>
      <c r="B161" s="109"/>
      <c r="C161" s="109"/>
      <c r="D161" s="109"/>
      <c r="E161" s="109"/>
      <c r="F161" s="109"/>
      <c r="G161" s="37"/>
      <c r="H161" s="38"/>
      <c r="I161" s="39"/>
      <c r="J161" s="40"/>
      <c r="K161" s="34" t="str">
        <f>[1]Taux!C$4</f>
        <v>6,40%</v>
      </c>
      <c r="L161" s="23">
        <f>I153*K161</f>
        <v>6048</v>
      </c>
    </row>
    <row r="162" spans="1:12" x14ac:dyDescent="0.25">
      <c r="A162" s="109" t="s">
        <v>83</v>
      </c>
      <c r="B162" s="109"/>
      <c r="C162" s="109"/>
      <c r="D162" s="109"/>
      <c r="E162" s="109"/>
      <c r="F162" s="109"/>
      <c r="G162" s="41"/>
      <c r="H162" s="42"/>
      <c r="I162" s="43"/>
      <c r="J162" s="44"/>
      <c r="K162" s="34" t="str">
        <f>[1]Taux!C$8</f>
        <v>1,6 %</v>
      </c>
      <c r="L162" s="23">
        <f>I153*K162</f>
        <v>1512</v>
      </c>
    </row>
    <row r="163" spans="1:12" x14ac:dyDescent="0.25">
      <c r="A163" s="105" t="s">
        <v>84</v>
      </c>
      <c r="B163" s="105"/>
      <c r="C163" s="105"/>
      <c r="D163" s="105"/>
      <c r="E163" s="105"/>
      <c r="F163" s="105"/>
      <c r="G163" s="21"/>
      <c r="H163" s="22"/>
      <c r="I163" s="22"/>
      <c r="J163" s="21">
        <f>SUM(J154:J160)</f>
        <v>49654.5</v>
      </c>
      <c r="K163" s="21"/>
      <c r="L163" s="21">
        <f>SUM(L154:L162)</f>
        <v>17652.75</v>
      </c>
    </row>
    <row r="164" spans="1:12" x14ac:dyDescent="0.25">
      <c r="A164" s="104" t="s">
        <v>85</v>
      </c>
      <c r="B164" s="104"/>
      <c r="C164" s="104"/>
      <c r="D164" s="104"/>
      <c r="E164" s="104"/>
      <c r="F164" s="104"/>
      <c r="G164" s="23"/>
      <c r="H164" s="45">
        <v>0.2</v>
      </c>
      <c r="I164" s="23"/>
      <c r="J164" s="23">
        <f>IF(I153*H164&lt;2500,I153*H164,2500)</f>
        <v>2500</v>
      </c>
      <c r="K164" s="46"/>
      <c r="L164" s="47"/>
    </row>
    <row r="165" spans="1:12" x14ac:dyDescent="0.25">
      <c r="A165" s="108" t="s">
        <v>86</v>
      </c>
      <c r="B165" s="108"/>
      <c r="C165" s="108"/>
      <c r="D165" s="108"/>
      <c r="E165" s="108"/>
      <c r="F165" s="108"/>
      <c r="G165" s="32"/>
      <c r="H165" s="33"/>
      <c r="I165" s="32">
        <f>I153-J163-J164</f>
        <v>42345.5</v>
      </c>
      <c r="J165" s="33"/>
      <c r="K165" s="33"/>
      <c r="L165" s="33"/>
    </row>
    <row r="166" spans="1:12" x14ac:dyDescent="0.25">
      <c r="A166" s="104" t="s">
        <v>87</v>
      </c>
      <c r="B166" s="104"/>
      <c r="C166" s="104"/>
      <c r="D166" s="104"/>
      <c r="E166" s="104"/>
      <c r="F166" s="104"/>
      <c r="G166" s="23"/>
      <c r="H166" s="34"/>
      <c r="I166" s="23">
        <f>H166*180/360</f>
        <v>0</v>
      </c>
      <c r="J166" s="23"/>
      <c r="K166" s="46"/>
      <c r="L166" s="47"/>
    </row>
    <row r="167" spans="1:12" x14ac:dyDescent="0.25">
      <c r="A167" s="108" t="s">
        <v>88</v>
      </c>
      <c r="B167" s="108"/>
      <c r="C167" s="108"/>
      <c r="D167" s="108"/>
      <c r="E167" s="108"/>
      <c r="F167" s="108"/>
      <c r="G167" s="32"/>
      <c r="H167" s="33"/>
      <c r="I167" s="32">
        <f>I165-I166</f>
        <v>42345.5</v>
      </c>
      <c r="J167" s="33"/>
      <c r="K167" s="33"/>
      <c r="L167" s="33"/>
    </row>
    <row r="168" spans="1:12" x14ac:dyDescent="0.25">
      <c r="A168" s="104" t="s">
        <v>89</v>
      </c>
      <c r="B168" s="104"/>
      <c r="C168" s="104"/>
      <c r="D168" s="104"/>
      <c r="E168" s="104"/>
      <c r="F168" s="104"/>
      <c r="G168" s="25"/>
      <c r="H168" s="48"/>
      <c r="I168" s="40"/>
      <c r="J168" s="23">
        <f>IF(AND(I167&gt;0,I167&lt;2500),I167*[1]Taux!C$15-[1]Taux!I$15,IF(AND(I167&gt;2500,I167&lt;4166.67),I167*[1]Taux!C$16-[1]Taux!I$16,IF(AND(I167&gt;4166.67,I167&lt;5000),I167*[1]Taux!C$17-[1]Taux!I$17,IF(AND(I167&gt;5000,I167&lt;6666.67),I167*[1]Taux!C$18-[1]Taux!I$18,IF(AND(I167&gt;6666.67,I167&lt;15000),I167*[1]Taux!C$19-[1]Taux!I$19,IF(I167&gt;15000,I167*[1]Taux!C$20-[1]Taux!I$20))))))</f>
        <v>14057.956666666667</v>
      </c>
      <c r="K168" s="46"/>
      <c r="L168" s="47"/>
    </row>
    <row r="169" spans="1:12" x14ac:dyDescent="0.25">
      <c r="A169" s="104" t="s">
        <v>90</v>
      </c>
      <c r="B169" s="104"/>
      <c r="C169" s="104"/>
      <c r="D169" s="104"/>
      <c r="E169" s="104"/>
      <c r="F169" s="104"/>
      <c r="G169" s="27"/>
      <c r="H169" s="49">
        <f>F125</f>
        <v>0</v>
      </c>
      <c r="I169" s="49"/>
      <c r="J169" s="23">
        <f>IF(H169*360/12&gt;6*360/12,6*360/12,H169*360/12)</f>
        <v>0</v>
      </c>
      <c r="K169" s="46"/>
      <c r="L169" s="47"/>
    </row>
    <row r="170" spans="1:12" x14ac:dyDescent="0.25">
      <c r="A170" s="105" t="s">
        <v>91</v>
      </c>
      <c r="B170" s="105"/>
      <c r="C170" s="105"/>
      <c r="D170" s="105"/>
      <c r="E170" s="105"/>
      <c r="F170" s="105"/>
      <c r="G170" s="21"/>
      <c r="H170" s="22"/>
      <c r="I170" s="21"/>
      <c r="J170" s="21">
        <f>J168-J169</f>
        <v>14057.956666666667</v>
      </c>
      <c r="K170" s="21"/>
      <c r="L170" s="21"/>
    </row>
    <row r="171" spans="1:12" x14ac:dyDescent="0.25">
      <c r="A171" s="106" t="s">
        <v>92</v>
      </c>
      <c r="B171" s="106"/>
      <c r="C171" s="106"/>
      <c r="D171" s="106"/>
      <c r="E171" s="106"/>
      <c r="F171" s="106"/>
      <c r="G171" s="25"/>
      <c r="H171" s="48"/>
      <c r="I171" s="47"/>
      <c r="J171" s="49">
        <v>0</v>
      </c>
      <c r="K171" s="46"/>
      <c r="L171" s="47"/>
    </row>
    <row r="172" spans="1:12" x14ac:dyDescent="0.25">
      <c r="A172" s="104" t="s">
        <v>93</v>
      </c>
      <c r="B172" s="104"/>
      <c r="C172" s="104"/>
      <c r="D172" s="104"/>
      <c r="E172" s="104"/>
      <c r="F172" s="104"/>
      <c r="G172" s="25"/>
      <c r="H172" s="48"/>
      <c r="I172" s="44"/>
      <c r="J172" s="28">
        <v>0</v>
      </c>
      <c r="K172" s="46"/>
      <c r="L172" s="47"/>
    </row>
    <row r="173" spans="1:12" x14ac:dyDescent="0.25">
      <c r="A173" s="107" t="s">
        <v>94</v>
      </c>
      <c r="B173" s="107"/>
      <c r="C173" s="107"/>
      <c r="D173" s="107"/>
      <c r="E173" s="107"/>
      <c r="F173" s="107"/>
      <c r="G173" s="41"/>
      <c r="H173" s="42"/>
      <c r="I173" s="28">
        <f>1-0.54</f>
        <v>0.45999999999999996</v>
      </c>
      <c r="J173" s="41"/>
      <c r="K173" s="43"/>
      <c r="L173" s="44"/>
    </row>
    <row r="174" spans="1:1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25">
      <c r="A175" s="14" t="s">
        <v>95</v>
      </c>
      <c r="B175" s="14" t="s">
        <v>96</v>
      </c>
      <c r="C175" s="14" t="s">
        <v>97</v>
      </c>
      <c r="D175" s="103" t="s">
        <v>98</v>
      </c>
      <c r="E175" s="103"/>
      <c r="F175" s="103"/>
      <c r="G175" s="14" t="s">
        <v>99</v>
      </c>
      <c r="H175" s="50"/>
      <c r="I175" s="52">
        <f>I152+I173</f>
        <v>100500.46</v>
      </c>
      <c r="J175" s="52">
        <f>J163+J170+J171+J172</f>
        <v>63712.456666666665</v>
      </c>
      <c r="K175" s="14" t="s">
        <v>100</v>
      </c>
      <c r="L175" s="52">
        <f>L163</f>
        <v>17652.75</v>
      </c>
    </row>
    <row r="176" spans="1:12" x14ac:dyDescent="0.25">
      <c r="A176" s="52">
        <f>882000+I152</f>
        <v>982500</v>
      </c>
      <c r="B176" s="52">
        <f>828000+I153</f>
        <v>922500</v>
      </c>
      <c r="C176" s="52">
        <f>2419.2+J154</f>
        <v>2688</v>
      </c>
      <c r="D176" s="102">
        <f>122440.83+J170</f>
        <v>136498.78666666668</v>
      </c>
      <c r="E176" s="102"/>
      <c r="F176" s="102"/>
      <c r="G176" s="52">
        <f>324432+I175</f>
        <v>424932.46</v>
      </c>
      <c r="H176" s="103" t="s">
        <v>101</v>
      </c>
      <c r="I176" s="103"/>
      <c r="J176" s="52">
        <f>I175-J175</f>
        <v>36788.003333333341</v>
      </c>
      <c r="K176" s="14" t="s">
        <v>102</v>
      </c>
      <c r="L176" s="52">
        <f>154800+L175</f>
        <v>172452.75</v>
      </c>
    </row>
    <row r="177" spans="1:1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53" t="s">
        <v>103</v>
      </c>
      <c r="L177" s="54">
        <f>J176+L175</f>
        <v>54440.753333333341</v>
      </c>
    </row>
    <row r="181" spans="1:12" x14ac:dyDescent="0.25">
      <c r="A181" s="114" t="s">
        <v>26</v>
      </c>
      <c r="B181" s="114"/>
      <c r="C181" s="114" t="s">
        <v>27</v>
      </c>
      <c r="D181" s="114"/>
      <c r="E181" s="114"/>
      <c r="F181" s="114"/>
      <c r="G181" s="114" t="s">
        <v>28</v>
      </c>
      <c r="H181" s="114"/>
      <c r="I181" s="114"/>
      <c r="J181" s="114" t="s">
        <v>29</v>
      </c>
      <c r="K181" s="114"/>
      <c r="L181" s="114"/>
    </row>
    <row r="182" spans="1:12" x14ac:dyDescent="0.25">
      <c r="A182" s="14" t="s">
        <v>30</v>
      </c>
      <c r="B182" s="103" t="s">
        <v>31</v>
      </c>
      <c r="C182" s="103"/>
      <c r="D182" s="103"/>
      <c r="E182" s="103"/>
      <c r="F182" s="103"/>
      <c r="G182" s="103" t="s">
        <v>32</v>
      </c>
      <c r="H182" s="103"/>
      <c r="I182" s="103"/>
      <c r="J182" s="103"/>
      <c r="K182" s="103"/>
      <c r="L182" s="103"/>
    </row>
    <row r="183" spans="1:12" x14ac:dyDescent="0.25">
      <c r="A183" s="16">
        <v>5</v>
      </c>
      <c r="B183" s="111" t="s">
        <v>108</v>
      </c>
      <c r="C183" s="111"/>
      <c r="D183" s="111"/>
      <c r="E183" s="111"/>
      <c r="F183" s="111"/>
      <c r="G183" s="113">
        <v>42522</v>
      </c>
      <c r="H183" s="113"/>
      <c r="I183" s="113"/>
      <c r="J183" s="113">
        <v>42551</v>
      </c>
      <c r="K183" s="113"/>
      <c r="L183" s="113"/>
    </row>
    <row r="184" spans="1:12" x14ac:dyDescent="0.25">
      <c r="A184" s="14" t="s">
        <v>34</v>
      </c>
      <c r="B184" s="14" t="s">
        <v>35</v>
      </c>
      <c r="C184" s="14" t="s">
        <v>36</v>
      </c>
      <c r="D184" s="14" t="s">
        <v>37</v>
      </c>
      <c r="E184" s="14" t="s">
        <v>38</v>
      </c>
      <c r="F184" s="14" t="s">
        <v>39</v>
      </c>
      <c r="G184" s="103" t="s">
        <v>40</v>
      </c>
      <c r="H184" s="103"/>
      <c r="I184" s="103"/>
      <c r="J184" s="103"/>
      <c r="K184" s="103"/>
      <c r="L184" s="103"/>
    </row>
    <row r="185" spans="1:12" x14ac:dyDescent="0.25">
      <c r="A185" s="17">
        <v>41791</v>
      </c>
      <c r="B185" s="16"/>
      <c r="C185" s="17">
        <v>21792</v>
      </c>
      <c r="D185" s="16" t="s">
        <v>41</v>
      </c>
      <c r="E185" s="16">
        <v>2</v>
      </c>
      <c r="F185" s="16">
        <v>3</v>
      </c>
      <c r="G185" s="111"/>
      <c r="H185" s="111"/>
      <c r="I185" s="111"/>
      <c r="J185" s="111"/>
      <c r="K185" s="111"/>
      <c r="L185" s="111"/>
    </row>
    <row r="186" spans="1:12" x14ac:dyDescent="0.25">
      <c r="A186" s="14" t="s">
        <v>42</v>
      </c>
      <c r="B186" s="14" t="s">
        <v>43</v>
      </c>
      <c r="C186" s="14" t="s">
        <v>44</v>
      </c>
      <c r="D186" s="103" t="s">
        <v>45</v>
      </c>
      <c r="E186" s="103"/>
      <c r="F186" s="103"/>
      <c r="G186" s="103" t="s">
        <v>46</v>
      </c>
      <c r="H186" s="103"/>
      <c r="I186" s="103"/>
      <c r="J186" s="103"/>
      <c r="K186" s="103"/>
      <c r="L186" s="103"/>
    </row>
    <row r="187" spans="1:12" x14ac:dyDescent="0.25">
      <c r="A187" s="16">
        <v>132944135</v>
      </c>
      <c r="B187" s="16"/>
      <c r="C187" s="16"/>
      <c r="D187" s="111" t="s">
        <v>47</v>
      </c>
      <c r="E187" s="111"/>
      <c r="F187" s="111"/>
      <c r="G187" s="111" t="s">
        <v>109</v>
      </c>
      <c r="H187" s="111"/>
      <c r="I187" s="111"/>
      <c r="J187" s="111"/>
      <c r="K187" s="111"/>
      <c r="L187" s="111"/>
    </row>
    <row r="188" spans="1:1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18"/>
    </row>
    <row r="190" spans="1:1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x14ac:dyDescent="0.25">
      <c r="A191" s="112" t="s">
        <v>49</v>
      </c>
      <c r="B191" s="112"/>
      <c r="C191" s="112"/>
      <c r="D191" s="112"/>
      <c r="E191" s="112"/>
      <c r="F191" s="112"/>
      <c r="G191" s="112" t="s">
        <v>50</v>
      </c>
      <c r="H191" s="112" t="s">
        <v>51</v>
      </c>
      <c r="I191" s="112" t="s">
        <v>52</v>
      </c>
      <c r="J191" s="112"/>
      <c r="K191" s="112" t="s">
        <v>53</v>
      </c>
      <c r="L191" s="112"/>
    </row>
    <row r="192" spans="1:12" x14ac:dyDescent="0.25">
      <c r="A192" s="112"/>
      <c r="B192" s="112"/>
      <c r="C192" s="112"/>
      <c r="D192" s="112"/>
      <c r="E192" s="112"/>
      <c r="F192" s="112"/>
      <c r="G192" s="112"/>
      <c r="H192" s="112"/>
      <c r="I192" s="20" t="s">
        <v>54</v>
      </c>
      <c r="J192" s="20" t="s">
        <v>55</v>
      </c>
      <c r="K192" s="20" t="s">
        <v>56</v>
      </c>
      <c r="L192" s="20" t="s">
        <v>57</v>
      </c>
    </row>
    <row r="193" spans="1:12" x14ac:dyDescent="0.25">
      <c r="A193" s="105" t="s">
        <v>58</v>
      </c>
      <c r="B193" s="105"/>
      <c r="C193" s="105"/>
      <c r="D193" s="105"/>
      <c r="E193" s="105"/>
      <c r="F193" s="105"/>
      <c r="G193" s="21">
        <v>12125.57</v>
      </c>
      <c r="H193" s="22"/>
      <c r="I193" s="21"/>
      <c r="J193" s="21"/>
      <c r="K193" s="21"/>
      <c r="L193" s="21"/>
    </row>
    <row r="194" spans="1:12" x14ac:dyDescent="0.25">
      <c r="A194" s="105" t="s">
        <v>59</v>
      </c>
      <c r="B194" s="105"/>
      <c r="C194" s="105"/>
      <c r="D194" s="105"/>
      <c r="E194" s="105"/>
      <c r="F194" s="105"/>
      <c r="G194" s="21"/>
      <c r="H194" s="21"/>
      <c r="I194" s="21">
        <f>IF(I195+I196-J197-J198+I199+I202+I203+I204+I200&lt;G193,I195+I196-J197-J198+I199+I202+I203+I204+I200,G193)</f>
        <v>12125.57</v>
      </c>
      <c r="J194" s="21"/>
      <c r="K194" s="21"/>
      <c r="L194" s="21"/>
    </row>
    <row r="195" spans="1:12" x14ac:dyDescent="0.25">
      <c r="A195" s="104" t="s">
        <v>60</v>
      </c>
      <c r="B195" s="104"/>
      <c r="C195" s="104"/>
      <c r="D195" s="104"/>
      <c r="E195" s="104"/>
      <c r="F195" s="104"/>
      <c r="G195" s="23"/>
      <c r="H195" s="24">
        <v>26</v>
      </c>
      <c r="I195" s="23">
        <f>G193/26*H195</f>
        <v>12125.57</v>
      </c>
      <c r="J195" s="25"/>
      <c r="K195" s="26"/>
      <c r="L195" s="26"/>
    </row>
    <row r="196" spans="1:12" x14ac:dyDescent="0.25">
      <c r="A196" s="104" t="s">
        <v>61</v>
      </c>
      <c r="B196" s="104"/>
      <c r="C196" s="104"/>
      <c r="D196" s="104"/>
      <c r="E196" s="104"/>
      <c r="F196" s="104"/>
      <c r="G196" s="23"/>
      <c r="H196" s="24">
        <v>0</v>
      </c>
      <c r="I196" s="23">
        <f>G193/26*H196</f>
        <v>0</v>
      </c>
      <c r="J196" s="25"/>
      <c r="K196" s="26"/>
      <c r="L196" s="26"/>
    </row>
    <row r="197" spans="1:12" x14ac:dyDescent="0.25">
      <c r="A197" s="104" t="s">
        <v>62</v>
      </c>
      <c r="B197" s="104"/>
      <c r="C197" s="104"/>
      <c r="D197" s="104"/>
      <c r="E197" s="104"/>
      <c r="F197" s="104"/>
      <c r="G197" s="23"/>
      <c r="H197" s="24">
        <v>0</v>
      </c>
      <c r="I197" s="23"/>
      <c r="J197" s="27">
        <f>G193/26*H197</f>
        <v>0</v>
      </c>
      <c r="K197" s="26"/>
      <c r="L197" s="26"/>
    </row>
    <row r="198" spans="1:12" x14ac:dyDescent="0.25">
      <c r="A198" s="104" t="s">
        <v>63</v>
      </c>
      <c r="B198" s="104"/>
      <c r="C198" s="104"/>
      <c r="D198" s="104"/>
      <c r="E198" s="104"/>
      <c r="F198" s="104"/>
      <c r="G198" s="23"/>
      <c r="H198" s="24">
        <v>0</v>
      </c>
      <c r="I198" s="23"/>
      <c r="J198" s="28">
        <f>G193/191*H198</f>
        <v>0</v>
      </c>
      <c r="K198" s="26"/>
      <c r="L198" s="26"/>
    </row>
    <row r="199" spans="1:12" x14ac:dyDescent="0.25">
      <c r="A199" s="104" t="s">
        <v>64</v>
      </c>
      <c r="B199" s="104"/>
      <c r="C199" s="104"/>
      <c r="D199" s="104"/>
      <c r="E199" s="104"/>
      <c r="F199" s="104"/>
      <c r="G199" s="23"/>
      <c r="H199" s="24">
        <v>0</v>
      </c>
      <c r="I199" s="23">
        <f>G193/26*H199</f>
        <v>0</v>
      </c>
      <c r="J199" s="25"/>
      <c r="K199" s="26"/>
      <c r="L199" s="26"/>
    </row>
    <row r="200" spans="1:12" x14ac:dyDescent="0.25">
      <c r="A200" s="104" t="s">
        <v>65</v>
      </c>
      <c r="B200" s="104"/>
      <c r="C200" s="104"/>
      <c r="D200" s="104"/>
      <c r="E200" s="104"/>
      <c r="F200" s="104"/>
      <c r="G200" s="23"/>
      <c r="H200" s="24">
        <v>0</v>
      </c>
      <c r="I200" s="23">
        <f>G193/191*H200</f>
        <v>0</v>
      </c>
      <c r="J200" s="25"/>
      <c r="K200" s="26"/>
      <c r="L200" s="26"/>
    </row>
    <row r="201" spans="1:12" x14ac:dyDescent="0.25">
      <c r="A201" s="104" t="s">
        <v>66</v>
      </c>
      <c r="B201" s="104"/>
      <c r="C201" s="104"/>
      <c r="D201" s="104"/>
      <c r="E201" s="104"/>
      <c r="F201" s="104"/>
      <c r="G201" s="29"/>
      <c r="H201" s="30"/>
      <c r="I201" s="30"/>
      <c r="J201" s="25"/>
      <c r="K201" s="26"/>
      <c r="L201" s="26"/>
    </row>
    <row r="202" spans="1:12" x14ac:dyDescent="0.25">
      <c r="A202" s="110">
        <v>0.25</v>
      </c>
      <c r="B202" s="110"/>
      <c r="C202" s="110"/>
      <c r="D202" s="110"/>
      <c r="E202" s="110"/>
      <c r="F202" s="110"/>
      <c r="G202" s="23"/>
      <c r="H202" s="24">
        <v>0</v>
      </c>
      <c r="I202" s="23">
        <f>G193/191*H202*A202</f>
        <v>0</v>
      </c>
      <c r="J202" s="25"/>
      <c r="K202" s="26"/>
      <c r="L202" s="26"/>
    </row>
    <row r="203" spans="1:12" x14ac:dyDescent="0.25">
      <c r="A203" s="110">
        <v>0.5</v>
      </c>
      <c r="B203" s="110"/>
      <c r="C203" s="110"/>
      <c r="D203" s="110"/>
      <c r="E203" s="110"/>
      <c r="F203" s="110"/>
      <c r="G203" s="23"/>
      <c r="H203" s="24">
        <v>0</v>
      </c>
      <c r="I203" s="23">
        <f>G193/191*A203*H203</f>
        <v>0</v>
      </c>
      <c r="J203" s="25"/>
      <c r="K203" s="26"/>
      <c r="L203" s="26"/>
    </row>
    <row r="204" spans="1:12" x14ac:dyDescent="0.25">
      <c r="A204" s="110">
        <v>1</v>
      </c>
      <c r="B204" s="110"/>
      <c r="C204" s="110"/>
      <c r="D204" s="110"/>
      <c r="E204" s="110"/>
      <c r="F204" s="110"/>
      <c r="G204" s="23"/>
      <c r="H204" s="24">
        <v>0</v>
      </c>
      <c r="I204" s="23">
        <f>G193/191*A204*H204</f>
        <v>0</v>
      </c>
      <c r="J204" s="25"/>
      <c r="K204" s="26"/>
      <c r="L204" s="26"/>
    </row>
    <row r="205" spans="1:12" x14ac:dyDescent="0.25">
      <c r="A205" s="105" t="s">
        <v>67</v>
      </c>
      <c r="B205" s="105"/>
      <c r="C205" s="105"/>
      <c r="D205" s="105"/>
      <c r="E205" s="105"/>
      <c r="F205" s="105"/>
      <c r="G205" s="21"/>
      <c r="H205" s="22"/>
      <c r="I205" s="21">
        <f>SUM(I206:I207)</f>
        <v>606.27850000000001</v>
      </c>
      <c r="J205" s="21"/>
      <c r="K205" s="21"/>
      <c r="L205" s="21"/>
    </row>
    <row r="206" spans="1:12" x14ac:dyDescent="0.25">
      <c r="A206" s="104" t="s">
        <v>68</v>
      </c>
      <c r="B206" s="104"/>
      <c r="C206" s="104"/>
      <c r="D206" s="104"/>
      <c r="E206" s="104"/>
      <c r="F206" s="104"/>
      <c r="G206" s="23">
        <f>(G183-A185)/360</f>
        <v>2.0305555555555554</v>
      </c>
      <c r="H206" s="31">
        <f>IF(G206&lt;2,0,IF(AND(G206&gt;2,G206&lt;5),[1]Taux!A$33,IF(AND(G206&lt;12,G206&gt;5),[1]Taux!A$34,IF(AND(G206&gt;12,G206&lt;20),[1]Taux!A$35,IF(AND(G206&lt;25,G206&gt;20),[1]Taux!A$36,IF(G206&gt;25,[1]Taux!A$37))))))</f>
        <v>0.05</v>
      </c>
      <c r="I206" s="23">
        <f>I194*H206</f>
        <v>606.27850000000001</v>
      </c>
      <c r="J206" s="25"/>
      <c r="K206" s="26"/>
      <c r="L206" s="26"/>
    </row>
    <row r="207" spans="1:12" x14ac:dyDescent="0.25">
      <c r="A207" s="104" t="s">
        <v>69</v>
      </c>
      <c r="B207" s="104"/>
      <c r="C207" s="104"/>
      <c r="D207" s="104"/>
      <c r="E207" s="104"/>
      <c r="F207" s="104"/>
      <c r="G207" s="23"/>
      <c r="H207" s="24"/>
      <c r="I207" s="23"/>
      <c r="J207" s="25"/>
      <c r="K207" s="26"/>
      <c r="L207" s="26"/>
    </row>
    <row r="208" spans="1:12" x14ac:dyDescent="0.25">
      <c r="A208" s="105" t="s">
        <v>70</v>
      </c>
      <c r="B208" s="105"/>
      <c r="C208" s="105"/>
      <c r="D208" s="105"/>
      <c r="E208" s="105"/>
      <c r="F208" s="105"/>
      <c r="G208" s="21"/>
      <c r="H208" s="22"/>
      <c r="I208" s="21">
        <f>SUM(I209:I211)</f>
        <v>5000</v>
      </c>
      <c r="J208" s="21"/>
      <c r="K208" s="21"/>
      <c r="L208" s="21"/>
    </row>
    <row r="209" spans="1:12" x14ac:dyDescent="0.25">
      <c r="A209" s="104" t="s">
        <v>71</v>
      </c>
      <c r="B209" s="104"/>
      <c r="C209" s="104"/>
      <c r="D209" s="104"/>
      <c r="E209" s="104"/>
      <c r="F209" s="104"/>
      <c r="G209" s="23"/>
      <c r="H209" s="24"/>
      <c r="I209" s="23">
        <v>2500</v>
      </c>
      <c r="J209" s="25"/>
      <c r="K209" s="26"/>
      <c r="L209" s="26"/>
    </row>
    <row r="210" spans="1:12" x14ac:dyDescent="0.25">
      <c r="A210" s="104" t="s">
        <v>72</v>
      </c>
      <c r="B210" s="104"/>
      <c r="C210" s="104"/>
      <c r="D210" s="104"/>
      <c r="E210" s="104"/>
      <c r="F210" s="104"/>
      <c r="G210" s="23"/>
      <c r="H210" s="31">
        <v>0</v>
      </c>
      <c r="I210" s="23">
        <v>2500</v>
      </c>
      <c r="J210" s="25"/>
      <c r="K210" s="26"/>
      <c r="L210" s="26"/>
    </row>
    <row r="211" spans="1:12" x14ac:dyDescent="0.25">
      <c r="A211" s="104" t="s">
        <v>73</v>
      </c>
      <c r="B211" s="104"/>
      <c r="C211" s="104"/>
      <c r="D211" s="104"/>
      <c r="E211" s="104"/>
      <c r="F211" s="104"/>
      <c r="G211" s="23"/>
      <c r="H211" s="24"/>
      <c r="I211" s="23"/>
      <c r="J211" s="25"/>
      <c r="K211" s="26"/>
      <c r="L211" s="26"/>
    </row>
    <row r="212" spans="1:12" x14ac:dyDescent="0.25">
      <c r="A212" s="108" t="s">
        <v>74</v>
      </c>
      <c r="B212" s="108"/>
      <c r="C212" s="108"/>
      <c r="D212" s="108"/>
      <c r="E212" s="108"/>
      <c r="F212" s="108"/>
      <c r="G212" s="32"/>
      <c r="H212" s="33"/>
      <c r="I212" s="32">
        <f>I194+I205+I208</f>
        <v>17731.8485</v>
      </c>
      <c r="J212" s="33"/>
      <c r="K212" s="33"/>
      <c r="L212" s="33"/>
    </row>
    <row r="213" spans="1:12" x14ac:dyDescent="0.25">
      <c r="A213" s="108" t="s">
        <v>75</v>
      </c>
      <c r="B213" s="108"/>
      <c r="C213" s="108"/>
      <c r="D213" s="108"/>
      <c r="E213" s="108"/>
      <c r="F213" s="108"/>
      <c r="G213" s="32"/>
      <c r="H213" s="33"/>
      <c r="I213" s="32">
        <f>I212-I208</f>
        <v>12731.8485</v>
      </c>
      <c r="J213" s="33"/>
      <c r="K213" s="33"/>
      <c r="L213" s="33"/>
    </row>
    <row r="214" spans="1:12" x14ac:dyDescent="0.25">
      <c r="A214" s="104" t="s">
        <v>76</v>
      </c>
      <c r="B214" s="104"/>
      <c r="C214" s="104"/>
      <c r="D214" s="104"/>
      <c r="E214" s="104"/>
      <c r="F214" s="104"/>
      <c r="G214" s="23"/>
      <c r="H214" s="34">
        <f>[1]Taux!D$5+[1]Taux!D$6</f>
        <v>4.4800000000000006E-2</v>
      </c>
      <c r="I214" s="23"/>
      <c r="J214" s="23">
        <f>IF(I213&lt;6000,I213*H214,6000*H214)</f>
        <v>268.8</v>
      </c>
      <c r="K214" s="35">
        <f>[1]Taux!C$5+[1]Taux!C$6</f>
        <v>8.9799999999999991E-2</v>
      </c>
      <c r="L214" s="23">
        <f>IF(I213&lt;6000,I213*K214,6000*K214)</f>
        <v>538.79999999999995</v>
      </c>
    </row>
    <row r="215" spans="1:12" x14ac:dyDescent="0.25">
      <c r="A215" s="104" t="s">
        <v>77</v>
      </c>
      <c r="B215" s="104"/>
      <c r="C215" s="104"/>
      <c r="D215" s="104"/>
      <c r="E215" s="104"/>
      <c r="F215" s="104"/>
      <c r="G215" s="23"/>
      <c r="H215" s="34"/>
      <c r="I215" s="23"/>
      <c r="J215" s="23">
        <f>I213*H215</f>
        <v>0</v>
      </c>
      <c r="K215" s="36"/>
      <c r="L215" s="23">
        <f>I213*K215</f>
        <v>0</v>
      </c>
    </row>
    <row r="216" spans="1:12" x14ac:dyDescent="0.25">
      <c r="A216" s="104" t="s">
        <v>78</v>
      </c>
      <c r="B216" s="104"/>
      <c r="C216" s="104"/>
      <c r="D216" s="104"/>
      <c r="E216" s="104"/>
      <c r="F216" s="104"/>
      <c r="G216" s="23"/>
      <c r="H216" s="34"/>
      <c r="I216" s="23"/>
      <c r="J216" s="23">
        <f>I213*H216</f>
        <v>0</v>
      </c>
      <c r="K216" s="35"/>
      <c r="L216" s="23">
        <f>I213*K216</f>
        <v>0</v>
      </c>
    </row>
    <row r="217" spans="1:12" x14ac:dyDescent="0.25">
      <c r="A217" s="104" t="s">
        <v>79</v>
      </c>
      <c r="B217" s="104"/>
      <c r="C217" s="104"/>
      <c r="D217" s="104"/>
      <c r="E217" s="104"/>
      <c r="F217" s="104"/>
      <c r="G217" s="23"/>
      <c r="H217" s="34"/>
      <c r="I217" s="23"/>
      <c r="J217" s="23">
        <f>IF(I213*H217&gt;I213*0.06,I213*0.06,I213*H217)</f>
        <v>0</v>
      </c>
      <c r="K217" s="36"/>
      <c r="L217" s="23">
        <f>I213*K217</f>
        <v>0</v>
      </c>
    </row>
    <row r="218" spans="1:12" x14ac:dyDescent="0.25">
      <c r="A218" s="104" t="s">
        <v>80</v>
      </c>
      <c r="B218" s="104"/>
      <c r="C218" s="104"/>
      <c r="D218" s="104"/>
      <c r="E218" s="104"/>
      <c r="F218" s="104"/>
      <c r="G218" s="23"/>
      <c r="H218" s="34"/>
      <c r="I218" s="23"/>
      <c r="J218" s="23">
        <f>I213*H218</f>
        <v>0</v>
      </c>
      <c r="K218" s="36"/>
      <c r="L218" s="23">
        <f>I213*K218</f>
        <v>0</v>
      </c>
    </row>
    <row r="219" spans="1:12" x14ac:dyDescent="0.25">
      <c r="A219" s="104" t="s">
        <v>81</v>
      </c>
      <c r="B219" s="104"/>
      <c r="C219" s="104"/>
      <c r="D219" s="104"/>
      <c r="E219" s="104"/>
      <c r="F219" s="104"/>
      <c r="G219" s="23"/>
      <c r="H219" s="34"/>
      <c r="I219" s="23"/>
      <c r="J219" s="23">
        <f>I213*H219</f>
        <v>0</v>
      </c>
      <c r="K219" s="36"/>
      <c r="L219" s="23">
        <f>I213*K219</f>
        <v>0</v>
      </c>
    </row>
    <row r="220" spans="1:12" x14ac:dyDescent="0.25">
      <c r="A220" s="104" t="s">
        <v>24</v>
      </c>
      <c r="B220" s="104"/>
      <c r="C220" s="104"/>
      <c r="D220" s="104"/>
      <c r="E220" s="104"/>
      <c r="F220" s="104"/>
      <c r="G220" s="23"/>
      <c r="H220" s="34" t="str">
        <f>[1]Taux!D$7</f>
        <v>2,26%</v>
      </c>
      <c r="I220" s="23"/>
      <c r="J220" s="23">
        <f>I213*H220</f>
        <v>287.73977609999997</v>
      </c>
      <c r="K220" s="34" t="str">
        <f>[1]Taux!C$7</f>
        <v>4,11%</v>
      </c>
      <c r="L220" s="23">
        <f>I213*K220</f>
        <v>523.27897335</v>
      </c>
    </row>
    <row r="221" spans="1:12" x14ac:dyDescent="0.25">
      <c r="A221" s="109" t="s">
        <v>82</v>
      </c>
      <c r="B221" s="109"/>
      <c r="C221" s="109"/>
      <c r="D221" s="109"/>
      <c r="E221" s="109"/>
      <c r="F221" s="109"/>
      <c r="G221" s="37"/>
      <c r="H221" s="38"/>
      <c r="I221" s="39"/>
      <c r="J221" s="40"/>
      <c r="K221" s="34" t="str">
        <f>[1]Taux!C$4</f>
        <v>6,40%</v>
      </c>
      <c r="L221" s="23">
        <f>I213*K221</f>
        <v>814.83830399999999</v>
      </c>
    </row>
    <row r="222" spans="1:12" x14ac:dyDescent="0.25">
      <c r="A222" s="109" t="s">
        <v>83</v>
      </c>
      <c r="B222" s="109"/>
      <c r="C222" s="109"/>
      <c r="D222" s="109"/>
      <c r="E222" s="109"/>
      <c r="F222" s="109"/>
      <c r="G222" s="41"/>
      <c r="H222" s="42"/>
      <c r="I222" s="43"/>
      <c r="J222" s="44"/>
      <c r="K222" s="34" t="str">
        <f>[1]Taux!C$8</f>
        <v>1,6 %</v>
      </c>
      <c r="L222" s="23">
        <f>I213*K222</f>
        <v>203.709576</v>
      </c>
    </row>
    <row r="223" spans="1:12" x14ac:dyDescent="0.25">
      <c r="A223" s="105" t="s">
        <v>84</v>
      </c>
      <c r="B223" s="105"/>
      <c r="C223" s="105"/>
      <c r="D223" s="105"/>
      <c r="E223" s="105"/>
      <c r="F223" s="105"/>
      <c r="G223" s="21"/>
      <c r="H223" s="22"/>
      <c r="I223" s="22"/>
      <c r="J223" s="21">
        <f>SUM(J214:J220)</f>
        <v>556.53977609999993</v>
      </c>
      <c r="K223" s="21"/>
      <c r="L223" s="21">
        <f>SUM(L214:L222)</f>
        <v>2080.6268533500001</v>
      </c>
    </row>
    <row r="224" spans="1:12" x14ac:dyDescent="0.25">
      <c r="A224" s="104" t="s">
        <v>85</v>
      </c>
      <c r="B224" s="104"/>
      <c r="C224" s="104"/>
      <c r="D224" s="104"/>
      <c r="E224" s="104"/>
      <c r="F224" s="104"/>
      <c r="G224" s="23"/>
      <c r="H224" s="45">
        <v>0.2</v>
      </c>
      <c r="I224" s="23"/>
      <c r="J224" s="23">
        <f>IF(I213*H224&lt;2500,I213*H224,2500)</f>
        <v>2500</v>
      </c>
      <c r="K224" s="46"/>
      <c r="L224" s="47"/>
    </row>
    <row r="225" spans="1:12" x14ac:dyDescent="0.25">
      <c r="A225" s="108" t="s">
        <v>86</v>
      </c>
      <c r="B225" s="108"/>
      <c r="C225" s="108"/>
      <c r="D225" s="108"/>
      <c r="E225" s="108"/>
      <c r="F225" s="108"/>
      <c r="G225" s="32"/>
      <c r="H225" s="33"/>
      <c r="I225" s="32">
        <f>I213-J223-J224</f>
        <v>9675.3087238999997</v>
      </c>
      <c r="J225" s="33"/>
      <c r="K225" s="33"/>
      <c r="L225" s="33"/>
    </row>
    <row r="226" spans="1:12" x14ac:dyDescent="0.25">
      <c r="A226" s="104" t="s">
        <v>87</v>
      </c>
      <c r="B226" s="104"/>
      <c r="C226" s="104"/>
      <c r="D226" s="104"/>
      <c r="E226" s="104"/>
      <c r="F226" s="104"/>
      <c r="G226" s="23"/>
      <c r="H226" s="34"/>
      <c r="I226" s="23">
        <f>H226*180/360</f>
        <v>0</v>
      </c>
      <c r="J226" s="23"/>
      <c r="K226" s="46"/>
      <c r="L226" s="47"/>
    </row>
    <row r="227" spans="1:12" x14ac:dyDescent="0.25">
      <c r="A227" s="108" t="s">
        <v>88</v>
      </c>
      <c r="B227" s="108"/>
      <c r="C227" s="108"/>
      <c r="D227" s="108"/>
      <c r="E227" s="108"/>
      <c r="F227" s="108"/>
      <c r="G227" s="32"/>
      <c r="H227" s="33"/>
      <c r="I227" s="32">
        <f>I225-I226</f>
        <v>9675.3087238999997</v>
      </c>
      <c r="J227" s="33"/>
      <c r="K227" s="33"/>
      <c r="L227" s="33"/>
    </row>
    <row r="228" spans="1:12" x14ac:dyDescent="0.25">
      <c r="A228" s="104" t="s">
        <v>89</v>
      </c>
      <c r="B228" s="104"/>
      <c r="C228" s="104"/>
      <c r="D228" s="104"/>
      <c r="E228" s="104"/>
      <c r="F228" s="104"/>
      <c r="G228" s="25"/>
      <c r="H228" s="48"/>
      <c r="I228" s="40"/>
      <c r="J228" s="23">
        <f>IF(AND(I227&gt;0,I227&lt;2500),I227*[1]Taux!C$15-[1]Taux!I$15,IF(AND(I227&gt;2500,I227&lt;4166.67),I227*[1]Taux!C$16-[1]Taux!I$16,IF(AND(I227&gt;4166.67,I227&lt;5000),I227*[1]Taux!C$17-[1]Taux!I$17,IF(AND(I227&gt;5000,I227&lt;6666.67),I227*[1]Taux!C$18-[1]Taux!I$18,IF(AND(I227&gt;6666.67,I227&lt;15000),I227*[1]Taux!C$19-[1]Taux!I$19,IF(I227&gt;15000,I227*[1]Taux!C$20-[1]Taux!I$20))))))</f>
        <v>1856.2716327926667</v>
      </c>
      <c r="K228" s="46"/>
      <c r="L228" s="47"/>
    </row>
    <row r="229" spans="1:12" x14ac:dyDescent="0.25">
      <c r="A229" s="104" t="s">
        <v>90</v>
      </c>
      <c r="B229" s="104"/>
      <c r="C229" s="104"/>
      <c r="D229" s="104"/>
      <c r="E229" s="104"/>
      <c r="F229" s="104"/>
      <c r="G229" s="27"/>
      <c r="H229" s="49">
        <f>F185</f>
        <v>3</v>
      </c>
      <c r="I229" s="49"/>
      <c r="J229" s="23">
        <f>IF(H229*360/12&gt;6*360/12,6*360/12,H229*360/12)</f>
        <v>90</v>
      </c>
      <c r="K229" s="46"/>
      <c r="L229" s="47"/>
    </row>
    <row r="230" spans="1:12" x14ac:dyDescent="0.25">
      <c r="A230" s="105" t="s">
        <v>91</v>
      </c>
      <c r="B230" s="105"/>
      <c r="C230" s="105"/>
      <c r="D230" s="105"/>
      <c r="E230" s="105"/>
      <c r="F230" s="105"/>
      <c r="G230" s="21"/>
      <c r="H230" s="22"/>
      <c r="I230" s="21"/>
      <c r="J230" s="21">
        <f>J228-J229</f>
        <v>1766.2716327926667</v>
      </c>
      <c r="K230" s="21"/>
      <c r="L230" s="21"/>
    </row>
    <row r="231" spans="1:12" x14ac:dyDescent="0.25">
      <c r="A231" s="106" t="s">
        <v>92</v>
      </c>
      <c r="B231" s="106"/>
      <c r="C231" s="106"/>
      <c r="D231" s="106"/>
      <c r="E231" s="106"/>
      <c r="F231" s="106"/>
      <c r="G231" s="25"/>
      <c r="H231" s="48"/>
      <c r="I231" s="47"/>
      <c r="J231" s="49">
        <v>0</v>
      </c>
      <c r="K231" s="46"/>
      <c r="L231" s="47"/>
    </row>
    <row r="232" spans="1:12" x14ac:dyDescent="0.25">
      <c r="A232" s="104" t="s">
        <v>93</v>
      </c>
      <c r="B232" s="104"/>
      <c r="C232" s="104"/>
      <c r="D232" s="104"/>
      <c r="E232" s="104"/>
      <c r="F232" s="104"/>
      <c r="G232" s="25"/>
      <c r="H232" s="48"/>
      <c r="I232" s="44"/>
      <c r="J232" s="28">
        <v>0</v>
      </c>
      <c r="K232" s="46"/>
      <c r="L232" s="47"/>
    </row>
    <row r="233" spans="1:12" x14ac:dyDescent="0.25">
      <c r="A233" s="107" t="s">
        <v>94</v>
      </c>
      <c r="B233" s="107"/>
      <c r="C233" s="107"/>
      <c r="D233" s="107"/>
      <c r="E233" s="107"/>
      <c r="F233" s="107"/>
      <c r="G233" s="41"/>
      <c r="H233" s="42"/>
      <c r="I233" s="28">
        <f>1-0.04</f>
        <v>0.96</v>
      </c>
      <c r="J233" s="41"/>
      <c r="K233" s="43"/>
      <c r="L233" s="44"/>
    </row>
    <row r="234" spans="1:1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25">
      <c r="A235" s="14" t="s">
        <v>95</v>
      </c>
      <c r="B235" s="14" t="s">
        <v>96</v>
      </c>
      <c r="C235" s="14" t="s">
        <v>97</v>
      </c>
      <c r="D235" s="103" t="s">
        <v>98</v>
      </c>
      <c r="E235" s="103"/>
      <c r="F235" s="103"/>
      <c r="G235" s="14" t="s">
        <v>99</v>
      </c>
      <c r="H235" s="50"/>
      <c r="I235" s="52">
        <f>I212+I233</f>
        <v>17732.808499999999</v>
      </c>
      <c r="J235" s="52">
        <f>J223+J230+J231+J232</f>
        <v>2322.8114088926668</v>
      </c>
      <c r="K235" s="14" t="s">
        <v>100</v>
      </c>
      <c r="L235" s="52">
        <f>L223</f>
        <v>2080.6268533500001</v>
      </c>
    </row>
    <row r="236" spans="1:12" x14ac:dyDescent="0.25">
      <c r="A236" s="52">
        <f>156555.24+I212</f>
        <v>174287.08849999998</v>
      </c>
      <c r="B236" s="52">
        <f>111555.24+I213</f>
        <v>124287.08850000001</v>
      </c>
      <c r="C236" s="52">
        <f>2419.2+J214</f>
        <v>2688</v>
      </c>
      <c r="D236" s="102">
        <f>15016.37+J230</f>
        <v>16782.641632792667</v>
      </c>
      <c r="E236" s="102"/>
      <c r="F236" s="102"/>
      <c r="G236" s="52">
        <f>136602.47+I235</f>
        <v>154335.27850000001</v>
      </c>
      <c r="H236" s="103" t="s">
        <v>101</v>
      </c>
      <c r="I236" s="103"/>
      <c r="J236" s="52">
        <f>I235-J235</f>
        <v>15409.997091107332</v>
      </c>
      <c r="K236" s="14" t="s">
        <v>102</v>
      </c>
      <c r="L236" s="52">
        <f>20589.65+L235</f>
        <v>22670.276853350002</v>
      </c>
    </row>
    <row r="237" spans="1:1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53" t="s">
        <v>103</v>
      </c>
      <c r="L237" s="54">
        <f>J236+L235</f>
        <v>17490.623944457333</v>
      </c>
    </row>
    <row r="241" spans="1:12" x14ac:dyDescent="0.25">
      <c r="A241" s="114" t="s">
        <v>26</v>
      </c>
      <c r="B241" s="114"/>
      <c r="C241" s="114" t="s">
        <v>27</v>
      </c>
      <c r="D241" s="114"/>
      <c r="E241" s="114"/>
      <c r="F241" s="114"/>
      <c r="G241" s="114" t="s">
        <v>28</v>
      </c>
      <c r="H241" s="114"/>
      <c r="I241" s="114"/>
      <c r="J241" s="114" t="s">
        <v>29</v>
      </c>
      <c r="K241" s="114"/>
      <c r="L241" s="114"/>
    </row>
    <row r="242" spans="1:12" x14ac:dyDescent="0.25">
      <c r="A242" s="14" t="s">
        <v>30</v>
      </c>
      <c r="B242" s="103" t="s">
        <v>31</v>
      </c>
      <c r="C242" s="103"/>
      <c r="D242" s="103"/>
      <c r="E242" s="103"/>
      <c r="F242" s="103"/>
      <c r="G242" s="103" t="s">
        <v>32</v>
      </c>
      <c r="H242" s="103"/>
      <c r="I242" s="103"/>
      <c r="J242" s="103"/>
      <c r="K242" s="103"/>
      <c r="L242" s="103"/>
    </row>
    <row r="243" spans="1:12" x14ac:dyDescent="0.25">
      <c r="A243" s="16">
        <v>6</v>
      </c>
      <c r="B243" s="111" t="s">
        <v>110</v>
      </c>
      <c r="C243" s="111"/>
      <c r="D243" s="111"/>
      <c r="E243" s="111"/>
      <c r="F243" s="111"/>
      <c r="G243" s="113">
        <v>42522</v>
      </c>
      <c r="H243" s="113"/>
      <c r="I243" s="113"/>
      <c r="J243" s="113">
        <v>42551</v>
      </c>
      <c r="K243" s="113"/>
      <c r="L243" s="113"/>
    </row>
    <row r="244" spans="1:12" x14ac:dyDescent="0.25">
      <c r="A244" s="14" t="s">
        <v>34</v>
      </c>
      <c r="B244" s="14" t="s">
        <v>35</v>
      </c>
      <c r="C244" s="14" t="s">
        <v>36</v>
      </c>
      <c r="D244" s="14" t="s">
        <v>37</v>
      </c>
      <c r="E244" s="14" t="s">
        <v>38</v>
      </c>
      <c r="F244" s="14" t="s">
        <v>39</v>
      </c>
      <c r="G244" s="103" t="s">
        <v>40</v>
      </c>
      <c r="H244" s="103"/>
      <c r="I244" s="103"/>
      <c r="J244" s="103"/>
      <c r="K244" s="103"/>
      <c r="L244" s="103"/>
    </row>
    <row r="245" spans="1:12" x14ac:dyDescent="0.25">
      <c r="A245" s="17">
        <v>41821</v>
      </c>
      <c r="B245" s="16"/>
      <c r="C245" s="17">
        <v>31573</v>
      </c>
      <c r="D245" s="16" t="s">
        <v>111</v>
      </c>
      <c r="E245" s="16">
        <v>0</v>
      </c>
      <c r="F245" s="16">
        <v>0</v>
      </c>
      <c r="G245" s="111"/>
      <c r="H245" s="111"/>
      <c r="I245" s="111"/>
      <c r="J245" s="111"/>
      <c r="K245" s="111"/>
      <c r="L245" s="111"/>
    </row>
    <row r="246" spans="1:12" x14ac:dyDescent="0.25">
      <c r="A246" s="14" t="s">
        <v>42</v>
      </c>
      <c r="B246" s="14" t="s">
        <v>43</v>
      </c>
      <c r="C246" s="14" t="s">
        <v>44</v>
      </c>
      <c r="D246" s="103" t="s">
        <v>45</v>
      </c>
      <c r="E246" s="103"/>
      <c r="F246" s="103"/>
      <c r="G246" s="103" t="s">
        <v>46</v>
      </c>
      <c r="H246" s="103"/>
      <c r="I246" s="103"/>
      <c r="J246" s="103"/>
      <c r="K246" s="103"/>
      <c r="L246" s="103"/>
    </row>
    <row r="247" spans="1:12" x14ac:dyDescent="0.25">
      <c r="A247" s="16">
        <v>195441186</v>
      </c>
      <c r="B247" s="16"/>
      <c r="C247" s="16"/>
      <c r="D247" s="111" t="s">
        <v>47</v>
      </c>
      <c r="E247" s="111"/>
      <c r="F247" s="111"/>
      <c r="G247" s="111" t="s">
        <v>107</v>
      </c>
      <c r="H247" s="111"/>
      <c r="I247" s="111"/>
      <c r="J247" s="111"/>
      <c r="K247" s="111"/>
      <c r="L247" s="111"/>
    </row>
    <row r="248" spans="1:1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</row>
    <row r="250" spans="1:1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x14ac:dyDescent="0.25">
      <c r="A251" s="112" t="s">
        <v>49</v>
      </c>
      <c r="B251" s="112"/>
      <c r="C251" s="112"/>
      <c r="D251" s="112"/>
      <c r="E251" s="112"/>
      <c r="F251" s="112"/>
      <c r="G251" s="112" t="s">
        <v>50</v>
      </c>
      <c r="H251" s="112" t="s">
        <v>51</v>
      </c>
      <c r="I251" s="112" t="s">
        <v>52</v>
      </c>
      <c r="J251" s="112"/>
      <c r="K251" s="112" t="s">
        <v>53</v>
      </c>
      <c r="L251" s="112"/>
    </row>
    <row r="252" spans="1:12" x14ac:dyDescent="0.25">
      <c r="A252" s="112"/>
      <c r="B252" s="112"/>
      <c r="C252" s="112"/>
      <c r="D252" s="112"/>
      <c r="E252" s="112"/>
      <c r="F252" s="112"/>
      <c r="G252" s="112"/>
      <c r="H252" s="112"/>
      <c r="I252" s="20" t="s">
        <v>54</v>
      </c>
      <c r="J252" s="20" t="s">
        <v>55</v>
      </c>
      <c r="K252" s="20" t="s">
        <v>56</v>
      </c>
      <c r="L252" s="20" t="s">
        <v>57</v>
      </c>
    </row>
    <row r="253" spans="1:12" x14ac:dyDescent="0.25">
      <c r="A253" s="105" t="s">
        <v>58</v>
      </c>
      <c r="B253" s="105"/>
      <c r="C253" s="105"/>
      <c r="D253" s="105"/>
      <c r="E253" s="105"/>
      <c r="F253" s="105"/>
      <c r="G253" s="21">
        <v>2895.13</v>
      </c>
      <c r="H253" s="22"/>
      <c r="I253" s="21"/>
      <c r="J253" s="21"/>
      <c r="K253" s="21"/>
      <c r="L253" s="21"/>
    </row>
    <row r="254" spans="1:12" x14ac:dyDescent="0.25">
      <c r="A254" s="105" t="s">
        <v>59</v>
      </c>
      <c r="B254" s="105"/>
      <c r="C254" s="105"/>
      <c r="D254" s="105"/>
      <c r="E254" s="105"/>
      <c r="F254" s="105"/>
      <c r="G254" s="21"/>
      <c r="H254" s="21"/>
      <c r="I254" s="21">
        <f>IF(I255+I256-J257-J258+I259+I262+I263+I264+I260&lt;G253,I255+I256-J257-J258+I259+I262+I263+I264+I260,G253)</f>
        <v>2895.13</v>
      </c>
      <c r="J254" s="21"/>
      <c r="K254" s="21"/>
      <c r="L254" s="21"/>
    </row>
    <row r="255" spans="1:12" x14ac:dyDescent="0.25">
      <c r="A255" s="104" t="s">
        <v>60</v>
      </c>
      <c r="B255" s="104"/>
      <c r="C255" s="104"/>
      <c r="D255" s="104"/>
      <c r="E255" s="104"/>
      <c r="F255" s="104"/>
      <c r="G255" s="23"/>
      <c r="H255" s="24">
        <v>26</v>
      </c>
      <c r="I255" s="23">
        <f>G253/26*H255</f>
        <v>2895.13</v>
      </c>
      <c r="J255" s="25"/>
      <c r="K255" s="26"/>
      <c r="L255" s="26"/>
    </row>
    <row r="256" spans="1:12" x14ac:dyDescent="0.25">
      <c r="A256" s="104" t="s">
        <v>61</v>
      </c>
      <c r="B256" s="104"/>
      <c r="C256" s="104"/>
      <c r="D256" s="104"/>
      <c r="E256" s="104"/>
      <c r="F256" s="104"/>
      <c r="G256" s="23"/>
      <c r="H256" s="24">
        <v>0</v>
      </c>
      <c r="I256" s="23">
        <f>G253/26*H256</f>
        <v>0</v>
      </c>
      <c r="J256" s="25"/>
      <c r="K256" s="26"/>
      <c r="L256" s="26"/>
    </row>
    <row r="257" spans="1:12" x14ac:dyDescent="0.25">
      <c r="A257" s="104" t="s">
        <v>62</v>
      </c>
      <c r="B257" s="104"/>
      <c r="C257" s="104"/>
      <c r="D257" s="104"/>
      <c r="E257" s="104"/>
      <c r="F257" s="104"/>
      <c r="G257" s="23"/>
      <c r="H257" s="24">
        <v>0</v>
      </c>
      <c r="I257" s="23"/>
      <c r="J257" s="27">
        <f>G253/26*H257</f>
        <v>0</v>
      </c>
      <c r="K257" s="26"/>
      <c r="L257" s="26"/>
    </row>
    <row r="258" spans="1:12" x14ac:dyDescent="0.25">
      <c r="A258" s="104" t="s">
        <v>63</v>
      </c>
      <c r="B258" s="104"/>
      <c r="C258" s="104"/>
      <c r="D258" s="104"/>
      <c r="E258" s="104"/>
      <c r="F258" s="104"/>
      <c r="G258" s="23"/>
      <c r="H258" s="24">
        <v>0</v>
      </c>
      <c r="I258" s="23"/>
      <c r="J258" s="28">
        <f>G253/191*H258</f>
        <v>0</v>
      </c>
      <c r="K258" s="26"/>
      <c r="L258" s="26"/>
    </row>
    <row r="259" spans="1:12" x14ac:dyDescent="0.25">
      <c r="A259" s="104" t="s">
        <v>64</v>
      </c>
      <c r="B259" s="104"/>
      <c r="C259" s="104"/>
      <c r="D259" s="104"/>
      <c r="E259" s="104"/>
      <c r="F259" s="104"/>
      <c r="G259" s="23"/>
      <c r="H259" s="24">
        <v>0</v>
      </c>
      <c r="I259" s="23">
        <f>G253/26*H259</f>
        <v>0</v>
      </c>
      <c r="J259" s="25"/>
      <c r="K259" s="26"/>
      <c r="L259" s="26"/>
    </row>
    <row r="260" spans="1:12" x14ac:dyDescent="0.25">
      <c r="A260" s="104" t="s">
        <v>65</v>
      </c>
      <c r="B260" s="104"/>
      <c r="C260" s="104"/>
      <c r="D260" s="104"/>
      <c r="E260" s="104"/>
      <c r="F260" s="104"/>
      <c r="G260" s="23"/>
      <c r="H260" s="24">
        <v>0</v>
      </c>
      <c r="I260" s="23">
        <f>G253/191*H260</f>
        <v>0</v>
      </c>
      <c r="J260" s="25"/>
      <c r="K260" s="26"/>
      <c r="L260" s="26"/>
    </row>
    <row r="261" spans="1:12" x14ac:dyDescent="0.25">
      <c r="A261" s="104" t="s">
        <v>66</v>
      </c>
      <c r="B261" s="104"/>
      <c r="C261" s="104"/>
      <c r="D261" s="104"/>
      <c r="E261" s="104"/>
      <c r="F261" s="104"/>
      <c r="G261" s="29"/>
      <c r="H261" s="30"/>
      <c r="I261" s="30"/>
      <c r="J261" s="25"/>
      <c r="K261" s="26"/>
      <c r="L261" s="26"/>
    </row>
    <row r="262" spans="1:12" x14ac:dyDescent="0.25">
      <c r="A262" s="110">
        <v>0.25</v>
      </c>
      <c r="B262" s="110"/>
      <c r="C262" s="110"/>
      <c r="D262" s="110"/>
      <c r="E262" s="110"/>
      <c r="F262" s="110"/>
      <c r="G262" s="23"/>
      <c r="H262" s="24">
        <v>0</v>
      </c>
      <c r="I262" s="23">
        <f>G253/191*H262*A262</f>
        <v>0</v>
      </c>
      <c r="J262" s="25"/>
      <c r="K262" s="26"/>
      <c r="L262" s="26"/>
    </row>
    <row r="263" spans="1:12" x14ac:dyDescent="0.25">
      <c r="A263" s="110">
        <v>0.5</v>
      </c>
      <c r="B263" s="110"/>
      <c r="C263" s="110"/>
      <c r="D263" s="110"/>
      <c r="E263" s="110"/>
      <c r="F263" s="110"/>
      <c r="G263" s="23"/>
      <c r="H263" s="24">
        <v>0</v>
      </c>
      <c r="I263" s="23">
        <f>G253/191*A263*H263</f>
        <v>0</v>
      </c>
      <c r="J263" s="25"/>
      <c r="K263" s="26"/>
      <c r="L263" s="26"/>
    </row>
    <row r="264" spans="1:12" x14ac:dyDescent="0.25">
      <c r="A264" s="110">
        <v>1</v>
      </c>
      <c r="B264" s="110"/>
      <c r="C264" s="110"/>
      <c r="D264" s="110"/>
      <c r="E264" s="110"/>
      <c r="F264" s="110"/>
      <c r="G264" s="23"/>
      <c r="H264" s="24">
        <v>0</v>
      </c>
      <c r="I264" s="23">
        <f>G253/191*A264*H264</f>
        <v>0</v>
      </c>
      <c r="J264" s="25"/>
      <c r="K264" s="26"/>
      <c r="L264" s="26"/>
    </row>
    <row r="265" spans="1:12" x14ac:dyDescent="0.25">
      <c r="A265" s="105" t="s">
        <v>67</v>
      </c>
      <c r="B265" s="105"/>
      <c r="C265" s="105"/>
      <c r="D265" s="105"/>
      <c r="E265" s="105"/>
      <c r="F265" s="105"/>
      <c r="G265" s="21"/>
      <c r="H265" s="22"/>
      <c r="I265" s="21">
        <f>SUM(I266:I267)</f>
        <v>0</v>
      </c>
      <c r="J265" s="21"/>
      <c r="K265" s="21"/>
      <c r="L265" s="21"/>
    </row>
    <row r="266" spans="1:12" x14ac:dyDescent="0.25">
      <c r="A266" s="104" t="s">
        <v>68</v>
      </c>
      <c r="B266" s="104"/>
      <c r="C266" s="104"/>
      <c r="D266" s="104"/>
      <c r="E266" s="104"/>
      <c r="F266" s="104"/>
      <c r="G266" s="23">
        <f>(G243-A245)/360</f>
        <v>1.9472222222222222</v>
      </c>
      <c r="H266" s="31">
        <f>IF(G266&lt;2,0,IF(AND(G266&gt;2,G266&lt;5),[1]Taux!A$33,IF(AND(G266&lt;12,G266&gt;5),[1]Taux!A$34,IF(AND(G266&gt;12,G266&lt;20),[1]Taux!A$35,IF(AND(G266&lt;25,G266&gt;20),[1]Taux!A$36,IF(G266&gt;25,[1]Taux!A$37))))))</f>
        <v>0</v>
      </c>
      <c r="I266" s="23">
        <f>I254*H266</f>
        <v>0</v>
      </c>
      <c r="J266" s="25"/>
      <c r="K266" s="26"/>
      <c r="L266" s="26"/>
    </row>
    <row r="267" spans="1:12" x14ac:dyDescent="0.25">
      <c r="A267" s="104" t="s">
        <v>69</v>
      </c>
      <c r="B267" s="104"/>
      <c r="C267" s="104"/>
      <c r="D267" s="104"/>
      <c r="E267" s="104"/>
      <c r="F267" s="104"/>
      <c r="G267" s="23"/>
      <c r="H267" s="24"/>
      <c r="I267" s="23"/>
      <c r="J267" s="25"/>
      <c r="K267" s="26"/>
      <c r="L267" s="26"/>
    </row>
    <row r="268" spans="1:12" x14ac:dyDescent="0.25">
      <c r="A268" s="105" t="s">
        <v>70</v>
      </c>
      <c r="B268" s="105"/>
      <c r="C268" s="105"/>
      <c r="D268" s="105"/>
      <c r="E268" s="105"/>
      <c r="F268" s="105"/>
      <c r="G268" s="21"/>
      <c r="H268" s="22"/>
      <c r="I268" s="21">
        <f>SUM(I269:I271)</f>
        <v>300</v>
      </c>
      <c r="J268" s="21"/>
      <c r="K268" s="21"/>
      <c r="L268" s="21"/>
    </row>
    <row r="269" spans="1:12" x14ac:dyDescent="0.25">
      <c r="A269" s="104" t="s">
        <v>71</v>
      </c>
      <c r="B269" s="104"/>
      <c r="C269" s="104"/>
      <c r="D269" s="104"/>
      <c r="E269" s="104"/>
      <c r="F269" s="104"/>
      <c r="G269" s="23"/>
      <c r="H269" s="24"/>
      <c r="I269" s="23">
        <v>300</v>
      </c>
      <c r="J269" s="25"/>
      <c r="K269" s="26"/>
      <c r="L269" s="26"/>
    </row>
    <row r="270" spans="1:12" x14ac:dyDescent="0.25">
      <c r="A270" s="104" t="s">
        <v>72</v>
      </c>
      <c r="B270" s="104"/>
      <c r="C270" s="104"/>
      <c r="D270" s="104"/>
      <c r="E270" s="104"/>
      <c r="F270" s="104"/>
      <c r="G270" s="23"/>
      <c r="H270" s="31">
        <v>0</v>
      </c>
      <c r="I270" s="23"/>
      <c r="J270" s="25"/>
      <c r="K270" s="26"/>
      <c r="L270" s="26"/>
    </row>
    <row r="271" spans="1:12" x14ac:dyDescent="0.25">
      <c r="A271" s="104" t="s">
        <v>73</v>
      </c>
      <c r="B271" s="104"/>
      <c r="C271" s="104"/>
      <c r="D271" s="104"/>
      <c r="E271" s="104"/>
      <c r="F271" s="104"/>
      <c r="G271" s="23"/>
      <c r="H271" s="24"/>
      <c r="I271" s="23"/>
      <c r="J271" s="25"/>
      <c r="K271" s="26"/>
      <c r="L271" s="26"/>
    </row>
    <row r="272" spans="1:12" x14ac:dyDescent="0.25">
      <c r="A272" s="108" t="s">
        <v>74</v>
      </c>
      <c r="B272" s="108"/>
      <c r="C272" s="108"/>
      <c r="D272" s="108"/>
      <c r="E272" s="108"/>
      <c r="F272" s="108"/>
      <c r="G272" s="32"/>
      <c r="H272" s="33"/>
      <c r="I272" s="32">
        <f>I254+I265+I268</f>
        <v>3195.13</v>
      </c>
      <c r="J272" s="33"/>
      <c r="K272" s="33"/>
      <c r="L272" s="33"/>
    </row>
    <row r="273" spans="1:12" x14ac:dyDescent="0.25">
      <c r="A273" s="108" t="s">
        <v>75</v>
      </c>
      <c r="B273" s="108"/>
      <c r="C273" s="108"/>
      <c r="D273" s="108"/>
      <c r="E273" s="108"/>
      <c r="F273" s="108"/>
      <c r="G273" s="32"/>
      <c r="H273" s="33"/>
      <c r="I273" s="32">
        <f>I272-I268</f>
        <v>2895.13</v>
      </c>
      <c r="J273" s="33"/>
      <c r="K273" s="33"/>
      <c r="L273" s="33"/>
    </row>
    <row r="274" spans="1:12" x14ac:dyDescent="0.25">
      <c r="A274" s="104" t="s">
        <v>76</v>
      </c>
      <c r="B274" s="104"/>
      <c r="C274" s="104"/>
      <c r="D274" s="104"/>
      <c r="E274" s="104"/>
      <c r="F274" s="104"/>
      <c r="G274" s="23"/>
      <c r="H274" s="34">
        <f>[1]Taux!D$5+[1]Taux!D$6</f>
        <v>4.4800000000000006E-2</v>
      </c>
      <c r="I274" s="23"/>
      <c r="J274" s="23">
        <f>IF(I273&lt;6000,I273*H274,6000*H274)</f>
        <v>129.70182400000002</v>
      </c>
      <c r="K274" s="35">
        <f>[1]Taux!C$5+[1]Taux!C$6</f>
        <v>8.9799999999999991E-2</v>
      </c>
      <c r="L274" s="23">
        <f>IF(I273&lt;6000,I273*K274,6000*K274)</f>
        <v>259.98267399999997</v>
      </c>
    </row>
    <row r="275" spans="1:12" x14ac:dyDescent="0.25">
      <c r="A275" s="104" t="s">
        <v>77</v>
      </c>
      <c r="B275" s="104"/>
      <c r="C275" s="104"/>
      <c r="D275" s="104"/>
      <c r="E275" s="104"/>
      <c r="F275" s="104"/>
      <c r="G275" s="23"/>
      <c r="H275" s="34"/>
      <c r="I275" s="23"/>
      <c r="J275" s="23">
        <f>I273*H275</f>
        <v>0</v>
      </c>
      <c r="K275" s="36"/>
      <c r="L275" s="23">
        <f>I273*K275</f>
        <v>0</v>
      </c>
    </row>
    <row r="276" spans="1:12" x14ac:dyDescent="0.25">
      <c r="A276" s="104" t="s">
        <v>78</v>
      </c>
      <c r="B276" s="104"/>
      <c r="C276" s="104"/>
      <c r="D276" s="104"/>
      <c r="E276" s="104"/>
      <c r="F276" s="104"/>
      <c r="G276" s="23"/>
      <c r="H276" s="34"/>
      <c r="I276" s="23"/>
      <c r="J276" s="23">
        <f>I273*H276</f>
        <v>0</v>
      </c>
      <c r="K276" s="35">
        <v>0.02</v>
      </c>
      <c r="L276" s="23">
        <f>I273*K276</f>
        <v>57.902600000000007</v>
      </c>
    </row>
    <row r="277" spans="1:12" x14ac:dyDescent="0.25">
      <c r="A277" s="104" t="s">
        <v>79</v>
      </c>
      <c r="B277" s="104"/>
      <c r="C277" s="104"/>
      <c r="D277" s="104"/>
      <c r="E277" s="104"/>
      <c r="F277" s="104"/>
      <c r="G277" s="23"/>
      <c r="H277" s="34"/>
      <c r="I277" s="23"/>
      <c r="J277" s="23">
        <f>IF(I273*H277&gt;I273*0.06,I273*0.06,I273*H277)</f>
        <v>0</v>
      </c>
      <c r="K277" s="36"/>
      <c r="L277" s="23">
        <f>I273*K277</f>
        <v>0</v>
      </c>
    </row>
    <row r="278" spans="1:12" x14ac:dyDescent="0.25">
      <c r="A278" s="104" t="s">
        <v>80</v>
      </c>
      <c r="B278" s="104"/>
      <c r="C278" s="104"/>
      <c r="D278" s="104"/>
      <c r="E278" s="104"/>
      <c r="F278" s="104"/>
      <c r="G278" s="23"/>
      <c r="H278" s="34"/>
      <c r="I278" s="23"/>
      <c r="J278" s="23">
        <f>I273*H278</f>
        <v>0</v>
      </c>
      <c r="K278" s="36"/>
      <c r="L278" s="23">
        <f>I273*K278</f>
        <v>0</v>
      </c>
    </row>
    <row r="279" spans="1:12" x14ac:dyDescent="0.25">
      <c r="A279" s="104" t="s">
        <v>81</v>
      </c>
      <c r="B279" s="104"/>
      <c r="C279" s="104"/>
      <c r="D279" s="104"/>
      <c r="E279" s="104"/>
      <c r="F279" s="104"/>
      <c r="G279" s="23"/>
      <c r="H279" s="34"/>
      <c r="I279" s="23"/>
      <c r="J279" s="23">
        <f>I273*H279</f>
        <v>0</v>
      </c>
      <c r="K279" s="36"/>
      <c r="L279" s="23">
        <f>I273*K279</f>
        <v>0</v>
      </c>
    </row>
    <row r="280" spans="1:12" x14ac:dyDescent="0.25">
      <c r="A280" s="104" t="s">
        <v>24</v>
      </c>
      <c r="B280" s="104"/>
      <c r="C280" s="104"/>
      <c r="D280" s="104"/>
      <c r="E280" s="104"/>
      <c r="F280" s="104"/>
      <c r="G280" s="23"/>
      <c r="H280" s="34" t="str">
        <f>[1]Taux!D$7</f>
        <v>2,26%</v>
      </c>
      <c r="I280" s="23"/>
      <c r="J280" s="23">
        <f>I273*H280</f>
        <v>65.429937999999993</v>
      </c>
      <c r="K280" s="34" t="str">
        <f>[1]Taux!C$7</f>
        <v>4,11%</v>
      </c>
      <c r="L280" s="23">
        <f>I273*K280</f>
        <v>118.98984299999999</v>
      </c>
    </row>
    <row r="281" spans="1:12" x14ac:dyDescent="0.25">
      <c r="A281" s="109" t="s">
        <v>82</v>
      </c>
      <c r="B281" s="109"/>
      <c r="C281" s="109"/>
      <c r="D281" s="109"/>
      <c r="E281" s="109"/>
      <c r="F281" s="109"/>
      <c r="G281" s="37"/>
      <c r="H281" s="38"/>
      <c r="I281" s="39"/>
      <c r="J281" s="40"/>
      <c r="K281" s="34" t="str">
        <f>[1]Taux!C$4</f>
        <v>6,40%</v>
      </c>
      <c r="L281" s="23">
        <f>I273*K281</f>
        <v>185.28832</v>
      </c>
    </row>
    <row r="282" spans="1:12" x14ac:dyDescent="0.25">
      <c r="A282" s="109" t="s">
        <v>83</v>
      </c>
      <c r="B282" s="109"/>
      <c r="C282" s="109"/>
      <c r="D282" s="109"/>
      <c r="E282" s="109"/>
      <c r="F282" s="109"/>
      <c r="G282" s="41"/>
      <c r="H282" s="42"/>
      <c r="I282" s="43"/>
      <c r="J282" s="44"/>
      <c r="K282" s="34" t="str">
        <f>[1]Taux!C$8</f>
        <v>1,6 %</v>
      </c>
      <c r="L282" s="23">
        <f>I273*K282</f>
        <v>46.32208</v>
      </c>
    </row>
    <row r="283" spans="1:12" x14ac:dyDescent="0.25">
      <c r="A283" s="105" t="s">
        <v>84</v>
      </c>
      <c r="B283" s="105"/>
      <c r="C283" s="105"/>
      <c r="D283" s="105"/>
      <c r="E283" s="105"/>
      <c r="F283" s="105"/>
      <c r="G283" s="21"/>
      <c r="H283" s="22"/>
      <c r="I283" s="22"/>
      <c r="J283" s="21">
        <f>SUM(J274:J280)</f>
        <v>195.13176200000001</v>
      </c>
      <c r="K283" s="21"/>
      <c r="L283" s="21">
        <f>SUM(L274:L282)</f>
        <v>668.48551699999996</v>
      </c>
    </row>
    <row r="284" spans="1:12" x14ac:dyDescent="0.25">
      <c r="A284" s="104" t="s">
        <v>85</v>
      </c>
      <c r="B284" s="104"/>
      <c r="C284" s="104"/>
      <c r="D284" s="104"/>
      <c r="E284" s="104"/>
      <c r="F284" s="104"/>
      <c r="G284" s="23"/>
      <c r="H284" s="45">
        <v>0.2</v>
      </c>
      <c r="I284" s="23"/>
      <c r="J284" s="23">
        <f>IF(I273*H284&lt;2500,I273*H284,2500)</f>
        <v>579.02600000000007</v>
      </c>
      <c r="K284" s="46"/>
      <c r="L284" s="47"/>
    </row>
    <row r="285" spans="1:12" x14ac:dyDescent="0.25">
      <c r="A285" s="108" t="s">
        <v>86</v>
      </c>
      <c r="B285" s="108"/>
      <c r="C285" s="108"/>
      <c r="D285" s="108"/>
      <c r="E285" s="108"/>
      <c r="F285" s="108"/>
      <c r="G285" s="32"/>
      <c r="H285" s="33"/>
      <c r="I285" s="32">
        <f>I273-J283-J284</f>
        <v>2120.9722380000003</v>
      </c>
      <c r="J285" s="33"/>
      <c r="K285" s="33"/>
      <c r="L285" s="33"/>
    </row>
    <row r="286" spans="1:12" x14ac:dyDescent="0.25">
      <c r="A286" s="104" t="s">
        <v>87</v>
      </c>
      <c r="B286" s="104"/>
      <c r="C286" s="104"/>
      <c r="D286" s="104"/>
      <c r="E286" s="104"/>
      <c r="F286" s="104"/>
      <c r="G286" s="23"/>
      <c r="H286" s="34"/>
      <c r="I286" s="23">
        <f>H286*180/360</f>
        <v>0</v>
      </c>
      <c r="J286" s="23"/>
      <c r="K286" s="46"/>
      <c r="L286" s="47"/>
    </row>
    <row r="287" spans="1:12" x14ac:dyDescent="0.25">
      <c r="A287" s="108" t="s">
        <v>88</v>
      </c>
      <c r="B287" s="108"/>
      <c r="C287" s="108"/>
      <c r="D287" s="108"/>
      <c r="E287" s="108"/>
      <c r="F287" s="108"/>
      <c r="G287" s="32"/>
      <c r="H287" s="33"/>
      <c r="I287" s="32">
        <f>I285-I286</f>
        <v>2120.9722380000003</v>
      </c>
      <c r="J287" s="33"/>
      <c r="K287" s="33"/>
      <c r="L287" s="33"/>
    </row>
    <row r="288" spans="1:12" x14ac:dyDescent="0.25">
      <c r="A288" s="104" t="s">
        <v>89</v>
      </c>
      <c r="B288" s="104"/>
      <c r="C288" s="104"/>
      <c r="D288" s="104"/>
      <c r="E288" s="104"/>
      <c r="F288" s="104"/>
      <c r="G288" s="25"/>
      <c r="H288" s="48"/>
      <c r="I288" s="40"/>
      <c r="J288" s="23">
        <f>IF(AND(I287&gt;0,I287&lt;2500),I287*[1]Taux!C$15-[1]Taux!I$15,IF(AND(I287&gt;2500,I287&lt;4166.67),I287*[1]Taux!C$16-[1]Taux!I$16,IF(AND(I287&gt;4166.67,I287&lt;5000),I287*[1]Taux!C$17-[1]Taux!I$17,IF(AND(I287&gt;5000,I287&lt;6666.67),I287*[1]Taux!C$18-[1]Taux!I$18,IF(AND(I287&gt;6666.67,I287&lt;15000),I287*[1]Taux!C$19-[1]Taux!I$19,IF(I287&gt;15000,I287*[1]Taux!C$20-[1]Taux!I$20))))))</f>
        <v>0</v>
      </c>
      <c r="K288" s="46"/>
      <c r="L288" s="47"/>
    </row>
    <row r="289" spans="1:12" x14ac:dyDescent="0.25">
      <c r="A289" s="104" t="s">
        <v>90</v>
      </c>
      <c r="B289" s="104"/>
      <c r="C289" s="104"/>
      <c r="D289" s="104"/>
      <c r="E289" s="104"/>
      <c r="F289" s="104"/>
      <c r="G289" s="27"/>
      <c r="H289" s="49">
        <f>F245</f>
        <v>0</v>
      </c>
      <c r="I289" s="49"/>
      <c r="J289" s="23">
        <f>IF(H289*360/12&gt;6*360/12,6*360/12,H289*360/12)</f>
        <v>0</v>
      </c>
      <c r="K289" s="46"/>
      <c r="L289" s="47"/>
    </row>
    <row r="290" spans="1:12" x14ac:dyDescent="0.25">
      <c r="A290" s="105" t="s">
        <v>91</v>
      </c>
      <c r="B290" s="105"/>
      <c r="C290" s="105"/>
      <c r="D290" s="105"/>
      <c r="E290" s="105"/>
      <c r="F290" s="105"/>
      <c r="G290" s="21"/>
      <c r="H290" s="22"/>
      <c r="I290" s="21"/>
      <c r="J290" s="21">
        <f>J288-J289</f>
        <v>0</v>
      </c>
      <c r="K290" s="21"/>
      <c r="L290" s="21"/>
    </row>
    <row r="291" spans="1:12" x14ac:dyDescent="0.25">
      <c r="A291" s="106" t="s">
        <v>92</v>
      </c>
      <c r="B291" s="106"/>
      <c r="C291" s="106"/>
      <c r="D291" s="106"/>
      <c r="E291" s="106"/>
      <c r="F291" s="106"/>
      <c r="G291" s="25"/>
      <c r="H291" s="48"/>
      <c r="I291" s="47"/>
      <c r="J291" s="49">
        <v>0</v>
      </c>
      <c r="K291" s="46"/>
      <c r="L291" s="47"/>
    </row>
    <row r="292" spans="1:12" x14ac:dyDescent="0.25">
      <c r="A292" s="104" t="s">
        <v>93</v>
      </c>
      <c r="B292" s="104"/>
      <c r="C292" s="104"/>
      <c r="D292" s="104"/>
      <c r="E292" s="104"/>
      <c r="F292" s="104"/>
      <c r="G292" s="25"/>
      <c r="H292" s="48"/>
      <c r="I292" s="44"/>
      <c r="J292" s="28"/>
      <c r="K292" s="46"/>
      <c r="L292" s="47"/>
    </row>
    <row r="293" spans="1:12" x14ac:dyDescent="0.25">
      <c r="A293" s="107" t="s">
        <v>94</v>
      </c>
      <c r="B293" s="107"/>
      <c r="C293" s="107"/>
      <c r="D293" s="107"/>
      <c r="E293" s="107"/>
      <c r="F293" s="107"/>
      <c r="G293" s="41"/>
      <c r="H293" s="42"/>
      <c r="I293" s="28"/>
      <c r="J293" s="41"/>
      <c r="K293" s="43"/>
      <c r="L293" s="44"/>
    </row>
    <row r="294" spans="1:1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25">
      <c r="A295" s="14" t="s">
        <v>95</v>
      </c>
      <c r="B295" s="14" t="s">
        <v>96</v>
      </c>
      <c r="C295" s="14" t="s">
        <v>97</v>
      </c>
      <c r="D295" s="103" t="s">
        <v>98</v>
      </c>
      <c r="E295" s="103"/>
      <c r="F295" s="103"/>
      <c r="G295" s="14" t="s">
        <v>99</v>
      </c>
      <c r="H295" s="50"/>
      <c r="I295" s="52">
        <f>I272+I293</f>
        <v>3195.13</v>
      </c>
      <c r="J295" s="52">
        <f>J283+J290+J291+J292</f>
        <v>195.13176200000001</v>
      </c>
      <c r="K295" s="14" t="s">
        <v>100</v>
      </c>
      <c r="L295" s="52">
        <f>L283</f>
        <v>668.48551699999996</v>
      </c>
    </row>
    <row r="296" spans="1:12" x14ac:dyDescent="0.25">
      <c r="A296" s="52">
        <f>32114.9+I272</f>
        <v>35310.03</v>
      </c>
      <c r="B296" s="52">
        <f>29414.9+I273</f>
        <v>32310.030000000002</v>
      </c>
      <c r="C296" s="52">
        <f>1317.78+J274</f>
        <v>1447.481824</v>
      </c>
      <c r="D296" s="102">
        <f>132.35+J290</f>
        <v>132.35</v>
      </c>
      <c r="E296" s="102"/>
      <c r="F296" s="102"/>
      <c r="G296" s="52">
        <f>30000+I295</f>
        <v>33195.129999999997</v>
      </c>
      <c r="H296" s="103" t="s">
        <v>101</v>
      </c>
      <c r="I296" s="103"/>
      <c r="J296" s="52">
        <f>I295-J295</f>
        <v>2999.9982380000001</v>
      </c>
      <c r="K296" s="14" t="s">
        <v>102</v>
      </c>
      <c r="L296" s="52">
        <f>5864.92+L295</f>
        <v>6533.4055170000001</v>
      </c>
    </row>
    <row r="297" spans="1:1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53" t="s">
        <v>103</v>
      </c>
      <c r="L297" s="54">
        <f>J296+L295</f>
        <v>3668.4837550000002</v>
      </c>
    </row>
    <row r="301" spans="1:12" x14ac:dyDescent="0.25">
      <c r="A301" s="114" t="s">
        <v>26</v>
      </c>
      <c r="B301" s="114"/>
      <c r="C301" s="114" t="s">
        <v>27</v>
      </c>
      <c r="D301" s="114"/>
      <c r="E301" s="114"/>
      <c r="F301" s="114"/>
      <c r="G301" s="114" t="s">
        <v>28</v>
      </c>
      <c r="H301" s="114"/>
      <c r="I301" s="114"/>
      <c r="J301" s="114" t="s">
        <v>29</v>
      </c>
      <c r="K301" s="114"/>
      <c r="L301" s="114"/>
    </row>
    <row r="302" spans="1:12" x14ac:dyDescent="0.25">
      <c r="A302" s="14" t="s">
        <v>30</v>
      </c>
      <c r="B302" s="103" t="s">
        <v>31</v>
      </c>
      <c r="C302" s="103"/>
      <c r="D302" s="103"/>
      <c r="E302" s="103"/>
      <c r="F302" s="103"/>
      <c r="G302" s="103" t="s">
        <v>32</v>
      </c>
      <c r="H302" s="103"/>
      <c r="I302" s="103"/>
      <c r="J302" s="103"/>
      <c r="K302" s="103"/>
      <c r="L302" s="103"/>
    </row>
    <row r="303" spans="1:12" x14ac:dyDescent="0.25">
      <c r="A303" s="16">
        <v>7</v>
      </c>
      <c r="B303" s="111" t="s">
        <v>112</v>
      </c>
      <c r="C303" s="111"/>
      <c r="D303" s="111"/>
      <c r="E303" s="111"/>
      <c r="F303" s="111"/>
      <c r="G303" s="113">
        <v>42522</v>
      </c>
      <c r="H303" s="113"/>
      <c r="I303" s="113"/>
      <c r="J303" s="113">
        <v>42551</v>
      </c>
      <c r="K303" s="113"/>
      <c r="L303" s="113"/>
    </row>
    <row r="304" spans="1:12" x14ac:dyDescent="0.25">
      <c r="A304" s="14" t="s">
        <v>34</v>
      </c>
      <c r="B304" s="14" t="s">
        <v>35</v>
      </c>
      <c r="C304" s="14" t="s">
        <v>36</v>
      </c>
      <c r="D304" s="14" t="s">
        <v>37</v>
      </c>
      <c r="E304" s="14" t="s">
        <v>38</v>
      </c>
      <c r="F304" s="14" t="s">
        <v>39</v>
      </c>
      <c r="G304" s="103" t="s">
        <v>40</v>
      </c>
      <c r="H304" s="103"/>
      <c r="I304" s="103"/>
      <c r="J304" s="103"/>
      <c r="K304" s="103"/>
      <c r="L304" s="103"/>
    </row>
    <row r="305" spans="1:12" x14ac:dyDescent="0.25">
      <c r="A305" s="17">
        <v>42005</v>
      </c>
      <c r="B305" s="16"/>
      <c r="C305" s="17">
        <v>34565</v>
      </c>
      <c r="D305" s="16" t="s">
        <v>111</v>
      </c>
      <c r="E305" s="16">
        <v>0</v>
      </c>
      <c r="F305" s="16">
        <v>0</v>
      </c>
      <c r="G305" s="111"/>
      <c r="H305" s="111"/>
      <c r="I305" s="111"/>
      <c r="J305" s="111"/>
      <c r="K305" s="111"/>
      <c r="L305" s="111"/>
    </row>
    <row r="306" spans="1:12" x14ac:dyDescent="0.25">
      <c r="A306" s="14" t="s">
        <v>42</v>
      </c>
      <c r="B306" s="14" t="s">
        <v>43</v>
      </c>
      <c r="C306" s="14" t="s">
        <v>44</v>
      </c>
      <c r="D306" s="103" t="s">
        <v>45</v>
      </c>
      <c r="E306" s="103"/>
      <c r="F306" s="103"/>
      <c r="G306" s="103" t="s">
        <v>46</v>
      </c>
      <c r="H306" s="103"/>
      <c r="I306" s="103"/>
      <c r="J306" s="103"/>
      <c r="K306" s="103"/>
      <c r="L306" s="103"/>
    </row>
    <row r="307" spans="1:12" x14ac:dyDescent="0.25">
      <c r="A307" s="16">
        <v>168098097</v>
      </c>
      <c r="B307" s="16"/>
      <c r="C307" s="16"/>
      <c r="D307" s="111" t="s">
        <v>47</v>
      </c>
      <c r="E307" s="111"/>
      <c r="F307" s="111"/>
      <c r="G307" s="111" t="s">
        <v>107</v>
      </c>
      <c r="H307" s="111"/>
      <c r="I307" s="111"/>
      <c r="J307" s="111"/>
      <c r="K307" s="111"/>
      <c r="L307" s="111"/>
    </row>
    <row r="308" spans="1:1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</row>
    <row r="310" spans="1:1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x14ac:dyDescent="0.25">
      <c r="A311" s="112" t="s">
        <v>49</v>
      </c>
      <c r="B311" s="112"/>
      <c r="C311" s="112"/>
      <c r="D311" s="112"/>
      <c r="E311" s="112"/>
      <c r="F311" s="112"/>
      <c r="G311" s="112" t="s">
        <v>50</v>
      </c>
      <c r="H311" s="112" t="s">
        <v>51</v>
      </c>
      <c r="I311" s="112" t="s">
        <v>52</v>
      </c>
      <c r="J311" s="112"/>
      <c r="K311" s="112" t="s">
        <v>53</v>
      </c>
      <c r="L311" s="112"/>
    </row>
    <row r="312" spans="1:12" x14ac:dyDescent="0.25">
      <c r="A312" s="112"/>
      <c r="B312" s="112"/>
      <c r="C312" s="112"/>
      <c r="D312" s="112"/>
      <c r="E312" s="112"/>
      <c r="F312" s="112"/>
      <c r="G312" s="112"/>
      <c r="H312" s="112"/>
      <c r="I312" s="20" t="s">
        <v>54</v>
      </c>
      <c r="J312" s="20" t="s">
        <v>55</v>
      </c>
      <c r="K312" s="20" t="s">
        <v>56</v>
      </c>
      <c r="L312" s="20" t="s">
        <v>57</v>
      </c>
    </row>
    <row r="313" spans="1:12" x14ac:dyDescent="0.25">
      <c r="A313" s="105" t="s">
        <v>58</v>
      </c>
      <c r="B313" s="105"/>
      <c r="C313" s="105"/>
      <c r="D313" s="105"/>
      <c r="E313" s="105"/>
      <c r="F313" s="105"/>
      <c r="G313" s="21">
        <v>2807.8</v>
      </c>
      <c r="H313" s="22"/>
      <c r="I313" s="21"/>
      <c r="J313" s="21"/>
      <c r="K313" s="21"/>
      <c r="L313" s="21"/>
    </row>
    <row r="314" spans="1:12" x14ac:dyDescent="0.25">
      <c r="A314" s="105" t="s">
        <v>59</v>
      </c>
      <c r="B314" s="105"/>
      <c r="C314" s="105"/>
      <c r="D314" s="105"/>
      <c r="E314" s="105"/>
      <c r="F314" s="105"/>
      <c r="G314" s="21"/>
      <c r="H314" s="21"/>
      <c r="I314" s="21">
        <f>IF(I315+I316-J317-J318+I319+I322+I323+I324+I320&lt;G313,I315+I316-J317-J318+I319+I322+I323+I324+I320,G313)</f>
        <v>2807.8</v>
      </c>
      <c r="J314" s="21"/>
      <c r="K314" s="21"/>
      <c r="L314" s="21"/>
    </row>
    <row r="315" spans="1:12" x14ac:dyDescent="0.25">
      <c r="A315" s="104" t="s">
        <v>60</v>
      </c>
      <c r="B315" s="104"/>
      <c r="C315" s="104"/>
      <c r="D315" s="104"/>
      <c r="E315" s="104"/>
      <c r="F315" s="104"/>
      <c r="G315" s="23"/>
      <c r="H315" s="24">
        <v>26</v>
      </c>
      <c r="I315" s="23">
        <f>G313/26*H315</f>
        <v>2807.8</v>
      </c>
      <c r="J315" s="25"/>
      <c r="K315" s="26"/>
      <c r="L315" s="26"/>
    </row>
    <row r="316" spans="1:12" x14ac:dyDescent="0.25">
      <c r="A316" s="104" t="s">
        <v>61</v>
      </c>
      <c r="B316" s="104"/>
      <c r="C316" s="104"/>
      <c r="D316" s="104"/>
      <c r="E316" s="104"/>
      <c r="F316" s="104"/>
      <c r="G316" s="23"/>
      <c r="H316" s="24">
        <v>0</v>
      </c>
      <c r="I316" s="23">
        <f>G313/26*H316</f>
        <v>0</v>
      </c>
      <c r="J316" s="25"/>
      <c r="K316" s="26"/>
      <c r="L316" s="26"/>
    </row>
    <row r="317" spans="1:12" x14ac:dyDescent="0.25">
      <c r="A317" s="104" t="s">
        <v>62</v>
      </c>
      <c r="B317" s="104"/>
      <c r="C317" s="104"/>
      <c r="D317" s="104"/>
      <c r="E317" s="104"/>
      <c r="F317" s="104"/>
      <c r="G317" s="23"/>
      <c r="H317" s="24">
        <v>0</v>
      </c>
      <c r="I317" s="23"/>
      <c r="J317" s="27">
        <f>G313/26*H317</f>
        <v>0</v>
      </c>
      <c r="K317" s="26"/>
      <c r="L317" s="26"/>
    </row>
    <row r="318" spans="1:12" x14ac:dyDescent="0.25">
      <c r="A318" s="104" t="s">
        <v>63</v>
      </c>
      <c r="B318" s="104"/>
      <c r="C318" s="104"/>
      <c r="D318" s="104"/>
      <c r="E318" s="104"/>
      <c r="F318" s="104"/>
      <c r="G318" s="23"/>
      <c r="H318" s="24">
        <v>0</v>
      </c>
      <c r="I318" s="23"/>
      <c r="J318" s="28">
        <f>G313/191*H318</f>
        <v>0</v>
      </c>
      <c r="K318" s="26"/>
      <c r="L318" s="26"/>
    </row>
    <row r="319" spans="1:12" x14ac:dyDescent="0.25">
      <c r="A319" s="104" t="s">
        <v>64</v>
      </c>
      <c r="B319" s="104"/>
      <c r="C319" s="104"/>
      <c r="D319" s="104"/>
      <c r="E319" s="104"/>
      <c r="F319" s="104"/>
      <c r="G319" s="23"/>
      <c r="H319" s="24">
        <v>0</v>
      </c>
      <c r="I319" s="23">
        <f>G313/26*H319</f>
        <v>0</v>
      </c>
      <c r="J319" s="25"/>
      <c r="K319" s="26"/>
      <c r="L319" s="26"/>
    </row>
    <row r="320" spans="1:12" x14ac:dyDescent="0.25">
      <c r="A320" s="104" t="s">
        <v>65</v>
      </c>
      <c r="B320" s="104"/>
      <c r="C320" s="104"/>
      <c r="D320" s="104"/>
      <c r="E320" s="104"/>
      <c r="F320" s="104"/>
      <c r="G320" s="23"/>
      <c r="H320" s="24">
        <v>0</v>
      </c>
      <c r="I320" s="23">
        <f>G313/191*H320</f>
        <v>0</v>
      </c>
      <c r="J320" s="25"/>
      <c r="K320" s="26"/>
      <c r="L320" s="26"/>
    </row>
    <row r="321" spans="1:12" x14ac:dyDescent="0.25">
      <c r="A321" s="104" t="s">
        <v>66</v>
      </c>
      <c r="B321" s="104"/>
      <c r="C321" s="104"/>
      <c r="D321" s="104"/>
      <c r="E321" s="104"/>
      <c r="F321" s="104"/>
      <c r="G321" s="29"/>
      <c r="H321" s="30"/>
      <c r="I321" s="30"/>
      <c r="J321" s="25"/>
      <c r="K321" s="26"/>
      <c r="L321" s="26"/>
    </row>
    <row r="322" spans="1:12" x14ac:dyDescent="0.25">
      <c r="A322" s="110">
        <v>0.25</v>
      </c>
      <c r="B322" s="110"/>
      <c r="C322" s="110"/>
      <c r="D322" s="110"/>
      <c r="E322" s="110"/>
      <c r="F322" s="110"/>
      <c r="G322" s="23"/>
      <c r="H322" s="24">
        <v>0</v>
      </c>
      <c r="I322" s="23">
        <f>G313/191*H322*A322</f>
        <v>0</v>
      </c>
      <c r="J322" s="25"/>
      <c r="K322" s="26"/>
      <c r="L322" s="26"/>
    </row>
    <row r="323" spans="1:12" x14ac:dyDescent="0.25">
      <c r="A323" s="110">
        <v>0.5</v>
      </c>
      <c r="B323" s="110"/>
      <c r="C323" s="110"/>
      <c r="D323" s="110"/>
      <c r="E323" s="110"/>
      <c r="F323" s="110"/>
      <c r="G323" s="23"/>
      <c r="H323" s="24">
        <v>0</v>
      </c>
      <c r="I323" s="23">
        <f>G313/191*A323*H323</f>
        <v>0</v>
      </c>
      <c r="J323" s="25"/>
      <c r="K323" s="26"/>
      <c r="L323" s="26"/>
    </row>
    <row r="324" spans="1:12" x14ac:dyDescent="0.25">
      <c r="A324" s="110">
        <v>1</v>
      </c>
      <c r="B324" s="110"/>
      <c r="C324" s="110"/>
      <c r="D324" s="110"/>
      <c r="E324" s="110"/>
      <c r="F324" s="110"/>
      <c r="G324" s="23"/>
      <c r="H324" s="24">
        <v>0</v>
      </c>
      <c r="I324" s="23">
        <f>G313/191*A324*H324</f>
        <v>0</v>
      </c>
      <c r="J324" s="25"/>
      <c r="K324" s="26"/>
      <c r="L324" s="26"/>
    </row>
    <row r="325" spans="1:12" x14ac:dyDescent="0.25">
      <c r="A325" s="105" t="s">
        <v>67</v>
      </c>
      <c r="B325" s="105"/>
      <c r="C325" s="105"/>
      <c r="D325" s="105"/>
      <c r="E325" s="105"/>
      <c r="F325" s="105"/>
      <c r="G325" s="21"/>
      <c r="H325" s="22"/>
      <c r="I325" s="21">
        <f>SUM(I326:I327)</f>
        <v>0</v>
      </c>
      <c r="J325" s="21"/>
      <c r="K325" s="21"/>
      <c r="L325" s="21"/>
    </row>
    <row r="326" spans="1:12" x14ac:dyDescent="0.25">
      <c r="A326" s="104" t="s">
        <v>68</v>
      </c>
      <c r="B326" s="104"/>
      <c r="C326" s="104"/>
      <c r="D326" s="104"/>
      <c r="E326" s="104"/>
      <c r="F326" s="104"/>
      <c r="G326" s="23">
        <f>(G303-A305)/360</f>
        <v>1.4361111111111111</v>
      </c>
      <c r="H326" s="31">
        <f>IF(G326&lt;2,0,IF(AND(G326&gt;2,G326&lt;5),[1]Taux!A$33,IF(AND(G326&lt;12,G326&gt;5),[1]Taux!A$34,IF(AND(G326&gt;12,G326&lt;20),[1]Taux!A$35,IF(AND(G326&lt;25,G326&gt;20),[1]Taux!A$36,IF(G326&gt;25,[1]Taux!A$37))))))</f>
        <v>0</v>
      </c>
      <c r="I326" s="23">
        <f>I314*H326</f>
        <v>0</v>
      </c>
      <c r="J326" s="25"/>
      <c r="K326" s="26"/>
      <c r="L326" s="26"/>
    </row>
    <row r="327" spans="1:12" x14ac:dyDescent="0.25">
      <c r="A327" s="104" t="s">
        <v>69</v>
      </c>
      <c r="B327" s="104"/>
      <c r="C327" s="104"/>
      <c r="D327" s="104"/>
      <c r="E327" s="104"/>
      <c r="F327" s="104"/>
      <c r="G327" s="23"/>
      <c r="H327" s="24"/>
      <c r="I327" s="23"/>
      <c r="J327" s="25"/>
      <c r="K327" s="26"/>
      <c r="L327" s="26"/>
    </row>
    <row r="328" spans="1:12" x14ac:dyDescent="0.25">
      <c r="A328" s="105" t="s">
        <v>70</v>
      </c>
      <c r="B328" s="105"/>
      <c r="C328" s="105"/>
      <c r="D328" s="105"/>
      <c r="E328" s="105"/>
      <c r="F328" s="105"/>
      <c r="G328" s="21"/>
      <c r="H328" s="22"/>
      <c r="I328" s="21">
        <f>SUM(I329:I331)</f>
        <v>0</v>
      </c>
      <c r="J328" s="21"/>
      <c r="K328" s="21"/>
      <c r="L328" s="21"/>
    </row>
    <row r="329" spans="1:12" x14ac:dyDescent="0.25">
      <c r="A329" s="104" t="s">
        <v>71</v>
      </c>
      <c r="B329" s="104"/>
      <c r="C329" s="104"/>
      <c r="D329" s="104"/>
      <c r="E329" s="104"/>
      <c r="F329" s="104"/>
      <c r="G329" s="23"/>
      <c r="H329" s="24"/>
      <c r="I329" s="23"/>
      <c r="J329" s="25"/>
      <c r="K329" s="26"/>
      <c r="L329" s="26"/>
    </row>
    <row r="330" spans="1:12" x14ac:dyDescent="0.25">
      <c r="A330" s="104" t="s">
        <v>72</v>
      </c>
      <c r="B330" s="104"/>
      <c r="C330" s="104"/>
      <c r="D330" s="104"/>
      <c r="E330" s="104"/>
      <c r="F330" s="104"/>
      <c r="G330" s="23"/>
      <c r="H330" s="31">
        <v>0</v>
      </c>
      <c r="I330" s="23"/>
      <c r="J330" s="25"/>
      <c r="K330" s="26"/>
      <c r="L330" s="26"/>
    </row>
    <row r="331" spans="1:12" x14ac:dyDescent="0.25">
      <c r="A331" s="104" t="s">
        <v>73</v>
      </c>
      <c r="B331" s="104"/>
      <c r="C331" s="104"/>
      <c r="D331" s="104"/>
      <c r="E331" s="104"/>
      <c r="F331" s="104"/>
      <c r="G331" s="23"/>
      <c r="H331" s="24"/>
      <c r="I331" s="23"/>
      <c r="J331" s="25"/>
      <c r="K331" s="26"/>
      <c r="L331" s="26"/>
    </row>
    <row r="332" spans="1:12" x14ac:dyDescent="0.25">
      <c r="A332" s="108" t="s">
        <v>74</v>
      </c>
      <c r="B332" s="108"/>
      <c r="C332" s="108"/>
      <c r="D332" s="108"/>
      <c r="E332" s="108"/>
      <c r="F332" s="108"/>
      <c r="G332" s="32"/>
      <c r="H332" s="33"/>
      <c r="I332" s="32">
        <f>I314+I325+I328</f>
        <v>2807.8</v>
      </c>
      <c r="J332" s="33"/>
      <c r="K332" s="33"/>
      <c r="L332" s="33"/>
    </row>
    <row r="333" spans="1:12" x14ac:dyDescent="0.25">
      <c r="A333" s="108" t="s">
        <v>75</v>
      </c>
      <c r="B333" s="108"/>
      <c r="C333" s="108"/>
      <c r="D333" s="108"/>
      <c r="E333" s="108"/>
      <c r="F333" s="108"/>
      <c r="G333" s="32"/>
      <c r="H333" s="33"/>
      <c r="I333" s="32">
        <f>I332-I328</f>
        <v>2807.8</v>
      </c>
      <c r="J333" s="33"/>
      <c r="K333" s="33"/>
      <c r="L333" s="33"/>
    </row>
    <row r="334" spans="1:12" x14ac:dyDescent="0.25">
      <c r="A334" s="104" t="s">
        <v>76</v>
      </c>
      <c r="B334" s="104"/>
      <c r="C334" s="104"/>
      <c r="D334" s="104"/>
      <c r="E334" s="104"/>
      <c r="F334" s="104"/>
      <c r="G334" s="23"/>
      <c r="H334" s="34">
        <f>[1]Taux!D$5+[1]Taux!D$6</f>
        <v>4.4800000000000006E-2</v>
      </c>
      <c r="I334" s="23"/>
      <c r="J334" s="23">
        <f>IF(I333&lt;6000,I333*H334,6000*H334)</f>
        <v>125.78944000000003</v>
      </c>
      <c r="K334" s="35">
        <f>[1]Taux!C$5+[1]Taux!C$6</f>
        <v>8.9799999999999991E-2</v>
      </c>
      <c r="L334" s="23">
        <f>IF(I333&lt;6000,I333*K334,6000*K334)</f>
        <v>252.14043999999998</v>
      </c>
    </row>
    <row r="335" spans="1:12" x14ac:dyDescent="0.25">
      <c r="A335" s="104" t="s">
        <v>77</v>
      </c>
      <c r="B335" s="104"/>
      <c r="C335" s="104"/>
      <c r="D335" s="104"/>
      <c r="E335" s="104"/>
      <c r="F335" s="104"/>
      <c r="G335" s="23"/>
      <c r="H335" s="34"/>
      <c r="I335" s="23"/>
      <c r="J335" s="23">
        <f>I333*H335</f>
        <v>0</v>
      </c>
      <c r="K335" s="36"/>
      <c r="L335" s="23">
        <f>I333*K335</f>
        <v>0</v>
      </c>
    </row>
    <row r="336" spans="1:12" x14ac:dyDescent="0.25">
      <c r="A336" s="104" t="s">
        <v>78</v>
      </c>
      <c r="B336" s="104"/>
      <c r="C336" s="104"/>
      <c r="D336" s="104"/>
      <c r="E336" s="104"/>
      <c r="F336" s="104"/>
      <c r="G336" s="23"/>
      <c r="H336" s="34"/>
      <c r="I336" s="23"/>
      <c r="J336" s="23">
        <f>I333*H336</f>
        <v>0</v>
      </c>
      <c r="K336" s="35">
        <v>0.02</v>
      </c>
      <c r="L336" s="23">
        <f>I333*K336</f>
        <v>56.156000000000006</v>
      </c>
    </row>
    <row r="337" spans="1:12" x14ac:dyDescent="0.25">
      <c r="A337" s="104" t="s">
        <v>79</v>
      </c>
      <c r="B337" s="104"/>
      <c r="C337" s="104"/>
      <c r="D337" s="104"/>
      <c r="E337" s="104"/>
      <c r="F337" s="104"/>
      <c r="G337" s="23"/>
      <c r="H337" s="34"/>
      <c r="I337" s="23"/>
      <c r="J337" s="23">
        <f>IF(I333*H337&gt;I333*0.06,I333*0.06,I333*H337)</f>
        <v>0</v>
      </c>
      <c r="K337" s="36"/>
      <c r="L337" s="23">
        <f>I333*K337</f>
        <v>0</v>
      </c>
    </row>
    <row r="338" spans="1:12" x14ac:dyDescent="0.25">
      <c r="A338" s="104" t="s">
        <v>80</v>
      </c>
      <c r="B338" s="104"/>
      <c r="C338" s="104"/>
      <c r="D338" s="104"/>
      <c r="E338" s="104"/>
      <c r="F338" s="104"/>
      <c r="G338" s="23"/>
      <c r="H338" s="34"/>
      <c r="I338" s="23"/>
      <c r="J338" s="23">
        <f>I333*H338</f>
        <v>0</v>
      </c>
      <c r="K338" s="36"/>
      <c r="L338" s="23">
        <f>I333*K338</f>
        <v>0</v>
      </c>
    </row>
    <row r="339" spans="1:12" x14ac:dyDescent="0.25">
      <c r="A339" s="104" t="s">
        <v>81</v>
      </c>
      <c r="B339" s="104"/>
      <c r="C339" s="104"/>
      <c r="D339" s="104"/>
      <c r="E339" s="104"/>
      <c r="F339" s="104"/>
      <c r="G339" s="23"/>
      <c r="H339" s="34"/>
      <c r="I339" s="23"/>
      <c r="J339" s="23">
        <f>I333*H339</f>
        <v>0</v>
      </c>
      <c r="K339" s="36"/>
      <c r="L339" s="23">
        <f>I333*K339</f>
        <v>0</v>
      </c>
    </row>
    <row r="340" spans="1:12" x14ac:dyDescent="0.25">
      <c r="A340" s="104" t="s">
        <v>24</v>
      </c>
      <c r="B340" s="104"/>
      <c r="C340" s="104"/>
      <c r="D340" s="104"/>
      <c r="E340" s="104"/>
      <c r="F340" s="104"/>
      <c r="G340" s="23"/>
      <c r="H340" s="34" t="str">
        <f>[1]Taux!D$7</f>
        <v>2,26%</v>
      </c>
      <c r="I340" s="23"/>
      <c r="J340" s="23">
        <f>I333*H340</f>
        <v>63.45628</v>
      </c>
      <c r="K340" s="34" t="str">
        <f>[1]Taux!C$7</f>
        <v>4,11%</v>
      </c>
      <c r="L340" s="23">
        <f>I333*K340</f>
        <v>115.40058000000001</v>
      </c>
    </row>
    <row r="341" spans="1:12" x14ac:dyDescent="0.25">
      <c r="A341" s="109" t="s">
        <v>82</v>
      </c>
      <c r="B341" s="109"/>
      <c r="C341" s="109"/>
      <c r="D341" s="109"/>
      <c r="E341" s="109"/>
      <c r="F341" s="109"/>
      <c r="G341" s="37"/>
      <c r="H341" s="38"/>
      <c r="I341" s="39"/>
      <c r="J341" s="40"/>
      <c r="K341" s="34" t="str">
        <f>[1]Taux!C$4</f>
        <v>6,40%</v>
      </c>
      <c r="L341" s="23">
        <f>I333*K341</f>
        <v>179.69920000000002</v>
      </c>
    </row>
    <row r="342" spans="1:12" x14ac:dyDescent="0.25">
      <c r="A342" s="109" t="s">
        <v>83</v>
      </c>
      <c r="B342" s="109"/>
      <c r="C342" s="109"/>
      <c r="D342" s="109"/>
      <c r="E342" s="109"/>
      <c r="F342" s="109"/>
      <c r="G342" s="41"/>
      <c r="H342" s="42"/>
      <c r="I342" s="43"/>
      <c r="J342" s="44"/>
      <c r="K342" s="34" t="str">
        <f>[1]Taux!C$8</f>
        <v>1,6 %</v>
      </c>
      <c r="L342" s="23">
        <f>I333*K342</f>
        <v>44.924800000000005</v>
      </c>
    </row>
    <row r="343" spans="1:12" x14ac:dyDescent="0.25">
      <c r="A343" s="105" t="s">
        <v>84</v>
      </c>
      <c r="B343" s="105"/>
      <c r="C343" s="105"/>
      <c r="D343" s="105"/>
      <c r="E343" s="105"/>
      <c r="F343" s="105"/>
      <c r="G343" s="21"/>
      <c r="H343" s="22"/>
      <c r="I343" s="22"/>
      <c r="J343" s="21">
        <f>SUM(J334:J340)</f>
        <v>189.24572000000003</v>
      </c>
      <c r="K343" s="21"/>
      <c r="L343" s="21">
        <f>SUM(L334:L342)</f>
        <v>648.32101999999998</v>
      </c>
    </row>
    <row r="344" spans="1:12" x14ac:dyDescent="0.25">
      <c r="A344" s="104" t="s">
        <v>85</v>
      </c>
      <c r="B344" s="104"/>
      <c r="C344" s="104"/>
      <c r="D344" s="104"/>
      <c r="E344" s="104"/>
      <c r="F344" s="104"/>
      <c r="G344" s="23"/>
      <c r="H344" s="45">
        <v>0.2</v>
      </c>
      <c r="I344" s="23"/>
      <c r="J344" s="23">
        <f>IF(I333*H344&lt;2500,I333*H344,2500)</f>
        <v>561.56000000000006</v>
      </c>
      <c r="K344" s="46"/>
      <c r="L344" s="47"/>
    </row>
    <row r="345" spans="1:12" x14ac:dyDescent="0.25">
      <c r="A345" s="108" t="s">
        <v>86</v>
      </c>
      <c r="B345" s="108"/>
      <c r="C345" s="108"/>
      <c r="D345" s="108"/>
      <c r="E345" s="108"/>
      <c r="F345" s="108"/>
      <c r="G345" s="32"/>
      <c r="H345" s="33"/>
      <c r="I345" s="32">
        <f>I333-J343-J344</f>
        <v>2056.9942800000003</v>
      </c>
      <c r="J345" s="33"/>
      <c r="K345" s="33"/>
      <c r="L345" s="33"/>
    </row>
    <row r="346" spans="1:12" x14ac:dyDescent="0.25">
      <c r="A346" s="104" t="s">
        <v>87</v>
      </c>
      <c r="B346" s="104"/>
      <c r="C346" s="104"/>
      <c r="D346" s="104"/>
      <c r="E346" s="104"/>
      <c r="F346" s="104"/>
      <c r="G346" s="23"/>
      <c r="H346" s="34"/>
      <c r="I346" s="23">
        <f>H346*180/360</f>
        <v>0</v>
      </c>
      <c r="J346" s="23"/>
      <c r="K346" s="46"/>
      <c r="L346" s="47"/>
    </row>
    <row r="347" spans="1:12" x14ac:dyDescent="0.25">
      <c r="A347" s="108" t="s">
        <v>88</v>
      </c>
      <c r="B347" s="108"/>
      <c r="C347" s="108"/>
      <c r="D347" s="108"/>
      <c r="E347" s="108"/>
      <c r="F347" s="108"/>
      <c r="G347" s="32"/>
      <c r="H347" s="33"/>
      <c r="I347" s="32">
        <f>I345-I346</f>
        <v>2056.9942800000003</v>
      </c>
      <c r="J347" s="33"/>
      <c r="K347" s="33"/>
      <c r="L347" s="33"/>
    </row>
    <row r="348" spans="1:12" x14ac:dyDescent="0.25">
      <c r="A348" s="104" t="s">
        <v>89</v>
      </c>
      <c r="B348" s="104"/>
      <c r="C348" s="104"/>
      <c r="D348" s="104"/>
      <c r="E348" s="104"/>
      <c r="F348" s="104"/>
      <c r="G348" s="25"/>
      <c r="H348" s="48"/>
      <c r="I348" s="40"/>
      <c r="J348" s="23">
        <f>IF(AND(I347&gt;0,I347&lt;2500),I347*[1]Taux!C$15-[1]Taux!I$15,IF(AND(I347&gt;2500,I347&lt;4166.67),I347*[1]Taux!C$16-[1]Taux!I$16,IF(AND(I347&gt;4166.67,I347&lt;5000),I347*[1]Taux!C$17-[1]Taux!I$17,IF(AND(I347&gt;5000,I347&lt;6666.67),I347*[1]Taux!C$18-[1]Taux!I$18,IF(AND(I347&gt;6666.67,I347&lt;15000),I347*[1]Taux!C$19-[1]Taux!I$19,IF(I347&gt;15000,I347*[1]Taux!C$20-[1]Taux!I$20))))))</f>
        <v>0</v>
      </c>
      <c r="K348" s="46"/>
      <c r="L348" s="47"/>
    </row>
    <row r="349" spans="1:12" x14ac:dyDescent="0.25">
      <c r="A349" s="104" t="s">
        <v>90</v>
      </c>
      <c r="B349" s="104"/>
      <c r="C349" s="104"/>
      <c r="D349" s="104"/>
      <c r="E349" s="104"/>
      <c r="F349" s="104"/>
      <c r="G349" s="27"/>
      <c r="H349" s="49">
        <f>F305</f>
        <v>0</v>
      </c>
      <c r="I349" s="49"/>
      <c r="J349" s="23">
        <f>IF(H349*360/12&gt;6*360/12,6*360/12,H349*360/12)</f>
        <v>0</v>
      </c>
      <c r="K349" s="46"/>
      <c r="L349" s="47"/>
    </row>
    <row r="350" spans="1:12" x14ac:dyDescent="0.25">
      <c r="A350" s="105" t="s">
        <v>91</v>
      </c>
      <c r="B350" s="105"/>
      <c r="C350" s="105"/>
      <c r="D350" s="105"/>
      <c r="E350" s="105"/>
      <c r="F350" s="105"/>
      <c r="G350" s="21"/>
      <c r="H350" s="22"/>
      <c r="I350" s="21"/>
      <c r="J350" s="21">
        <f>J348-J349</f>
        <v>0</v>
      </c>
      <c r="K350" s="21"/>
      <c r="L350" s="21"/>
    </row>
    <row r="351" spans="1:12" x14ac:dyDescent="0.25">
      <c r="A351" s="106" t="s">
        <v>92</v>
      </c>
      <c r="B351" s="106"/>
      <c r="C351" s="106"/>
      <c r="D351" s="106"/>
      <c r="E351" s="106"/>
      <c r="F351" s="106"/>
      <c r="G351" s="25"/>
      <c r="H351" s="48"/>
      <c r="I351" s="47"/>
      <c r="J351" s="49">
        <v>0</v>
      </c>
      <c r="K351" s="46"/>
      <c r="L351" s="47"/>
    </row>
    <row r="352" spans="1:12" x14ac:dyDescent="0.25">
      <c r="A352" s="104" t="s">
        <v>93</v>
      </c>
      <c r="B352" s="104"/>
      <c r="C352" s="104"/>
      <c r="D352" s="104"/>
      <c r="E352" s="104"/>
      <c r="F352" s="104"/>
      <c r="G352" s="25"/>
      <c r="H352" s="48"/>
      <c r="I352" s="44"/>
      <c r="J352" s="28">
        <v>0</v>
      </c>
      <c r="K352" s="46"/>
      <c r="L352" s="47"/>
    </row>
    <row r="353" spans="1:12" x14ac:dyDescent="0.25">
      <c r="A353" s="107" t="s">
        <v>94</v>
      </c>
      <c r="B353" s="107"/>
      <c r="C353" s="107"/>
      <c r="D353" s="107"/>
      <c r="E353" s="107"/>
      <c r="F353" s="107"/>
      <c r="G353" s="41"/>
      <c r="H353" s="42"/>
      <c r="I353" s="28">
        <f>1-0.55</f>
        <v>0.44999999999999996</v>
      </c>
      <c r="J353" s="41"/>
      <c r="K353" s="43"/>
      <c r="L353" s="44"/>
    </row>
    <row r="354" spans="1:1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25">
      <c r="A355" s="14" t="s">
        <v>95</v>
      </c>
      <c r="B355" s="14" t="s">
        <v>96</v>
      </c>
      <c r="C355" s="14" t="s">
        <v>97</v>
      </c>
      <c r="D355" s="103" t="s">
        <v>98</v>
      </c>
      <c r="E355" s="103"/>
      <c r="F355" s="103"/>
      <c r="G355" s="14" t="s">
        <v>99</v>
      </c>
      <c r="H355" s="50"/>
      <c r="I355" s="52">
        <f>I332+I353</f>
        <v>2808.25</v>
      </c>
      <c r="J355" s="52">
        <f>J343+J350+J351+J352</f>
        <v>189.24572000000003</v>
      </c>
      <c r="K355" s="14" t="s">
        <v>100</v>
      </c>
      <c r="L355" s="52">
        <f>L343</f>
        <v>648.32101999999998</v>
      </c>
    </row>
    <row r="356" spans="1:12" x14ac:dyDescent="0.25">
      <c r="A356" s="52">
        <f>25270.2+I332</f>
        <v>28078</v>
      </c>
      <c r="B356" s="52">
        <f>25270.2+I333</f>
        <v>28078</v>
      </c>
      <c r="C356" s="52">
        <f>1132.11+J334</f>
        <v>1257.8994399999999</v>
      </c>
      <c r="D356" s="102">
        <f>0+J350</f>
        <v>0</v>
      </c>
      <c r="E356" s="102"/>
      <c r="F356" s="102"/>
      <c r="G356" s="52">
        <f>17071.02+I355</f>
        <v>19879.27</v>
      </c>
      <c r="H356" s="103" t="s">
        <v>101</v>
      </c>
      <c r="I356" s="103"/>
      <c r="J356" s="52">
        <f>I355-J355</f>
        <v>2619.0042800000001</v>
      </c>
      <c r="K356" s="14" t="s">
        <v>102</v>
      </c>
      <c r="L356" s="52">
        <f>5834.88+L355</f>
        <v>6483.2010200000004</v>
      </c>
    </row>
    <row r="357" spans="1:1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53" t="s">
        <v>103</v>
      </c>
      <c r="L357" s="54">
        <f>J356+L355</f>
        <v>3267.3253</v>
      </c>
    </row>
    <row r="361" spans="1:12" x14ac:dyDescent="0.25">
      <c r="A361" s="114" t="s">
        <v>26</v>
      </c>
      <c r="B361" s="114"/>
      <c r="C361" s="114" t="s">
        <v>27</v>
      </c>
      <c r="D361" s="114"/>
      <c r="E361" s="114"/>
      <c r="F361" s="114"/>
      <c r="G361" s="114" t="s">
        <v>28</v>
      </c>
      <c r="H361" s="114"/>
      <c r="I361" s="114"/>
      <c r="J361" s="114" t="s">
        <v>29</v>
      </c>
      <c r="K361" s="114"/>
      <c r="L361" s="114"/>
    </row>
    <row r="362" spans="1:12" x14ac:dyDescent="0.25">
      <c r="A362" s="14" t="s">
        <v>30</v>
      </c>
      <c r="B362" s="103" t="s">
        <v>31</v>
      </c>
      <c r="C362" s="103"/>
      <c r="D362" s="103"/>
      <c r="E362" s="103"/>
      <c r="F362" s="103"/>
      <c r="G362" s="103" t="s">
        <v>32</v>
      </c>
      <c r="H362" s="103"/>
      <c r="I362" s="103"/>
      <c r="J362" s="103"/>
      <c r="K362" s="103"/>
      <c r="L362" s="103"/>
    </row>
    <row r="363" spans="1:12" x14ac:dyDescent="0.25">
      <c r="A363" s="16">
        <v>8</v>
      </c>
      <c r="B363" s="111" t="s">
        <v>113</v>
      </c>
      <c r="C363" s="111"/>
      <c r="D363" s="111"/>
      <c r="E363" s="111"/>
      <c r="F363" s="111"/>
      <c r="G363" s="113">
        <v>42522</v>
      </c>
      <c r="H363" s="113"/>
      <c r="I363" s="113"/>
      <c r="J363" s="113">
        <v>42551</v>
      </c>
      <c r="K363" s="113"/>
      <c r="L363" s="113"/>
    </row>
    <row r="364" spans="1:12" x14ac:dyDescent="0.25">
      <c r="A364" s="14" t="s">
        <v>34</v>
      </c>
      <c r="B364" s="14" t="s">
        <v>35</v>
      </c>
      <c r="C364" s="14" t="s">
        <v>36</v>
      </c>
      <c r="D364" s="14" t="s">
        <v>37</v>
      </c>
      <c r="E364" s="14" t="s">
        <v>38</v>
      </c>
      <c r="F364" s="14" t="s">
        <v>39</v>
      </c>
      <c r="G364" s="103" t="s">
        <v>40</v>
      </c>
      <c r="H364" s="103"/>
      <c r="I364" s="103"/>
      <c r="J364" s="103"/>
      <c r="K364" s="103"/>
      <c r="L364" s="103"/>
    </row>
    <row r="365" spans="1:12" x14ac:dyDescent="0.25">
      <c r="A365" s="17">
        <v>42278</v>
      </c>
      <c r="B365" s="16"/>
      <c r="C365" s="17">
        <v>33665</v>
      </c>
      <c r="D365" s="16" t="s">
        <v>111</v>
      </c>
      <c r="E365" s="16">
        <v>0</v>
      </c>
      <c r="F365" s="16">
        <v>0</v>
      </c>
      <c r="G365" s="111"/>
      <c r="H365" s="111"/>
      <c r="I365" s="111"/>
      <c r="J365" s="111"/>
      <c r="K365" s="111"/>
      <c r="L365" s="111"/>
    </row>
    <row r="366" spans="1:12" x14ac:dyDescent="0.25">
      <c r="A366" s="14" t="s">
        <v>42</v>
      </c>
      <c r="B366" s="14" t="s">
        <v>43</v>
      </c>
      <c r="C366" s="14" t="s">
        <v>44</v>
      </c>
      <c r="D366" s="103" t="s">
        <v>45</v>
      </c>
      <c r="E366" s="103"/>
      <c r="F366" s="103"/>
      <c r="G366" s="103" t="s">
        <v>116</v>
      </c>
      <c r="H366" s="103"/>
      <c r="I366" s="103"/>
      <c r="J366" s="103"/>
      <c r="K366" s="103"/>
      <c r="L366" s="103"/>
    </row>
    <row r="367" spans="1:12" x14ac:dyDescent="0.25">
      <c r="A367" s="16">
        <v>164315198</v>
      </c>
      <c r="B367" s="16"/>
      <c r="C367" s="16"/>
      <c r="D367" s="111" t="s">
        <v>47</v>
      </c>
      <c r="E367" s="111"/>
      <c r="F367" s="111"/>
      <c r="G367" s="111" t="s">
        <v>114</v>
      </c>
      <c r="H367" s="111"/>
      <c r="I367" s="111"/>
      <c r="J367" s="111"/>
      <c r="K367" s="111"/>
      <c r="L367" s="111"/>
    </row>
    <row r="368" spans="1:1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</row>
    <row r="370" spans="1:1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x14ac:dyDescent="0.25">
      <c r="A371" s="112" t="s">
        <v>49</v>
      </c>
      <c r="B371" s="112"/>
      <c r="C371" s="112"/>
      <c r="D371" s="112"/>
      <c r="E371" s="112"/>
      <c r="F371" s="112"/>
      <c r="G371" s="112" t="s">
        <v>50</v>
      </c>
      <c r="H371" s="112" t="s">
        <v>51</v>
      </c>
      <c r="I371" s="112" t="s">
        <v>52</v>
      </c>
      <c r="J371" s="112"/>
      <c r="K371" s="112" t="s">
        <v>53</v>
      </c>
      <c r="L371" s="112"/>
    </row>
    <row r="372" spans="1:12" x14ac:dyDescent="0.25">
      <c r="A372" s="112"/>
      <c r="B372" s="112"/>
      <c r="C372" s="112"/>
      <c r="D372" s="112"/>
      <c r="E372" s="112"/>
      <c r="F372" s="112"/>
      <c r="G372" s="112"/>
      <c r="H372" s="112"/>
      <c r="I372" s="20" t="s">
        <v>54</v>
      </c>
      <c r="J372" s="20" t="s">
        <v>55</v>
      </c>
      <c r="K372" s="20" t="s">
        <v>56</v>
      </c>
      <c r="L372" s="20" t="s">
        <v>57</v>
      </c>
    </row>
    <row r="373" spans="1:12" x14ac:dyDescent="0.25">
      <c r="A373" s="105" t="s">
        <v>58</v>
      </c>
      <c r="B373" s="105"/>
      <c r="C373" s="105"/>
      <c r="D373" s="105"/>
      <c r="E373" s="105"/>
      <c r="F373" s="105"/>
      <c r="G373" s="21">
        <v>3665.6</v>
      </c>
      <c r="H373" s="22"/>
      <c r="I373" s="21"/>
      <c r="J373" s="21"/>
      <c r="K373" s="21"/>
      <c r="L373" s="21"/>
    </row>
    <row r="374" spans="1:12" x14ac:dyDescent="0.25">
      <c r="A374" s="105" t="s">
        <v>59</v>
      </c>
      <c r="B374" s="105"/>
      <c r="C374" s="105"/>
      <c r="D374" s="105"/>
      <c r="E374" s="105"/>
      <c r="F374" s="105"/>
      <c r="G374" s="21"/>
      <c r="H374" s="21"/>
      <c r="I374" s="21">
        <f>IF(I375+I376-J377-J378+I379+I382+I383+I384+I380&lt;G373,I375+I376-J377-J378+I379+I382+I383+I384+I380,G373)</f>
        <v>3665.6</v>
      </c>
      <c r="J374" s="21"/>
      <c r="K374" s="21"/>
      <c r="L374" s="21"/>
    </row>
    <row r="375" spans="1:12" x14ac:dyDescent="0.25">
      <c r="A375" s="104" t="s">
        <v>60</v>
      </c>
      <c r="B375" s="104"/>
      <c r="C375" s="104"/>
      <c r="D375" s="104"/>
      <c r="E375" s="104"/>
      <c r="F375" s="104"/>
      <c r="G375" s="23"/>
      <c r="H375" s="24">
        <v>26</v>
      </c>
      <c r="I375" s="23">
        <f>G373/26*H375</f>
        <v>3665.6</v>
      </c>
      <c r="J375" s="25"/>
      <c r="K375" s="26"/>
      <c r="L375" s="26"/>
    </row>
    <row r="376" spans="1:12" x14ac:dyDescent="0.25">
      <c r="A376" s="104" t="s">
        <v>61</v>
      </c>
      <c r="B376" s="104"/>
      <c r="C376" s="104"/>
      <c r="D376" s="104"/>
      <c r="E376" s="104"/>
      <c r="F376" s="104"/>
      <c r="G376" s="23"/>
      <c r="H376" s="24">
        <v>0</v>
      </c>
      <c r="I376" s="23">
        <f>G373/26*H376</f>
        <v>0</v>
      </c>
      <c r="J376" s="25"/>
      <c r="K376" s="26"/>
      <c r="L376" s="26"/>
    </row>
    <row r="377" spans="1:12" x14ac:dyDescent="0.25">
      <c r="A377" s="104" t="s">
        <v>62</v>
      </c>
      <c r="B377" s="104"/>
      <c r="C377" s="104"/>
      <c r="D377" s="104"/>
      <c r="E377" s="104"/>
      <c r="F377" s="104"/>
      <c r="G377" s="23"/>
      <c r="H377" s="24">
        <v>0</v>
      </c>
      <c r="I377" s="23"/>
      <c r="J377" s="27">
        <f>G373/26*H377</f>
        <v>0</v>
      </c>
      <c r="K377" s="26"/>
      <c r="L377" s="26"/>
    </row>
    <row r="378" spans="1:12" x14ac:dyDescent="0.25">
      <c r="A378" s="104" t="s">
        <v>63</v>
      </c>
      <c r="B378" s="104"/>
      <c r="C378" s="104"/>
      <c r="D378" s="104"/>
      <c r="E378" s="104"/>
      <c r="F378" s="104"/>
      <c r="G378" s="23"/>
      <c r="H378" s="24">
        <v>0</v>
      </c>
      <c r="I378" s="23"/>
      <c r="J378" s="28">
        <f>G373/191*H378</f>
        <v>0</v>
      </c>
      <c r="K378" s="26"/>
      <c r="L378" s="26"/>
    </row>
    <row r="379" spans="1:12" x14ac:dyDescent="0.25">
      <c r="A379" s="104" t="s">
        <v>64</v>
      </c>
      <c r="B379" s="104"/>
      <c r="C379" s="104"/>
      <c r="D379" s="104"/>
      <c r="E379" s="104"/>
      <c r="F379" s="104"/>
      <c r="G379" s="23"/>
      <c r="H379" s="24">
        <v>0</v>
      </c>
      <c r="I379" s="23">
        <f>G373/26*H379</f>
        <v>0</v>
      </c>
      <c r="J379" s="25"/>
      <c r="K379" s="26"/>
      <c r="L379" s="26"/>
    </row>
    <row r="380" spans="1:12" x14ac:dyDescent="0.25">
      <c r="A380" s="104" t="s">
        <v>65</v>
      </c>
      <c r="B380" s="104"/>
      <c r="C380" s="104"/>
      <c r="D380" s="104"/>
      <c r="E380" s="104"/>
      <c r="F380" s="104"/>
      <c r="G380" s="23"/>
      <c r="H380" s="24">
        <v>0</v>
      </c>
      <c r="I380" s="23">
        <f>G373/191*H380</f>
        <v>0</v>
      </c>
      <c r="J380" s="25"/>
      <c r="K380" s="26"/>
      <c r="L380" s="26"/>
    </row>
    <row r="381" spans="1:12" x14ac:dyDescent="0.25">
      <c r="A381" s="104" t="s">
        <v>66</v>
      </c>
      <c r="B381" s="104"/>
      <c r="C381" s="104"/>
      <c r="D381" s="104"/>
      <c r="E381" s="104"/>
      <c r="F381" s="104"/>
      <c r="G381" s="29"/>
      <c r="H381" s="30"/>
      <c r="I381" s="30"/>
      <c r="J381" s="25"/>
      <c r="K381" s="26"/>
      <c r="L381" s="26"/>
    </row>
    <row r="382" spans="1:12" x14ac:dyDescent="0.25">
      <c r="A382" s="110">
        <v>0.25</v>
      </c>
      <c r="B382" s="110"/>
      <c r="C382" s="110"/>
      <c r="D382" s="110"/>
      <c r="E382" s="110"/>
      <c r="F382" s="110"/>
      <c r="G382" s="23"/>
      <c r="H382" s="24">
        <v>0</v>
      </c>
      <c r="I382" s="23">
        <f>G373/191*H382*A382</f>
        <v>0</v>
      </c>
      <c r="J382" s="25"/>
      <c r="K382" s="26"/>
      <c r="L382" s="26"/>
    </row>
    <row r="383" spans="1:12" x14ac:dyDescent="0.25">
      <c r="A383" s="110">
        <v>0.5</v>
      </c>
      <c r="B383" s="110"/>
      <c r="C383" s="110"/>
      <c r="D383" s="110"/>
      <c r="E383" s="110"/>
      <c r="F383" s="110"/>
      <c r="G383" s="23"/>
      <c r="H383" s="24">
        <v>0</v>
      </c>
      <c r="I383" s="23">
        <f>G373/191*A383*H383</f>
        <v>0</v>
      </c>
      <c r="J383" s="25"/>
      <c r="K383" s="26"/>
      <c r="L383" s="26"/>
    </row>
    <row r="384" spans="1:12" x14ac:dyDescent="0.25">
      <c r="A384" s="110">
        <v>1</v>
      </c>
      <c r="B384" s="110"/>
      <c r="C384" s="110"/>
      <c r="D384" s="110"/>
      <c r="E384" s="110"/>
      <c r="F384" s="110"/>
      <c r="G384" s="23"/>
      <c r="H384" s="24">
        <v>0</v>
      </c>
      <c r="I384" s="23">
        <f>G373/191*A384*H384</f>
        <v>0</v>
      </c>
      <c r="J384" s="25"/>
      <c r="K384" s="26"/>
      <c r="L384" s="26"/>
    </row>
    <row r="385" spans="1:12" x14ac:dyDescent="0.25">
      <c r="A385" s="105" t="s">
        <v>67</v>
      </c>
      <c r="B385" s="105"/>
      <c r="C385" s="105"/>
      <c r="D385" s="105"/>
      <c r="E385" s="105"/>
      <c r="F385" s="105"/>
      <c r="G385" s="21"/>
      <c r="H385" s="22"/>
      <c r="I385" s="21">
        <f>SUM(I386:I387)</f>
        <v>0</v>
      </c>
      <c r="J385" s="21"/>
      <c r="K385" s="21"/>
      <c r="L385" s="21"/>
    </row>
    <row r="386" spans="1:12" x14ac:dyDescent="0.25">
      <c r="A386" s="104" t="s">
        <v>68</v>
      </c>
      <c r="B386" s="104"/>
      <c r="C386" s="104"/>
      <c r="D386" s="104"/>
      <c r="E386" s="104"/>
      <c r="F386" s="104"/>
      <c r="G386" s="23">
        <f>(G363-A365)/360</f>
        <v>0.67777777777777781</v>
      </c>
      <c r="H386" s="31">
        <f>IF(G386&lt;2,0,IF(AND(G386&gt;2,G386&lt;5),[1]Taux!A$33,IF(AND(G386&lt;12,G386&gt;5),[1]Taux!A$34,IF(AND(G386&gt;12,G386&lt;20),[1]Taux!A$35,IF(AND(G386&lt;25,G386&gt;20),[1]Taux!A$36,IF(G386&gt;25,[1]Taux!A$37))))))</f>
        <v>0</v>
      </c>
      <c r="I386" s="23">
        <f>I374*H386</f>
        <v>0</v>
      </c>
      <c r="J386" s="25"/>
      <c r="K386" s="26"/>
      <c r="L386" s="26"/>
    </row>
    <row r="387" spans="1:12" x14ac:dyDescent="0.25">
      <c r="A387" s="104" t="s">
        <v>69</v>
      </c>
      <c r="B387" s="104"/>
      <c r="C387" s="104"/>
      <c r="D387" s="104"/>
      <c r="E387" s="104"/>
      <c r="F387" s="104"/>
      <c r="G387" s="23"/>
      <c r="H387" s="24"/>
      <c r="I387" s="23"/>
      <c r="J387" s="25"/>
      <c r="K387" s="26"/>
      <c r="L387" s="26"/>
    </row>
    <row r="388" spans="1:12" x14ac:dyDescent="0.25">
      <c r="A388" s="105" t="s">
        <v>70</v>
      </c>
      <c r="B388" s="105"/>
      <c r="C388" s="105"/>
      <c r="D388" s="105"/>
      <c r="E388" s="105"/>
      <c r="F388" s="105"/>
      <c r="G388" s="21"/>
      <c r="H388" s="22"/>
      <c r="I388" s="21">
        <f>SUM(I389:I391)</f>
        <v>600</v>
      </c>
      <c r="J388" s="21"/>
      <c r="K388" s="21"/>
      <c r="L388" s="21"/>
    </row>
    <row r="389" spans="1:12" x14ac:dyDescent="0.25">
      <c r="A389" s="104" t="s">
        <v>71</v>
      </c>
      <c r="B389" s="104"/>
      <c r="C389" s="104"/>
      <c r="D389" s="104"/>
      <c r="E389" s="104"/>
      <c r="F389" s="104"/>
      <c r="G389" s="23"/>
      <c r="H389" s="24"/>
      <c r="I389" s="23">
        <v>600</v>
      </c>
      <c r="J389" s="25"/>
      <c r="K389" s="26"/>
      <c r="L389" s="26"/>
    </row>
    <row r="390" spans="1:12" x14ac:dyDescent="0.25">
      <c r="A390" s="104" t="s">
        <v>72</v>
      </c>
      <c r="B390" s="104"/>
      <c r="C390" s="104"/>
      <c r="D390" s="104"/>
      <c r="E390" s="104"/>
      <c r="F390" s="104"/>
      <c r="G390" s="23"/>
      <c r="H390" s="31">
        <v>0</v>
      </c>
      <c r="I390" s="23"/>
      <c r="J390" s="25"/>
      <c r="K390" s="26"/>
      <c r="L390" s="26"/>
    </row>
    <row r="391" spans="1:12" x14ac:dyDescent="0.25">
      <c r="A391" s="104" t="s">
        <v>73</v>
      </c>
      <c r="B391" s="104"/>
      <c r="C391" s="104"/>
      <c r="D391" s="104"/>
      <c r="E391" s="104"/>
      <c r="F391" s="104"/>
      <c r="G391" s="23"/>
      <c r="H391" s="24"/>
      <c r="I391" s="23"/>
      <c r="J391" s="25"/>
      <c r="K391" s="26"/>
      <c r="L391" s="26"/>
    </row>
    <row r="392" spans="1:12" x14ac:dyDescent="0.25">
      <c r="A392" s="108" t="s">
        <v>74</v>
      </c>
      <c r="B392" s="108"/>
      <c r="C392" s="108"/>
      <c r="D392" s="108"/>
      <c r="E392" s="108"/>
      <c r="F392" s="108"/>
      <c r="G392" s="32"/>
      <c r="H392" s="33"/>
      <c r="I392" s="32">
        <f>I374+I385+I388</f>
        <v>4265.6000000000004</v>
      </c>
      <c r="J392" s="33"/>
      <c r="K392" s="33"/>
      <c r="L392" s="33"/>
    </row>
    <row r="393" spans="1:12" x14ac:dyDescent="0.25">
      <c r="A393" s="108" t="s">
        <v>75</v>
      </c>
      <c r="B393" s="108"/>
      <c r="C393" s="108"/>
      <c r="D393" s="108"/>
      <c r="E393" s="108"/>
      <c r="F393" s="108"/>
      <c r="G393" s="32"/>
      <c r="H393" s="33"/>
      <c r="I393" s="32">
        <f>I392-I388</f>
        <v>3665.6000000000004</v>
      </c>
      <c r="J393" s="33"/>
      <c r="K393" s="33"/>
      <c r="L393" s="33"/>
    </row>
    <row r="394" spans="1:12" x14ac:dyDescent="0.25">
      <c r="A394" s="104" t="s">
        <v>76</v>
      </c>
      <c r="B394" s="104"/>
      <c r="C394" s="104"/>
      <c r="D394" s="104"/>
      <c r="E394" s="104"/>
      <c r="F394" s="104"/>
      <c r="G394" s="23"/>
      <c r="H394" s="34">
        <f>[1]Taux!D$5+[1]Taux!D$6</f>
        <v>4.4800000000000006E-2</v>
      </c>
      <c r="I394" s="23"/>
      <c r="J394" s="23">
        <f>IF(I393&lt;6000,I393*H394,6000*H394)</f>
        <v>164.21888000000004</v>
      </c>
      <c r="K394" s="35">
        <f>[1]Taux!C$5+[1]Taux!C$6</f>
        <v>8.9799999999999991E-2</v>
      </c>
      <c r="L394" s="23">
        <f>IF(I393&lt;6000,I393*K394,6000*K394)</f>
        <v>329.17088000000001</v>
      </c>
    </row>
    <row r="395" spans="1:12" x14ac:dyDescent="0.25">
      <c r="A395" s="104" t="s">
        <v>77</v>
      </c>
      <c r="B395" s="104"/>
      <c r="C395" s="104"/>
      <c r="D395" s="104"/>
      <c r="E395" s="104"/>
      <c r="F395" s="104"/>
      <c r="G395" s="23"/>
      <c r="H395" s="34"/>
      <c r="I395" s="23"/>
      <c r="J395" s="23">
        <f>I393*H395</f>
        <v>0</v>
      </c>
      <c r="K395" s="36"/>
      <c r="L395" s="23">
        <f>I393*K395</f>
        <v>0</v>
      </c>
    </row>
    <row r="396" spans="1:12" x14ac:dyDescent="0.25">
      <c r="A396" s="104" t="s">
        <v>78</v>
      </c>
      <c r="B396" s="104"/>
      <c r="C396" s="104"/>
      <c r="D396" s="104"/>
      <c r="E396" s="104"/>
      <c r="F396" s="104"/>
      <c r="G396" s="23"/>
      <c r="H396" s="34"/>
      <c r="I396" s="23"/>
      <c r="J396" s="23">
        <f>I393*H396</f>
        <v>0</v>
      </c>
      <c r="K396" s="35">
        <v>0.02</v>
      </c>
      <c r="L396" s="23">
        <f>I393*K396</f>
        <v>73.312000000000012</v>
      </c>
    </row>
    <row r="397" spans="1:12" x14ac:dyDescent="0.25">
      <c r="A397" s="104" t="s">
        <v>79</v>
      </c>
      <c r="B397" s="104"/>
      <c r="C397" s="104"/>
      <c r="D397" s="104"/>
      <c r="E397" s="104"/>
      <c r="F397" s="104"/>
      <c r="G397" s="23"/>
      <c r="H397" s="34"/>
      <c r="I397" s="23"/>
      <c r="J397" s="23">
        <f>IF(I393*H397&gt;I393*0.06,I393*0.06,I393*H397)</f>
        <v>0</v>
      </c>
      <c r="K397" s="36"/>
      <c r="L397" s="23">
        <f>I393*K397</f>
        <v>0</v>
      </c>
    </row>
    <row r="398" spans="1:12" x14ac:dyDescent="0.25">
      <c r="A398" s="104" t="s">
        <v>80</v>
      </c>
      <c r="B398" s="104"/>
      <c r="C398" s="104"/>
      <c r="D398" s="104"/>
      <c r="E398" s="104"/>
      <c r="F398" s="104"/>
      <c r="G398" s="23"/>
      <c r="H398" s="34"/>
      <c r="I398" s="23"/>
      <c r="J398" s="23">
        <f>I393*H398</f>
        <v>0</v>
      </c>
      <c r="K398" s="36"/>
      <c r="L398" s="23">
        <f>I393*K398</f>
        <v>0</v>
      </c>
    </row>
    <row r="399" spans="1:12" x14ac:dyDescent="0.25">
      <c r="A399" s="104" t="s">
        <v>81</v>
      </c>
      <c r="B399" s="104"/>
      <c r="C399" s="104"/>
      <c r="D399" s="104"/>
      <c r="E399" s="104"/>
      <c r="F399" s="104"/>
      <c r="G399" s="23"/>
      <c r="H399" s="34"/>
      <c r="I399" s="23"/>
      <c r="J399" s="23">
        <f>I393*H399</f>
        <v>0</v>
      </c>
      <c r="K399" s="36"/>
      <c r="L399" s="23">
        <f>I393*K399</f>
        <v>0</v>
      </c>
    </row>
    <row r="400" spans="1:12" x14ac:dyDescent="0.25">
      <c r="A400" s="104" t="s">
        <v>24</v>
      </c>
      <c r="B400" s="104"/>
      <c r="C400" s="104"/>
      <c r="D400" s="104"/>
      <c r="E400" s="104"/>
      <c r="F400" s="104"/>
      <c r="G400" s="23"/>
      <c r="H400" s="34" t="str">
        <f>[1]Taux!D$7</f>
        <v>2,26%</v>
      </c>
      <c r="I400" s="23"/>
      <c r="J400" s="23">
        <f>I393*H400</f>
        <v>82.842560000000006</v>
      </c>
      <c r="K400" s="34" t="str">
        <f>[1]Taux!C$7</f>
        <v>4,11%</v>
      </c>
      <c r="L400" s="23">
        <f>I393*K400</f>
        <v>150.65616</v>
      </c>
    </row>
    <row r="401" spans="1:12" x14ac:dyDescent="0.25">
      <c r="A401" s="109" t="s">
        <v>82</v>
      </c>
      <c r="B401" s="109"/>
      <c r="C401" s="109"/>
      <c r="D401" s="109"/>
      <c r="E401" s="109"/>
      <c r="F401" s="109"/>
      <c r="G401" s="37"/>
      <c r="H401" s="38"/>
      <c r="I401" s="39"/>
      <c r="J401" s="40"/>
      <c r="K401" s="34" t="str">
        <f>[1]Taux!C$4</f>
        <v>6,40%</v>
      </c>
      <c r="L401" s="23">
        <f>I393*K401</f>
        <v>234.59840000000003</v>
      </c>
    </row>
    <row r="402" spans="1:12" x14ac:dyDescent="0.25">
      <c r="A402" s="109" t="s">
        <v>83</v>
      </c>
      <c r="B402" s="109"/>
      <c r="C402" s="109"/>
      <c r="D402" s="109"/>
      <c r="E402" s="109"/>
      <c r="F402" s="109"/>
      <c r="G402" s="41"/>
      <c r="H402" s="42"/>
      <c r="I402" s="43"/>
      <c r="J402" s="44"/>
      <c r="K402" s="34" t="str">
        <f>[1]Taux!C$8</f>
        <v>1,6 %</v>
      </c>
      <c r="L402" s="23">
        <f>I393*K402</f>
        <v>58.649600000000007</v>
      </c>
    </row>
    <row r="403" spans="1:12" x14ac:dyDescent="0.25">
      <c r="A403" s="105" t="s">
        <v>84</v>
      </c>
      <c r="B403" s="105"/>
      <c r="C403" s="105"/>
      <c r="D403" s="105"/>
      <c r="E403" s="105"/>
      <c r="F403" s="105"/>
      <c r="G403" s="21"/>
      <c r="H403" s="22"/>
      <c r="I403" s="22"/>
      <c r="J403" s="21">
        <f>SUM(J394:J400)</f>
        <v>247.06144000000006</v>
      </c>
      <c r="K403" s="21"/>
      <c r="L403" s="21">
        <f>SUM(L394:L402)</f>
        <v>846.38704000000007</v>
      </c>
    </row>
    <row r="404" spans="1:12" x14ac:dyDescent="0.25">
      <c r="A404" s="104" t="s">
        <v>85</v>
      </c>
      <c r="B404" s="104"/>
      <c r="C404" s="104"/>
      <c r="D404" s="104"/>
      <c r="E404" s="104"/>
      <c r="F404" s="104"/>
      <c r="G404" s="23"/>
      <c r="H404" s="45">
        <v>0.2</v>
      </c>
      <c r="I404" s="23"/>
      <c r="J404" s="23">
        <f>IF(I393*H404&lt;2500,I393*H404,2500)</f>
        <v>733.12000000000012</v>
      </c>
      <c r="K404" s="46"/>
      <c r="L404" s="47"/>
    </row>
    <row r="405" spans="1:12" x14ac:dyDescent="0.25">
      <c r="A405" s="108" t="s">
        <v>86</v>
      </c>
      <c r="B405" s="108"/>
      <c r="C405" s="108"/>
      <c r="D405" s="108"/>
      <c r="E405" s="108"/>
      <c r="F405" s="108"/>
      <c r="G405" s="32"/>
      <c r="H405" s="33"/>
      <c r="I405" s="32">
        <f>I393-J403-J404</f>
        <v>2685.4185600000001</v>
      </c>
      <c r="J405" s="33"/>
      <c r="K405" s="33"/>
      <c r="L405" s="33"/>
    </row>
    <row r="406" spans="1:12" x14ac:dyDescent="0.25">
      <c r="A406" s="104" t="s">
        <v>87</v>
      </c>
      <c r="B406" s="104"/>
      <c r="C406" s="104"/>
      <c r="D406" s="104"/>
      <c r="E406" s="104"/>
      <c r="F406" s="104"/>
      <c r="G406" s="23"/>
      <c r="H406" s="34"/>
      <c r="I406" s="23">
        <f>H406*180/360</f>
        <v>0</v>
      </c>
      <c r="J406" s="23"/>
      <c r="K406" s="46"/>
      <c r="L406" s="47"/>
    </row>
    <row r="407" spans="1:12" x14ac:dyDescent="0.25">
      <c r="A407" s="108" t="s">
        <v>115</v>
      </c>
      <c r="B407" s="108"/>
      <c r="C407" s="108"/>
      <c r="D407" s="108"/>
      <c r="E407" s="108"/>
      <c r="F407" s="108"/>
      <c r="G407" s="32"/>
      <c r="H407" s="33"/>
      <c r="I407" s="32">
        <f>I405-I406</f>
        <v>2685.4185600000001</v>
      </c>
      <c r="J407" s="33"/>
      <c r="K407" s="33"/>
      <c r="L407" s="33"/>
    </row>
    <row r="408" spans="1:12" x14ac:dyDescent="0.25">
      <c r="A408" s="104" t="s">
        <v>89</v>
      </c>
      <c r="B408" s="104"/>
      <c r="C408" s="104"/>
      <c r="D408" s="104"/>
      <c r="E408" s="104"/>
      <c r="F408" s="104"/>
      <c r="G408" s="25"/>
      <c r="H408" s="48"/>
      <c r="I408" s="40"/>
      <c r="J408" s="23">
        <f>IF(AND(I407&gt;0,I407&lt;2500),I407*[1]Taux!C$15-[1]Taux!I$15,IF(AND(I407&gt;2500,I407&lt;4166.67),I407*[1]Taux!C$16-[1]Taux!I$16,IF(AND(I407&gt;4166.67,I407&lt;5000),I407*[1]Taux!C$17-[1]Taux!I$17,IF(AND(I407&gt;5000,I407&lt;6666.67),I407*[1]Taux!C$18-[1]Taux!I$18,IF(AND(I407&gt;6666.67,I407&lt;15000),I407*[1]Taux!C$19-[1]Taux!I$19,IF(I407&gt;15000,I407*[1]Taux!C$20-[1]Taux!I$20))))))</f>
        <v>18.541855999999996</v>
      </c>
      <c r="K408" s="46"/>
      <c r="L408" s="47"/>
    </row>
    <row r="409" spans="1:12" x14ac:dyDescent="0.25">
      <c r="A409" s="104" t="s">
        <v>90</v>
      </c>
      <c r="B409" s="104"/>
      <c r="C409" s="104"/>
      <c r="D409" s="104"/>
      <c r="E409" s="104"/>
      <c r="F409" s="104"/>
      <c r="G409" s="27"/>
      <c r="H409" s="49">
        <f>F365</f>
        <v>0</v>
      </c>
      <c r="I409" s="49"/>
      <c r="J409" s="23">
        <f>IF(H409*360/12&gt;6*360/12,6*360/12,H409*360/12)</f>
        <v>0</v>
      </c>
      <c r="K409" s="46"/>
      <c r="L409" s="47"/>
    </row>
    <row r="410" spans="1:12" x14ac:dyDescent="0.25">
      <c r="A410" s="105" t="s">
        <v>91</v>
      </c>
      <c r="B410" s="105"/>
      <c r="C410" s="105"/>
      <c r="D410" s="105"/>
      <c r="E410" s="105"/>
      <c r="F410" s="105"/>
      <c r="G410" s="21"/>
      <c r="H410" s="22"/>
      <c r="I410" s="21"/>
      <c r="J410" s="21">
        <f>J408-J409</f>
        <v>18.541855999999996</v>
      </c>
      <c r="K410" s="21"/>
      <c r="L410" s="21"/>
    </row>
    <row r="411" spans="1:12" x14ac:dyDescent="0.25">
      <c r="A411" s="106" t="s">
        <v>92</v>
      </c>
      <c r="B411" s="106"/>
      <c r="C411" s="106"/>
      <c r="D411" s="106"/>
      <c r="E411" s="106"/>
      <c r="F411" s="106"/>
      <c r="G411" s="25"/>
      <c r="H411" s="48"/>
      <c r="I411" s="47"/>
      <c r="J411" s="49">
        <v>0</v>
      </c>
      <c r="K411" s="46"/>
      <c r="L411" s="47"/>
    </row>
    <row r="412" spans="1:12" x14ac:dyDescent="0.25">
      <c r="A412" s="104" t="s">
        <v>93</v>
      </c>
      <c r="B412" s="104"/>
      <c r="C412" s="104"/>
      <c r="D412" s="104"/>
      <c r="E412" s="104"/>
      <c r="F412" s="104"/>
      <c r="G412" s="25"/>
      <c r="H412" s="48"/>
      <c r="I412" s="44"/>
      <c r="J412" s="28">
        <v>0</v>
      </c>
      <c r="K412" s="46"/>
      <c r="L412" s="47"/>
    </row>
    <row r="413" spans="1:12" x14ac:dyDescent="0.25">
      <c r="A413" s="107" t="s">
        <v>94</v>
      </c>
      <c r="B413" s="107"/>
      <c r="C413" s="107"/>
      <c r="D413" s="107"/>
      <c r="E413" s="107"/>
      <c r="F413" s="107"/>
      <c r="G413" s="41"/>
      <c r="H413" s="42"/>
      <c r="I413" s="28"/>
      <c r="J413" s="41"/>
      <c r="K413" s="43"/>
      <c r="L413" s="44"/>
    </row>
    <row r="414" spans="1:1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25">
      <c r="A415" s="14" t="s">
        <v>95</v>
      </c>
      <c r="B415" s="14" t="s">
        <v>96</v>
      </c>
      <c r="C415" s="14" t="s">
        <v>97</v>
      </c>
      <c r="D415" s="103" t="s">
        <v>98</v>
      </c>
      <c r="E415" s="103"/>
      <c r="F415" s="103"/>
      <c r="G415" s="14" t="s">
        <v>99</v>
      </c>
      <c r="H415" s="50"/>
      <c r="I415" s="52">
        <f>I392+I413</f>
        <v>4265.6000000000004</v>
      </c>
      <c r="J415" s="52">
        <f>J403+J410+J411+J412</f>
        <v>265.60329600000006</v>
      </c>
      <c r="K415" s="14" t="s">
        <v>100</v>
      </c>
      <c r="L415" s="52">
        <f>L403</f>
        <v>846.38704000000007</v>
      </c>
    </row>
    <row r="416" spans="1:12" x14ac:dyDescent="0.25">
      <c r="A416" s="52">
        <f>38390.4+I392</f>
        <v>42656</v>
      </c>
      <c r="B416" s="52">
        <f>32990.4+I393</f>
        <v>36656</v>
      </c>
      <c r="C416" s="52">
        <f>1477.98+J394</f>
        <v>1642.1988800000001</v>
      </c>
      <c r="D416" s="102">
        <f>166.87+J410</f>
        <v>185.411856</v>
      </c>
      <c r="E416" s="102"/>
      <c r="F416" s="102"/>
      <c r="G416" s="52">
        <f>36000+I415</f>
        <v>40265.599999999999</v>
      </c>
      <c r="H416" s="103" t="s">
        <v>101</v>
      </c>
      <c r="I416" s="103"/>
      <c r="J416" s="52">
        <f>I415-J415</f>
        <v>3999.9967040000001</v>
      </c>
      <c r="K416" s="14" t="s">
        <v>102</v>
      </c>
      <c r="L416" s="52">
        <f>8246.37+L415</f>
        <v>9092.7570400000004</v>
      </c>
    </row>
    <row r="417" spans="1:1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53" t="s">
        <v>103</v>
      </c>
      <c r="L417" s="54">
        <f>J416+L415</f>
        <v>4846.3837440000007</v>
      </c>
    </row>
  </sheetData>
  <mergeCells count="448">
    <mergeCell ref="D416:F416"/>
    <mergeCell ref="H416:I416"/>
    <mergeCell ref="A409:F409"/>
    <mergeCell ref="A410:F410"/>
    <mergeCell ref="A411:F411"/>
    <mergeCell ref="A412:F412"/>
    <mergeCell ref="A413:F413"/>
    <mergeCell ref="D415:F415"/>
    <mergeCell ref="A403:F403"/>
    <mergeCell ref="A404:F404"/>
    <mergeCell ref="A405:F405"/>
    <mergeCell ref="A406:F406"/>
    <mergeCell ref="A407:F407"/>
    <mergeCell ref="A408:F408"/>
    <mergeCell ref="A397:F397"/>
    <mergeCell ref="A398:F398"/>
    <mergeCell ref="A399:F399"/>
    <mergeCell ref="A400:F400"/>
    <mergeCell ref="A401:F401"/>
    <mergeCell ref="A402:F402"/>
    <mergeCell ref="A391:F391"/>
    <mergeCell ref="A392:F392"/>
    <mergeCell ref="A393:F393"/>
    <mergeCell ref="A394:F394"/>
    <mergeCell ref="A395:F395"/>
    <mergeCell ref="A396:F396"/>
    <mergeCell ref="A385:F385"/>
    <mergeCell ref="A386:F386"/>
    <mergeCell ref="A387:F387"/>
    <mergeCell ref="A388:F388"/>
    <mergeCell ref="A389:F389"/>
    <mergeCell ref="A390:F390"/>
    <mergeCell ref="A379:F379"/>
    <mergeCell ref="A380:F380"/>
    <mergeCell ref="A381:F381"/>
    <mergeCell ref="A382:F382"/>
    <mergeCell ref="A383:F383"/>
    <mergeCell ref="A384:F384"/>
    <mergeCell ref="A373:F373"/>
    <mergeCell ref="A374:F374"/>
    <mergeCell ref="A375:F375"/>
    <mergeCell ref="A376:F376"/>
    <mergeCell ref="A377:F377"/>
    <mergeCell ref="A378:F378"/>
    <mergeCell ref="G365:L365"/>
    <mergeCell ref="D366:F366"/>
    <mergeCell ref="G366:L366"/>
    <mergeCell ref="D367:F367"/>
    <mergeCell ref="G367:L367"/>
    <mergeCell ref="A371:F372"/>
    <mergeCell ref="G371:G372"/>
    <mergeCell ref="H371:H372"/>
    <mergeCell ref="I371:J371"/>
    <mergeCell ref="K371:L371"/>
    <mergeCell ref="B362:F362"/>
    <mergeCell ref="G362:L362"/>
    <mergeCell ref="B363:F363"/>
    <mergeCell ref="G363:I363"/>
    <mergeCell ref="J363:L363"/>
    <mergeCell ref="G364:L364"/>
    <mergeCell ref="D356:F356"/>
    <mergeCell ref="H356:I356"/>
    <mergeCell ref="A361:B361"/>
    <mergeCell ref="C361:F361"/>
    <mergeCell ref="G361:I361"/>
    <mergeCell ref="J361:L361"/>
    <mergeCell ref="A349:F349"/>
    <mergeCell ref="A350:F350"/>
    <mergeCell ref="A351:F351"/>
    <mergeCell ref="A352:F352"/>
    <mergeCell ref="A353:F353"/>
    <mergeCell ref="D355:F355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G305:L305"/>
    <mergeCell ref="D306:F306"/>
    <mergeCell ref="G306:L306"/>
    <mergeCell ref="D307:F307"/>
    <mergeCell ref="G307:L307"/>
    <mergeCell ref="A311:F312"/>
    <mergeCell ref="G311:G312"/>
    <mergeCell ref="H311:H312"/>
    <mergeCell ref="I311:J311"/>
    <mergeCell ref="K311:L311"/>
    <mergeCell ref="B302:F302"/>
    <mergeCell ref="G302:L302"/>
    <mergeCell ref="B303:F303"/>
    <mergeCell ref="G303:I303"/>
    <mergeCell ref="J303:L303"/>
    <mergeCell ref="G304:L304"/>
    <mergeCell ref="D296:F296"/>
    <mergeCell ref="H296:I296"/>
    <mergeCell ref="A301:B301"/>
    <mergeCell ref="C301:F301"/>
    <mergeCell ref="G301:I301"/>
    <mergeCell ref="J301:L301"/>
    <mergeCell ref="A289:F289"/>
    <mergeCell ref="A290:F290"/>
    <mergeCell ref="A291:F291"/>
    <mergeCell ref="A292:F292"/>
    <mergeCell ref="A293:F293"/>
    <mergeCell ref="D295:F295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G245:L245"/>
    <mergeCell ref="D246:F246"/>
    <mergeCell ref="G246:L246"/>
    <mergeCell ref="D247:F247"/>
    <mergeCell ref="G247:L247"/>
    <mergeCell ref="A251:F252"/>
    <mergeCell ref="G251:G252"/>
    <mergeCell ref="H251:H252"/>
    <mergeCell ref="I251:J251"/>
    <mergeCell ref="K251:L251"/>
    <mergeCell ref="B242:F242"/>
    <mergeCell ref="G242:L242"/>
    <mergeCell ref="B243:F243"/>
    <mergeCell ref="G243:I243"/>
    <mergeCell ref="J243:L243"/>
    <mergeCell ref="G244:L244"/>
    <mergeCell ref="D236:F236"/>
    <mergeCell ref="H236:I236"/>
    <mergeCell ref="A241:B241"/>
    <mergeCell ref="C241:F241"/>
    <mergeCell ref="G241:I241"/>
    <mergeCell ref="J241:L241"/>
    <mergeCell ref="A229:F229"/>
    <mergeCell ref="A230:F230"/>
    <mergeCell ref="A231:F231"/>
    <mergeCell ref="A232:F232"/>
    <mergeCell ref="A233:F233"/>
    <mergeCell ref="D235:F235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G185:L185"/>
    <mergeCell ref="D186:F186"/>
    <mergeCell ref="G186:L186"/>
    <mergeCell ref="D187:F187"/>
    <mergeCell ref="G187:L187"/>
    <mergeCell ref="A191:F192"/>
    <mergeCell ref="G191:G192"/>
    <mergeCell ref="H191:H192"/>
    <mergeCell ref="I191:J191"/>
    <mergeCell ref="K191:L191"/>
    <mergeCell ref="B182:F182"/>
    <mergeCell ref="G182:L182"/>
    <mergeCell ref="B183:F183"/>
    <mergeCell ref="G183:I183"/>
    <mergeCell ref="J183:L183"/>
    <mergeCell ref="G184:L184"/>
    <mergeCell ref="D176:F176"/>
    <mergeCell ref="H176:I176"/>
    <mergeCell ref="A181:B181"/>
    <mergeCell ref="C181:F181"/>
    <mergeCell ref="G181:I181"/>
    <mergeCell ref="J181:L181"/>
    <mergeCell ref="A169:F169"/>
    <mergeCell ref="A170:F170"/>
    <mergeCell ref="A171:F171"/>
    <mergeCell ref="A172:F172"/>
    <mergeCell ref="A173:F173"/>
    <mergeCell ref="D175:F175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G125:L125"/>
    <mergeCell ref="D126:F126"/>
    <mergeCell ref="G126:L126"/>
    <mergeCell ref="D127:F127"/>
    <mergeCell ref="G127:L127"/>
    <mergeCell ref="A131:F132"/>
    <mergeCell ref="G131:G132"/>
    <mergeCell ref="H131:H132"/>
    <mergeCell ref="I131:J131"/>
    <mergeCell ref="K131:L131"/>
    <mergeCell ref="B122:F122"/>
    <mergeCell ref="G122:L122"/>
    <mergeCell ref="B123:F123"/>
    <mergeCell ref="G123:I123"/>
    <mergeCell ref="J123:L123"/>
    <mergeCell ref="G124:L124"/>
    <mergeCell ref="D116:F116"/>
    <mergeCell ref="H116:I116"/>
    <mergeCell ref="A121:B121"/>
    <mergeCell ref="C121:F121"/>
    <mergeCell ref="G121:I121"/>
    <mergeCell ref="J121:L121"/>
    <mergeCell ref="A109:F109"/>
    <mergeCell ref="A110:F110"/>
    <mergeCell ref="A111:F111"/>
    <mergeCell ref="A112:F112"/>
    <mergeCell ref="A113:F113"/>
    <mergeCell ref="D115:F115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G65:L65"/>
    <mergeCell ref="D66:F66"/>
    <mergeCell ref="G66:L66"/>
    <mergeCell ref="D67:F67"/>
    <mergeCell ref="G67:L67"/>
    <mergeCell ref="A71:F72"/>
    <mergeCell ref="G71:G72"/>
    <mergeCell ref="H71:H72"/>
    <mergeCell ref="I71:J71"/>
    <mergeCell ref="K71:L71"/>
    <mergeCell ref="B62:F62"/>
    <mergeCell ref="G62:L62"/>
    <mergeCell ref="B63:F63"/>
    <mergeCell ref="G63:I63"/>
    <mergeCell ref="J63:L63"/>
    <mergeCell ref="G64:L64"/>
    <mergeCell ref="D56:F56"/>
    <mergeCell ref="H56:I56"/>
    <mergeCell ref="A61:B61"/>
    <mergeCell ref="C61:F61"/>
    <mergeCell ref="G61:I61"/>
    <mergeCell ref="J61:L61"/>
    <mergeCell ref="A49:F49"/>
    <mergeCell ref="A50:F50"/>
    <mergeCell ref="A51:F51"/>
    <mergeCell ref="A52:F52"/>
    <mergeCell ref="A53:F53"/>
    <mergeCell ref="D55:F55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D7:F7"/>
    <mergeCell ref="G7:L7"/>
    <mergeCell ref="A11:F12"/>
    <mergeCell ref="G11:G12"/>
    <mergeCell ref="H11:H12"/>
    <mergeCell ref="I11:J11"/>
    <mergeCell ref="K11:L11"/>
    <mergeCell ref="B3:F3"/>
    <mergeCell ref="G3:I3"/>
    <mergeCell ref="J3:L3"/>
    <mergeCell ref="G4:L4"/>
    <mergeCell ref="G5:L5"/>
    <mergeCell ref="D6:F6"/>
    <mergeCell ref="G6:L6"/>
    <mergeCell ref="A1:B1"/>
    <mergeCell ref="C1:F1"/>
    <mergeCell ref="G1:I1"/>
    <mergeCell ref="J1:L1"/>
    <mergeCell ref="B2:F2"/>
    <mergeCell ref="G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IR CALCULE</vt:lpstr>
      <vt:lpstr>Barème</vt:lpstr>
      <vt:lpstr>IR ANNUEL</vt:lpstr>
      <vt:lpstr>BULLTEIN DE PAIE MOIS 01</vt:lpstr>
      <vt:lpstr>BULLTEIN DE PAIE MOIS 02</vt:lpstr>
      <vt:lpstr>BULLTEIN DE PAIE MOIS 03</vt:lpstr>
      <vt:lpstr>BULLTEIN DE PAIE MOIS 04</vt:lpstr>
      <vt:lpstr>BULLTEIN DE PAIE MOIS 05</vt:lpstr>
      <vt:lpstr>BULLTEIN DE PAIE MOIS 06</vt:lpstr>
      <vt:lpstr>BULLTEIN DE PAIE MOIS 07</vt:lpstr>
      <vt:lpstr>BULLTEIN DE PAIE MOIS 08</vt:lpstr>
      <vt:lpstr>BULLTEIN DE PAIE MOIS 09</vt:lpstr>
      <vt:lpstr>BULLTEIN DE PAIE MOIS 10</vt:lpstr>
      <vt:lpstr>BULLTEIN DE PAIE MOIS 11</vt:lpstr>
      <vt:lpstr>BULLTEIN DE PAIE MOIS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AKCEA</dc:creator>
  <cp:lastModifiedBy>DAHAR Youssef</cp:lastModifiedBy>
  <dcterms:created xsi:type="dcterms:W3CDTF">2016-12-19T13:34:36Z</dcterms:created>
  <dcterms:modified xsi:type="dcterms:W3CDTF">2016-12-26T11:32:15Z</dcterms:modified>
</cp:coreProperties>
</file>